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tables/table5.xml" ContentType="application/vnd.openxmlformats-officedocument.spreadsheetml.table+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omments2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J:\Finance\Reports &amp; Surveys\AFR\2020-2021\AFR Workbook and Instructions\"/>
    </mc:Choice>
  </mc:AlternateContent>
  <bookViews>
    <workbookView xWindow="0" yWindow="0" windowWidth="23040" windowHeight="7170" firstSheet="37" activeTab="39"/>
  </bookViews>
  <sheets>
    <sheet name="Adjustment Form" sheetId="82" r:id="rId1"/>
    <sheet name="DOEFSDownload" sheetId="79" state="hidden" r:id="rId2"/>
    <sheet name="DFS-A1-1835 Adjustment Form" sheetId="110" r:id="rId3"/>
    <sheet name="DFS-A1-1835 Table GL Code" sheetId="111" state="hidden" r:id="rId4"/>
    <sheet name="Contact Information" sheetId="21" r:id="rId5"/>
    <sheet name="CFI Calculation" sheetId="105" r:id="rId6"/>
    <sheet name="Certification Form" sheetId="106" r:id="rId7"/>
    <sheet name="Check Sheet" sheetId="16" r:id="rId8"/>
    <sheet name="Accounts by GL" sheetId="22" r:id="rId9"/>
    <sheet name="SNP" sheetId="45" r:id="rId10"/>
    <sheet name="SRECNP" sheetId="46" r:id="rId11"/>
    <sheet name="SCF" sheetId="4" r:id="rId12"/>
    <sheet name="SCF Support" sheetId="95" r:id="rId13"/>
    <sheet name="Exp by Function" sheetId="23" r:id="rId14"/>
    <sheet name="CIF" sheetId="25" r:id="rId15"/>
    <sheet name="Dist Learning" sheetId="26" r:id="rId16"/>
    <sheet name="Student Activity Fee Report" sheetId="40" r:id="rId17"/>
    <sheet name="Tuition and Fee Report" sheetId="27" r:id="rId18"/>
    <sheet name="FCS Notes Sched LTD" sheetId="52" r:id="rId19"/>
    <sheet name="FCS Notes Sched Inv &amp; Cash" sheetId="77" r:id="rId20"/>
    <sheet name="FCS Notes Sched Cap Assets" sheetId="51" r:id="rId21"/>
    <sheet name="CU Notes Sched" sheetId="58" r:id="rId22"/>
    <sheet name="FCS Instructions ARO" sheetId="102" r:id="rId23"/>
    <sheet name="FCS Asset Retirement Obligation" sheetId="101" r:id="rId24"/>
    <sheet name="GASB84-Fiduciary Activities" sheetId="104" state="hidden" r:id="rId25"/>
    <sheet name="GASB87-Leases" sheetId="103" state="hidden" r:id="rId26"/>
    <sheet name="CU1-Deposits" sheetId="83" r:id="rId27"/>
    <sheet name="CU2-Other InvestmentsOLD" sheetId="84" state="hidden" r:id="rId28"/>
    <sheet name="CU2-Other Investments" sheetId="97" r:id="rId29"/>
    <sheet name="CU2 Instructions Sections A &amp; B" sheetId="98" r:id="rId30"/>
    <sheet name="CU3-Deficit Ending Equity" sheetId="85" r:id="rId31"/>
    <sheet name="CU6-Chges in Long Term Liab." sheetId="87" state="hidden" r:id="rId32"/>
    <sheet name="CU5- Prior Period Adjustment" sheetId="107" r:id="rId33"/>
    <sheet name="CU7 Instructions" sheetId="108" r:id="rId34"/>
    <sheet name="CU7-Bonds Payable &amp; COP" sheetId="89" r:id="rId35"/>
    <sheet name="CU8 Instructions" sheetId="109" r:id="rId36"/>
    <sheet name="CU8- Install Purch &amp; Leases" sheetId="90" r:id="rId37"/>
    <sheet name="CU9 Instructions" sheetId="100" r:id="rId38"/>
    <sheet name="CU9-Lines of Credit" sheetId="99" r:id="rId39"/>
    <sheet name="CUR1-Operating Leases" sheetId="91" r:id="rId40"/>
    <sheet name="CUR2-Construct. &amp; Other Sig." sheetId="92" r:id="rId41"/>
    <sheet name="CUR3-Related Party Transactions" sheetId="93" r:id="rId42"/>
    <sheet name="FCS Notes Sched Cap Ls&amp;Inst Pur" sheetId="72" state="hidden" r:id="rId43"/>
    <sheet name="FCS Notes Sched Bonds" sheetId="57" state="hidden" r:id="rId44"/>
    <sheet name="FCS Notes Sched Op Leases" sheetId="59" state="hidden" r:id="rId45"/>
    <sheet name="FCS Notes Sched Commitments" sheetId="60" state="hidden" r:id="rId46"/>
    <sheet name="FCS Notes Sched Related Parties" sheetId="73" state="hidden" r:id="rId47"/>
    <sheet name="FS Variance Analysis Tool" sheetId="96" r:id="rId48"/>
    <sheet name="MD&amp;A Tool CondSRECNP" sheetId="63" r:id="rId49"/>
    <sheet name="MD&amp;A Tool CondSNP" sheetId="62" r:id="rId50"/>
    <sheet name="MD&amp;A Tool CondSCF" sheetId="70" r:id="rId51"/>
    <sheet name="MD&amp;A Fincl Hghlts" sheetId="48" r:id="rId52"/>
    <sheet name="MD&amp;A Tool OverviewofFS" sheetId="49" r:id="rId53"/>
    <sheet name="VLOOKUP" sheetId="94" r:id="rId54"/>
    <sheet name="DOEAGLDownload" sheetId="78" state="hidden" r:id="rId55"/>
  </sheets>
  <externalReferences>
    <externalReference r:id="rId56"/>
    <externalReference r:id="rId57"/>
    <externalReference r:id="rId58"/>
  </externalReferences>
  <definedNames>
    <definedName name="_xlnm._FilterDatabase" localSheetId="3" hidden="1">'DFS-A1-1835 Table GL Code'!$A$1:$M$1180</definedName>
    <definedName name="ARRA">[1]List!$C$1:$C$2</definedName>
    <definedName name="ChangeCA">'DFS-A1-1835 Table GL Code'!$D$58:$D$78</definedName>
    <definedName name="ChangeLTL">'DFS-A1-1835 Table GL Code'!#REF!</definedName>
    <definedName name="CUFormsList">'DFS-A1-1835 Table GL Code'!$K$2:$L$68</definedName>
    <definedName name="FormsList">'DFS-A1-1835 Table GL Code'!$D$2:$F$177</definedName>
    <definedName name="FundsList">'DFS-A1-1835 Table GL Code'!$H$2:$I$1087</definedName>
    <definedName name="GLcode">'DFS-A1-1835 Table GL Code'!$A$2:$A$1215</definedName>
    <definedName name="_xlnm.Print_Area" localSheetId="8">'Accounts by GL'!$A$1:$O$588</definedName>
    <definedName name="_xlnm.Print_Area" localSheetId="0">'Adjustment Form'!$A$1:$H$121</definedName>
    <definedName name="_xlnm.Print_Area" localSheetId="7">'Check Sheet'!$A$1:$E$124</definedName>
    <definedName name="_xlnm.Print_Area" localSheetId="14">CIF!$A$1:$F$55</definedName>
    <definedName name="_xlnm.Print_Area" localSheetId="21">'CU Notes Sched'!$A$1:$O$157</definedName>
    <definedName name="_xlnm.Print_Area" localSheetId="26">'CU1-Deposits'!$A$1:$L$76</definedName>
    <definedName name="_xlnm.Print_Area" localSheetId="27">'CU2-Other InvestmentsOLD'!$A$1:$M$36</definedName>
    <definedName name="_xlnm.Print_Area" localSheetId="32">'CU5- Prior Period Adjustment'!$A$1:$J$43</definedName>
    <definedName name="_xlnm.Print_Area" localSheetId="34">'CU7-Bonds Payable &amp; COP'!$A$1:$P$98</definedName>
    <definedName name="_xlnm.Print_Area" localSheetId="36">'CU8- Install Purch &amp; Leases'!$A$1:$Q$91</definedName>
    <definedName name="_xlnm.Print_Area" localSheetId="38">'CU9-Lines of Credit'!$A$1:$I$21</definedName>
    <definedName name="_xlnm.Print_Area" localSheetId="39">'CUR1-Operating Leases'!$A$1:$R$42</definedName>
    <definedName name="_xlnm.Print_Area" localSheetId="40">'CUR2-Construct. &amp; Other Sig.'!$A$1:$K$56</definedName>
    <definedName name="_xlnm.Print_Area" localSheetId="41">'CUR3-Related Party Transactions'!$A$1:$X$58</definedName>
    <definedName name="_xlnm.Print_Area" localSheetId="2">'DFS-A1-1835 Adjustment Form'!$A$1:$AD$141</definedName>
    <definedName name="_xlnm.Print_Area" localSheetId="15">'Dist Learning'!$A$1:$E$34</definedName>
    <definedName name="_xlnm.Print_Area" localSheetId="13">'Exp by Function'!$A$1:$F$23</definedName>
    <definedName name="_xlnm.Print_Area" localSheetId="23">'FCS Asset Retirement Obligation'!$A$1:$P$19</definedName>
    <definedName name="_xlnm.Print_Area" localSheetId="43">'FCS Notes Sched Bonds'!$A$1:$N$22</definedName>
    <definedName name="_xlnm.Print_Area" localSheetId="20">'FCS Notes Sched Cap Assets'!$A$1:$U$45</definedName>
    <definedName name="_xlnm.Print_Area" localSheetId="42">'FCS Notes Sched Cap Ls&amp;Inst Pur'!$A$1:$Q$46</definedName>
    <definedName name="_xlnm.Print_Area" localSheetId="45">'FCS Notes Sched Commitments'!$A$1:$Q$27</definedName>
    <definedName name="_xlnm.Print_Area" localSheetId="19">'FCS Notes Sched Inv &amp; Cash'!$A$1:$H$29,'FCS Notes Sched Inv &amp; Cash'!$A$34:$H$110</definedName>
    <definedName name="_xlnm.Print_Area" localSheetId="18">'FCS Notes Sched LTD'!$A$1:$O$27</definedName>
    <definedName name="_xlnm.Print_Area" localSheetId="44">'FCS Notes Sched Op Leases'!$A$1:$S$27</definedName>
    <definedName name="_xlnm.Print_Area" localSheetId="46">'FCS Notes Sched Related Parties'!$A$1:$G$60</definedName>
    <definedName name="_xlnm.Print_Area" localSheetId="47">'FS Variance Analysis Tool'!$A$1:$N$194</definedName>
    <definedName name="_xlnm.Print_Area" localSheetId="25">'GASB87-Leases'!$A$1:$Q$51</definedName>
    <definedName name="_xlnm.Print_Area" localSheetId="51">'MD&amp;A Fincl Hghlts'!$A$1:$I$100</definedName>
    <definedName name="_xlnm.Print_Area" localSheetId="50">'MD&amp;A Tool CondSCF'!$A$10:$L$101</definedName>
    <definedName name="_xlnm.Print_Area" localSheetId="49">'MD&amp;A Tool CondSNP'!$A$9:$J$48,'MD&amp;A Tool CondSNP'!$A$49:$K$88</definedName>
    <definedName name="_xlnm.Print_Area" localSheetId="48">'MD&amp;A Tool CondSRECNP'!$A$8:$L$56</definedName>
    <definedName name="_xlnm.Print_Area" localSheetId="52">'MD&amp;A Tool OverviewofFS'!$A$1:$M$98</definedName>
    <definedName name="_xlnm.Print_Area" localSheetId="11">SCF!$B$1:$N$108</definedName>
    <definedName name="_xlnm.Print_Area" localSheetId="9">SNP!$C$1:$P$135</definedName>
    <definedName name="_xlnm.Print_Area" localSheetId="10">SRECNP!$C$1:$O$69</definedName>
    <definedName name="_xlnm.Print_Area" localSheetId="16">'Student Activity Fee Report'!$A$1:$C$32</definedName>
    <definedName name="_xlnm.Print_Area" localSheetId="17">'Tuition and Fee Report'!$A$1:$E$105</definedName>
    <definedName name="_xlnm.Print_Area">#REF!</definedName>
    <definedName name="_xlnm.Print_Titles" localSheetId="8">'Accounts by GL'!$4:$4</definedName>
    <definedName name="_xlnm.Print_Titles" localSheetId="7">'Check Sheet'!$5:$10</definedName>
    <definedName name="_xlnm.Print_Titles" localSheetId="2">'DFS-A1-1835 Adjustment Form'!$1:$10</definedName>
    <definedName name="RD">[2]List!$A$1:$A$2</definedName>
    <definedName name="rint" localSheetId="47">#REF!</definedName>
    <definedName name="rint">#REF!</definedName>
    <definedName name="SOF">[2]List!$B$1:$B$4</definedName>
    <definedName name="YesOrNo" localSheetId="47">#REF!</definedName>
    <definedName name="YesOrNo">#REF!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3" i="90" l="1"/>
  <c r="G43" i="90"/>
  <c r="E43" i="90"/>
  <c r="C43" i="90"/>
  <c r="A132" i="110" l="1"/>
  <c r="AC129" i="110"/>
  <c r="AA129" i="110" s="1"/>
  <c r="Z121" i="110"/>
  <c r="X121" i="110"/>
  <c r="X123" i="110" s="1"/>
  <c r="AE120" i="110"/>
  <c r="I120" i="110"/>
  <c r="I119" i="110"/>
  <c r="I118" i="110"/>
  <c r="I117" i="110"/>
  <c r="I116" i="110"/>
  <c r="I115" i="110"/>
  <c r="I114" i="110"/>
  <c r="I113" i="110"/>
  <c r="I112" i="110"/>
  <c r="I111" i="110"/>
  <c r="I110" i="110"/>
  <c r="I109" i="110"/>
  <c r="I108" i="110"/>
  <c r="I107" i="110"/>
  <c r="I106" i="110"/>
  <c r="I105" i="110"/>
  <c r="I104" i="110"/>
  <c r="I103" i="110"/>
  <c r="I102" i="110"/>
  <c r="I101" i="110"/>
  <c r="I100" i="110"/>
  <c r="I99" i="110"/>
  <c r="I98" i="110"/>
  <c r="I97" i="110"/>
  <c r="I96" i="110"/>
  <c r="I95" i="110"/>
  <c r="I94" i="110"/>
  <c r="I93" i="110"/>
  <c r="I92" i="110"/>
  <c r="I91" i="110"/>
  <c r="I90" i="110"/>
  <c r="I89" i="110"/>
  <c r="I88" i="110"/>
  <c r="I87" i="110"/>
  <c r="I86" i="110"/>
  <c r="I85" i="110"/>
  <c r="I84" i="110"/>
  <c r="I83" i="110"/>
  <c r="I82" i="110"/>
  <c r="I81" i="110"/>
  <c r="I80" i="110"/>
  <c r="I79" i="110"/>
  <c r="I78" i="110"/>
  <c r="I77" i="110"/>
  <c r="I76" i="110"/>
  <c r="I75" i="110"/>
  <c r="I74" i="110"/>
  <c r="I73" i="110"/>
  <c r="I72" i="110"/>
  <c r="I71" i="110"/>
  <c r="I70" i="110"/>
  <c r="I69" i="110"/>
  <c r="I68" i="110"/>
  <c r="I67" i="110"/>
  <c r="I66" i="110"/>
  <c r="I65" i="110"/>
  <c r="I64" i="110"/>
  <c r="I63" i="110"/>
  <c r="I62" i="110"/>
  <c r="I61" i="110"/>
  <c r="I60" i="110"/>
  <c r="I59" i="110"/>
  <c r="I58" i="110"/>
  <c r="I57" i="110"/>
  <c r="I56" i="110"/>
  <c r="I55" i="110"/>
  <c r="I54" i="110"/>
  <c r="I53" i="110"/>
  <c r="I52" i="110"/>
  <c r="I51" i="110"/>
  <c r="I50" i="110"/>
  <c r="I49" i="110"/>
  <c r="I48" i="110"/>
  <c r="I47" i="110"/>
  <c r="I46" i="110"/>
  <c r="I45" i="110"/>
  <c r="I44" i="110"/>
  <c r="I43" i="110"/>
  <c r="I42" i="110"/>
  <c r="I41" i="110"/>
  <c r="I40" i="110"/>
  <c r="I39" i="110"/>
  <c r="I38" i="110"/>
  <c r="I37" i="110"/>
  <c r="I36" i="110"/>
  <c r="I35" i="110"/>
  <c r="I34" i="110"/>
  <c r="I33" i="110"/>
  <c r="I32" i="110"/>
  <c r="I31" i="110"/>
  <c r="I30" i="110"/>
  <c r="I29" i="110"/>
  <c r="I28" i="110"/>
  <c r="I27" i="110"/>
  <c r="I26" i="110"/>
  <c r="I25" i="110"/>
  <c r="I24" i="110"/>
  <c r="AE23" i="110"/>
  <c r="I23" i="110"/>
  <c r="AE22" i="110"/>
  <c r="I22" i="110"/>
  <c r="AE21" i="110"/>
  <c r="I21" i="110"/>
  <c r="AE20" i="110"/>
  <c r="I20" i="110"/>
  <c r="I19" i="110"/>
  <c r="I18" i="110"/>
  <c r="I17" i="110"/>
  <c r="I16" i="110"/>
  <c r="I15" i="110"/>
  <c r="I14" i="110"/>
  <c r="I13" i="110"/>
  <c r="I12" i="110"/>
  <c r="I11" i="110"/>
  <c r="AU23" i="110" l="1"/>
  <c r="AV22" i="110"/>
  <c r="AC21" i="110"/>
  <c r="AU19" i="110"/>
  <c r="AU18" i="110"/>
  <c r="AU17" i="110"/>
  <c r="AU16" i="110"/>
  <c r="AU15" i="110"/>
  <c r="AU14" i="110"/>
  <c r="AU13" i="110"/>
  <c r="AU12" i="110"/>
  <c r="AU11" i="110"/>
  <c r="AC23" i="110"/>
  <c r="AU21" i="110"/>
  <c r="AV20" i="110"/>
  <c r="AC11" i="110"/>
  <c r="A133" i="110"/>
  <c r="AC120" i="110"/>
  <c r="AC118" i="110"/>
  <c r="AC116" i="110"/>
  <c r="AC114" i="110"/>
  <c r="AC112" i="110"/>
  <c r="AC110" i="110"/>
  <c r="AC108" i="110"/>
  <c r="AC106" i="110"/>
  <c r="AC104" i="110"/>
  <c r="AC102" i="110"/>
  <c r="AC100" i="110"/>
  <c r="AC98" i="110"/>
  <c r="AC96" i="110"/>
  <c r="AC94" i="110"/>
  <c r="AC92" i="110"/>
  <c r="AC90" i="110"/>
  <c r="AC88" i="110"/>
  <c r="AC86" i="110"/>
  <c r="AC84" i="110"/>
  <c r="AC82" i="110"/>
  <c r="AC80" i="110"/>
  <c r="AC78" i="110"/>
  <c r="AC76" i="110"/>
  <c r="AC74" i="110"/>
  <c r="AC72" i="110"/>
  <c r="AC70" i="110"/>
  <c r="AC68" i="110"/>
  <c r="AC66" i="110"/>
  <c r="AC64" i="110"/>
  <c r="AC62" i="110"/>
  <c r="AC60" i="110"/>
  <c r="AC58" i="110"/>
  <c r="AC56" i="110"/>
  <c r="AC54" i="110"/>
  <c r="AC52" i="110"/>
  <c r="AC50" i="110"/>
  <c r="AC48" i="110"/>
  <c r="AC46" i="110"/>
  <c r="AC44" i="110"/>
  <c r="AC42" i="110"/>
  <c r="AC40" i="110"/>
  <c r="AC38" i="110"/>
  <c r="AC36" i="110"/>
  <c r="AC34" i="110"/>
  <c r="AC32" i="110"/>
  <c r="AC30" i="110"/>
  <c r="AC28" i="110"/>
  <c r="AC26" i="110"/>
  <c r="AC24" i="110"/>
  <c r="AU22" i="110"/>
  <c r="AV21" i="110"/>
  <c r="AC20" i="110"/>
  <c r="AC19" i="110"/>
  <c r="AC18" i="110"/>
  <c r="AC17" i="110"/>
  <c r="AC16" i="110"/>
  <c r="AC15" i="110"/>
  <c r="AC14" i="110"/>
  <c r="AC13" i="110"/>
  <c r="AC12" i="110"/>
  <c r="AE11" i="110"/>
  <c r="AV120" i="110"/>
  <c r="AU120" i="110"/>
  <c r="AC119" i="110"/>
  <c r="AC117" i="110"/>
  <c r="AC115" i="110"/>
  <c r="AC113" i="110"/>
  <c r="AC111" i="110"/>
  <c r="AC109" i="110"/>
  <c r="AC107" i="110"/>
  <c r="AC105" i="110"/>
  <c r="AC103" i="110"/>
  <c r="AC101" i="110"/>
  <c r="AC99" i="110"/>
  <c r="AC97" i="110"/>
  <c r="AC95" i="110"/>
  <c r="AC93" i="110"/>
  <c r="AC91" i="110"/>
  <c r="AC89" i="110"/>
  <c r="AC87" i="110"/>
  <c r="AC85" i="110"/>
  <c r="AC83" i="110"/>
  <c r="AC81" i="110"/>
  <c r="AC79" i="110"/>
  <c r="AC77" i="110"/>
  <c r="AC75" i="110"/>
  <c r="AC73" i="110"/>
  <c r="AC71" i="110"/>
  <c r="AC69" i="110"/>
  <c r="AC67" i="110"/>
  <c r="AC65" i="110"/>
  <c r="AC63" i="110"/>
  <c r="AC61" i="110"/>
  <c r="AC59" i="110"/>
  <c r="AC57" i="110"/>
  <c r="AC55" i="110"/>
  <c r="AC53" i="110"/>
  <c r="AC51" i="110"/>
  <c r="AC49" i="110"/>
  <c r="AC47" i="110"/>
  <c r="AC45" i="110"/>
  <c r="AC43" i="110"/>
  <c r="AC41" i="110"/>
  <c r="AC39" i="110"/>
  <c r="AC37" i="110"/>
  <c r="AC35" i="110"/>
  <c r="AC33" i="110"/>
  <c r="AC31" i="110"/>
  <c r="AC29" i="110"/>
  <c r="AC27" i="110"/>
  <c r="AC25" i="110"/>
  <c r="AV23" i="110"/>
  <c r="AC22" i="110"/>
  <c r="AU20" i="110"/>
  <c r="AV19" i="110"/>
  <c r="AV18" i="110"/>
  <c r="AV17" i="110"/>
  <c r="AV16" i="110"/>
  <c r="AV15" i="110"/>
  <c r="AV14" i="110"/>
  <c r="AV13" i="110"/>
  <c r="AV12" i="110"/>
  <c r="AV11" i="110"/>
  <c r="AV121" i="110" l="1"/>
  <c r="AU121" i="110"/>
  <c r="A135" i="110" s="1"/>
  <c r="A9" i="110" s="1"/>
  <c r="A29" i="90" l="1"/>
  <c r="A28" i="90"/>
  <c r="A27" i="90"/>
  <c r="I83" i="90" l="1"/>
  <c r="G83" i="90"/>
  <c r="E83" i="90"/>
  <c r="C83" i="90"/>
  <c r="F560" i="22" l="1"/>
  <c r="M87" i="22" l="1"/>
  <c r="M86" i="22"/>
  <c r="M85" i="22"/>
  <c r="M84" i="22"/>
  <c r="M83" i="22"/>
  <c r="M82" i="22"/>
  <c r="M81" i="22"/>
  <c r="M80" i="22"/>
  <c r="M79" i="22"/>
  <c r="M78" i="22"/>
  <c r="M77" i="22"/>
  <c r="M76" i="22"/>
  <c r="M75" i="22"/>
  <c r="M74" i="22"/>
  <c r="M73" i="22"/>
  <c r="M72" i="22"/>
  <c r="M71" i="22"/>
  <c r="M70" i="22"/>
  <c r="M69" i="22"/>
  <c r="M68" i="22"/>
  <c r="M67" i="22"/>
  <c r="M66" i="22"/>
  <c r="M65" i="22"/>
  <c r="M64" i="22"/>
  <c r="M63" i="22"/>
  <c r="M62" i="22"/>
  <c r="M61" i="22"/>
  <c r="M60" i="22"/>
  <c r="M59" i="22"/>
  <c r="M58" i="22"/>
  <c r="M57" i="22"/>
  <c r="M56" i="22"/>
  <c r="M55" i="22"/>
  <c r="M54" i="22"/>
  <c r="M53" i="22"/>
  <c r="M52" i="22"/>
  <c r="M51" i="22"/>
  <c r="M50" i="22"/>
  <c r="M49" i="22"/>
  <c r="M48" i="22"/>
  <c r="M47" i="22"/>
  <c r="M46" i="22"/>
  <c r="M45" i="22"/>
  <c r="M44" i="22"/>
  <c r="M43" i="22"/>
  <c r="M42" i="22"/>
  <c r="M41" i="22"/>
  <c r="M40" i="22"/>
  <c r="M39" i="22"/>
  <c r="M38" i="22"/>
  <c r="M37" i="22"/>
  <c r="M36" i="22"/>
  <c r="M35" i="22"/>
  <c r="M34" i="22"/>
  <c r="M33" i="22"/>
  <c r="M32" i="22"/>
  <c r="M31" i="22"/>
  <c r="M30" i="22"/>
  <c r="M29" i="22"/>
  <c r="M28" i="22"/>
  <c r="M27" i="22"/>
  <c r="M26" i="22"/>
  <c r="M25" i="22"/>
  <c r="M24" i="22"/>
  <c r="M23" i="22"/>
  <c r="M22" i="22"/>
  <c r="M21" i="22"/>
  <c r="M20" i="22"/>
  <c r="M19" i="22"/>
  <c r="M18" i="22"/>
  <c r="M17" i="22"/>
  <c r="M16" i="22"/>
  <c r="M15" i="22"/>
  <c r="M14" i="22"/>
  <c r="M13" i="22"/>
  <c r="M12" i="22"/>
  <c r="M11" i="22"/>
  <c r="M10" i="22"/>
  <c r="M9" i="22"/>
  <c r="M8" i="22"/>
  <c r="M7" i="22"/>
  <c r="M6" i="22"/>
  <c r="H4" i="52" l="1"/>
  <c r="E4" i="77" l="1"/>
  <c r="D202" i="22" l="1"/>
  <c r="E89" i="22"/>
  <c r="D89" i="22"/>
  <c r="F89" i="22"/>
  <c r="G89" i="22"/>
  <c r="H89" i="22"/>
  <c r="I89" i="22"/>
  <c r="J89" i="22"/>
  <c r="K89" i="22"/>
  <c r="L89" i="22"/>
  <c r="D156" i="22"/>
  <c r="E156" i="22"/>
  <c r="F156" i="22"/>
  <c r="G156" i="22"/>
  <c r="H156" i="22"/>
  <c r="I156" i="22"/>
  <c r="J156" i="22"/>
  <c r="K156" i="22"/>
  <c r="L156" i="22"/>
  <c r="D181" i="22"/>
  <c r="E181" i="22"/>
  <c r="F181" i="22"/>
  <c r="G181" i="22"/>
  <c r="H181" i="22"/>
  <c r="I181" i="22"/>
  <c r="J181" i="22"/>
  <c r="K181" i="22"/>
  <c r="L181" i="22"/>
  <c r="E202" i="22"/>
  <c r="F202" i="22"/>
  <c r="G202" i="22"/>
  <c r="H202" i="22"/>
  <c r="I202" i="22"/>
  <c r="J202" i="22"/>
  <c r="K202" i="22"/>
  <c r="L202" i="22"/>
  <c r="D241" i="22"/>
  <c r="E241" i="22"/>
  <c r="E243" i="22" s="1"/>
  <c r="F241" i="22"/>
  <c r="F243" i="22" s="1"/>
  <c r="G241" i="22"/>
  <c r="G243" i="22" s="1"/>
  <c r="H241" i="22"/>
  <c r="I241" i="22"/>
  <c r="J241" i="22"/>
  <c r="J243" i="22" s="1"/>
  <c r="K241" i="22"/>
  <c r="L241" i="22"/>
  <c r="D260" i="22"/>
  <c r="E260" i="22"/>
  <c r="F260" i="22"/>
  <c r="G260" i="22"/>
  <c r="H260" i="22"/>
  <c r="I260" i="22"/>
  <c r="J260" i="22"/>
  <c r="K260" i="22"/>
  <c r="L260" i="22"/>
  <c r="D293" i="22"/>
  <c r="E293" i="22"/>
  <c r="F293" i="22"/>
  <c r="G293" i="22"/>
  <c r="H293" i="22"/>
  <c r="I293" i="22"/>
  <c r="J293" i="22"/>
  <c r="K293" i="22"/>
  <c r="L293" i="22"/>
  <c r="D308" i="22"/>
  <c r="E308" i="22"/>
  <c r="F308" i="22"/>
  <c r="G308" i="22"/>
  <c r="H308" i="22"/>
  <c r="I308" i="22"/>
  <c r="J308" i="22"/>
  <c r="K308" i="22"/>
  <c r="L308" i="22"/>
  <c r="D322" i="22"/>
  <c r="E322" i="22"/>
  <c r="F322" i="22"/>
  <c r="G322" i="22"/>
  <c r="H322" i="22"/>
  <c r="I322" i="22"/>
  <c r="J322" i="22"/>
  <c r="K322" i="22"/>
  <c r="L322" i="22"/>
  <c r="D341" i="22"/>
  <c r="E341" i="22"/>
  <c r="F341" i="22"/>
  <c r="G341" i="22"/>
  <c r="H341" i="22"/>
  <c r="I341" i="22"/>
  <c r="J341" i="22"/>
  <c r="K341" i="22"/>
  <c r="L341" i="22"/>
  <c r="D345" i="22"/>
  <c r="E345" i="22"/>
  <c r="F345" i="22"/>
  <c r="G345" i="22"/>
  <c r="H345" i="22"/>
  <c r="I345" i="22"/>
  <c r="J345" i="22"/>
  <c r="K345" i="22"/>
  <c r="L345" i="22"/>
  <c r="D354" i="22"/>
  <c r="E354" i="22"/>
  <c r="F354" i="22"/>
  <c r="G354" i="22"/>
  <c r="H354" i="22"/>
  <c r="I354" i="22"/>
  <c r="J354" i="22"/>
  <c r="K354" i="22"/>
  <c r="L354" i="22"/>
  <c r="D381" i="22"/>
  <c r="E381" i="22"/>
  <c r="F381" i="22"/>
  <c r="G381" i="22"/>
  <c r="H381" i="22"/>
  <c r="I381" i="22"/>
  <c r="J381" i="22"/>
  <c r="K381" i="22"/>
  <c r="L381" i="22"/>
  <c r="D437" i="22"/>
  <c r="E437" i="22"/>
  <c r="F437" i="22"/>
  <c r="G437" i="22"/>
  <c r="H437" i="22"/>
  <c r="I437" i="22"/>
  <c r="J437" i="22"/>
  <c r="K437" i="22"/>
  <c r="L437" i="22"/>
  <c r="D507" i="22"/>
  <c r="E507" i="22"/>
  <c r="F507" i="22"/>
  <c r="G507" i="22"/>
  <c r="H507" i="22"/>
  <c r="I507" i="22"/>
  <c r="J507" i="22"/>
  <c r="K507" i="22"/>
  <c r="L507" i="22"/>
  <c r="D114" i="105"/>
  <c r="E83" i="105"/>
  <c r="E36" i="105"/>
  <c r="E26" i="105"/>
  <c r="B6" i="105"/>
  <c r="G383" i="22" l="1"/>
  <c r="L243" i="22"/>
  <c r="K243" i="22"/>
  <c r="J383" i="22"/>
  <c r="I243" i="22"/>
  <c r="I383" i="22" s="1"/>
  <c r="L383" i="22"/>
  <c r="K383" i="22"/>
  <c r="F383" i="22"/>
  <c r="H243" i="22"/>
  <c r="H383" i="22" s="1"/>
  <c r="E383" i="22"/>
  <c r="D243" i="22"/>
  <c r="D383" i="22" s="1"/>
  <c r="D553" i="22"/>
  <c r="K84" i="105" l="1"/>
  <c r="K86" i="105" s="1"/>
  <c r="K92" i="105" s="1"/>
  <c r="K98" i="105" s="1"/>
  <c r="K104" i="105" s="1"/>
  <c r="J84" i="105"/>
  <c r="J86" i="105" s="1"/>
  <c r="J92" i="105" s="1"/>
  <c r="J98" i="105" s="1"/>
  <c r="J104" i="105" s="1"/>
  <c r="I84" i="105"/>
  <c r="I86" i="105" s="1"/>
  <c r="I92" i="105" s="1"/>
  <c r="I98" i="105" s="1"/>
  <c r="I104" i="105" s="1"/>
  <c r="H84" i="105"/>
  <c r="H86" i="105" s="1"/>
  <c r="H92" i="105" s="1"/>
  <c r="H98" i="105" s="1"/>
  <c r="H104" i="105" s="1"/>
  <c r="G83" i="105"/>
  <c r="D148" i="105" s="1"/>
  <c r="K74" i="105"/>
  <c r="J74" i="105"/>
  <c r="I74" i="105"/>
  <c r="H74" i="105"/>
  <c r="K69" i="105"/>
  <c r="K76" i="105" s="1"/>
  <c r="K91" i="105" s="1"/>
  <c r="K97" i="105" s="1"/>
  <c r="K103" i="105" s="1"/>
  <c r="J69" i="105"/>
  <c r="J76" i="105" s="1"/>
  <c r="J91" i="105" s="1"/>
  <c r="J97" i="105" s="1"/>
  <c r="J103" i="105" s="1"/>
  <c r="I69" i="105"/>
  <c r="I76" i="105" s="1"/>
  <c r="I91" i="105" s="1"/>
  <c r="I97" i="105" s="1"/>
  <c r="I103" i="105" s="1"/>
  <c r="H69" i="105"/>
  <c r="F64" i="105"/>
  <c r="E64" i="105"/>
  <c r="K60" i="105"/>
  <c r="J60" i="105"/>
  <c r="I60" i="105"/>
  <c r="H60" i="105"/>
  <c r="K48" i="105"/>
  <c r="J47" i="105" s="1"/>
  <c r="J48" i="105"/>
  <c r="I47" i="105" s="1"/>
  <c r="I48" i="105"/>
  <c r="H47" i="105" s="1"/>
  <c r="H49" i="105" s="1"/>
  <c r="H62" i="105" s="1"/>
  <c r="H90" i="105" s="1"/>
  <c r="H96" i="105" s="1"/>
  <c r="H102" i="105" s="1"/>
  <c r="H48" i="105"/>
  <c r="G47" i="105" s="1"/>
  <c r="K37" i="105"/>
  <c r="J37" i="105"/>
  <c r="I37" i="105"/>
  <c r="H37" i="105"/>
  <c r="G36" i="105"/>
  <c r="G26" i="105"/>
  <c r="K17" i="105"/>
  <c r="K18" i="105" s="1"/>
  <c r="K21" i="105" s="1"/>
  <c r="K27" i="105" s="1"/>
  <c r="J17" i="105"/>
  <c r="J18" i="105" s="1"/>
  <c r="J21" i="105" s="1"/>
  <c r="J27" i="105" s="1"/>
  <c r="I17" i="105"/>
  <c r="I18" i="105" s="1"/>
  <c r="I21" i="105" s="1"/>
  <c r="I27" i="105" s="1"/>
  <c r="H17" i="105"/>
  <c r="H18" i="105" s="1"/>
  <c r="H21" i="105" s="1"/>
  <c r="H27" i="105" s="1"/>
  <c r="G7" i="105"/>
  <c r="H7" i="105" s="1"/>
  <c r="I49" i="105" l="1"/>
  <c r="I62" i="105" s="1"/>
  <c r="I90" i="105" s="1"/>
  <c r="I96" i="105" s="1"/>
  <c r="I102" i="105" s="1"/>
  <c r="J49" i="105"/>
  <c r="J62" i="105" s="1"/>
  <c r="J90" i="105" s="1"/>
  <c r="J96" i="105" s="1"/>
  <c r="J102" i="105" s="1"/>
  <c r="H76" i="105"/>
  <c r="H91" i="105" s="1"/>
  <c r="H97" i="105" s="1"/>
  <c r="H103" i="105" s="1"/>
  <c r="H39" i="105"/>
  <c r="H89" i="105" s="1"/>
  <c r="H95" i="105" s="1"/>
  <c r="H101" i="105" s="1"/>
  <c r="H105" i="105" s="1"/>
  <c r="H79" i="105"/>
  <c r="K79" i="105"/>
  <c r="K39" i="105"/>
  <c r="K89" i="105" s="1"/>
  <c r="K95" i="105" s="1"/>
  <c r="K101" i="105" s="1"/>
  <c r="K105" i="105" s="1"/>
  <c r="I39" i="105"/>
  <c r="I89" i="105" s="1"/>
  <c r="I95" i="105" s="1"/>
  <c r="I101" i="105" s="1"/>
  <c r="I105" i="105" s="1"/>
  <c r="I79" i="105"/>
  <c r="J39" i="105"/>
  <c r="J89" i="105" s="1"/>
  <c r="J95" i="105" s="1"/>
  <c r="J101" i="105" s="1"/>
  <c r="J105" i="105" s="1"/>
  <c r="J79" i="105"/>
  <c r="H64" i="105"/>
  <c r="I7" i="105"/>
  <c r="K49" i="105"/>
  <c r="K62" i="105" s="1"/>
  <c r="K90" i="105" s="1"/>
  <c r="K96" i="105" s="1"/>
  <c r="K102" i="105" s="1"/>
  <c r="G64" i="105"/>
  <c r="I64" i="105" l="1"/>
  <c r="J7" i="105"/>
  <c r="J64" i="105" l="1"/>
  <c r="K7" i="105"/>
  <c r="K64" i="105" s="1"/>
  <c r="G45" i="89" l="1"/>
  <c r="G44" i="89"/>
  <c r="G43" i="89"/>
  <c r="E43" i="89"/>
  <c r="E42" i="89"/>
  <c r="G41" i="89"/>
  <c r="G40" i="89"/>
  <c r="G39" i="89"/>
  <c r="G38" i="89"/>
  <c r="G37" i="89"/>
  <c r="G36" i="89"/>
  <c r="E45" i="89"/>
  <c r="E44" i="89"/>
  <c r="E41" i="89"/>
  <c r="E40" i="89"/>
  <c r="E39" i="89"/>
  <c r="E38" i="89"/>
  <c r="E37" i="89"/>
  <c r="E36" i="89"/>
  <c r="F35" i="89"/>
  <c r="F34" i="89"/>
  <c r="F33" i="89"/>
  <c r="F32" i="89"/>
  <c r="F31" i="89"/>
  <c r="G37" i="91" l="1"/>
  <c r="G36" i="91"/>
  <c r="G35" i="91"/>
  <c r="G34" i="91"/>
  <c r="G33" i="91"/>
  <c r="G32" i="91"/>
  <c r="G31" i="91"/>
  <c r="G30" i="91"/>
  <c r="G29" i="91"/>
  <c r="G28" i="91"/>
  <c r="G27" i="91"/>
  <c r="D37" i="91"/>
  <c r="D36" i="91"/>
  <c r="D35" i="91"/>
  <c r="D34" i="91"/>
  <c r="D33" i="91"/>
  <c r="D32" i="91"/>
  <c r="D31" i="91"/>
  <c r="D30" i="91"/>
  <c r="D29" i="91"/>
  <c r="D28" i="91"/>
  <c r="D27" i="91"/>
  <c r="F26" i="91"/>
  <c r="F25" i="91"/>
  <c r="F24" i="91"/>
  <c r="F23" i="91"/>
  <c r="F22" i="91"/>
  <c r="CT427" i="94" l="1"/>
  <c r="CS423" i="94"/>
  <c r="BP423" i="94"/>
  <c r="AM423" i="94"/>
  <c r="D423" i="94"/>
  <c r="B423" i="94"/>
  <c r="CT422" i="94"/>
  <c r="A422" i="94"/>
  <c r="A419" i="94"/>
  <c r="A417" i="94"/>
  <c r="CO416" i="94" l="1"/>
  <c r="Q416" i="94"/>
  <c r="M416" i="94" l="1"/>
  <c r="CS405" i="94" l="1"/>
  <c r="BI447" i="94" l="1"/>
  <c r="BN464" i="94" l="1"/>
  <c r="G157" i="94" l="1"/>
  <c r="G167" i="94" l="1"/>
  <c r="G181" i="94" l="1"/>
  <c r="E181" i="94"/>
  <c r="B181" i="94"/>
  <c r="G180" i="94"/>
  <c r="E180" i="94"/>
  <c r="B180" i="94"/>
  <c r="G176" i="94"/>
  <c r="G175" i="94"/>
  <c r="E175" i="94"/>
  <c r="G174" i="94"/>
  <c r="B174" i="94"/>
  <c r="G178" i="94"/>
  <c r="E178" i="94"/>
  <c r="B178" i="94"/>
  <c r="G177" i="94"/>
  <c r="G173" i="94"/>
  <c r="G172" i="94"/>
  <c r="G171" i="94"/>
  <c r="B171" i="94"/>
  <c r="G170" i="94"/>
  <c r="B170" i="94"/>
  <c r="G169" i="94"/>
  <c r="E169" i="94"/>
  <c r="B169" i="94"/>
  <c r="G168" i="94"/>
  <c r="G179" i="94"/>
  <c r="G166" i="94"/>
  <c r="G160" i="94"/>
  <c r="E160" i="94"/>
  <c r="G165" i="94"/>
  <c r="E165" i="94"/>
  <c r="B165" i="94"/>
  <c r="G164" i="94"/>
  <c r="G163" i="94"/>
  <c r="B163" i="94"/>
  <c r="G161" i="94"/>
  <c r="G162" i="94"/>
  <c r="E162" i="94"/>
  <c r="G159" i="94"/>
  <c r="B159" i="94"/>
  <c r="B157" i="94"/>
  <c r="G155" i="94"/>
  <c r="G156" i="94"/>
  <c r="G154" i="94"/>
  <c r="B154" i="94"/>
  <c r="E158" i="94"/>
  <c r="C8" i="94" l="1"/>
  <c r="D8" i="94"/>
  <c r="F81" i="89" l="1"/>
  <c r="M504" i="22" l="1"/>
  <c r="N504" i="22" s="1"/>
  <c r="O504" i="22" s="1"/>
  <c r="M376" i="22"/>
  <c r="N376" i="22" s="1"/>
  <c r="O376" i="22" s="1"/>
  <c r="G47" i="90" l="1"/>
  <c r="C47" i="90"/>
  <c r="P91" i="89" l="1"/>
  <c r="N91" i="89"/>
  <c r="K91" i="89"/>
  <c r="I91" i="89"/>
  <c r="G90" i="89"/>
  <c r="E90" i="89"/>
  <c r="G89" i="89"/>
  <c r="E89" i="89"/>
  <c r="G88" i="89"/>
  <c r="E88" i="89"/>
  <c r="G87" i="89"/>
  <c r="E87" i="89"/>
  <c r="G86" i="89"/>
  <c r="E86" i="89"/>
  <c r="F85" i="89"/>
  <c r="F84" i="89"/>
  <c r="F83" i="89"/>
  <c r="F82" i="89"/>
  <c r="E265" i="97" l="1"/>
  <c r="L40" i="91" l="1"/>
  <c r="Q19" i="95" l="1"/>
  <c r="N28" i="95"/>
  <c r="M33" i="95"/>
  <c r="O28" i="95" l="1"/>
  <c r="D74" i="95" l="1"/>
  <c r="F7" i="95"/>
  <c r="B30" i="95"/>
  <c r="K28" i="4" s="1"/>
  <c r="B29" i="95"/>
  <c r="K27" i="4" s="1"/>
  <c r="J43" i="107" l="1"/>
  <c r="B4" i="107"/>
  <c r="M301" i="22" l="1"/>
  <c r="O301" i="22" s="1"/>
  <c r="C5" i="106" l="1"/>
  <c r="H16" i="96" l="1"/>
  <c r="H15" i="96"/>
  <c r="M15" i="96" l="1"/>
  <c r="K49" i="89" l="1"/>
  <c r="M299" i="22" l="1"/>
  <c r="O299" i="22" s="1"/>
  <c r="M3" i="91" l="1"/>
  <c r="M436" i="78" l="1"/>
  <c r="L436" i="78"/>
  <c r="K436" i="78"/>
  <c r="J436" i="78"/>
  <c r="I436" i="78"/>
  <c r="H436" i="78"/>
  <c r="G436" i="78"/>
  <c r="F436" i="78"/>
  <c r="E436" i="78"/>
  <c r="M435" i="78"/>
  <c r="L435" i="78"/>
  <c r="K435" i="78"/>
  <c r="J435" i="78"/>
  <c r="I435" i="78"/>
  <c r="H435" i="78"/>
  <c r="G435" i="78"/>
  <c r="F435" i="78"/>
  <c r="E435" i="78"/>
  <c r="D435" i="78"/>
  <c r="M434" i="78"/>
  <c r="L434" i="78"/>
  <c r="I434" i="78"/>
  <c r="D434" i="78"/>
  <c r="M433" i="78"/>
  <c r="L433" i="78"/>
  <c r="K433" i="78"/>
  <c r="J433" i="78"/>
  <c r="I433" i="78"/>
  <c r="H433" i="78"/>
  <c r="G433" i="78"/>
  <c r="F433" i="78"/>
  <c r="E433" i="78"/>
  <c r="D433" i="78"/>
  <c r="M432" i="78"/>
  <c r="L432" i="78"/>
  <c r="K432" i="78"/>
  <c r="J432" i="78"/>
  <c r="I432" i="78"/>
  <c r="H432" i="78"/>
  <c r="G432" i="78"/>
  <c r="F432" i="78"/>
  <c r="E432" i="78"/>
  <c r="D432" i="78"/>
  <c r="M431" i="78"/>
  <c r="L431" i="78"/>
  <c r="K431" i="78"/>
  <c r="J431" i="78"/>
  <c r="I431" i="78"/>
  <c r="H431" i="78"/>
  <c r="G431" i="78"/>
  <c r="F431" i="78"/>
  <c r="E431" i="78"/>
  <c r="D431" i="78"/>
  <c r="M430" i="78"/>
  <c r="L430" i="78"/>
  <c r="K430" i="78"/>
  <c r="J430" i="78"/>
  <c r="I430" i="78"/>
  <c r="H430" i="78"/>
  <c r="G430" i="78"/>
  <c r="F430" i="78"/>
  <c r="E430" i="78"/>
  <c r="D430" i="78"/>
  <c r="M429" i="78"/>
  <c r="L429" i="78"/>
  <c r="K429" i="78"/>
  <c r="J429" i="78"/>
  <c r="I429" i="78"/>
  <c r="H429" i="78"/>
  <c r="G429" i="78"/>
  <c r="F429" i="78"/>
  <c r="E429" i="78"/>
  <c r="D429" i="78"/>
  <c r="M428" i="78"/>
  <c r="L428" i="78"/>
  <c r="K428" i="78"/>
  <c r="J428" i="78"/>
  <c r="I428" i="78"/>
  <c r="H428" i="78"/>
  <c r="G428" i="78"/>
  <c r="F428" i="78"/>
  <c r="E428" i="78"/>
  <c r="D428" i="78"/>
  <c r="M427" i="78"/>
  <c r="L427" i="78"/>
  <c r="K427" i="78"/>
  <c r="J427" i="78"/>
  <c r="I427" i="78"/>
  <c r="H427" i="78"/>
  <c r="G427" i="78"/>
  <c r="F427" i="78"/>
  <c r="E427" i="78"/>
  <c r="D427" i="78"/>
  <c r="M426" i="78"/>
  <c r="L426" i="78"/>
  <c r="K426" i="78"/>
  <c r="J426" i="78"/>
  <c r="I426" i="78"/>
  <c r="H426" i="78"/>
  <c r="G426" i="78"/>
  <c r="F426" i="78"/>
  <c r="E426" i="78"/>
  <c r="D426" i="78"/>
  <c r="M425" i="78"/>
  <c r="L425" i="78"/>
  <c r="K425" i="78"/>
  <c r="J425" i="78"/>
  <c r="I425" i="78"/>
  <c r="H425" i="78"/>
  <c r="G425" i="78"/>
  <c r="F425" i="78"/>
  <c r="E425" i="78"/>
  <c r="D425" i="78"/>
  <c r="M424" i="78"/>
  <c r="L424" i="78"/>
  <c r="K424" i="78"/>
  <c r="J424" i="78"/>
  <c r="I424" i="78"/>
  <c r="H424" i="78"/>
  <c r="G424" i="78"/>
  <c r="F424" i="78"/>
  <c r="E424" i="78"/>
  <c r="D424" i="78"/>
  <c r="M423" i="78"/>
  <c r="L423" i="78"/>
  <c r="K423" i="78"/>
  <c r="J423" i="78"/>
  <c r="I423" i="78"/>
  <c r="H423" i="78"/>
  <c r="G423" i="78"/>
  <c r="F423" i="78"/>
  <c r="E423" i="78"/>
  <c r="D423" i="78"/>
  <c r="M422" i="78"/>
  <c r="L422" i="78"/>
  <c r="K422" i="78"/>
  <c r="J422" i="78"/>
  <c r="I422" i="78"/>
  <c r="H422" i="78"/>
  <c r="G422" i="78"/>
  <c r="F422" i="78"/>
  <c r="E422" i="78"/>
  <c r="D422" i="78"/>
  <c r="M421" i="78"/>
  <c r="L421" i="78"/>
  <c r="K421" i="78"/>
  <c r="J421" i="78"/>
  <c r="I421" i="78"/>
  <c r="H421" i="78"/>
  <c r="G421" i="78"/>
  <c r="F421" i="78"/>
  <c r="E421" i="78"/>
  <c r="D421" i="78"/>
  <c r="M420" i="78"/>
  <c r="L420" i="78"/>
  <c r="K420" i="78"/>
  <c r="J420" i="78"/>
  <c r="I420" i="78"/>
  <c r="H420" i="78"/>
  <c r="G420" i="78"/>
  <c r="F420" i="78"/>
  <c r="E420" i="78"/>
  <c r="D420" i="78"/>
  <c r="M419" i="78"/>
  <c r="L419" i="78"/>
  <c r="K419" i="78"/>
  <c r="J419" i="78"/>
  <c r="I419" i="78"/>
  <c r="H419" i="78"/>
  <c r="G419" i="78"/>
  <c r="F419" i="78"/>
  <c r="E419" i="78"/>
  <c r="D419" i="78"/>
  <c r="M418" i="78"/>
  <c r="L418" i="78"/>
  <c r="K418" i="78"/>
  <c r="J418" i="78"/>
  <c r="I418" i="78"/>
  <c r="H418" i="78"/>
  <c r="G418" i="78"/>
  <c r="F418" i="78"/>
  <c r="E418" i="78"/>
  <c r="D418" i="78"/>
  <c r="M417" i="78"/>
  <c r="L417" i="78"/>
  <c r="K417" i="78"/>
  <c r="J417" i="78"/>
  <c r="I417" i="78"/>
  <c r="H417" i="78"/>
  <c r="G417" i="78"/>
  <c r="F417" i="78"/>
  <c r="E417" i="78"/>
  <c r="D417" i="78"/>
  <c r="M416" i="78"/>
  <c r="L416" i="78"/>
  <c r="K416" i="78"/>
  <c r="J416" i="78"/>
  <c r="I416" i="78"/>
  <c r="H416" i="78"/>
  <c r="G416" i="78"/>
  <c r="F416" i="78"/>
  <c r="E416" i="78"/>
  <c r="D416" i="78"/>
  <c r="M415" i="78"/>
  <c r="L415" i="78"/>
  <c r="K415" i="78"/>
  <c r="J415" i="78"/>
  <c r="I415" i="78"/>
  <c r="H415" i="78"/>
  <c r="G415" i="78"/>
  <c r="F415" i="78"/>
  <c r="E415" i="78"/>
  <c r="D415" i="78"/>
  <c r="M414" i="78"/>
  <c r="L414" i="78"/>
  <c r="K414" i="78"/>
  <c r="J414" i="78"/>
  <c r="I414" i="78"/>
  <c r="H414" i="78"/>
  <c r="G414" i="78"/>
  <c r="F414" i="78"/>
  <c r="E414" i="78"/>
  <c r="D414" i="78"/>
  <c r="M413" i="78"/>
  <c r="L413" i="78"/>
  <c r="K413" i="78"/>
  <c r="J413" i="78"/>
  <c r="I413" i="78"/>
  <c r="H413" i="78"/>
  <c r="G413" i="78"/>
  <c r="F413" i="78"/>
  <c r="E413" i="78"/>
  <c r="D413" i="78"/>
  <c r="M412" i="78"/>
  <c r="L412" i="78"/>
  <c r="K412" i="78"/>
  <c r="J412" i="78"/>
  <c r="I412" i="78"/>
  <c r="H412" i="78"/>
  <c r="G412" i="78"/>
  <c r="F412" i="78"/>
  <c r="E412" i="78"/>
  <c r="D412" i="78"/>
  <c r="M411" i="78"/>
  <c r="L411" i="78"/>
  <c r="K411" i="78"/>
  <c r="J411" i="78"/>
  <c r="I411" i="78"/>
  <c r="H411" i="78"/>
  <c r="G411" i="78"/>
  <c r="F411" i="78"/>
  <c r="E411" i="78"/>
  <c r="D411" i="78"/>
  <c r="M410" i="78"/>
  <c r="L410" i="78"/>
  <c r="K410" i="78"/>
  <c r="J410" i="78"/>
  <c r="I410" i="78"/>
  <c r="H410" i="78"/>
  <c r="G410" i="78"/>
  <c r="F410" i="78"/>
  <c r="E410" i="78"/>
  <c r="D410" i="78"/>
  <c r="M409" i="78"/>
  <c r="L409" i="78"/>
  <c r="K409" i="78"/>
  <c r="J409" i="78"/>
  <c r="I409" i="78"/>
  <c r="H409" i="78"/>
  <c r="G409" i="78"/>
  <c r="F409" i="78"/>
  <c r="E409" i="78"/>
  <c r="D409" i="78"/>
  <c r="M408" i="78"/>
  <c r="L408" i="78"/>
  <c r="K408" i="78"/>
  <c r="J408" i="78"/>
  <c r="I408" i="78"/>
  <c r="H408" i="78"/>
  <c r="G408" i="78"/>
  <c r="F408" i="78"/>
  <c r="E408" i="78"/>
  <c r="D408" i="78"/>
  <c r="M407" i="78"/>
  <c r="L407" i="78"/>
  <c r="K407" i="78"/>
  <c r="J407" i="78"/>
  <c r="I407" i="78"/>
  <c r="H407" i="78"/>
  <c r="G407" i="78"/>
  <c r="F407" i="78"/>
  <c r="E407" i="78"/>
  <c r="D407" i="78"/>
  <c r="M406" i="78"/>
  <c r="L406" i="78"/>
  <c r="K406" i="78"/>
  <c r="J406" i="78"/>
  <c r="I406" i="78"/>
  <c r="H406" i="78"/>
  <c r="G406" i="78"/>
  <c r="F406" i="78"/>
  <c r="E406" i="78"/>
  <c r="D406" i="78"/>
  <c r="M405" i="78"/>
  <c r="L405" i="78"/>
  <c r="K405" i="78"/>
  <c r="J405" i="78"/>
  <c r="I405" i="78"/>
  <c r="H405" i="78"/>
  <c r="G405" i="78"/>
  <c r="F405" i="78"/>
  <c r="E405" i="78"/>
  <c r="D405" i="78"/>
  <c r="L404" i="78"/>
  <c r="K404" i="78"/>
  <c r="J404" i="78"/>
  <c r="I404" i="78"/>
  <c r="H404" i="78"/>
  <c r="G404" i="78"/>
  <c r="F404" i="78"/>
  <c r="E404" i="78"/>
  <c r="D404" i="78"/>
  <c r="L403" i="78"/>
  <c r="K403" i="78"/>
  <c r="J403" i="78"/>
  <c r="I403" i="78"/>
  <c r="H403" i="78"/>
  <c r="G403" i="78"/>
  <c r="F403" i="78"/>
  <c r="E403" i="78"/>
  <c r="D403" i="78"/>
  <c r="L402" i="78"/>
  <c r="K402" i="78"/>
  <c r="J402" i="78"/>
  <c r="I402" i="78"/>
  <c r="H402" i="78"/>
  <c r="G402" i="78"/>
  <c r="F402" i="78"/>
  <c r="E402" i="78"/>
  <c r="D402" i="78"/>
  <c r="L401" i="78"/>
  <c r="K401" i="78"/>
  <c r="J401" i="78"/>
  <c r="I401" i="78"/>
  <c r="H401" i="78"/>
  <c r="G401" i="78"/>
  <c r="F401" i="78"/>
  <c r="E401" i="78"/>
  <c r="D401" i="78"/>
  <c r="L400" i="78"/>
  <c r="K400" i="78"/>
  <c r="J400" i="78"/>
  <c r="I400" i="78"/>
  <c r="H400" i="78"/>
  <c r="G400" i="78"/>
  <c r="F400" i="78"/>
  <c r="E400" i="78"/>
  <c r="D400" i="78"/>
  <c r="L399" i="78"/>
  <c r="K399" i="78"/>
  <c r="J399" i="78"/>
  <c r="I399" i="78"/>
  <c r="H399" i="78"/>
  <c r="G399" i="78"/>
  <c r="F399" i="78"/>
  <c r="E399" i="78"/>
  <c r="D399" i="78"/>
  <c r="L398" i="78"/>
  <c r="K398" i="78"/>
  <c r="J398" i="78"/>
  <c r="I398" i="78"/>
  <c r="H398" i="78"/>
  <c r="G398" i="78"/>
  <c r="F398" i="78"/>
  <c r="E398" i="78"/>
  <c r="D398" i="78"/>
  <c r="L397" i="78"/>
  <c r="K397" i="78"/>
  <c r="J397" i="78"/>
  <c r="I397" i="78"/>
  <c r="H397" i="78"/>
  <c r="G397" i="78"/>
  <c r="F397" i="78"/>
  <c r="E397" i="78"/>
  <c r="D397" i="78"/>
  <c r="L396" i="78"/>
  <c r="K396" i="78"/>
  <c r="J396" i="78"/>
  <c r="I396" i="78"/>
  <c r="H396" i="78"/>
  <c r="G396" i="78"/>
  <c r="F396" i="78"/>
  <c r="E396" i="78"/>
  <c r="D396" i="78"/>
  <c r="L395" i="78"/>
  <c r="K395" i="78"/>
  <c r="J395" i="78"/>
  <c r="I395" i="78"/>
  <c r="H395" i="78"/>
  <c r="G395" i="78"/>
  <c r="F395" i="78"/>
  <c r="E395" i="78"/>
  <c r="D395" i="78"/>
  <c r="L394" i="78"/>
  <c r="K394" i="78"/>
  <c r="J394" i="78"/>
  <c r="I394" i="78"/>
  <c r="H394" i="78"/>
  <c r="G394" i="78"/>
  <c r="F394" i="78"/>
  <c r="E394" i="78"/>
  <c r="D394" i="78"/>
  <c r="L393" i="78"/>
  <c r="K393" i="78"/>
  <c r="J393" i="78"/>
  <c r="I393" i="78"/>
  <c r="H393" i="78"/>
  <c r="G393" i="78"/>
  <c r="F393" i="78"/>
  <c r="E393" i="78"/>
  <c r="D393" i="78"/>
  <c r="L392" i="78"/>
  <c r="K392" i="78"/>
  <c r="J392" i="78"/>
  <c r="I392" i="78"/>
  <c r="H392" i="78"/>
  <c r="G392" i="78"/>
  <c r="F392" i="78"/>
  <c r="E392" i="78"/>
  <c r="D392" i="78"/>
  <c r="L391" i="78"/>
  <c r="K391" i="78"/>
  <c r="J391" i="78"/>
  <c r="I391" i="78"/>
  <c r="H391" i="78"/>
  <c r="G391" i="78"/>
  <c r="F391" i="78"/>
  <c r="E391" i="78"/>
  <c r="D391" i="78"/>
  <c r="M390" i="78"/>
  <c r="L390" i="78"/>
  <c r="K390" i="78"/>
  <c r="J390" i="78"/>
  <c r="I390" i="78"/>
  <c r="H390" i="78"/>
  <c r="G390" i="78"/>
  <c r="F390" i="78"/>
  <c r="E390" i="78"/>
  <c r="D390" i="78"/>
  <c r="M389" i="78"/>
  <c r="L389" i="78"/>
  <c r="K389" i="78"/>
  <c r="J389" i="78"/>
  <c r="I389" i="78"/>
  <c r="H389" i="78"/>
  <c r="G389" i="78"/>
  <c r="F389" i="78"/>
  <c r="E389" i="78"/>
  <c r="D389" i="78"/>
  <c r="M388" i="78"/>
  <c r="L388" i="78"/>
  <c r="K388" i="78"/>
  <c r="J388" i="78"/>
  <c r="I388" i="78"/>
  <c r="H388" i="78"/>
  <c r="G388" i="78"/>
  <c r="F388" i="78"/>
  <c r="E388" i="78"/>
  <c r="D388" i="78"/>
  <c r="L387" i="78"/>
  <c r="K387" i="78"/>
  <c r="J387" i="78"/>
  <c r="I387" i="78"/>
  <c r="H387" i="78"/>
  <c r="G387" i="78"/>
  <c r="F387" i="78"/>
  <c r="E387" i="78"/>
  <c r="D387" i="78"/>
  <c r="M386" i="78"/>
  <c r="L386" i="78"/>
  <c r="K386" i="78"/>
  <c r="J386" i="78"/>
  <c r="I386" i="78"/>
  <c r="H386" i="78"/>
  <c r="G386" i="78"/>
  <c r="F386" i="78"/>
  <c r="E386" i="78"/>
  <c r="D386" i="78"/>
  <c r="L385" i="78"/>
  <c r="K385" i="78"/>
  <c r="J385" i="78"/>
  <c r="I385" i="78"/>
  <c r="H385" i="78"/>
  <c r="G385" i="78"/>
  <c r="F385" i="78"/>
  <c r="E385" i="78"/>
  <c r="D385" i="78"/>
  <c r="M384" i="78"/>
  <c r="L384" i="78"/>
  <c r="K384" i="78"/>
  <c r="J384" i="78"/>
  <c r="I384" i="78"/>
  <c r="H384" i="78"/>
  <c r="G384" i="78"/>
  <c r="F384" i="78"/>
  <c r="E384" i="78"/>
  <c r="D384" i="78"/>
  <c r="M383" i="78"/>
  <c r="L383" i="78"/>
  <c r="K383" i="78"/>
  <c r="J383" i="78"/>
  <c r="I383" i="78"/>
  <c r="H383" i="78"/>
  <c r="G383" i="78"/>
  <c r="F383" i="78"/>
  <c r="E383" i="78"/>
  <c r="D383" i="78"/>
  <c r="M382" i="78"/>
  <c r="L382" i="78"/>
  <c r="K382" i="78"/>
  <c r="J382" i="78"/>
  <c r="I382" i="78"/>
  <c r="H382" i="78"/>
  <c r="G382" i="78"/>
  <c r="F382" i="78"/>
  <c r="E382" i="78"/>
  <c r="D382" i="78"/>
  <c r="M381" i="78"/>
  <c r="L381" i="78"/>
  <c r="K381" i="78"/>
  <c r="J381" i="78"/>
  <c r="I381" i="78"/>
  <c r="H381" i="78"/>
  <c r="G381" i="78"/>
  <c r="F381" i="78"/>
  <c r="E381" i="78"/>
  <c r="D381" i="78"/>
  <c r="M380" i="78"/>
  <c r="L380" i="78"/>
  <c r="K380" i="78"/>
  <c r="J380" i="78"/>
  <c r="I380" i="78"/>
  <c r="H380" i="78"/>
  <c r="G380" i="78"/>
  <c r="F380" i="78"/>
  <c r="E380" i="78"/>
  <c r="D380" i="78"/>
  <c r="M379" i="78"/>
  <c r="L379" i="78"/>
  <c r="K379" i="78"/>
  <c r="J379" i="78"/>
  <c r="I379" i="78"/>
  <c r="H379" i="78"/>
  <c r="G379" i="78"/>
  <c r="F379" i="78"/>
  <c r="E379" i="78"/>
  <c r="D379" i="78"/>
  <c r="M378" i="78"/>
  <c r="L378" i="78"/>
  <c r="K378" i="78"/>
  <c r="J378" i="78"/>
  <c r="I378" i="78"/>
  <c r="H378" i="78"/>
  <c r="G378" i="78"/>
  <c r="F378" i="78"/>
  <c r="E378" i="78"/>
  <c r="D378" i="78"/>
  <c r="M377" i="78"/>
  <c r="L377" i="78"/>
  <c r="K377" i="78"/>
  <c r="J377" i="78"/>
  <c r="I377" i="78"/>
  <c r="H377" i="78"/>
  <c r="G377" i="78"/>
  <c r="F377" i="78"/>
  <c r="E377" i="78"/>
  <c r="D377" i="78"/>
  <c r="M376" i="78"/>
  <c r="L376" i="78"/>
  <c r="K376" i="78"/>
  <c r="J376" i="78"/>
  <c r="I376" i="78"/>
  <c r="H376" i="78"/>
  <c r="G376" i="78"/>
  <c r="F376" i="78"/>
  <c r="E376" i="78"/>
  <c r="D376" i="78"/>
  <c r="M375" i="78"/>
  <c r="L375" i="78"/>
  <c r="K375" i="78"/>
  <c r="J375" i="78"/>
  <c r="I375" i="78"/>
  <c r="H375" i="78"/>
  <c r="G375" i="78"/>
  <c r="F375" i="78"/>
  <c r="E375" i="78"/>
  <c r="D375" i="78"/>
  <c r="M374" i="78"/>
  <c r="L374" i="78"/>
  <c r="K374" i="78"/>
  <c r="J374" i="78"/>
  <c r="I374" i="78"/>
  <c r="H374" i="78"/>
  <c r="G374" i="78"/>
  <c r="F374" i="78"/>
  <c r="E374" i="78"/>
  <c r="D374" i="78"/>
  <c r="M373" i="78"/>
  <c r="L373" i="78"/>
  <c r="K373" i="78"/>
  <c r="J373" i="78"/>
  <c r="I373" i="78"/>
  <c r="H373" i="78"/>
  <c r="G373" i="78"/>
  <c r="F373" i="78"/>
  <c r="E373" i="78"/>
  <c r="D373" i="78"/>
  <c r="M372" i="78"/>
  <c r="L372" i="78"/>
  <c r="K372" i="78"/>
  <c r="J372" i="78"/>
  <c r="I372" i="78"/>
  <c r="H372" i="78"/>
  <c r="G372" i="78"/>
  <c r="F372" i="78"/>
  <c r="E372" i="78"/>
  <c r="D372" i="78"/>
  <c r="M371" i="78"/>
  <c r="L371" i="78"/>
  <c r="K371" i="78"/>
  <c r="J371" i="78"/>
  <c r="I371" i="78"/>
  <c r="H371" i="78"/>
  <c r="G371" i="78"/>
  <c r="F371" i="78"/>
  <c r="E371" i="78"/>
  <c r="D371" i="78"/>
  <c r="M370" i="78"/>
  <c r="L370" i="78"/>
  <c r="K370" i="78"/>
  <c r="J370" i="78"/>
  <c r="I370" i="78"/>
  <c r="H370" i="78"/>
  <c r="G370" i="78"/>
  <c r="F370" i="78"/>
  <c r="E370" i="78"/>
  <c r="D370" i="78"/>
  <c r="M369" i="78"/>
  <c r="L369" i="78"/>
  <c r="K369" i="78"/>
  <c r="J369" i="78"/>
  <c r="I369" i="78"/>
  <c r="H369" i="78"/>
  <c r="G369" i="78"/>
  <c r="F369" i="78"/>
  <c r="E369" i="78"/>
  <c r="D369" i="78"/>
  <c r="M368" i="78"/>
  <c r="L368" i="78"/>
  <c r="K368" i="78"/>
  <c r="J368" i="78"/>
  <c r="I368" i="78"/>
  <c r="H368" i="78"/>
  <c r="G368" i="78"/>
  <c r="F368" i="78"/>
  <c r="E368" i="78"/>
  <c r="D368" i="78"/>
  <c r="M367" i="78"/>
  <c r="L367" i="78"/>
  <c r="K367" i="78"/>
  <c r="J367" i="78"/>
  <c r="I367" i="78"/>
  <c r="H367" i="78"/>
  <c r="G367" i="78"/>
  <c r="F367" i="78"/>
  <c r="E367" i="78"/>
  <c r="D367" i="78"/>
  <c r="M366" i="78"/>
  <c r="L366" i="78"/>
  <c r="K366" i="78"/>
  <c r="J366" i="78"/>
  <c r="I366" i="78"/>
  <c r="H366" i="78"/>
  <c r="G366" i="78"/>
  <c r="F366" i="78"/>
  <c r="E366" i="78"/>
  <c r="D366" i="78"/>
  <c r="M365" i="78"/>
  <c r="L365" i="78"/>
  <c r="K365" i="78"/>
  <c r="J365" i="78"/>
  <c r="I365" i="78"/>
  <c r="H365" i="78"/>
  <c r="G365" i="78"/>
  <c r="F365" i="78"/>
  <c r="E365" i="78"/>
  <c r="D365" i="78"/>
  <c r="M364" i="78"/>
  <c r="L364" i="78"/>
  <c r="K364" i="78"/>
  <c r="J364" i="78"/>
  <c r="I364" i="78"/>
  <c r="H364" i="78"/>
  <c r="G364" i="78"/>
  <c r="F364" i="78"/>
  <c r="E364" i="78"/>
  <c r="D364" i="78"/>
  <c r="M363" i="78"/>
  <c r="L363" i="78"/>
  <c r="K363" i="78"/>
  <c r="J363" i="78"/>
  <c r="I363" i="78"/>
  <c r="H363" i="78"/>
  <c r="G363" i="78"/>
  <c r="F363" i="78"/>
  <c r="E363" i="78"/>
  <c r="D363" i="78"/>
  <c r="M362" i="78"/>
  <c r="L362" i="78"/>
  <c r="K362" i="78"/>
  <c r="J362" i="78"/>
  <c r="I362" i="78"/>
  <c r="H362" i="78"/>
  <c r="G362" i="78"/>
  <c r="F362" i="78"/>
  <c r="E362" i="78"/>
  <c r="D362" i="78"/>
  <c r="M361" i="78"/>
  <c r="L361" i="78"/>
  <c r="K361" i="78"/>
  <c r="J361" i="78"/>
  <c r="I361" i="78"/>
  <c r="H361" i="78"/>
  <c r="G361" i="78"/>
  <c r="F361" i="78"/>
  <c r="E361" i="78"/>
  <c r="D361" i="78"/>
  <c r="M360" i="78"/>
  <c r="L360" i="78"/>
  <c r="K360" i="78"/>
  <c r="J360" i="78"/>
  <c r="I360" i="78"/>
  <c r="H360" i="78"/>
  <c r="G360" i="78"/>
  <c r="F360" i="78"/>
  <c r="E360" i="78"/>
  <c r="D360" i="78"/>
  <c r="M359" i="78"/>
  <c r="L359" i="78"/>
  <c r="K359" i="78"/>
  <c r="J359" i="78"/>
  <c r="I359" i="78"/>
  <c r="H359" i="78"/>
  <c r="G359" i="78"/>
  <c r="F359" i="78"/>
  <c r="E359" i="78"/>
  <c r="D359" i="78"/>
  <c r="M358" i="78"/>
  <c r="L358" i="78"/>
  <c r="K358" i="78"/>
  <c r="J358" i="78"/>
  <c r="I358" i="78"/>
  <c r="H358" i="78"/>
  <c r="G358" i="78"/>
  <c r="F358" i="78"/>
  <c r="E358" i="78"/>
  <c r="D358" i="78"/>
  <c r="M357" i="78"/>
  <c r="L357" i="78"/>
  <c r="K357" i="78"/>
  <c r="J357" i="78"/>
  <c r="I357" i="78"/>
  <c r="H357" i="78"/>
  <c r="G357" i="78"/>
  <c r="F357" i="78"/>
  <c r="E357" i="78"/>
  <c r="D357" i="78"/>
  <c r="M356" i="78"/>
  <c r="L356" i="78"/>
  <c r="K356" i="78"/>
  <c r="J356" i="78"/>
  <c r="I356" i="78"/>
  <c r="H356" i="78"/>
  <c r="G356" i="78"/>
  <c r="F356" i="78"/>
  <c r="E356" i="78"/>
  <c r="D356" i="78"/>
  <c r="M355" i="78"/>
  <c r="L355" i="78"/>
  <c r="K355" i="78"/>
  <c r="J355" i="78"/>
  <c r="I355" i="78"/>
  <c r="H355" i="78"/>
  <c r="G355" i="78"/>
  <c r="F355" i="78"/>
  <c r="E355" i="78"/>
  <c r="D355" i="78"/>
  <c r="M354" i="78"/>
  <c r="L354" i="78"/>
  <c r="K354" i="78"/>
  <c r="J354" i="78"/>
  <c r="I354" i="78"/>
  <c r="H354" i="78"/>
  <c r="G354" i="78"/>
  <c r="F354" i="78"/>
  <c r="E354" i="78"/>
  <c r="D354" i="78"/>
  <c r="M353" i="78"/>
  <c r="L353" i="78"/>
  <c r="K353" i="78"/>
  <c r="J353" i="78"/>
  <c r="I353" i="78"/>
  <c r="H353" i="78"/>
  <c r="G353" i="78"/>
  <c r="F353" i="78"/>
  <c r="E353" i="78"/>
  <c r="D353" i="78"/>
  <c r="M352" i="78"/>
  <c r="L352" i="78"/>
  <c r="K352" i="78"/>
  <c r="J352" i="78"/>
  <c r="I352" i="78"/>
  <c r="H352" i="78"/>
  <c r="G352" i="78"/>
  <c r="F352" i="78"/>
  <c r="E352" i="78"/>
  <c r="D352" i="78"/>
  <c r="M351" i="78"/>
  <c r="L351" i="78"/>
  <c r="K351" i="78"/>
  <c r="J351" i="78"/>
  <c r="I351" i="78"/>
  <c r="H351" i="78"/>
  <c r="G351" i="78"/>
  <c r="F351" i="78"/>
  <c r="E351" i="78"/>
  <c r="D351" i="78"/>
  <c r="M350" i="78"/>
  <c r="L350" i="78"/>
  <c r="K350" i="78"/>
  <c r="J350" i="78"/>
  <c r="I350" i="78"/>
  <c r="H350" i="78"/>
  <c r="G350" i="78"/>
  <c r="F350" i="78"/>
  <c r="E350" i="78"/>
  <c r="D350" i="78"/>
  <c r="M349" i="78"/>
  <c r="L349" i="78"/>
  <c r="K349" i="78"/>
  <c r="J349" i="78"/>
  <c r="I349" i="78"/>
  <c r="H349" i="78"/>
  <c r="G349" i="78"/>
  <c r="F349" i="78"/>
  <c r="E349" i="78"/>
  <c r="D349" i="78"/>
  <c r="M348" i="78"/>
  <c r="L348" i="78"/>
  <c r="K348" i="78"/>
  <c r="J348" i="78"/>
  <c r="I348" i="78"/>
  <c r="H348" i="78"/>
  <c r="G348" i="78"/>
  <c r="F348" i="78"/>
  <c r="E348" i="78"/>
  <c r="D348" i="78"/>
  <c r="M347" i="78"/>
  <c r="L347" i="78"/>
  <c r="K347" i="78"/>
  <c r="J347" i="78"/>
  <c r="I347" i="78"/>
  <c r="H347" i="78"/>
  <c r="G347" i="78"/>
  <c r="F347" i="78"/>
  <c r="E347" i="78"/>
  <c r="D347" i="78"/>
  <c r="M346" i="78"/>
  <c r="L346" i="78"/>
  <c r="K346" i="78"/>
  <c r="J346" i="78"/>
  <c r="I346" i="78"/>
  <c r="H346" i="78"/>
  <c r="G346" i="78"/>
  <c r="F346" i="78"/>
  <c r="E346" i="78"/>
  <c r="D346" i="78"/>
  <c r="M345" i="78"/>
  <c r="L345" i="78"/>
  <c r="K345" i="78"/>
  <c r="J345" i="78"/>
  <c r="I345" i="78"/>
  <c r="H345" i="78"/>
  <c r="G345" i="78"/>
  <c r="F345" i="78"/>
  <c r="E345" i="78"/>
  <c r="D345" i="78"/>
  <c r="M344" i="78"/>
  <c r="L344" i="78"/>
  <c r="K344" i="78"/>
  <c r="J344" i="78"/>
  <c r="I344" i="78"/>
  <c r="H344" i="78"/>
  <c r="G344" i="78"/>
  <c r="F344" i="78"/>
  <c r="E344" i="78"/>
  <c r="D344" i="78"/>
  <c r="M343" i="78"/>
  <c r="L343" i="78"/>
  <c r="K343" i="78"/>
  <c r="J343" i="78"/>
  <c r="I343" i="78"/>
  <c r="H343" i="78"/>
  <c r="G343" i="78"/>
  <c r="F343" i="78"/>
  <c r="E343" i="78"/>
  <c r="D343" i="78"/>
  <c r="M342" i="78"/>
  <c r="L342" i="78"/>
  <c r="K342" i="78"/>
  <c r="J342" i="78"/>
  <c r="I342" i="78"/>
  <c r="H342" i="78"/>
  <c r="G342" i="78"/>
  <c r="F342" i="78"/>
  <c r="E342" i="78"/>
  <c r="D342" i="78"/>
  <c r="M341" i="78"/>
  <c r="L341" i="78"/>
  <c r="K341" i="78"/>
  <c r="J341" i="78"/>
  <c r="I341" i="78"/>
  <c r="H341" i="78"/>
  <c r="G341" i="78"/>
  <c r="F341" i="78"/>
  <c r="E341" i="78"/>
  <c r="D341" i="78"/>
  <c r="M340" i="78"/>
  <c r="L340" i="78"/>
  <c r="K340" i="78"/>
  <c r="J340" i="78"/>
  <c r="I340" i="78"/>
  <c r="H340" i="78"/>
  <c r="G340" i="78"/>
  <c r="F340" i="78"/>
  <c r="E340" i="78"/>
  <c r="D340" i="78"/>
  <c r="M339" i="78"/>
  <c r="L339" i="78"/>
  <c r="K339" i="78"/>
  <c r="J339" i="78"/>
  <c r="I339" i="78"/>
  <c r="H339" i="78"/>
  <c r="G339" i="78"/>
  <c r="F339" i="78"/>
  <c r="E339" i="78"/>
  <c r="D339" i="78"/>
  <c r="M338" i="78"/>
  <c r="L338" i="78"/>
  <c r="K338" i="78"/>
  <c r="J338" i="78"/>
  <c r="I338" i="78"/>
  <c r="H338" i="78"/>
  <c r="G338" i="78"/>
  <c r="F338" i="78"/>
  <c r="E338" i="78"/>
  <c r="D338" i="78"/>
  <c r="M337" i="78"/>
  <c r="L337" i="78"/>
  <c r="K337" i="78"/>
  <c r="J337" i="78"/>
  <c r="I337" i="78"/>
  <c r="H337" i="78"/>
  <c r="G337" i="78"/>
  <c r="F337" i="78"/>
  <c r="E337" i="78"/>
  <c r="D337" i="78"/>
  <c r="M336" i="78"/>
  <c r="L336" i="78"/>
  <c r="K336" i="78"/>
  <c r="J336" i="78"/>
  <c r="I336" i="78"/>
  <c r="H336" i="78"/>
  <c r="G336" i="78"/>
  <c r="F336" i="78"/>
  <c r="E336" i="78"/>
  <c r="D336" i="78"/>
  <c r="M335" i="78"/>
  <c r="L335" i="78"/>
  <c r="K335" i="78"/>
  <c r="J335" i="78"/>
  <c r="I335" i="78"/>
  <c r="H335" i="78"/>
  <c r="G335" i="78"/>
  <c r="F335" i="78"/>
  <c r="E335" i="78"/>
  <c r="D335" i="78"/>
  <c r="M334" i="78"/>
  <c r="L334" i="78"/>
  <c r="K334" i="78"/>
  <c r="J334" i="78"/>
  <c r="I334" i="78"/>
  <c r="H334" i="78"/>
  <c r="G334" i="78"/>
  <c r="F334" i="78"/>
  <c r="E334" i="78"/>
  <c r="D334" i="78"/>
  <c r="M333" i="78"/>
  <c r="L333" i="78"/>
  <c r="K333" i="78"/>
  <c r="J333" i="78"/>
  <c r="I333" i="78"/>
  <c r="H333" i="78"/>
  <c r="G333" i="78"/>
  <c r="F333" i="78"/>
  <c r="E333" i="78"/>
  <c r="D333" i="78"/>
  <c r="M332" i="78"/>
  <c r="L332" i="78"/>
  <c r="K332" i="78"/>
  <c r="J332" i="78"/>
  <c r="I332" i="78"/>
  <c r="H332" i="78"/>
  <c r="G332" i="78"/>
  <c r="F332" i="78"/>
  <c r="E332" i="78"/>
  <c r="D332" i="78"/>
  <c r="M331" i="78"/>
  <c r="L331" i="78"/>
  <c r="K331" i="78"/>
  <c r="J331" i="78"/>
  <c r="I331" i="78"/>
  <c r="H331" i="78"/>
  <c r="G331" i="78"/>
  <c r="F331" i="78"/>
  <c r="E331" i="78"/>
  <c r="D331" i="78"/>
  <c r="M330" i="78"/>
  <c r="L330" i="78"/>
  <c r="K330" i="78"/>
  <c r="J330" i="78"/>
  <c r="I330" i="78"/>
  <c r="H330" i="78"/>
  <c r="G330" i="78"/>
  <c r="F330" i="78"/>
  <c r="E330" i="78"/>
  <c r="D330" i="78"/>
  <c r="M329" i="78"/>
  <c r="L329" i="78"/>
  <c r="K329" i="78"/>
  <c r="J329" i="78"/>
  <c r="I329" i="78"/>
  <c r="H329" i="78"/>
  <c r="G329" i="78"/>
  <c r="F329" i="78"/>
  <c r="E329" i="78"/>
  <c r="D329" i="78"/>
  <c r="M328" i="78"/>
  <c r="L328" i="78"/>
  <c r="K328" i="78"/>
  <c r="J328" i="78"/>
  <c r="I328" i="78"/>
  <c r="H328" i="78"/>
  <c r="G328" i="78"/>
  <c r="F328" i="78"/>
  <c r="E328" i="78"/>
  <c r="D328" i="78"/>
  <c r="M327" i="78"/>
  <c r="L327" i="78"/>
  <c r="K327" i="78"/>
  <c r="J327" i="78"/>
  <c r="I327" i="78"/>
  <c r="H327" i="78"/>
  <c r="G327" i="78"/>
  <c r="F327" i="78"/>
  <c r="E327" i="78"/>
  <c r="D327" i="78"/>
  <c r="M326" i="78"/>
  <c r="L326" i="78"/>
  <c r="K326" i="78"/>
  <c r="J326" i="78"/>
  <c r="I326" i="78"/>
  <c r="H326" i="78"/>
  <c r="G326" i="78"/>
  <c r="F326" i="78"/>
  <c r="E326" i="78"/>
  <c r="D326" i="78"/>
  <c r="M325" i="78"/>
  <c r="L325" i="78"/>
  <c r="K325" i="78"/>
  <c r="J325" i="78"/>
  <c r="I325" i="78"/>
  <c r="H325" i="78"/>
  <c r="G325" i="78"/>
  <c r="F325" i="78"/>
  <c r="E325" i="78"/>
  <c r="D325" i="78"/>
  <c r="M324" i="78"/>
  <c r="L324" i="78"/>
  <c r="K324" i="78"/>
  <c r="J324" i="78"/>
  <c r="I324" i="78"/>
  <c r="H324" i="78"/>
  <c r="G324" i="78"/>
  <c r="F324" i="78"/>
  <c r="E324" i="78"/>
  <c r="D324" i="78"/>
  <c r="M323" i="78"/>
  <c r="L323" i="78"/>
  <c r="K323" i="78"/>
  <c r="J323" i="78"/>
  <c r="I323" i="78"/>
  <c r="H323" i="78"/>
  <c r="G323" i="78"/>
  <c r="F323" i="78"/>
  <c r="E323" i="78"/>
  <c r="D323" i="78"/>
  <c r="M322" i="78"/>
  <c r="L322" i="78"/>
  <c r="K322" i="78"/>
  <c r="J322" i="78"/>
  <c r="I322" i="78"/>
  <c r="H322" i="78"/>
  <c r="G322" i="78"/>
  <c r="F322" i="78"/>
  <c r="E322" i="78"/>
  <c r="D322" i="78"/>
  <c r="M321" i="78"/>
  <c r="L321" i="78"/>
  <c r="K321" i="78"/>
  <c r="J321" i="78"/>
  <c r="I321" i="78"/>
  <c r="H321" i="78"/>
  <c r="G321" i="78"/>
  <c r="F321" i="78"/>
  <c r="E321" i="78"/>
  <c r="D321" i="78"/>
  <c r="M320" i="78"/>
  <c r="L320" i="78"/>
  <c r="K320" i="78"/>
  <c r="J320" i="78"/>
  <c r="I320" i="78"/>
  <c r="H320" i="78"/>
  <c r="G320" i="78"/>
  <c r="F320" i="78"/>
  <c r="E320" i="78"/>
  <c r="D320" i="78"/>
  <c r="M319" i="78"/>
  <c r="L319" i="78"/>
  <c r="K319" i="78"/>
  <c r="J319" i="78"/>
  <c r="I319" i="78"/>
  <c r="H319" i="78"/>
  <c r="G319" i="78"/>
  <c r="F319" i="78"/>
  <c r="E319" i="78"/>
  <c r="D319" i="78"/>
  <c r="M318" i="78"/>
  <c r="L318" i="78"/>
  <c r="K318" i="78"/>
  <c r="J318" i="78"/>
  <c r="I318" i="78"/>
  <c r="H318" i="78"/>
  <c r="G318" i="78"/>
  <c r="F318" i="78"/>
  <c r="E318" i="78"/>
  <c r="D318" i="78"/>
  <c r="M317" i="78"/>
  <c r="L317" i="78"/>
  <c r="K317" i="78"/>
  <c r="J317" i="78"/>
  <c r="I317" i="78"/>
  <c r="H317" i="78"/>
  <c r="G317" i="78"/>
  <c r="F317" i="78"/>
  <c r="E317" i="78"/>
  <c r="D317" i="78"/>
  <c r="M316" i="78"/>
  <c r="L316" i="78"/>
  <c r="K316" i="78"/>
  <c r="J316" i="78"/>
  <c r="I316" i="78"/>
  <c r="H316" i="78"/>
  <c r="G316" i="78"/>
  <c r="F316" i="78"/>
  <c r="E316" i="78"/>
  <c r="D316" i="78"/>
  <c r="M315" i="78"/>
  <c r="L315" i="78"/>
  <c r="K315" i="78"/>
  <c r="J315" i="78"/>
  <c r="I315" i="78"/>
  <c r="H315" i="78"/>
  <c r="G315" i="78"/>
  <c r="F315" i="78"/>
  <c r="E315" i="78"/>
  <c r="D315" i="78"/>
  <c r="M314" i="78"/>
  <c r="L314" i="78"/>
  <c r="K314" i="78"/>
  <c r="J314" i="78"/>
  <c r="I314" i="78"/>
  <c r="H314" i="78"/>
  <c r="G314" i="78"/>
  <c r="F314" i="78"/>
  <c r="E314" i="78"/>
  <c r="D314" i="78"/>
  <c r="M313" i="78"/>
  <c r="L313" i="78"/>
  <c r="K313" i="78"/>
  <c r="J313" i="78"/>
  <c r="I313" i="78"/>
  <c r="H313" i="78"/>
  <c r="G313" i="78"/>
  <c r="F313" i="78"/>
  <c r="E313" i="78"/>
  <c r="D313" i="78"/>
  <c r="M312" i="78"/>
  <c r="L312" i="78"/>
  <c r="K312" i="78"/>
  <c r="J312" i="78"/>
  <c r="I312" i="78"/>
  <c r="H312" i="78"/>
  <c r="G312" i="78"/>
  <c r="F312" i="78"/>
  <c r="E312" i="78"/>
  <c r="D312" i="78"/>
  <c r="M311" i="78"/>
  <c r="L311" i="78"/>
  <c r="K311" i="78"/>
  <c r="J311" i="78"/>
  <c r="I311" i="78"/>
  <c r="H311" i="78"/>
  <c r="G311" i="78"/>
  <c r="F311" i="78"/>
  <c r="E311" i="78"/>
  <c r="D311" i="78"/>
  <c r="M310" i="78"/>
  <c r="L310" i="78"/>
  <c r="K310" i="78"/>
  <c r="J310" i="78"/>
  <c r="I310" i="78"/>
  <c r="H310" i="78"/>
  <c r="G310" i="78"/>
  <c r="F310" i="78"/>
  <c r="E310" i="78"/>
  <c r="D310" i="78"/>
  <c r="M309" i="78"/>
  <c r="L309" i="78"/>
  <c r="K309" i="78"/>
  <c r="J309" i="78"/>
  <c r="I309" i="78"/>
  <c r="H309" i="78"/>
  <c r="G309" i="78"/>
  <c r="F309" i="78"/>
  <c r="E309" i="78"/>
  <c r="D309" i="78"/>
  <c r="M308" i="78"/>
  <c r="L308" i="78"/>
  <c r="K308" i="78"/>
  <c r="J308" i="78"/>
  <c r="I308" i="78"/>
  <c r="H308" i="78"/>
  <c r="G308" i="78"/>
  <c r="F308" i="78"/>
  <c r="E308" i="78"/>
  <c r="D308" i="78"/>
  <c r="M307" i="78"/>
  <c r="L307" i="78"/>
  <c r="K307" i="78"/>
  <c r="J307" i="78"/>
  <c r="I307" i="78"/>
  <c r="H307" i="78"/>
  <c r="G307" i="78"/>
  <c r="F307" i="78"/>
  <c r="E307" i="78"/>
  <c r="D307" i="78"/>
  <c r="M306" i="78"/>
  <c r="L306" i="78"/>
  <c r="K306" i="78"/>
  <c r="J306" i="78"/>
  <c r="I306" i="78"/>
  <c r="H306" i="78"/>
  <c r="G306" i="78"/>
  <c r="F306" i="78"/>
  <c r="E306" i="78"/>
  <c r="D306" i="78"/>
  <c r="M305" i="78"/>
  <c r="L305" i="78"/>
  <c r="K305" i="78"/>
  <c r="J305" i="78"/>
  <c r="I305" i="78"/>
  <c r="H305" i="78"/>
  <c r="G305" i="78"/>
  <c r="F305" i="78"/>
  <c r="E305" i="78"/>
  <c r="D305" i="78"/>
  <c r="M304" i="78"/>
  <c r="L304" i="78"/>
  <c r="K304" i="78"/>
  <c r="J304" i="78"/>
  <c r="I304" i="78"/>
  <c r="H304" i="78"/>
  <c r="G304" i="78"/>
  <c r="F304" i="78"/>
  <c r="E304" i="78"/>
  <c r="D304" i="78"/>
  <c r="M303" i="78"/>
  <c r="L303" i="78"/>
  <c r="K303" i="78"/>
  <c r="J303" i="78"/>
  <c r="I303" i="78"/>
  <c r="H303" i="78"/>
  <c r="G303" i="78"/>
  <c r="F303" i="78"/>
  <c r="E303" i="78"/>
  <c r="D303" i="78"/>
  <c r="M302" i="78"/>
  <c r="L302" i="78"/>
  <c r="K302" i="78"/>
  <c r="J302" i="78"/>
  <c r="I302" i="78"/>
  <c r="H302" i="78"/>
  <c r="G302" i="78"/>
  <c r="F302" i="78"/>
  <c r="E302" i="78"/>
  <c r="D302" i="78"/>
  <c r="M301" i="78"/>
  <c r="L301" i="78"/>
  <c r="K301" i="78"/>
  <c r="J301" i="78"/>
  <c r="I301" i="78"/>
  <c r="H301" i="78"/>
  <c r="G301" i="78"/>
  <c r="F301" i="78"/>
  <c r="E301" i="78"/>
  <c r="D301" i="78"/>
  <c r="M300" i="78"/>
  <c r="L300" i="78"/>
  <c r="K300" i="78"/>
  <c r="J300" i="78"/>
  <c r="I300" i="78"/>
  <c r="H300" i="78"/>
  <c r="G300" i="78"/>
  <c r="F300" i="78"/>
  <c r="E300" i="78"/>
  <c r="D300" i="78"/>
  <c r="M299" i="78"/>
  <c r="L299" i="78"/>
  <c r="K299" i="78"/>
  <c r="J299" i="78"/>
  <c r="I299" i="78"/>
  <c r="H299" i="78"/>
  <c r="G299" i="78"/>
  <c r="F299" i="78"/>
  <c r="E299" i="78"/>
  <c r="D299" i="78"/>
  <c r="M298" i="78"/>
  <c r="L298" i="78"/>
  <c r="K298" i="78"/>
  <c r="J298" i="78"/>
  <c r="I298" i="78"/>
  <c r="H298" i="78"/>
  <c r="G298" i="78"/>
  <c r="F298" i="78"/>
  <c r="E298" i="78"/>
  <c r="D298" i="78"/>
  <c r="M297" i="78"/>
  <c r="L297" i="78"/>
  <c r="K297" i="78"/>
  <c r="J297" i="78"/>
  <c r="I297" i="78"/>
  <c r="H297" i="78"/>
  <c r="G297" i="78"/>
  <c r="F297" i="78"/>
  <c r="E297" i="78"/>
  <c r="D297" i="78"/>
  <c r="M296" i="78"/>
  <c r="L296" i="78"/>
  <c r="K296" i="78"/>
  <c r="J296" i="78"/>
  <c r="I296" i="78"/>
  <c r="H296" i="78"/>
  <c r="G296" i="78"/>
  <c r="F296" i="78"/>
  <c r="E296" i="78"/>
  <c r="D296" i="78"/>
  <c r="M295" i="78"/>
  <c r="L295" i="78"/>
  <c r="K295" i="78"/>
  <c r="J295" i="78"/>
  <c r="I295" i="78"/>
  <c r="H295" i="78"/>
  <c r="G295" i="78"/>
  <c r="F295" i="78"/>
  <c r="E295" i="78"/>
  <c r="D295" i="78"/>
  <c r="M294" i="78"/>
  <c r="L294" i="78"/>
  <c r="K294" i="78"/>
  <c r="J294" i="78"/>
  <c r="I294" i="78"/>
  <c r="H294" i="78"/>
  <c r="G294" i="78"/>
  <c r="F294" i="78"/>
  <c r="E294" i="78"/>
  <c r="D294" i="78"/>
  <c r="M293" i="78"/>
  <c r="L293" i="78"/>
  <c r="K293" i="78"/>
  <c r="J293" i="78"/>
  <c r="I293" i="78"/>
  <c r="H293" i="78"/>
  <c r="G293" i="78"/>
  <c r="F293" i="78"/>
  <c r="E293" i="78"/>
  <c r="D293" i="78"/>
  <c r="M292" i="78"/>
  <c r="L292" i="78"/>
  <c r="K292" i="78"/>
  <c r="J292" i="78"/>
  <c r="I292" i="78"/>
  <c r="H292" i="78"/>
  <c r="G292" i="78"/>
  <c r="F292" i="78"/>
  <c r="E292" i="78"/>
  <c r="D292" i="78"/>
  <c r="L291" i="78"/>
  <c r="K291" i="78"/>
  <c r="J291" i="78"/>
  <c r="I291" i="78"/>
  <c r="H291" i="78"/>
  <c r="G291" i="78"/>
  <c r="F291" i="78"/>
  <c r="E291" i="78"/>
  <c r="D291" i="78"/>
  <c r="L290" i="78"/>
  <c r="K290" i="78"/>
  <c r="J290" i="78"/>
  <c r="I290" i="78"/>
  <c r="H290" i="78"/>
  <c r="G290" i="78"/>
  <c r="F290" i="78"/>
  <c r="E290" i="78"/>
  <c r="D290" i="78"/>
  <c r="L289" i="78"/>
  <c r="K289" i="78"/>
  <c r="J289" i="78"/>
  <c r="I289" i="78"/>
  <c r="H289" i="78"/>
  <c r="G289" i="78"/>
  <c r="F289" i="78"/>
  <c r="E289" i="78"/>
  <c r="D289" i="78"/>
  <c r="L288" i="78"/>
  <c r="K288" i="78"/>
  <c r="J288" i="78"/>
  <c r="I288" i="78"/>
  <c r="H288" i="78"/>
  <c r="G288" i="78"/>
  <c r="F288" i="78"/>
  <c r="E288" i="78"/>
  <c r="D288" i="78"/>
  <c r="L287" i="78"/>
  <c r="K287" i="78"/>
  <c r="J287" i="78"/>
  <c r="I287" i="78"/>
  <c r="H287" i="78"/>
  <c r="G287" i="78"/>
  <c r="F287" i="78"/>
  <c r="E287" i="78"/>
  <c r="D287" i="78"/>
  <c r="L286" i="78"/>
  <c r="K286" i="78"/>
  <c r="J286" i="78"/>
  <c r="I286" i="78"/>
  <c r="H286" i="78"/>
  <c r="G286" i="78"/>
  <c r="F286" i="78"/>
  <c r="E286" i="78"/>
  <c r="D286" i="78"/>
  <c r="L285" i="78"/>
  <c r="K285" i="78"/>
  <c r="J285" i="78"/>
  <c r="I285" i="78"/>
  <c r="H285" i="78"/>
  <c r="G285" i="78"/>
  <c r="F285" i="78"/>
  <c r="E285" i="78"/>
  <c r="D285" i="78"/>
  <c r="L284" i="78"/>
  <c r="K284" i="78"/>
  <c r="J284" i="78"/>
  <c r="I284" i="78"/>
  <c r="H284" i="78"/>
  <c r="G284" i="78"/>
  <c r="F284" i="78"/>
  <c r="E284" i="78"/>
  <c r="D284" i="78"/>
  <c r="L283" i="78"/>
  <c r="K283" i="78"/>
  <c r="J283" i="78"/>
  <c r="I283" i="78"/>
  <c r="H283" i="78"/>
  <c r="G283" i="78"/>
  <c r="F283" i="78"/>
  <c r="E283" i="78"/>
  <c r="D283" i="78"/>
  <c r="L282" i="78"/>
  <c r="K282" i="78"/>
  <c r="J282" i="78"/>
  <c r="I282" i="78"/>
  <c r="H282" i="78"/>
  <c r="G282" i="78"/>
  <c r="F282" i="78"/>
  <c r="E282" i="78"/>
  <c r="D282" i="78"/>
  <c r="L281" i="78"/>
  <c r="K281" i="78"/>
  <c r="J281" i="78"/>
  <c r="I281" i="78"/>
  <c r="H281" i="78"/>
  <c r="G281" i="78"/>
  <c r="F281" i="78"/>
  <c r="E281" i="78"/>
  <c r="D281" i="78"/>
  <c r="L280" i="78"/>
  <c r="K280" i="78"/>
  <c r="J280" i="78"/>
  <c r="I280" i="78"/>
  <c r="H280" i="78"/>
  <c r="G280" i="78"/>
  <c r="F280" i="78"/>
  <c r="E280" i="78"/>
  <c r="D280" i="78"/>
  <c r="L279" i="78"/>
  <c r="K279" i="78"/>
  <c r="J279" i="78"/>
  <c r="I279" i="78"/>
  <c r="H279" i="78"/>
  <c r="G279" i="78"/>
  <c r="F279" i="78"/>
  <c r="E279" i="78"/>
  <c r="D279" i="78"/>
  <c r="L278" i="78"/>
  <c r="K278" i="78"/>
  <c r="J278" i="78"/>
  <c r="I278" i="78"/>
  <c r="H278" i="78"/>
  <c r="G278" i="78"/>
  <c r="F278" i="78"/>
  <c r="E278" i="78"/>
  <c r="D278" i="78"/>
  <c r="M277" i="78"/>
  <c r="L277" i="78"/>
  <c r="K277" i="78"/>
  <c r="J277" i="78"/>
  <c r="I277" i="78"/>
  <c r="H277" i="78"/>
  <c r="G277" i="78"/>
  <c r="F277" i="78"/>
  <c r="E277" i="78"/>
  <c r="D277" i="78"/>
  <c r="M276" i="78"/>
  <c r="L276" i="78"/>
  <c r="K276" i="78"/>
  <c r="J276" i="78"/>
  <c r="I276" i="78"/>
  <c r="H276" i="78"/>
  <c r="G276" i="78"/>
  <c r="F276" i="78"/>
  <c r="E276" i="78"/>
  <c r="D276" i="78"/>
  <c r="M275" i="78"/>
  <c r="L275" i="78"/>
  <c r="K275" i="78"/>
  <c r="J275" i="78"/>
  <c r="I275" i="78"/>
  <c r="H275" i="78"/>
  <c r="G275" i="78"/>
  <c r="F275" i="78"/>
  <c r="E275" i="78"/>
  <c r="D275" i="78"/>
  <c r="M274" i="78"/>
  <c r="L274" i="78"/>
  <c r="K274" i="78"/>
  <c r="J274" i="78"/>
  <c r="I274" i="78"/>
  <c r="H274" i="78"/>
  <c r="G274" i="78"/>
  <c r="F274" i="78"/>
  <c r="E274" i="78"/>
  <c r="D274" i="78"/>
  <c r="M273" i="78"/>
  <c r="L273" i="78"/>
  <c r="K273" i="78"/>
  <c r="J273" i="78"/>
  <c r="I273" i="78"/>
  <c r="H273" i="78"/>
  <c r="G273" i="78"/>
  <c r="F273" i="78"/>
  <c r="E273" i="78"/>
  <c r="D273" i="78"/>
  <c r="L272" i="78"/>
  <c r="K272" i="78"/>
  <c r="J272" i="78"/>
  <c r="I272" i="78"/>
  <c r="H272" i="78"/>
  <c r="G272" i="78"/>
  <c r="F272" i="78"/>
  <c r="E272" i="78"/>
  <c r="D272" i="78"/>
  <c r="L271" i="78"/>
  <c r="K271" i="78"/>
  <c r="J271" i="78"/>
  <c r="I271" i="78"/>
  <c r="H271" i="78"/>
  <c r="G271" i="78"/>
  <c r="F271" i="78"/>
  <c r="E271" i="78"/>
  <c r="D271" i="78"/>
  <c r="L270" i="78"/>
  <c r="K270" i="78"/>
  <c r="J270" i="78"/>
  <c r="I270" i="78"/>
  <c r="H270" i="78"/>
  <c r="G270" i="78"/>
  <c r="F270" i="78"/>
  <c r="E270" i="78"/>
  <c r="D270" i="78"/>
  <c r="L269" i="78"/>
  <c r="K269" i="78"/>
  <c r="J269" i="78"/>
  <c r="I269" i="78"/>
  <c r="H269" i="78"/>
  <c r="G269" i="78"/>
  <c r="F269" i="78"/>
  <c r="E269" i="78"/>
  <c r="D269" i="78"/>
  <c r="M268" i="78"/>
  <c r="L268" i="78"/>
  <c r="K268" i="78"/>
  <c r="J268" i="78"/>
  <c r="I268" i="78"/>
  <c r="H268" i="78"/>
  <c r="G268" i="78"/>
  <c r="F268" i="78"/>
  <c r="E268" i="78"/>
  <c r="D268" i="78"/>
  <c r="M267" i="78"/>
  <c r="L267" i="78"/>
  <c r="K267" i="78"/>
  <c r="J267" i="78"/>
  <c r="I267" i="78"/>
  <c r="H267" i="78"/>
  <c r="G267" i="78"/>
  <c r="F267" i="78"/>
  <c r="E267" i="78"/>
  <c r="D267" i="78"/>
  <c r="M266" i="78"/>
  <c r="L266" i="78"/>
  <c r="K266" i="78"/>
  <c r="J266" i="78"/>
  <c r="I266" i="78"/>
  <c r="H266" i="78"/>
  <c r="G266" i="78"/>
  <c r="F266" i="78"/>
  <c r="E266" i="78"/>
  <c r="D266" i="78"/>
  <c r="M265" i="78"/>
  <c r="L265" i="78"/>
  <c r="K265" i="78"/>
  <c r="J265" i="78"/>
  <c r="I265" i="78"/>
  <c r="H265" i="78"/>
  <c r="G265" i="78"/>
  <c r="F265" i="78"/>
  <c r="E265" i="78"/>
  <c r="D265" i="78"/>
  <c r="M264" i="78"/>
  <c r="L264" i="78"/>
  <c r="K264" i="78"/>
  <c r="J264" i="78"/>
  <c r="I264" i="78"/>
  <c r="H264" i="78"/>
  <c r="G264" i="78"/>
  <c r="F264" i="78"/>
  <c r="E264" i="78"/>
  <c r="D264" i="78"/>
  <c r="M263" i="78"/>
  <c r="L263" i="78"/>
  <c r="K263" i="78"/>
  <c r="J263" i="78"/>
  <c r="I263" i="78"/>
  <c r="H263" i="78"/>
  <c r="G263" i="78"/>
  <c r="F263" i="78"/>
  <c r="E263" i="78"/>
  <c r="D263" i="78"/>
  <c r="M262" i="78"/>
  <c r="L262" i="78"/>
  <c r="K262" i="78"/>
  <c r="J262" i="78"/>
  <c r="I262" i="78"/>
  <c r="H262" i="78"/>
  <c r="G262" i="78"/>
  <c r="F262" i="78"/>
  <c r="E262" i="78"/>
  <c r="D262" i="78"/>
  <c r="M261" i="78"/>
  <c r="L261" i="78"/>
  <c r="K261" i="78"/>
  <c r="J261" i="78"/>
  <c r="I261" i="78"/>
  <c r="H261" i="78"/>
  <c r="G261" i="78"/>
  <c r="F261" i="78"/>
  <c r="E261" i="78"/>
  <c r="D261" i="78"/>
  <c r="L260" i="78"/>
  <c r="K260" i="78"/>
  <c r="J260" i="78"/>
  <c r="I260" i="78"/>
  <c r="H260" i="78"/>
  <c r="G260" i="78"/>
  <c r="F260" i="78"/>
  <c r="E260" i="78"/>
  <c r="D260" i="78"/>
  <c r="M259" i="78"/>
  <c r="L259" i="78"/>
  <c r="K259" i="78"/>
  <c r="J259" i="78"/>
  <c r="I259" i="78"/>
  <c r="H259" i="78"/>
  <c r="G259" i="78"/>
  <c r="F259" i="78"/>
  <c r="E259" i="78"/>
  <c r="D259" i="78"/>
  <c r="M258" i="78"/>
  <c r="L258" i="78"/>
  <c r="K258" i="78"/>
  <c r="J258" i="78"/>
  <c r="I258" i="78"/>
  <c r="H258" i="78"/>
  <c r="G258" i="78"/>
  <c r="F258" i="78"/>
  <c r="E258" i="78"/>
  <c r="D258" i="78"/>
  <c r="M257" i="78"/>
  <c r="L257" i="78"/>
  <c r="K257" i="78"/>
  <c r="J257" i="78"/>
  <c r="I257" i="78"/>
  <c r="H257" i="78"/>
  <c r="G257" i="78"/>
  <c r="F257" i="78"/>
  <c r="E257" i="78"/>
  <c r="D257" i="78"/>
  <c r="L256" i="78"/>
  <c r="K256" i="78"/>
  <c r="J256" i="78"/>
  <c r="I256" i="78"/>
  <c r="H256" i="78"/>
  <c r="G256" i="78"/>
  <c r="F256" i="78"/>
  <c r="E256" i="78"/>
  <c r="D256" i="78"/>
  <c r="M255" i="78"/>
  <c r="L255" i="78"/>
  <c r="K255" i="78"/>
  <c r="J255" i="78"/>
  <c r="I255" i="78"/>
  <c r="H255" i="78"/>
  <c r="G255" i="78"/>
  <c r="F255" i="78"/>
  <c r="E255" i="78"/>
  <c r="D255" i="78"/>
  <c r="M254" i="78"/>
  <c r="L254" i="78"/>
  <c r="K254" i="78"/>
  <c r="J254" i="78"/>
  <c r="I254" i="78"/>
  <c r="H254" i="78"/>
  <c r="G254" i="78"/>
  <c r="F254" i="78"/>
  <c r="E254" i="78"/>
  <c r="D254" i="78"/>
  <c r="M253" i="78"/>
  <c r="L253" i="78"/>
  <c r="K253" i="78"/>
  <c r="J253" i="78"/>
  <c r="I253" i="78"/>
  <c r="H253" i="78"/>
  <c r="G253" i="78"/>
  <c r="F253" i="78"/>
  <c r="E253" i="78"/>
  <c r="D253" i="78"/>
  <c r="M252" i="78"/>
  <c r="L252" i="78"/>
  <c r="K252" i="78"/>
  <c r="J252" i="78"/>
  <c r="I252" i="78"/>
  <c r="H252" i="78"/>
  <c r="G252" i="78"/>
  <c r="F252" i="78"/>
  <c r="E252" i="78"/>
  <c r="D252" i="78"/>
  <c r="M251" i="78"/>
  <c r="L251" i="78"/>
  <c r="K251" i="78"/>
  <c r="J251" i="78"/>
  <c r="I251" i="78"/>
  <c r="H251" i="78"/>
  <c r="G251" i="78"/>
  <c r="F251" i="78"/>
  <c r="E251" i="78"/>
  <c r="D251" i="78"/>
  <c r="M250" i="78"/>
  <c r="L250" i="78"/>
  <c r="K250" i="78"/>
  <c r="J250" i="78"/>
  <c r="I250" i="78"/>
  <c r="H250" i="78"/>
  <c r="G250" i="78"/>
  <c r="F250" i="78"/>
  <c r="E250" i="78"/>
  <c r="D250" i="78"/>
  <c r="M249" i="78"/>
  <c r="L249" i="78"/>
  <c r="K249" i="78"/>
  <c r="J249" i="78"/>
  <c r="I249" i="78"/>
  <c r="H249" i="78"/>
  <c r="G249" i="78"/>
  <c r="F249" i="78"/>
  <c r="E249" i="78"/>
  <c r="D249" i="78"/>
  <c r="M248" i="78"/>
  <c r="L248" i="78"/>
  <c r="K248" i="78"/>
  <c r="J248" i="78"/>
  <c r="I248" i="78"/>
  <c r="H248" i="78"/>
  <c r="G248" i="78"/>
  <c r="F248" i="78"/>
  <c r="E248" i="78"/>
  <c r="D248" i="78"/>
  <c r="L247" i="78"/>
  <c r="K247" i="78"/>
  <c r="J247" i="78"/>
  <c r="I247" i="78"/>
  <c r="H247" i="78"/>
  <c r="G247" i="78"/>
  <c r="F247" i="78"/>
  <c r="E247" i="78"/>
  <c r="D247" i="78"/>
  <c r="M246" i="78"/>
  <c r="L246" i="78"/>
  <c r="K246" i="78"/>
  <c r="J246" i="78"/>
  <c r="I246" i="78"/>
  <c r="H246" i="78"/>
  <c r="G246" i="78"/>
  <c r="F246" i="78"/>
  <c r="E246" i="78"/>
  <c r="D246" i="78"/>
  <c r="M245" i="78"/>
  <c r="L245" i="78"/>
  <c r="K245" i="78"/>
  <c r="J245" i="78"/>
  <c r="I245" i="78"/>
  <c r="H245" i="78"/>
  <c r="G245" i="78"/>
  <c r="F245" i="78"/>
  <c r="E245" i="78"/>
  <c r="D245" i="78"/>
  <c r="M244" i="78"/>
  <c r="L244" i="78"/>
  <c r="K244" i="78"/>
  <c r="J244" i="78"/>
  <c r="I244" i="78"/>
  <c r="H244" i="78"/>
  <c r="G244" i="78"/>
  <c r="F244" i="78"/>
  <c r="E244" i="78"/>
  <c r="D244" i="78"/>
  <c r="M243" i="78"/>
  <c r="L243" i="78"/>
  <c r="K243" i="78"/>
  <c r="J243" i="78"/>
  <c r="I243" i="78"/>
  <c r="H243" i="78"/>
  <c r="G243" i="78"/>
  <c r="F243" i="78"/>
  <c r="E243" i="78"/>
  <c r="D243" i="78"/>
  <c r="M242" i="78"/>
  <c r="L242" i="78"/>
  <c r="K242" i="78"/>
  <c r="J242" i="78"/>
  <c r="I242" i="78"/>
  <c r="H242" i="78"/>
  <c r="G242" i="78"/>
  <c r="F242" i="78"/>
  <c r="E242" i="78"/>
  <c r="D242" i="78"/>
  <c r="M241" i="78"/>
  <c r="L241" i="78"/>
  <c r="K241" i="78"/>
  <c r="J241" i="78"/>
  <c r="I241" i="78"/>
  <c r="H241" i="78"/>
  <c r="G241" i="78"/>
  <c r="F241" i="78"/>
  <c r="E241" i="78"/>
  <c r="D241" i="78"/>
  <c r="M240" i="78"/>
  <c r="L240" i="78"/>
  <c r="K240" i="78"/>
  <c r="J240" i="78"/>
  <c r="I240" i="78"/>
  <c r="H240" i="78"/>
  <c r="G240" i="78"/>
  <c r="F240" i="78"/>
  <c r="E240" i="78"/>
  <c r="D240" i="78"/>
  <c r="L239" i="78"/>
  <c r="K239" i="78"/>
  <c r="J239" i="78"/>
  <c r="I239" i="78"/>
  <c r="H239" i="78"/>
  <c r="G239" i="78"/>
  <c r="F239" i="78"/>
  <c r="E239" i="78"/>
  <c r="D239" i="78"/>
  <c r="M238" i="78"/>
  <c r="L238" i="78"/>
  <c r="K238" i="78"/>
  <c r="J238" i="78"/>
  <c r="I238" i="78"/>
  <c r="H238" i="78"/>
  <c r="G238" i="78"/>
  <c r="F238" i="78"/>
  <c r="E238" i="78"/>
  <c r="D238" i="78"/>
  <c r="M237" i="78"/>
  <c r="L237" i="78"/>
  <c r="K237" i="78"/>
  <c r="J237" i="78"/>
  <c r="I237" i="78"/>
  <c r="H237" i="78"/>
  <c r="G237" i="78"/>
  <c r="F237" i="78"/>
  <c r="E237" i="78"/>
  <c r="D237" i="78"/>
  <c r="M236" i="78"/>
  <c r="L236" i="78"/>
  <c r="K236" i="78"/>
  <c r="J236" i="78"/>
  <c r="I236" i="78"/>
  <c r="H236" i="78"/>
  <c r="G236" i="78"/>
  <c r="F236" i="78"/>
  <c r="E236" i="78"/>
  <c r="D236" i="78"/>
  <c r="M235" i="78"/>
  <c r="L235" i="78"/>
  <c r="K235" i="78"/>
  <c r="J235" i="78"/>
  <c r="I235" i="78"/>
  <c r="H235" i="78"/>
  <c r="G235" i="78"/>
  <c r="F235" i="78"/>
  <c r="E235" i="78"/>
  <c r="D235" i="78"/>
  <c r="M234" i="78"/>
  <c r="L234" i="78"/>
  <c r="K234" i="78"/>
  <c r="J234" i="78"/>
  <c r="I234" i="78"/>
  <c r="H234" i="78"/>
  <c r="G234" i="78"/>
  <c r="F234" i="78"/>
  <c r="E234" i="78"/>
  <c r="D234" i="78"/>
  <c r="M233" i="78"/>
  <c r="L233" i="78"/>
  <c r="K233" i="78"/>
  <c r="J233" i="78"/>
  <c r="I233" i="78"/>
  <c r="H233" i="78"/>
  <c r="G233" i="78"/>
  <c r="F233" i="78"/>
  <c r="E233" i="78"/>
  <c r="D233" i="78"/>
  <c r="M232" i="78"/>
  <c r="L232" i="78"/>
  <c r="K232" i="78"/>
  <c r="J232" i="78"/>
  <c r="I232" i="78"/>
  <c r="H232" i="78"/>
  <c r="G232" i="78"/>
  <c r="F232" i="78"/>
  <c r="E232" i="78"/>
  <c r="D232" i="78"/>
  <c r="M231" i="78"/>
  <c r="L231" i="78"/>
  <c r="K231" i="78"/>
  <c r="J231" i="78"/>
  <c r="I231" i="78"/>
  <c r="H231" i="78"/>
  <c r="G231" i="78"/>
  <c r="F231" i="78"/>
  <c r="E231" i="78"/>
  <c r="D231" i="78"/>
  <c r="M230" i="78"/>
  <c r="L230" i="78"/>
  <c r="K230" i="78"/>
  <c r="J230" i="78"/>
  <c r="I230" i="78"/>
  <c r="H230" i="78"/>
  <c r="G230" i="78"/>
  <c r="F230" i="78"/>
  <c r="E230" i="78"/>
  <c r="D230" i="78"/>
  <c r="M229" i="78"/>
  <c r="L229" i="78"/>
  <c r="K229" i="78"/>
  <c r="J229" i="78"/>
  <c r="I229" i="78"/>
  <c r="H229" i="78"/>
  <c r="G229" i="78"/>
  <c r="F229" i="78"/>
  <c r="E229" i="78"/>
  <c r="D229" i="78"/>
  <c r="M228" i="78"/>
  <c r="L228" i="78"/>
  <c r="K228" i="78"/>
  <c r="J228" i="78"/>
  <c r="I228" i="78"/>
  <c r="H228" i="78"/>
  <c r="G228" i="78"/>
  <c r="F228" i="78"/>
  <c r="E228" i="78"/>
  <c r="D228" i="78"/>
  <c r="M227" i="78"/>
  <c r="L227" i="78"/>
  <c r="K227" i="78"/>
  <c r="J227" i="78"/>
  <c r="I227" i="78"/>
  <c r="H227" i="78"/>
  <c r="G227" i="78"/>
  <c r="F227" i="78"/>
  <c r="E227" i="78"/>
  <c r="D227" i="78"/>
  <c r="M226" i="78"/>
  <c r="L226" i="78"/>
  <c r="K226" i="78"/>
  <c r="J226" i="78"/>
  <c r="I226" i="78"/>
  <c r="H226" i="78"/>
  <c r="G226" i="78"/>
  <c r="F226" i="78"/>
  <c r="E226" i="78"/>
  <c r="D226" i="78"/>
  <c r="M225" i="78"/>
  <c r="L225" i="78"/>
  <c r="K225" i="78"/>
  <c r="J225" i="78"/>
  <c r="I225" i="78"/>
  <c r="H225" i="78"/>
  <c r="G225" i="78"/>
  <c r="F225" i="78"/>
  <c r="E225" i="78"/>
  <c r="D225" i="78"/>
  <c r="M224" i="78"/>
  <c r="L224" i="78"/>
  <c r="K224" i="78"/>
  <c r="J224" i="78"/>
  <c r="I224" i="78"/>
  <c r="H224" i="78"/>
  <c r="G224" i="78"/>
  <c r="F224" i="78"/>
  <c r="E224" i="78"/>
  <c r="D224" i="78"/>
  <c r="M223" i="78"/>
  <c r="L223" i="78"/>
  <c r="K223" i="78"/>
  <c r="J223" i="78"/>
  <c r="I223" i="78"/>
  <c r="H223" i="78"/>
  <c r="G223" i="78"/>
  <c r="F223" i="78"/>
  <c r="E223" i="78"/>
  <c r="D223" i="78"/>
  <c r="M222" i="78"/>
  <c r="L222" i="78"/>
  <c r="K222" i="78"/>
  <c r="J222" i="78"/>
  <c r="I222" i="78"/>
  <c r="H222" i="78"/>
  <c r="G222" i="78"/>
  <c r="F222" i="78"/>
  <c r="E222" i="78"/>
  <c r="D222" i="78"/>
  <c r="M221" i="78"/>
  <c r="L221" i="78"/>
  <c r="K221" i="78"/>
  <c r="J221" i="78"/>
  <c r="I221" i="78"/>
  <c r="H221" i="78"/>
  <c r="G221" i="78"/>
  <c r="F221" i="78"/>
  <c r="E221" i="78"/>
  <c r="D221" i="78"/>
  <c r="M220" i="78"/>
  <c r="L220" i="78"/>
  <c r="K220" i="78"/>
  <c r="J220" i="78"/>
  <c r="I220" i="78"/>
  <c r="H220" i="78"/>
  <c r="G220" i="78"/>
  <c r="F220" i="78"/>
  <c r="E220" i="78"/>
  <c r="D220" i="78"/>
  <c r="M219" i="78"/>
  <c r="L219" i="78"/>
  <c r="K219" i="78"/>
  <c r="J219" i="78"/>
  <c r="I219" i="78"/>
  <c r="H219" i="78"/>
  <c r="G219" i="78"/>
  <c r="F219" i="78"/>
  <c r="E219" i="78"/>
  <c r="D219" i="78"/>
  <c r="M218" i="78"/>
  <c r="L218" i="78"/>
  <c r="K218" i="78"/>
  <c r="J218" i="78"/>
  <c r="I218" i="78"/>
  <c r="H218" i="78"/>
  <c r="G218" i="78"/>
  <c r="F218" i="78"/>
  <c r="E218" i="78"/>
  <c r="D218" i="78"/>
  <c r="M217" i="78"/>
  <c r="L217" i="78"/>
  <c r="K217" i="78"/>
  <c r="J217" i="78"/>
  <c r="I217" i="78"/>
  <c r="H217" i="78"/>
  <c r="G217" i="78"/>
  <c r="F217" i="78"/>
  <c r="E217" i="78"/>
  <c r="D217" i="78"/>
  <c r="M216" i="78"/>
  <c r="L216" i="78"/>
  <c r="K216" i="78"/>
  <c r="J216" i="78"/>
  <c r="I216" i="78"/>
  <c r="H216" i="78"/>
  <c r="G216" i="78"/>
  <c r="F216" i="78"/>
  <c r="E216" i="78"/>
  <c r="D216" i="78"/>
  <c r="M215" i="78"/>
  <c r="L215" i="78"/>
  <c r="K215" i="78"/>
  <c r="J215" i="78"/>
  <c r="I215" i="78"/>
  <c r="H215" i="78"/>
  <c r="G215" i="78"/>
  <c r="F215" i="78"/>
  <c r="E215" i="78"/>
  <c r="D215" i="78"/>
  <c r="M214" i="78"/>
  <c r="L214" i="78"/>
  <c r="K214" i="78"/>
  <c r="J214" i="78"/>
  <c r="I214" i="78"/>
  <c r="H214" i="78"/>
  <c r="G214" i="78"/>
  <c r="F214" i="78"/>
  <c r="E214" i="78"/>
  <c r="D214" i="78"/>
  <c r="M213" i="78"/>
  <c r="L213" i="78"/>
  <c r="K213" i="78"/>
  <c r="J213" i="78"/>
  <c r="I213" i="78"/>
  <c r="H213" i="78"/>
  <c r="G213" i="78"/>
  <c r="F213" i="78"/>
  <c r="E213" i="78"/>
  <c r="D213" i="78"/>
  <c r="L212" i="78"/>
  <c r="K212" i="78"/>
  <c r="J212" i="78"/>
  <c r="I212" i="78"/>
  <c r="H212" i="78"/>
  <c r="G212" i="78"/>
  <c r="F212" i="78"/>
  <c r="E212" i="78"/>
  <c r="D212" i="78"/>
  <c r="M211" i="78"/>
  <c r="L211" i="78"/>
  <c r="K211" i="78"/>
  <c r="J211" i="78"/>
  <c r="I211" i="78"/>
  <c r="H211" i="78"/>
  <c r="G211" i="78"/>
  <c r="F211" i="78"/>
  <c r="E211" i="78"/>
  <c r="D211" i="78"/>
  <c r="M210" i="78"/>
  <c r="L210" i="78"/>
  <c r="K210" i="78"/>
  <c r="J210" i="78"/>
  <c r="I210" i="78"/>
  <c r="H210" i="78"/>
  <c r="G210" i="78"/>
  <c r="F210" i="78"/>
  <c r="E210" i="78"/>
  <c r="D210" i="78"/>
  <c r="M209" i="78"/>
  <c r="L209" i="78"/>
  <c r="K209" i="78"/>
  <c r="J209" i="78"/>
  <c r="I209" i="78"/>
  <c r="H209" i="78"/>
  <c r="G209" i="78"/>
  <c r="F209" i="78"/>
  <c r="E209" i="78"/>
  <c r="D209" i="78"/>
  <c r="M208" i="78"/>
  <c r="L208" i="78"/>
  <c r="K208" i="78"/>
  <c r="J208" i="78"/>
  <c r="I208" i="78"/>
  <c r="H208" i="78"/>
  <c r="G208" i="78"/>
  <c r="F208" i="78"/>
  <c r="E208" i="78"/>
  <c r="D208" i="78"/>
  <c r="M207" i="78"/>
  <c r="L207" i="78"/>
  <c r="K207" i="78"/>
  <c r="J207" i="78"/>
  <c r="I207" i="78"/>
  <c r="H207" i="78"/>
  <c r="G207" i="78"/>
  <c r="F207" i="78"/>
  <c r="E207" i="78"/>
  <c r="D207" i="78"/>
  <c r="M206" i="78"/>
  <c r="L206" i="78"/>
  <c r="K206" i="78"/>
  <c r="J206" i="78"/>
  <c r="I206" i="78"/>
  <c r="H206" i="78"/>
  <c r="G206" i="78"/>
  <c r="F206" i="78"/>
  <c r="E206" i="78"/>
  <c r="D206" i="78"/>
  <c r="M205" i="78"/>
  <c r="L205" i="78"/>
  <c r="K205" i="78"/>
  <c r="J205" i="78"/>
  <c r="I205" i="78"/>
  <c r="H205" i="78"/>
  <c r="G205" i="78"/>
  <c r="F205" i="78"/>
  <c r="E205" i="78"/>
  <c r="D205" i="78"/>
  <c r="M204" i="78"/>
  <c r="L204" i="78"/>
  <c r="K204" i="78"/>
  <c r="J204" i="78"/>
  <c r="I204" i="78"/>
  <c r="H204" i="78"/>
  <c r="G204" i="78"/>
  <c r="F204" i="78"/>
  <c r="E204" i="78"/>
  <c r="D204" i="78"/>
  <c r="M203" i="78"/>
  <c r="L203" i="78"/>
  <c r="K203" i="78"/>
  <c r="J203" i="78"/>
  <c r="I203" i="78"/>
  <c r="H203" i="78"/>
  <c r="G203" i="78"/>
  <c r="F203" i="78"/>
  <c r="E203" i="78"/>
  <c r="D203" i="78"/>
  <c r="M202" i="78"/>
  <c r="L202" i="78"/>
  <c r="K202" i="78"/>
  <c r="J202" i="78"/>
  <c r="I202" i="78"/>
  <c r="H202" i="78"/>
  <c r="G202" i="78"/>
  <c r="F202" i="78"/>
  <c r="E202" i="78"/>
  <c r="D202" i="78"/>
  <c r="M201" i="78"/>
  <c r="L201" i="78"/>
  <c r="K201" i="78"/>
  <c r="J201" i="78"/>
  <c r="I201" i="78"/>
  <c r="H201" i="78"/>
  <c r="G201" i="78"/>
  <c r="F201" i="78"/>
  <c r="E201" i="78"/>
  <c r="D201" i="78"/>
  <c r="M200" i="78"/>
  <c r="L200" i="78"/>
  <c r="K200" i="78"/>
  <c r="J200" i="78"/>
  <c r="I200" i="78"/>
  <c r="H200" i="78"/>
  <c r="G200" i="78"/>
  <c r="F200" i="78"/>
  <c r="E200" i="78"/>
  <c r="D200" i="78"/>
  <c r="M199" i="78"/>
  <c r="L199" i="78"/>
  <c r="K199" i="78"/>
  <c r="J199" i="78"/>
  <c r="I199" i="78"/>
  <c r="H199" i="78"/>
  <c r="G199" i="78"/>
  <c r="F199" i="78"/>
  <c r="E199" i="78"/>
  <c r="D199" i="78"/>
  <c r="M198" i="78"/>
  <c r="L198" i="78"/>
  <c r="K198" i="78"/>
  <c r="J198" i="78"/>
  <c r="I198" i="78"/>
  <c r="H198" i="78"/>
  <c r="G198" i="78"/>
  <c r="F198" i="78"/>
  <c r="E198" i="78"/>
  <c r="D198" i="78"/>
  <c r="M197" i="78"/>
  <c r="L197" i="78"/>
  <c r="K197" i="78"/>
  <c r="J197" i="78"/>
  <c r="I197" i="78"/>
  <c r="H197" i="78"/>
  <c r="G197" i="78"/>
  <c r="F197" i="78"/>
  <c r="E197" i="78"/>
  <c r="D197" i="78"/>
  <c r="M196" i="78"/>
  <c r="L196" i="78"/>
  <c r="K196" i="78"/>
  <c r="J196" i="78"/>
  <c r="I196" i="78"/>
  <c r="H196" i="78"/>
  <c r="G196" i="78"/>
  <c r="F196" i="78"/>
  <c r="E196" i="78"/>
  <c r="D196" i="78"/>
  <c r="M195" i="78"/>
  <c r="L195" i="78"/>
  <c r="K195" i="78"/>
  <c r="J195" i="78"/>
  <c r="I195" i="78"/>
  <c r="H195" i="78"/>
  <c r="G195" i="78"/>
  <c r="F195" i="78"/>
  <c r="E195" i="78"/>
  <c r="D195" i="78"/>
  <c r="M194" i="78"/>
  <c r="L194" i="78"/>
  <c r="K194" i="78"/>
  <c r="J194" i="78"/>
  <c r="I194" i="78"/>
  <c r="H194" i="78"/>
  <c r="G194" i="78"/>
  <c r="F194" i="78"/>
  <c r="E194" i="78"/>
  <c r="D194" i="78"/>
  <c r="M193" i="78"/>
  <c r="L193" i="78"/>
  <c r="K193" i="78"/>
  <c r="J193" i="78"/>
  <c r="I193" i="78"/>
  <c r="H193" i="78"/>
  <c r="G193" i="78"/>
  <c r="F193" i="78"/>
  <c r="E193" i="78"/>
  <c r="D193" i="78"/>
  <c r="M192" i="78"/>
  <c r="L192" i="78"/>
  <c r="K192" i="78"/>
  <c r="J192" i="78"/>
  <c r="I192" i="78"/>
  <c r="H192" i="78"/>
  <c r="G192" i="78"/>
  <c r="F192" i="78"/>
  <c r="E192" i="78"/>
  <c r="D192" i="78"/>
  <c r="M191" i="78"/>
  <c r="L191" i="78"/>
  <c r="K191" i="78"/>
  <c r="J191" i="78"/>
  <c r="I191" i="78"/>
  <c r="H191" i="78"/>
  <c r="G191" i="78"/>
  <c r="F191" i="78"/>
  <c r="E191" i="78"/>
  <c r="D191" i="78"/>
  <c r="M190" i="78"/>
  <c r="L190" i="78"/>
  <c r="K190" i="78"/>
  <c r="J190" i="78"/>
  <c r="I190" i="78"/>
  <c r="H190" i="78"/>
  <c r="G190" i="78"/>
  <c r="F190" i="78"/>
  <c r="E190" i="78"/>
  <c r="D190" i="78"/>
  <c r="M189" i="78"/>
  <c r="L189" i="78"/>
  <c r="K189" i="78"/>
  <c r="J189" i="78"/>
  <c r="I189" i="78"/>
  <c r="H189" i="78"/>
  <c r="G189" i="78"/>
  <c r="F189" i="78"/>
  <c r="E189" i="78"/>
  <c r="D189" i="78"/>
  <c r="M188" i="78"/>
  <c r="L188" i="78"/>
  <c r="K188" i="78"/>
  <c r="J188" i="78"/>
  <c r="I188" i="78"/>
  <c r="H188" i="78"/>
  <c r="G188" i="78"/>
  <c r="F188" i="78"/>
  <c r="E188" i="78"/>
  <c r="D188" i="78"/>
  <c r="M187" i="78"/>
  <c r="L187" i="78"/>
  <c r="K187" i="78"/>
  <c r="J187" i="78"/>
  <c r="I187" i="78"/>
  <c r="H187" i="78"/>
  <c r="G187" i="78"/>
  <c r="F187" i="78"/>
  <c r="E187" i="78"/>
  <c r="D187" i="78"/>
  <c r="M186" i="78"/>
  <c r="L186" i="78"/>
  <c r="K186" i="78"/>
  <c r="J186" i="78"/>
  <c r="I186" i="78"/>
  <c r="H186" i="78"/>
  <c r="G186" i="78"/>
  <c r="F186" i="78"/>
  <c r="E186" i="78"/>
  <c r="D186" i="78"/>
  <c r="M185" i="78"/>
  <c r="L185" i="78"/>
  <c r="K185" i="78"/>
  <c r="J185" i="78"/>
  <c r="I185" i="78"/>
  <c r="H185" i="78"/>
  <c r="G185" i="78"/>
  <c r="F185" i="78"/>
  <c r="E185" i="78"/>
  <c r="D185" i="78"/>
  <c r="M184" i="78"/>
  <c r="L184" i="78"/>
  <c r="K184" i="78"/>
  <c r="J184" i="78"/>
  <c r="I184" i="78"/>
  <c r="H184" i="78"/>
  <c r="G184" i="78"/>
  <c r="F184" i="78"/>
  <c r="E184" i="78"/>
  <c r="D184" i="78"/>
  <c r="M183" i="78"/>
  <c r="L183" i="78"/>
  <c r="K183" i="78"/>
  <c r="J183" i="78"/>
  <c r="I183" i="78"/>
  <c r="H183" i="78"/>
  <c r="G183" i="78"/>
  <c r="F183" i="78"/>
  <c r="E183" i="78"/>
  <c r="D183" i="78"/>
  <c r="M182" i="78"/>
  <c r="L182" i="78"/>
  <c r="K182" i="78"/>
  <c r="J182" i="78"/>
  <c r="I182" i="78"/>
  <c r="H182" i="78"/>
  <c r="G182" i="78"/>
  <c r="F182" i="78"/>
  <c r="E182" i="78"/>
  <c r="D182" i="78"/>
  <c r="M181" i="78"/>
  <c r="L181" i="78"/>
  <c r="K181" i="78"/>
  <c r="J181" i="78"/>
  <c r="I181" i="78"/>
  <c r="H181" i="78"/>
  <c r="G181" i="78"/>
  <c r="F181" i="78"/>
  <c r="E181" i="78"/>
  <c r="D181" i="78"/>
  <c r="M180" i="78"/>
  <c r="L180" i="78"/>
  <c r="K180" i="78"/>
  <c r="J180" i="78"/>
  <c r="I180" i="78"/>
  <c r="H180" i="78"/>
  <c r="G180" i="78"/>
  <c r="F180" i="78"/>
  <c r="E180" i="78"/>
  <c r="D180" i="78"/>
  <c r="M179" i="78"/>
  <c r="L179" i="78"/>
  <c r="K179" i="78"/>
  <c r="J179" i="78"/>
  <c r="I179" i="78"/>
  <c r="H179" i="78"/>
  <c r="G179" i="78"/>
  <c r="F179" i="78"/>
  <c r="E179" i="78"/>
  <c r="D179" i="78"/>
  <c r="M178" i="78"/>
  <c r="L178" i="78"/>
  <c r="K178" i="78"/>
  <c r="J178" i="78"/>
  <c r="I178" i="78"/>
  <c r="H178" i="78"/>
  <c r="G178" i="78"/>
  <c r="F178" i="78"/>
  <c r="E178" i="78"/>
  <c r="D178" i="78"/>
  <c r="M177" i="78"/>
  <c r="L177" i="78"/>
  <c r="K177" i="78"/>
  <c r="J177" i="78"/>
  <c r="I177" i="78"/>
  <c r="H177" i="78"/>
  <c r="G177" i="78"/>
  <c r="F177" i="78"/>
  <c r="E177" i="78"/>
  <c r="D177" i="78"/>
  <c r="M176" i="78"/>
  <c r="L176" i="78"/>
  <c r="K176" i="78"/>
  <c r="J176" i="78"/>
  <c r="I176" i="78"/>
  <c r="H176" i="78"/>
  <c r="G176" i="78"/>
  <c r="F176" i="78"/>
  <c r="E176" i="78"/>
  <c r="D176" i="78"/>
  <c r="M175" i="78"/>
  <c r="L175" i="78"/>
  <c r="K175" i="78"/>
  <c r="J175" i="78"/>
  <c r="I175" i="78"/>
  <c r="H175" i="78"/>
  <c r="G175" i="78"/>
  <c r="F175" i="78"/>
  <c r="E175" i="78"/>
  <c r="D175" i="78"/>
  <c r="M174" i="78"/>
  <c r="L174" i="78"/>
  <c r="K174" i="78"/>
  <c r="J174" i="78"/>
  <c r="I174" i="78"/>
  <c r="H174" i="78"/>
  <c r="G174" i="78"/>
  <c r="F174" i="78"/>
  <c r="E174" i="78"/>
  <c r="D174" i="78"/>
  <c r="M173" i="78"/>
  <c r="L173" i="78"/>
  <c r="K173" i="78"/>
  <c r="J173" i="78"/>
  <c r="I173" i="78"/>
  <c r="H173" i="78"/>
  <c r="G173" i="78"/>
  <c r="F173" i="78"/>
  <c r="E173" i="78"/>
  <c r="D173" i="78"/>
  <c r="M172" i="78"/>
  <c r="L172" i="78"/>
  <c r="K172" i="78"/>
  <c r="J172" i="78"/>
  <c r="I172" i="78"/>
  <c r="H172" i="78"/>
  <c r="G172" i="78"/>
  <c r="F172" i="78"/>
  <c r="E172" i="78"/>
  <c r="D172" i="78"/>
  <c r="M171" i="78"/>
  <c r="L171" i="78"/>
  <c r="K171" i="78"/>
  <c r="J171" i="78"/>
  <c r="I171" i="78"/>
  <c r="H171" i="78"/>
  <c r="G171" i="78"/>
  <c r="F171" i="78"/>
  <c r="E171" i="78"/>
  <c r="D171" i="78"/>
  <c r="M170" i="78"/>
  <c r="L170" i="78"/>
  <c r="K170" i="78"/>
  <c r="J170" i="78"/>
  <c r="I170" i="78"/>
  <c r="H170" i="78"/>
  <c r="G170" i="78"/>
  <c r="F170" i="78"/>
  <c r="E170" i="78"/>
  <c r="D170" i="78"/>
  <c r="M169" i="78"/>
  <c r="L169" i="78"/>
  <c r="K169" i="78"/>
  <c r="J169" i="78"/>
  <c r="I169" i="78"/>
  <c r="H169" i="78"/>
  <c r="G169" i="78"/>
  <c r="F169" i="78"/>
  <c r="E169" i="78"/>
  <c r="D169" i="78"/>
  <c r="M168" i="78"/>
  <c r="L168" i="78"/>
  <c r="K168" i="78"/>
  <c r="J168" i="78"/>
  <c r="I168" i="78"/>
  <c r="H168" i="78"/>
  <c r="G168" i="78"/>
  <c r="F168" i="78"/>
  <c r="E168" i="78"/>
  <c r="D168" i="78"/>
  <c r="M167" i="78"/>
  <c r="L167" i="78"/>
  <c r="K167" i="78"/>
  <c r="J167" i="78"/>
  <c r="I167" i="78"/>
  <c r="H167" i="78"/>
  <c r="G167" i="78"/>
  <c r="F167" i="78"/>
  <c r="E167" i="78"/>
  <c r="D167" i="78"/>
  <c r="M166" i="78"/>
  <c r="L166" i="78"/>
  <c r="K166" i="78"/>
  <c r="J166" i="78"/>
  <c r="I166" i="78"/>
  <c r="H166" i="78"/>
  <c r="G166" i="78"/>
  <c r="F166" i="78"/>
  <c r="E166" i="78"/>
  <c r="D166" i="78"/>
  <c r="M165" i="78"/>
  <c r="L165" i="78"/>
  <c r="K165" i="78"/>
  <c r="J165" i="78"/>
  <c r="I165" i="78"/>
  <c r="H165" i="78"/>
  <c r="G165" i="78"/>
  <c r="F165" i="78"/>
  <c r="E165" i="78"/>
  <c r="D165" i="78"/>
  <c r="M164" i="78"/>
  <c r="L164" i="78"/>
  <c r="K164" i="78"/>
  <c r="J164" i="78"/>
  <c r="I164" i="78"/>
  <c r="H164" i="78"/>
  <c r="G164" i="78"/>
  <c r="F164" i="78"/>
  <c r="E164" i="78"/>
  <c r="D164" i="78"/>
  <c r="M163" i="78"/>
  <c r="L163" i="78"/>
  <c r="K163" i="78"/>
  <c r="J163" i="78"/>
  <c r="I163" i="78"/>
  <c r="H163" i="78"/>
  <c r="G163" i="78"/>
  <c r="F163" i="78"/>
  <c r="E163" i="78"/>
  <c r="D163" i="78"/>
  <c r="M162" i="78"/>
  <c r="L162" i="78"/>
  <c r="K162" i="78"/>
  <c r="J162" i="78"/>
  <c r="I162" i="78"/>
  <c r="H162" i="78"/>
  <c r="G162" i="78"/>
  <c r="F162" i="78"/>
  <c r="E162" i="78"/>
  <c r="D162" i="78"/>
  <c r="M161" i="78"/>
  <c r="L161" i="78"/>
  <c r="K161" i="78"/>
  <c r="J161" i="78"/>
  <c r="I161" i="78"/>
  <c r="H161" i="78"/>
  <c r="G161" i="78"/>
  <c r="F161" i="78"/>
  <c r="E161" i="78"/>
  <c r="D161" i="78"/>
  <c r="M160" i="78"/>
  <c r="L160" i="78"/>
  <c r="K160" i="78"/>
  <c r="J160" i="78"/>
  <c r="I160" i="78"/>
  <c r="H160" i="78"/>
  <c r="G160" i="78"/>
  <c r="F160" i="78"/>
  <c r="E160" i="78"/>
  <c r="D160" i="78"/>
  <c r="M159" i="78"/>
  <c r="L159" i="78"/>
  <c r="K159" i="78"/>
  <c r="J159" i="78"/>
  <c r="I159" i="78"/>
  <c r="H159" i="78"/>
  <c r="G159" i="78"/>
  <c r="F159" i="78"/>
  <c r="E159" i="78"/>
  <c r="D159" i="78"/>
  <c r="M158" i="78"/>
  <c r="L158" i="78"/>
  <c r="K158" i="78"/>
  <c r="J158" i="78"/>
  <c r="I158" i="78"/>
  <c r="H158" i="78"/>
  <c r="G158" i="78"/>
  <c r="F158" i="78"/>
  <c r="E158" i="78"/>
  <c r="D158" i="78"/>
  <c r="L157" i="78"/>
  <c r="K157" i="78"/>
  <c r="J157" i="78"/>
  <c r="I157" i="78"/>
  <c r="H157" i="78"/>
  <c r="G157" i="78"/>
  <c r="F157" i="78"/>
  <c r="E157" i="78"/>
  <c r="D157" i="78"/>
  <c r="M156" i="78"/>
  <c r="L156" i="78"/>
  <c r="K156" i="78"/>
  <c r="J156" i="78"/>
  <c r="I156" i="78"/>
  <c r="H156" i="78"/>
  <c r="G156" i="78"/>
  <c r="F156" i="78"/>
  <c r="E156" i="78"/>
  <c r="D156" i="78"/>
  <c r="M155" i="78"/>
  <c r="L155" i="78"/>
  <c r="K155" i="78"/>
  <c r="J155" i="78"/>
  <c r="I155" i="78"/>
  <c r="H155" i="78"/>
  <c r="G155" i="78"/>
  <c r="F155" i="78"/>
  <c r="E155" i="78"/>
  <c r="D155" i="78"/>
  <c r="M154" i="78"/>
  <c r="L154" i="78"/>
  <c r="K154" i="78"/>
  <c r="J154" i="78"/>
  <c r="I154" i="78"/>
  <c r="H154" i="78"/>
  <c r="G154" i="78"/>
  <c r="F154" i="78"/>
  <c r="E154" i="78"/>
  <c r="D154" i="78"/>
  <c r="M153" i="78"/>
  <c r="L153" i="78"/>
  <c r="K153" i="78"/>
  <c r="J153" i="78"/>
  <c r="I153" i="78"/>
  <c r="H153" i="78"/>
  <c r="G153" i="78"/>
  <c r="F153" i="78"/>
  <c r="E153" i="78"/>
  <c r="D153" i="78"/>
  <c r="M152" i="78"/>
  <c r="L152" i="78"/>
  <c r="K152" i="78"/>
  <c r="J152" i="78"/>
  <c r="I152" i="78"/>
  <c r="H152" i="78"/>
  <c r="G152" i="78"/>
  <c r="F152" i="78"/>
  <c r="E152" i="78"/>
  <c r="D152" i="78"/>
  <c r="M151" i="78"/>
  <c r="L151" i="78"/>
  <c r="K151" i="78"/>
  <c r="J151" i="78"/>
  <c r="I151" i="78"/>
  <c r="H151" i="78"/>
  <c r="G151" i="78"/>
  <c r="F151" i="78"/>
  <c r="E151" i="78"/>
  <c r="D151" i="78"/>
  <c r="M150" i="78"/>
  <c r="L150" i="78"/>
  <c r="K150" i="78"/>
  <c r="J150" i="78"/>
  <c r="I150" i="78"/>
  <c r="H150" i="78"/>
  <c r="G150" i="78"/>
  <c r="F150" i="78"/>
  <c r="E150" i="78"/>
  <c r="D150" i="78"/>
  <c r="M149" i="78"/>
  <c r="L149" i="78"/>
  <c r="K149" i="78"/>
  <c r="J149" i="78"/>
  <c r="I149" i="78"/>
  <c r="H149" i="78"/>
  <c r="G149" i="78"/>
  <c r="F149" i="78"/>
  <c r="E149" i="78"/>
  <c r="D149" i="78"/>
  <c r="M148" i="78"/>
  <c r="L148" i="78"/>
  <c r="K148" i="78"/>
  <c r="J148" i="78"/>
  <c r="I148" i="78"/>
  <c r="H148" i="78"/>
  <c r="G148" i="78"/>
  <c r="F148" i="78"/>
  <c r="E148" i="78"/>
  <c r="D148" i="78"/>
  <c r="M147" i="78"/>
  <c r="L147" i="78"/>
  <c r="K147" i="78"/>
  <c r="J147" i="78"/>
  <c r="I147" i="78"/>
  <c r="H147" i="78"/>
  <c r="G147" i="78"/>
  <c r="F147" i="78"/>
  <c r="E147" i="78"/>
  <c r="D147" i="78"/>
  <c r="M146" i="78"/>
  <c r="L146" i="78"/>
  <c r="K146" i="78"/>
  <c r="J146" i="78"/>
  <c r="I146" i="78"/>
  <c r="H146" i="78"/>
  <c r="G146" i="78"/>
  <c r="F146" i="78"/>
  <c r="E146" i="78"/>
  <c r="D146" i="78"/>
  <c r="M145" i="78"/>
  <c r="L145" i="78"/>
  <c r="K145" i="78"/>
  <c r="J145" i="78"/>
  <c r="I145" i="78"/>
  <c r="H145" i="78"/>
  <c r="G145" i="78"/>
  <c r="F145" i="78"/>
  <c r="E145" i="78"/>
  <c r="D145" i="78"/>
  <c r="M144" i="78"/>
  <c r="L144" i="78"/>
  <c r="K144" i="78"/>
  <c r="J144" i="78"/>
  <c r="I144" i="78"/>
  <c r="H144" i="78"/>
  <c r="G144" i="78"/>
  <c r="F144" i="78"/>
  <c r="E144" i="78"/>
  <c r="D144" i="78"/>
  <c r="M143" i="78"/>
  <c r="L143" i="78"/>
  <c r="K143" i="78"/>
  <c r="J143" i="78"/>
  <c r="I143" i="78"/>
  <c r="H143" i="78"/>
  <c r="G143" i="78"/>
  <c r="F143" i="78"/>
  <c r="E143" i="78"/>
  <c r="D143" i="78"/>
  <c r="M142" i="78"/>
  <c r="L142" i="78"/>
  <c r="K142" i="78"/>
  <c r="J142" i="78"/>
  <c r="I142" i="78"/>
  <c r="H142" i="78"/>
  <c r="G142" i="78"/>
  <c r="F142" i="78"/>
  <c r="E142" i="78"/>
  <c r="D142" i="78"/>
  <c r="M141" i="78"/>
  <c r="L141" i="78"/>
  <c r="K141" i="78"/>
  <c r="J141" i="78"/>
  <c r="I141" i="78"/>
  <c r="H141" i="78"/>
  <c r="G141" i="78"/>
  <c r="F141" i="78"/>
  <c r="E141" i="78"/>
  <c r="D141" i="78"/>
  <c r="M140" i="78"/>
  <c r="L140" i="78"/>
  <c r="K140" i="78"/>
  <c r="J140" i="78"/>
  <c r="I140" i="78"/>
  <c r="H140" i="78"/>
  <c r="G140" i="78"/>
  <c r="F140" i="78"/>
  <c r="E140" i="78"/>
  <c r="D140" i="78"/>
  <c r="M139" i="78"/>
  <c r="L139" i="78"/>
  <c r="K139" i="78"/>
  <c r="J139" i="78"/>
  <c r="I139" i="78"/>
  <c r="H139" i="78"/>
  <c r="G139" i="78"/>
  <c r="F139" i="78"/>
  <c r="E139" i="78"/>
  <c r="D139" i="78"/>
  <c r="M138" i="78"/>
  <c r="L138" i="78"/>
  <c r="K138" i="78"/>
  <c r="J138" i="78"/>
  <c r="I138" i="78"/>
  <c r="H138" i="78"/>
  <c r="G138" i="78"/>
  <c r="F138" i="78"/>
  <c r="E138" i="78"/>
  <c r="D138" i="78"/>
  <c r="M137" i="78"/>
  <c r="L137" i="78"/>
  <c r="K137" i="78"/>
  <c r="J137" i="78"/>
  <c r="I137" i="78"/>
  <c r="H137" i="78"/>
  <c r="G137" i="78"/>
  <c r="F137" i="78"/>
  <c r="E137" i="78"/>
  <c r="D137" i="78"/>
  <c r="M136" i="78"/>
  <c r="L136" i="78"/>
  <c r="K136" i="78"/>
  <c r="J136" i="78"/>
  <c r="I136" i="78"/>
  <c r="H136" i="78"/>
  <c r="G136" i="78"/>
  <c r="F136" i="78"/>
  <c r="E136" i="78"/>
  <c r="D136" i="78"/>
  <c r="M135" i="78"/>
  <c r="L135" i="78"/>
  <c r="K135" i="78"/>
  <c r="J135" i="78"/>
  <c r="I135" i="78"/>
  <c r="H135" i="78"/>
  <c r="G135" i="78"/>
  <c r="F135" i="78"/>
  <c r="E135" i="78"/>
  <c r="D135" i="78"/>
  <c r="M134" i="78"/>
  <c r="L134" i="78"/>
  <c r="K134" i="78"/>
  <c r="J134" i="78"/>
  <c r="I134" i="78"/>
  <c r="H134" i="78"/>
  <c r="G134" i="78"/>
  <c r="F134" i="78"/>
  <c r="E134" i="78"/>
  <c r="D134" i="78"/>
  <c r="M133" i="78"/>
  <c r="L133" i="78"/>
  <c r="K133" i="78"/>
  <c r="J133" i="78"/>
  <c r="I133" i="78"/>
  <c r="H133" i="78"/>
  <c r="G133" i="78"/>
  <c r="F133" i="78"/>
  <c r="E133" i="78"/>
  <c r="D133" i="78"/>
  <c r="M132" i="78"/>
  <c r="L132" i="78"/>
  <c r="K132" i="78"/>
  <c r="J132" i="78"/>
  <c r="I132" i="78"/>
  <c r="H132" i="78"/>
  <c r="G132" i="78"/>
  <c r="F132" i="78"/>
  <c r="E132" i="78"/>
  <c r="D132" i="78"/>
  <c r="L131" i="78"/>
  <c r="K131" i="78"/>
  <c r="J131" i="78"/>
  <c r="I131" i="78"/>
  <c r="H131" i="78"/>
  <c r="G131" i="78"/>
  <c r="F131" i="78"/>
  <c r="E131" i="78"/>
  <c r="D131" i="78"/>
  <c r="L130" i="78"/>
  <c r="K130" i="78"/>
  <c r="J130" i="78"/>
  <c r="I130" i="78"/>
  <c r="H130" i="78"/>
  <c r="G130" i="78"/>
  <c r="F130" i="78"/>
  <c r="E130" i="78"/>
  <c r="D130" i="78"/>
  <c r="L129" i="78"/>
  <c r="K129" i="78"/>
  <c r="J129" i="78"/>
  <c r="I129" i="78"/>
  <c r="H129" i="78"/>
  <c r="G129" i="78"/>
  <c r="F129" i="78"/>
  <c r="E129" i="78"/>
  <c r="D129" i="78"/>
  <c r="L128" i="78"/>
  <c r="K128" i="78"/>
  <c r="J128" i="78"/>
  <c r="I128" i="78"/>
  <c r="H128" i="78"/>
  <c r="G128" i="78"/>
  <c r="F128" i="78"/>
  <c r="E128" i="78"/>
  <c r="D128" i="78"/>
  <c r="L127" i="78"/>
  <c r="K127" i="78"/>
  <c r="J127" i="78"/>
  <c r="I127" i="78"/>
  <c r="H127" i="78"/>
  <c r="G127" i="78"/>
  <c r="F127" i="78"/>
  <c r="E127" i="78"/>
  <c r="D127" i="78"/>
  <c r="L126" i="78"/>
  <c r="K126" i="78"/>
  <c r="J126" i="78"/>
  <c r="I126" i="78"/>
  <c r="H126" i="78"/>
  <c r="G126" i="78"/>
  <c r="F126" i="78"/>
  <c r="E126" i="78"/>
  <c r="D126" i="78"/>
  <c r="L125" i="78"/>
  <c r="K125" i="78"/>
  <c r="J125" i="78"/>
  <c r="I125" i="78"/>
  <c r="H125" i="78"/>
  <c r="G125" i="78"/>
  <c r="F125" i="78"/>
  <c r="E125" i="78"/>
  <c r="D125" i="78"/>
  <c r="L124" i="78"/>
  <c r="K124" i="78"/>
  <c r="J124" i="78"/>
  <c r="I124" i="78"/>
  <c r="H124" i="78"/>
  <c r="G124" i="78"/>
  <c r="F124" i="78"/>
  <c r="E124" i="78"/>
  <c r="D124" i="78"/>
  <c r="M123" i="78"/>
  <c r="L123" i="78"/>
  <c r="K123" i="78"/>
  <c r="J123" i="78"/>
  <c r="I123" i="78"/>
  <c r="H123" i="78"/>
  <c r="G123" i="78"/>
  <c r="F123" i="78"/>
  <c r="E123" i="78"/>
  <c r="D123" i="78"/>
  <c r="M122" i="78"/>
  <c r="L122" i="78"/>
  <c r="K122" i="78"/>
  <c r="J122" i="78"/>
  <c r="I122" i="78"/>
  <c r="H122" i="78"/>
  <c r="G122" i="78"/>
  <c r="F122" i="78"/>
  <c r="E122" i="78"/>
  <c r="D122" i="78"/>
  <c r="M121" i="78"/>
  <c r="L121" i="78"/>
  <c r="K121" i="78"/>
  <c r="J121" i="78"/>
  <c r="I121" i="78"/>
  <c r="H121" i="78"/>
  <c r="G121" i="78"/>
  <c r="F121" i="78"/>
  <c r="E121" i="78"/>
  <c r="D121" i="78"/>
  <c r="M120" i="78"/>
  <c r="L120" i="78"/>
  <c r="K120" i="78"/>
  <c r="J120" i="78"/>
  <c r="I120" i="78"/>
  <c r="H120" i="78"/>
  <c r="G120" i="78"/>
  <c r="F120" i="78"/>
  <c r="E120" i="78"/>
  <c r="D120" i="78"/>
  <c r="M119" i="78"/>
  <c r="L119" i="78"/>
  <c r="K119" i="78"/>
  <c r="J119" i="78"/>
  <c r="I119" i="78"/>
  <c r="H119" i="78"/>
  <c r="G119" i="78"/>
  <c r="F119" i="78"/>
  <c r="E119" i="78"/>
  <c r="D119" i="78"/>
  <c r="M118" i="78"/>
  <c r="L118" i="78"/>
  <c r="K118" i="78"/>
  <c r="J118" i="78"/>
  <c r="I118" i="78"/>
  <c r="H118" i="78"/>
  <c r="G118" i="78"/>
  <c r="F118" i="78"/>
  <c r="E118" i="78"/>
  <c r="D118" i="78"/>
  <c r="M117" i="78"/>
  <c r="L117" i="78"/>
  <c r="K117" i="78"/>
  <c r="J117" i="78"/>
  <c r="I117" i="78"/>
  <c r="H117" i="78"/>
  <c r="G117" i="78"/>
  <c r="F117" i="78"/>
  <c r="E117" i="78"/>
  <c r="D117" i="78"/>
  <c r="M116" i="78"/>
  <c r="L116" i="78"/>
  <c r="K116" i="78"/>
  <c r="J116" i="78"/>
  <c r="I116" i="78"/>
  <c r="H116" i="78"/>
  <c r="G116" i="78"/>
  <c r="F116" i="78"/>
  <c r="E116" i="78"/>
  <c r="D116" i="78"/>
  <c r="M115" i="78"/>
  <c r="L115" i="78"/>
  <c r="K115" i="78"/>
  <c r="J115" i="78"/>
  <c r="I115" i="78"/>
  <c r="H115" i="78"/>
  <c r="G115" i="78"/>
  <c r="F115" i="78"/>
  <c r="E115" i="78"/>
  <c r="D115" i="78"/>
  <c r="M114" i="78"/>
  <c r="L114" i="78"/>
  <c r="K114" i="78"/>
  <c r="J114" i="78"/>
  <c r="I114" i="78"/>
  <c r="H114" i="78"/>
  <c r="G114" i="78"/>
  <c r="F114" i="78"/>
  <c r="E114" i="78"/>
  <c r="D114" i="78"/>
  <c r="M113" i="78"/>
  <c r="L113" i="78"/>
  <c r="K113" i="78"/>
  <c r="J113" i="78"/>
  <c r="I113" i="78"/>
  <c r="H113" i="78"/>
  <c r="G113" i="78"/>
  <c r="F113" i="78"/>
  <c r="E113" i="78"/>
  <c r="D113" i="78"/>
  <c r="M112" i="78"/>
  <c r="L112" i="78"/>
  <c r="K112" i="78"/>
  <c r="J112" i="78"/>
  <c r="I112" i="78"/>
  <c r="H112" i="78"/>
  <c r="G112" i="78"/>
  <c r="F112" i="78"/>
  <c r="E112" i="78"/>
  <c r="D112" i="78"/>
  <c r="M111" i="78"/>
  <c r="L111" i="78"/>
  <c r="K111" i="78"/>
  <c r="J111" i="78"/>
  <c r="I111" i="78"/>
  <c r="H111" i="78"/>
  <c r="G111" i="78"/>
  <c r="F111" i="78"/>
  <c r="E111" i="78"/>
  <c r="D111" i="78"/>
  <c r="M110" i="78"/>
  <c r="L110" i="78"/>
  <c r="K110" i="78"/>
  <c r="J110" i="78"/>
  <c r="I110" i="78"/>
  <c r="H110" i="78"/>
  <c r="G110" i="78"/>
  <c r="F110" i="78"/>
  <c r="E110" i="78"/>
  <c r="D110" i="78"/>
  <c r="M109" i="78"/>
  <c r="L109" i="78"/>
  <c r="K109" i="78"/>
  <c r="J109" i="78"/>
  <c r="I109" i="78"/>
  <c r="H109" i="78"/>
  <c r="G109" i="78"/>
  <c r="F109" i="78"/>
  <c r="E109" i="78"/>
  <c r="D109" i="78"/>
  <c r="M108" i="78"/>
  <c r="L108" i="78"/>
  <c r="K108" i="78"/>
  <c r="J108" i="78"/>
  <c r="I108" i="78"/>
  <c r="H108" i="78"/>
  <c r="G108" i="78"/>
  <c r="F108" i="78"/>
  <c r="E108" i="78"/>
  <c r="D108" i="78"/>
  <c r="M107" i="78"/>
  <c r="L107" i="78"/>
  <c r="K107" i="78"/>
  <c r="J107" i="78"/>
  <c r="I107" i="78"/>
  <c r="H107" i="78"/>
  <c r="G107" i="78"/>
  <c r="F107" i="78"/>
  <c r="E107" i="78"/>
  <c r="D107" i="78"/>
  <c r="M106" i="78"/>
  <c r="L106" i="78"/>
  <c r="K106" i="78"/>
  <c r="J106" i="78"/>
  <c r="I106" i="78"/>
  <c r="H106" i="78"/>
  <c r="G106" i="78"/>
  <c r="F106" i="78"/>
  <c r="E106" i="78"/>
  <c r="D106" i="78"/>
  <c r="M105" i="78"/>
  <c r="L105" i="78"/>
  <c r="K105" i="78"/>
  <c r="J105" i="78"/>
  <c r="I105" i="78"/>
  <c r="H105" i="78"/>
  <c r="G105" i="78"/>
  <c r="F105" i="78"/>
  <c r="E105" i="78"/>
  <c r="D105" i="78"/>
  <c r="M104" i="78"/>
  <c r="L104" i="78"/>
  <c r="K104" i="78"/>
  <c r="J104" i="78"/>
  <c r="I104" i="78"/>
  <c r="H104" i="78"/>
  <c r="G104" i="78"/>
  <c r="F104" i="78"/>
  <c r="E104" i="78"/>
  <c r="D104" i="78"/>
  <c r="M103" i="78"/>
  <c r="L103" i="78"/>
  <c r="K103" i="78"/>
  <c r="J103" i="78"/>
  <c r="I103" i="78"/>
  <c r="H103" i="78"/>
  <c r="G103" i="78"/>
  <c r="F103" i="78"/>
  <c r="E103" i="78"/>
  <c r="D103" i="78"/>
  <c r="M102" i="78"/>
  <c r="L102" i="78"/>
  <c r="K102" i="78"/>
  <c r="J102" i="78"/>
  <c r="I102" i="78"/>
  <c r="H102" i="78"/>
  <c r="G102" i="78"/>
  <c r="F102" i="78"/>
  <c r="E102" i="78"/>
  <c r="D102" i="78"/>
  <c r="M101" i="78"/>
  <c r="L101" i="78"/>
  <c r="K101" i="78"/>
  <c r="J101" i="78"/>
  <c r="I101" i="78"/>
  <c r="H101" i="78"/>
  <c r="G101" i="78"/>
  <c r="F101" i="78"/>
  <c r="E101" i="78"/>
  <c r="D101" i="78"/>
  <c r="M100" i="78"/>
  <c r="L100" i="78"/>
  <c r="K100" i="78"/>
  <c r="J100" i="78"/>
  <c r="I100" i="78"/>
  <c r="H100" i="78"/>
  <c r="G100" i="78"/>
  <c r="F100" i="78"/>
  <c r="E100" i="78"/>
  <c r="D100" i="78"/>
  <c r="M99" i="78"/>
  <c r="L99" i="78"/>
  <c r="K99" i="78"/>
  <c r="J99" i="78"/>
  <c r="I99" i="78"/>
  <c r="H99" i="78"/>
  <c r="G99" i="78"/>
  <c r="F99" i="78"/>
  <c r="E99" i="78"/>
  <c r="D99" i="78"/>
  <c r="M98" i="78"/>
  <c r="L98" i="78"/>
  <c r="K98" i="78"/>
  <c r="J98" i="78"/>
  <c r="I98" i="78"/>
  <c r="H98" i="78"/>
  <c r="G98" i="78"/>
  <c r="F98" i="78"/>
  <c r="E98" i="78"/>
  <c r="D98" i="78"/>
  <c r="M97" i="78"/>
  <c r="L97" i="78"/>
  <c r="K97" i="78"/>
  <c r="J97" i="78"/>
  <c r="I97" i="78"/>
  <c r="H97" i="78"/>
  <c r="G97" i="78"/>
  <c r="F97" i="78"/>
  <c r="E97" i="78"/>
  <c r="D97" i="78"/>
  <c r="M96" i="78"/>
  <c r="L96" i="78"/>
  <c r="K96" i="78"/>
  <c r="J96" i="78"/>
  <c r="I96" i="78"/>
  <c r="H96" i="78"/>
  <c r="G96" i="78"/>
  <c r="F96" i="78"/>
  <c r="E96" i="78"/>
  <c r="D96" i="78"/>
  <c r="M95" i="78"/>
  <c r="L95" i="78"/>
  <c r="K95" i="78"/>
  <c r="J95" i="78"/>
  <c r="I95" i="78"/>
  <c r="H95" i="78"/>
  <c r="G95" i="78"/>
  <c r="F95" i="78"/>
  <c r="E95" i="78"/>
  <c r="D95" i="78"/>
  <c r="M94" i="78"/>
  <c r="L94" i="78"/>
  <c r="K94" i="78"/>
  <c r="J94" i="78"/>
  <c r="I94" i="78"/>
  <c r="H94" i="78"/>
  <c r="G94" i="78"/>
  <c r="F94" i="78"/>
  <c r="E94" i="78"/>
  <c r="D94" i="78"/>
  <c r="M93" i="78"/>
  <c r="L93" i="78"/>
  <c r="K93" i="78"/>
  <c r="J93" i="78"/>
  <c r="I93" i="78"/>
  <c r="H93" i="78"/>
  <c r="G93" i="78"/>
  <c r="F93" i="78"/>
  <c r="E93" i="78"/>
  <c r="D93" i="78"/>
  <c r="M92" i="78"/>
  <c r="L92" i="78"/>
  <c r="K92" i="78"/>
  <c r="J92" i="78"/>
  <c r="I92" i="78"/>
  <c r="H92" i="78"/>
  <c r="G92" i="78"/>
  <c r="F92" i="78"/>
  <c r="E92" i="78"/>
  <c r="D92" i="78"/>
  <c r="M91" i="78"/>
  <c r="L91" i="78"/>
  <c r="K91" i="78"/>
  <c r="J91" i="78"/>
  <c r="I91" i="78"/>
  <c r="H91" i="78"/>
  <c r="G91" i="78"/>
  <c r="F91" i="78"/>
  <c r="E91" i="78"/>
  <c r="D91" i="78"/>
  <c r="M90" i="78"/>
  <c r="L90" i="78"/>
  <c r="K90" i="78"/>
  <c r="J90" i="78"/>
  <c r="I90" i="78"/>
  <c r="H90" i="78"/>
  <c r="G90" i="78"/>
  <c r="F90" i="78"/>
  <c r="E90" i="78"/>
  <c r="D90" i="78"/>
  <c r="M89" i="78"/>
  <c r="L89" i="78"/>
  <c r="K89" i="78"/>
  <c r="J89" i="78"/>
  <c r="I89" i="78"/>
  <c r="H89" i="78"/>
  <c r="G89" i="78"/>
  <c r="F89" i="78"/>
  <c r="E89" i="78"/>
  <c r="D89" i="78"/>
  <c r="M88" i="78"/>
  <c r="L88" i="78"/>
  <c r="K88" i="78"/>
  <c r="J88" i="78"/>
  <c r="I88" i="78"/>
  <c r="H88" i="78"/>
  <c r="G88" i="78"/>
  <c r="F88" i="78"/>
  <c r="E88" i="78"/>
  <c r="D88" i="78"/>
  <c r="M87" i="78"/>
  <c r="L87" i="78"/>
  <c r="K87" i="78"/>
  <c r="J87" i="78"/>
  <c r="I87" i="78"/>
  <c r="H87" i="78"/>
  <c r="G87" i="78"/>
  <c r="F87" i="78"/>
  <c r="E87" i="78"/>
  <c r="D87" i="78"/>
  <c r="M86" i="78"/>
  <c r="L86" i="78"/>
  <c r="K86" i="78"/>
  <c r="J86" i="78"/>
  <c r="I86" i="78"/>
  <c r="H86" i="78"/>
  <c r="G86" i="78"/>
  <c r="F86" i="78"/>
  <c r="E86" i="78"/>
  <c r="D86" i="78"/>
  <c r="M85" i="78"/>
  <c r="L85" i="78"/>
  <c r="K85" i="78"/>
  <c r="J85" i="78"/>
  <c r="I85" i="78"/>
  <c r="H85" i="78"/>
  <c r="G85" i="78"/>
  <c r="F85" i="78"/>
  <c r="E85" i="78"/>
  <c r="D85" i="78"/>
  <c r="M84" i="78"/>
  <c r="L84" i="78"/>
  <c r="K84" i="78"/>
  <c r="J84" i="78"/>
  <c r="I84" i="78"/>
  <c r="H84" i="78"/>
  <c r="G84" i="78"/>
  <c r="F84" i="78"/>
  <c r="E84" i="78"/>
  <c r="D84" i="78"/>
  <c r="M83" i="78"/>
  <c r="L83" i="78"/>
  <c r="K83" i="78"/>
  <c r="J83" i="78"/>
  <c r="I83" i="78"/>
  <c r="H83" i="78"/>
  <c r="G83" i="78"/>
  <c r="F83" i="78"/>
  <c r="E83" i="78"/>
  <c r="D83" i="78"/>
  <c r="M82" i="78"/>
  <c r="L82" i="78"/>
  <c r="K82" i="78"/>
  <c r="J82" i="78"/>
  <c r="I82" i="78"/>
  <c r="H82" i="78"/>
  <c r="G82" i="78"/>
  <c r="F82" i="78"/>
  <c r="E82" i="78"/>
  <c r="D82" i="78"/>
  <c r="M81" i="78"/>
  <c r="L81" i="78"/>
  <c r="K81" i="78"/>
  <c r="J81" i="78"/>
  <c r="I81" i="78"/>
  <c r="H81" i="78"/>
  <c r="G81" i="78"/>
  <c r="F81" i="78"/>
  <c r="E81" i="78"/>
  <c r="D81" i="78"/>
  <c r="M80" i="78"/>
  <c r="L80" i="78"/>
  <c r="K80" i="78"/>
  <c r="J80" i="78"/>
  <c r="I80" i="78"/>
  <c r="H80" i="78"/>
  <c r="G80" i="78"/>
  <c r="F80" i="78"/>
  <c r="E80" i="78"/>
  <c r="D80" i="78"/>
  <c r="M79" i="78"/>
  <c r="L79" i="78"/>
  <c r="K79" i="78"/>
  <c r="J79" i="78"/>
  <c r="I79" i="78"/>
  <c r="H79" i="78"/>
  <c r="G79" i="78"/>
  <c r="F79" i="78"/>
  <c r="E79" i="78"/>
  <c r="D79" i="78"/>
  <c r="M78" i="78"/>
  <c r="L78" i="78"/>
  <c r="K78" i="78"/>
  <c r="J78" i="78"/>
  <c r="I78" i="78"/>
  <c r="H78" i="78"/>
  <c r="G78" i="78"/>
  <c r="F78" i="78"/>
  <c r="E78" i="78"/>
  <c r="D78" i="78"/>
  <c r="M77" i="78"/>
  <c r="L77" i="78"/>
  <c r="K77" i="78"/>
  <c r="J77" i="78"/>
  <c r="I77" i="78"/>
  <c r="H77" i="78"/>
  <c r="G77" i="78"/>
  <c r="F77" i="78"/>
  <c r="E77" i="78"/>
  <c r="D77" i="78"/>
  <c r="M76" i="78"/>
  <c r="L76" i="78"/>
  <c r="K76" i="78"/>
  <c r="J76" i="78"/>
  <c r="I76" i="78"/>
  <c r="H76" i="78"/>
  <c r="G76" i="78"/>
  <c r="F76" i="78"/>
  <c r="E76" i="78"/>
  <c r="D76" i="78"/>
  <c r="M75" i="78"/>
  <c r="L75" i="78"/>
  <c r="K75" i="78"/>
  <c r="J75" i="78"/>
  <c r="I75" i="78"/>
  <c r="H75" i="78"/>
  <c r="G75" i="78"/>
  <c r="F75" i="78"/>
  <c r="E75" i="78"/>
  <c r="D75" i="78"/>
  <c r="M74" i="78"/>
  <c r="L74" i="78"/>
  <c r="K74" i="78"/>
  <c r="J74" i="78"/>
  <c r="I74" i="78"/>
  <c r="H74" i="78"/>
  <c r="G74" i="78"/>
  <c r="F74" i="78"/>
  <c r="E74" i="78"/>
  <c r="D74" i="78"/>
  <c r="M73" i="78"/>
  <c r="L73" i="78"/>
  <c r="K73" i="78"/>
  <c r="J73" i="78"/>
  <c r="I73" i="78"/>
  <c r="H73" i="78"/>
  <c r="G73" i="78"/>
  <c r="F73" i="78"/>
  <c r="E73" i="78"/>
  <c r="D73" i="78"/>
  <c r="M72" i="78"/>
  <c r="L72" i="78"/>
  <c r="K72" i="78"/>
  <c r="J72" i="78"/>
  <c r="I72" i="78"/>
  <c r="H72" i="78"/>
  <c r="G72" i="78"/>
  <c r="F72" i="78"/>
  <c r="E72" i="78"/>
  <c r="D72" i="78"/>
  <c r="M71" i="78"/>
  <c r="L71" i="78"/>
  <c r="K71" i="78"/>
  <c r="J71" i="78"/>
  <c r="I71" i="78"/>
  <c r="H71" i="78"/>
  <c r="G71" i="78"/>
  <c r="F71" i="78"/>
  <c r="E71" i="78"/>
  <c r="D71" i="78"/>
  <c r="M70" i="78"/>
  <c r="L70" i="78"/>
  <c r="K70" i="78"/>
  <c r="J70" i="78"/>
  <c r="I70" i="78"/>
  <c r="H70" i="78"/>
  <c r="G70" i="78"/>
  <c r="F70" i="78"/>
  <c r="E70" i="78"/>
  <c r="D70" i="78"/>
  <c r="M69" i="78"/>
  <c r="L69" i="78"/>
  <c r="K69" i="78"/>
  <c r="J69" i="78"/>
  <c r="I69" i="78"/>
  <c r="H69" i="78"/>
  <c r="G69" i="78"/>
  <c r="F69" i="78"/>
  <c r="E69" i="78"/>
  <c r="D69" i="78"/>
  <c r="M68" i="78"/>
  <c r="L68" i="78"/>
  <c r="K68" i="78"/>
  <c r="J68" i="78"/>
  <c r="I68" i="78"/>
  <c r="H68" i="78"/>
  <c r="G68" i="78"/>
  <c r="F68" i="78"/>
  <c r="E68" i="78"/>
  <c r="D68" i="78"/>
  <c r="M67" i="78"/>
  <c r="L67" i="78"/>
  <c r="K67" i="78"/>
  <c r="J67" i="78"/>
  <c r="I67" i="78"/>
  <c r="H67" i="78"/>
  <c r="G67" i="78"/>
  <c r="F67" i="78"/>
  <c r="E67" i="78"/>
  <c r="D67" i="78"/>
  <c r="M66" i="78"/>
  <c r="L66" i="78"/>
  <c r="K66" i="78"/>
  <c r="J66" i="78"/>
  <c r="I66" i="78"/>
  <c r="H66" i="78"/>
  <c r="G66" i="78"/>
  <c r="F66" i="78"/>
  <c r="E66" i="78"/>
  <c r="D66" i="78"/>
  <c r="M65" i="78"/>
  <c r="L65" i="78"/>
  <c r="K65" i="78"/>
  <c r="J65" i="78"/>
  <c r="I65" i="78"/>
  <c r="H65" i="78"/>
  <c r="G65" i="78"/>
  <c r="F65" i="78"/>
  <c r="E65" i="78"/>
  <c r="D65" i="78"/>
  <c r="M64" i="78"/>
  <c r="L64" i="78"/>
  <c r="K64" i="78"/>
  <c r="J64" i="78"/>
  <c r="I64" i="78"/>
  <c r="H64" i="78"/>
  <c r="G64" i="78"/>
  <c r="F64" i="78"/>
  <c r="E64" i="78"/>
  <c r="D64" i="78"/>
  <c r="M63" i="78"/>
  <c r="L63" i="78"/>
  <c r="K63" i="78"/>
  <c r="J63" i="78"/>
  <c r="I63" i="78"/>
  <c r="H63" i="78"/>
  <c r="G63" i="78"/>
  <c r="F63" i="78"/>
  <c r="E63" i="78"/>
  <c r="D63" i="78"/>
  <c r="M62" i="78"/>
  <c r="L62" i="78"/>
  <c r="K62" i="78"/>
  <c r="J62" i="78"/>
  <c r="I62" i="78"/>
  <c r="H62" i="78"/>
  <c r="G62" i="78"/>
  <c r="F62" i="78"/>
  <c r="E62" i="78"/>
  <c r="D62" i="78"/>
  <c r="M61" i="78"/>
  <c r="L61" i="78"/>
  <c r="K61" i="78"/>
  <c r="J61" i="78"/>
  <c r="I61" i="78"/>
  <c r="H61" i="78"/>
  <c r="G61" i="78"/>
  <c r="F61" i="78"/>
  <c r="E61" i="78"/>
  <c r="D61" i="78"/>
  <c r="M60" i="78"/>
  <c r="L60" i="78"/>
  <c r="K60" i="78"/>
  <c r="J60" i="78"/>
  <c r="I60" i="78"/>
  <c r="H60" i="78"/>
  <c r="G60" i="78"/>
  <c r="F60" i="78"/>
  <c r="E60" i="78"/>
  <c r="D60" i="78"/>
  <c r="M59" i="78"/>
  <c r="L59" i="78"/>
  <c r="K59" i="78"/>
  <c r="J59" i="78"/>
  <c r="I59" i="78"/>
  <c r="H59" i="78"/>
  <c r="G59" i="78"/>
  <c r="F59" i="78"/>
  <c r="E59" i="78"/>
  <c r="D59" i="78"/>
  <c r="M58" i="78"/>
  <c r="L58" i="78"/>
  <c r="K58" i="78"/>
  <c r="J58" i="78"/>
  <c r="I58" i="78"/>
  <c r="H58" i="78"/>
  <c r="G58" i="78"/>
  <c r="F58" i="78"/>
  <c r="E58" i="78"/>
  <c r="D58" i="78"/>
  <c r="M57" i="78"/>
  <c r="L57" i="78"/>
  <c r="K57" i="78"/>
  <c r="J57" i="78"/>
  <c r="I57" i="78"/>
  <c r="H57" i="78"/>
  <c r="G57" i="78"/>
  <c r="F57" i="78"/>
  <c r="E57" i="78"/>
  <c r="D57" i="78"/>
  <c r="M56" i="78"/>
  <c r="L56" i="78"/>
  <c r="K56" i="78"/>
  <c r="J56" i="78"/>
  <c r="I56" i="78"/>
  <c r="H56" i="78"/>
  <c r="G56" i="78"/>
  <c r="F56" i="78"/>
  <c r="E56" i="78"/>
  <c r="D56" i="78"/>
  <c r="M55" i="78"/>
  <c r="L55" i="78"/>
  <c r="K55" i="78"/>
  <c r="J55" i="78"/>
  <c r="I55" i="78"/>
  <c r="H55" i="78"/>
  <c r="G55" i="78"/>
  <c r="F55" i="78"/>
  <c r="E55" i="78"/>
  <c r="D55" i="78"/>
  <c r="M54" i="78"/>
  <c r="L54" i="78"/>
  <c r="K54" i="78"/>
  <c r="J54" i="78"/>
  <c r="I54" i="78"/>
  <c r="H54" i="78"/>
  <c r="G54" i="78"/>
  <c r="F54" i="78"/>
  <c r="E54" i="78"/>
  <c r="D54" i="78"/>
  <c r="M53" i="78"/>
  <c r="L53" i="78"/>
  <c r="K53" i="78"/>
  <c r="J53" i="78"/>
  <c r="I53" i="78"/>
  <c r="H53" i="78"/>
  <c r="G53" i="78"/>
  <c r="F53" i="78"/>
  <c r="E53" i="78"/>
  <c r="D53" i="78"/>
  <c r="M52" i="78"/>
  <c r="L52" i="78"/>
  <c r="K52" i="78"/>
  <c r="J52" i="78"/>
  <c r="I52" i="78"/>
  <c r="H52" i="78"/>
  <c r="G52" i="78"/>
  <c r="F52" i="78"/>
  <c r="E52" i="78"/>
  <c r="D52" i="78"/>
  <c r="M51" i="78"/>
  <c r="L51" i="78"/>
  <c r="K51" i="78"/>
  <c r="J51" i="78"/>
  <c r="I51" i="78"/>
  <c r="H51" i="78"/>
  <c r="G51" i="78"/>
  <c r="F51" i="78"/>
  <c r="E51" i="78"/>
  <c r="D51" i="78"/>
  <c r="M50" i="78"/>
  <c r="L50" i="78"/>
  <c r="K50" i="78"/>
  <c r="J50" i="78"/>
  <c r="I50" i="78"/>
  <c r="H50" i="78"/>
  <c r="G50" i="78"/>
  <c r="F50" i="78"/>
  <c r="E50" i="78"/>
  <c r="D50" i="78"/>
  <c r="M49" i="78"/>
  <c r="L49" i="78"/>
  <c r="K49" i="78"/>
  <c r="J49" i="78"/>
  <c r="I49" i="78"/>
  <c r="H49" i="78"/>
  <c r="G49" i="78"/>
  <c r="F49" i="78"/>
  <c r="E49" i="78"/>
  <c r="D49" i="78"/>
  <c r="M48" i="78"/>
  <c r="L48" i="78"/>
  <c r="K48" i="78"/>
  <c r="J48" i="78"/>
  <c r="I48" i="78"/>
  <c r="H48" i="78"/>
  <c r="G48" i="78"/>
  <c r="F48" i="78"/>
  <c r="E48" i="78"/>
  <c r="D48" i="78"/>
  <c r="M47" i="78"/>
  <c r="L47" i="78"/>
  <c r="K47" i="78"/>
  <c r="J47" i="78"/>
  <c r="I47" i="78"/>
  <c r="H47" i="78"/>
  <c r="G47" i="78"/>
  <c r="F47" i="78"/>
  <c r="E47" i="78"/>
  <c r="D47" i="78"/>
  <c r="M46" i="78"/>
  <c r="L46" i="78"/>
  <c r="K46" i="78"/>
  <c r="J46" i="78"/>
  <c r="I46" i="78"/>
  <c r="H46" i="78"/>
  <c r="G46" i="78"/>
  <c r="F46" i="78"/>
  <c r="E46" i="78"/>
  <c r="D46" i="78"/>
  <c r="M45" i="78"/>
  <c r="L45" i="78"/>
  <c r="K45" i="78"/>
  <c r="J45" i="78"/>
  <c r="I45" i="78"/>
  <c r="H45" i="78"/>
  <c r="G45" i="78"/>
  <c r="F45" i="78"/>
  <c r="E45" i="78"/>
  <c r="D45" i="78"/>
  <c r="M44" i="78"/>
  <c r="L44" i="78"/>
  <c r="K44" i="78"/>
  <c r="J44" i="78"/>
  <c r="I44" i="78"/>
  <c r="H44" i="78"/>
  <c r="G44" i="78"/>
  <c r="F44" i="78"/>
  <c r="E44" i="78"/>
  <c r="D44" i="78"/>
  <c r="M43" i="78"/>
  <c r="L43" i="78"/>
  <c r="K43" i="78"/>
  <c r="J43" i="78"/>
  <c r="I43" i="78"/>
  <c r="H43" i="78"/>
  <c r="G43" i="78"/>
  <c r="F43" i="78"/>
  <c r="E43" i="78"/>
  <c r="D43" i="78"/>
  <c r="L42" i="78"/>
  <c r="K42" i="78"/>
  <c r="J42" i="78"/>
  <c r="I42" i="78"/>
  <c r="H42" i="78"/>
  <c r="G42" i="78"/>
  <c r="F42" i="78"/>
  <c r="E42" i="78"/>
  <c r="D42" i="78"/>
  <c r="L41" i="78"/>
  <c r="K41" i="78"/>
  <c r="J41" i="78"/>
  <c r="I41" i="78"/>
  <c r="H41" i="78"/>
  <c r="G41" i="78"/>
  <c r="F41" i="78"/>
  <c r="E41" i="78"/>
  <c r="D41" i="78"/>
  <c r="L40" i="78"/>
  <c r="K40" i="78"/>
  <c r="J40" i="78"/>
  <c r="I40" i="78"/>
  <c r="H40" i="78"/>
  <c r="G40" i="78"/>
  <c r="F40" i="78"/>
  <c r="E40" i="78"/>
  <c r="D40" i="78"/>
  <c r="L39" i="78"/>
  <c r="K39" i="78"/>
  <c r="J39" i="78"/>
  <c r="I39" i="78"/>
  <c r="H39" i="78"/>
  <c r="G39" i="78"/>
  <c r="F39" i="78"/>
  <c r="E39" i="78"/>
  <c r="D39" i="78"/>
  <c r="L38" i="78"/>
  <c r="K38" i="78"/>
  <c r="J38" i="78"/>
  <c r="I38" i="78"/>
  <c r="H38" i="78"/>
  <c r="G38" i="78"/>
  <c r="F38" i="78"/>
  <c r="E38" i="78"/>
  <c r="D38" i="78"/>
  <c r="L37" i="78"/>
  <c r="K37" i="78"/>
  <c r="J37" i="78"/>
  <c r="I37" i="78"/>
  <c r="H37" i="78"/>
  <c r="G37" i="78"/>
  <c r="F37" i="78"/>
  <c r="E37" i="78"/>
  <c r="D37" i="78"/>
  <c r="L36" i="78"/>
  <c r="K36" i="78"/>
  <c r="J36" i="78"/>
  <c r="I36" i="78"/>
  <c r="H36" i="78"/>
  <c r="G36" i="78"/>
  <c r="F36" i="78"/>
  <c r="E36" i="78"/>
  <c r="D36" i="78"/>
  <c r="L35" i="78"/>
  <c r="K35" i="78"/>
  <c r="J35" i="78"/>
  <c r="I35" i="78"/>
  <c r="H35" i="78"/>
  <c r="G35" i="78"/>
  <c r="F35" i="78"/>
  <c r="E35" i="78"/>
  <c r="D35" i="78"/>
  <c r="M34" i="78"/>
  <c r="L34" i="78"/>
  <c r="K34" i="78"/>
  <c r="J34" i="78"/>
  <c r="I34" i="78"/>
  <c r="H34" i="78"/>
  <c r="G34" i="78"/>
  <c r="F34" i="78"/>
  <c r="E34" i="78"/>
  <c r="D34" i="78"/>
  <c r="M33" i="78"/>
  <c r="L33" i="78"/>
  <c r="K33" i="78"/>
  <c r="J33" i="78"/>
  <c r="I33" i="78"/>
  <c r="H33" i="78"/>
  <c r="G33" i="78"/>
  <c r="F33" i="78"/>
  <c r="E33" i="78"/>
  <c r="D33" i="78"/>
  <c r="M32" i="78"/>
  <c r="L32" i="78"/>
  <c r="K32" i="78"/>
  <c r="J32" i="78"/>
  <c r="I32" i="78"/>
  <c r="H32" i="78"/>
  <c r="G32" i="78"/>
  <c r="F32" i="78"/>
  <c r="E32" i="78"/>
  <c r="D32" i="78"/>
  <c r="M31" i="78"/>
  <c r="L31" i="78"/>
  <c r="K31" i="78"/>
  <c r="J31" i="78"/>
  <c r="I31" i="78"/>
  <c r="H31" i="78"/>
  <c r="G31" i="78"/>
  <c r="F31" i="78"/>
  <c r="E31" i="78"/>
  <c r="D31" i="78"/>
  <c r="M30" i="78"/>
  <c r="L30" i="78"/>
  <c r="K30" i="78"/>
  <c r="J30" i="78"/>
  <c r="I30" i="78"/>
  <c r="H30" i="78"/>
  <c r="G30" i="78"/>
  <c r="F30" i="78"/>
  <c r="E30" i="78"/>
  <c r="D30" i="78"/>
  <c r="M29" i="78"/>
  <c r="L29" i="78"/>
  <c r="K29" i="78"/>
  <c r="J29" i="78"/>
  <c r="I29" i="78"/>
  <c r="H29" i="78"/>
  <c r="G29" i="78"/>
  <c r="F29" i="78"/>
  <c r="E29" i="78"/>
  <c r="D29" i="78"/>
  <c r="M28" i="78"/>
  <c r="L28" i="78"/>
  <c r="K28" i="78"/>
  <c r="J28" i="78"/>
  <c r="I28" i="78"/>
  <c r="H28" i="78"/>
  <c r="G28" i="78"/>
  <c r="F28" i="78"/>
  <c r="E28" i="78"/>
  <c r="D28" i="78"/>
  <c r="M27" i="78"/>
  <c r="L27" i="78"/>
  <c r="K27" i="78"/>
  <c r="J27" i="78"/>
  <c r="I27" i="78"/>
  <c r="H27" i="78"/>
  <c r="G27" i="78"/>
  <c r="F27" i="78"/>
  <c r="E27" i="78"/>
  <c r="D27" i="78"/>
  <c r="M26" i="78"/>
  <c r="L26" i="78"/>
  <c r="K26" i="78"/>
  <c r="J26" i="78"/>
  <c r="I26" i="78"/>
  <c r="H26" i="78"/>
  <c r="G26" i="78"/>
  <c r="F26" i="78"/>
  <c r="E26" i="78"/>
  <c r="D26" i="78"/>
  <c r="M25" i="78"/>
  <c r="L25" i="78"/>
  <c r="K25" i="78"/>
  <c r="J25" i="78"/>
  <c r="I25" i="78"/>
  <c r="H25" i="78"/>
  <c r="G25" i="78"/>
  <c r="F25" i="78"/>
  <c r="E25" i="78"/>
  <c r="D25" i="78"/>
  <c r="M24" i="78"/>
  <c r="L24" i="78"/>
  <c r="K24" i="78"/>
  <c r="J24" i="78"/>
  <c r="I24" i="78"/>
  <c r="H24" i="78"/>
  <c r="G24" i="78"/>
  <c r="F24" i="78"/>
  <c r="E24" i="78"/>
  <c r="D24" i="78"/>
  <c r="M23" i="78"/>
  <c r="L23" i="78"/>
  <c r="K23" i="78"/>
  <c r="J23" i="78"/>
  <c r="I23" i="78"/>
  <c r="H23" i="78"/>
  <c r="G23" i="78"/>
  <c r="F23" i="78"/>
  <c r="E23" i="78"/>
  <c r="D23" i="78"/>
  <c r="M22" i="78"/>
  <c r="L22" i="78"/>
  <c r="K22" i="78"/>
  <c r="J22" i="78"/>
  <c r="I22" i="78"/>
  <c r="H22" i="78"/>
  <c r="G22" i="78"/>
  <c r="F22" i="78"/>
  <c r="E22" i="78"/>
  <c r="D22" i="78"/>
  <c r="M21" i="78"/>
  <c r="L21" i="78"/>
  <c r="K21" i="78"/>
  <c r="J21" i="78"/>
  <c r="I21" i="78"/>
  <c r="H21" i="78"/>
  <c r="G21" i="78"/>
  <c r="F21" i="78"/>
  <c r="E21" i="78"/>
  <c r="D21" i="78"/>
  <c r="M20" i="78"/>
  <c r="L20" i="78"/>
  <c r="K20" i="78"/>
  <c r="J20" i="78"/>
  <c r="I20" i="78"/>
  <c r="H20" i="78"/>
  <c r="G20" i="78"/>
  <c r="F20" i="78"/>
  <c r="E20" i="78"/>
  <c r="D20" i="78"/>
  <c r="M19" i="78"/>
  <c r="L19" i="78"/>
  <c r="K19" i="78"/>
  <c r="J19" i="78"/>
  <c r="I19" i="78"/>
  <c r="H19" i="78"/>
  <c r="G19" i="78"/>
  <c r="F19" i="78"/>
  <c r="E19" i="78"/>
  <c r="D19" i="78"/>
  <c r="M18" i="78"/>
  <c r="L18" i="78"/>
  <c r="K18" i="78"/>
  <c r="J18" i="78"/>
  <c r="I18" i="78"/>
  <c r="H18" i="78"/>
  <c r="G18" i="78"/>
  <c r="F18" i="78"/>
  <c r="E18" i="78"/>
  <c r="D18" i="78"/>
  <c r="M17" i="78"/>
  <c r="L17" i="78"/>
  <c r="K17" i="78"/>
  <c r="J17" i="78"/>
  <c r="I17" i="78"/>
  <c r="H17" i="78"/>
  <c r="G17" i="78"/>
  <c r="F17" i="78"/>
  <c r="E17" i="78"/>
  <c r="D17" i="78"/>
  <c r="M16" i="78"/>
  <c r="L16" i="78"/>
  <c r="K16" i="78"/>
  <c r="J16" i="78"/>
  <c r="I16" i="78"/>
  <c r="H16" i="78"/>
  <c r="G16" i="78"/>
  <c r="F16" i="78"/>
  <c r="E16" i="78"/>
  <c r="D16" i="78"/>
  <c r="M15" i="78"/>
  <c r="L15" i="78"/>
  <c r="K15" i="78"/>
  <c r="J15" i="78"/>
  <c r="I15" i="78"/>
  <c r="H15" i="78"/>
  <c r="G15" i="78"/>
  <c r="F15" i="78"/>
  <c r="E15" i="78"/>
  <c r="D15" i="78"/>
  <c r="M14" i="78"/>
  <c r="L14" i="78"/>
  <c r="K14" i="78"/>
  <c r="J14" i="78"/>
  <c r="I14" i="78"/>
  <c r="H14" i="78"/>
  <c r="G14" i="78"/>
  <c r="F14" i="78"/>
  <c r="E14" i="78"/>
  <c r="D14" i="78"/>
  <c r="M13" i="78"/>
  <c r="L13" i="78"/>
  <c r="K13" i="78"/>
  <c r="J13" i="78"/>
  <c r="I13" i="78"/>
  <c r="H13" i="78"/>
  <c r="G13" i="78"/>
  <c r="F13" i="78"/>
  <c r="E13" i="78"/>
  <c r="D13" i="78"/>
  <c r="M12" i="78"/>
  <c r="L12" i="78"/>
  <c r="K12" i="78"/>
  <c r="J12" i="78"/>
  <c r="I12" i="78"/>
  <c r="H12" i="78"/>
  <c r="G12" i="78"/>
  <c r="F12" i="78"/>
  <c r="E12" i="78"/>
  <c r="D12" i="78"/>
  <c r="M11" i="78"/>
  <c r="L11" i="78"/>
  <c r="K11" i="78"/>
  <c r="J11" i="78"/>
  <c r="I11" i="78"/>
  <c r="H11" i="78"/>
  <c r="G11" i="78"/>
  <c r="F11" i="78"/>
  <c r="E11" i="78"/>
  <c r="D11" i="78"/>
  <c r="M10" i="78"/>
  <c r="L10" i="78"/>
  <c r="K10" i="78"/>
  <c r="J10" i="78"/>
  <c r="I10" i="78"/>
  <c r="H10" i="78"/>
  <c r="G10" i="78"/>
  <c r="F10" i="78"/>
  <c r="E10" i="78"/>
  <c r="D10" i="78"/>
  <c r="M9" i="78"/>
  <c r="L9" i="78"/>
  <c r="K9" i="78"/>
  <c r="J9" i="78"/>
  <c r="I9" i="78"/>
  <c r="H9" i="78"/>
  <c r="G9" i="78"/>
  <c r="F9" i="78"/>
  <c r="E9" i="78"/>
  <c r="D9" i="78"/>
  <c r="M8" i="78"/>
  <c r="L8" i="78"/>
  <c r="K8" i="78"/>
  <c r="J8" i="78"/>
  <c r="I8" i="78"/>
  <c r="H8" i="78"/>
  <c r="G8" i="78"/>
  <c r="F8" i="78"/>
  <c r="E8" i="78"/>
  <c r="D8" i="78"/>
  <c r="M7" i="78"/>
  <c r="L7" i="78"/>
  <c r="K7" i="78"/>
  <c r="J7" i="78"/>
  <c r="I7" i="78"/>
  <c r="H7" i="78"/>
  <c r="G7" i="78"/>
  <c r="F7" i="78"/>
  <c r="E7" i="78"/>
  <c r="D7" i="78"/>
  <c r="M6" i="78"/>
  <c r="L6" i="78"/>
  <c r="K6" i="78"/>
  <c r="J6" i="78"/>
  <c r="I6" i="78"/>
  <c r="H6" i="78"/>
  <c r="G6" i="78"/>
  <c r="F6" i="78"/>
  <c r="E6" i="78"/>
  <c r="D6" i="78"/>
  <c r="M5" i="78"/>
  <c r="L5" i="78"/>
  <c r="K5" i="78"/>
  <c r="J5" i="78"/>
  <c r="I5" i="78"/>
  <c r="H5" i="78"/>
  <c r="G5" i="78"/>
  <c r="F5" i="78"/>
  <c r="E5" i="78"/>
  <c r="D5" i="78"/>
  <c r="M4" i="78"/>
  <c r="L4" i="78"/>
  <c r="K4" i="78"/>
  <c r="J4" i="78"/>
  <c r="I4" i="78"/>
  <c r="H4" i="78"/>
  <c r="G4" i="78"/>
  <c r="F4" i="78"/>
  <c r="E4" i="78"/>
  <c r="D4" i="78"/>
  <c r="M3" i="78"/>
  <c r="L3" i="78"/>
  <c r="K3" i="78"/>
  <c r="J3" i="78"/>
  <c r="I3" i="78"/>
  <c r="H3" i="78"/>
  <c r="G3" i="78"/>
  <c r="F3" i="78"/>
  <c r="E3" i="78"/>
  <c r="D3" i="78"/>
  <c r="M2" i="78"/>
  <c r="L2" i="78"/>
  <c r="K2" i="78"/>
  <c r="J2" i="78"/>
  <c r="I2" i="78"/>
  <c r="H2" i="78"/>
  <c r="G2" i="78"/>
  <c r="F2" i="78"/>
  <c r="E2" i="78"/>
  <c r="D2" i="78"/>
  <c r="B2" i="78"/>
  <c r="B405" i="78" s="1"/>
  <c r="F502" i="94"/>
  <c r="H502" i="94" s="1"/>
  <c r="A502" i="94"/>
  <c r="F501" i="94"/>
  <c r="H501" i="94" s="1"/>
  <c r="A501" i="94"/>
  <c r="F500" i="94"/>
  <c r="H500" i="94" s="1"/>
  <c r="A500" i="94"/>
  <c r="F499" i="94"/>
  <c r="H499" i="94" s="1"/>
  <c r="A499" i="94"/>
  <c r="F498" i="94"/>
  <c r="H498" i="94" s="1"/>
  <c r="A498" i="94"/>
  <c r="F497" i="94"/>
  <c r="H497" i="94" s="1"/>
  <c r="A497" i="94"/>
  <c r="F496" i="94"/>
  <c r="H496" i="94" s="1"/>
  <c r="A496" i="94"/>
  <c r="F495" i="94"/>
  <c r="H495" i="94" s="1"/>
  <c r="A495" i="94"/>
  <c r="F494" i="94"/>
  <c r="H494" i="94" s="1"/>
  <c r="A494" i="94"/>
  <c r="F493" i="94"/>
  <c r="H493" i="94" s="1"/>
  <c r="A493" i="94"/>
  <c r="F492" i="94"/>
  <c r="H492" i="94" s="1"/>
  <c r="A492" i="94"/>
  <c r="F491" i="94"/>
  <c r="H491" i="94" s="1"/>
  <c r="A491" i="94"/>
  <c r="F490" i="94"/>
  <c r="H490" i="94" s="1"/>
  <c r="A490" i="94"/>
  <c r="F489" i="94"/>
  <c r="H489" i="94" s="1"/>
  <c r="A489" i="94"/>
  <c r="F488" i="94"/>
  <c r="H488" i="94" s="1"/>
  <c r="A488" i="94"/>
  <c r="F487" i="94"/>
  <c r="H487" i="94" s="1"/>
  <c r="A487" i="94"/>
  <c r="F486" i="94"/>
  <c r="H486" i="94" s="1"/>
  <c r="A486" i="94"/>
  <c r="F485" i="94"/>
  <c r="H485" i="94" s="1"/>
  <c r="A485" i="94"/>
  <c r="F484" i="94"/>
  <c r="H484" i="94" s="1"/>
  <c r="A484" i="94"/>
  <c r="F483" i="94"/>
  <c r="H483" i="94" s="1"/>
  <c r="A483" i="94"/>
  <c r="F482" i="94"/>
  <c r="H482" i="94" s="1"/>
  <c r="A482" i="94"/>
  <c r="F481" i="94"/>
  <c r="H481" i="94" s="1"/>
  <c r="A481" i="94"/>
  <c r="F480" i="94"/>
  <c r="H480" i="94" s="1"/>
  <c r="A480" i="94"/>
  <c r="F479" i="94"/>
  <c r="H479" i="94" s="1"/>
  <c r="A479" i="94"/>
  <c r="F478" i="94"/>
  <c r="H478" i="94" s="1"/>
  <c r="A478" i="94"/>
  <c r="F477" i="94"/>
  <c r="H477" i="94" s="1"/>
  <c r="A477" i="94"/>
  <c r="F476" i="94"/>
  <c r="H476" i="94" s="1"/>
  <c r="A476" i="94"/>
  <c r="F475" i="94"/>
  <c r="H475" i="94" s="1"/>
  <c r="A475" i="94"/>
  <c r="BX464" i="94"/>
  <c r="BT464" i="94"/>
  <c r="BC464" i="94"/>
  <c r="AU464" i="94"/>
  <c r="AL464" i="94"/>
  <c r="AH464" i="94"/>
  <c r="AB464" i="94"/>
  <c r="Q464" i="94"/>
  <c r="I464" i="94"/>
  <c r="A464" i="94"/>
  <c r="BX463" i="94"/>
  <c r="BT463" i="94"/>
  <c r="BN463" i="94"/>
  <c r="BC463" i="94"/>
  <c r="AU463" i="94"/>
  <c r="AL463" i="94"/>
  <c r="AH463" i="94"/>
  <c r="AB463" i="94"/>
  <c r="Q463" i="94"/>
  <c r="I463" i="94"/>
  <c r="A463" i="94"/>
  <c r="BX462" i="94"/>
  <c r="BT462" i="94"/>
  <c r="BN462" i="94"/>
  <c r="BC462" i="94"/>
  <c r="AU462" i="94"/>
  <c r="AL462" i="94"/>
  <c r="AH462" i="94"/>
  <c r="AB462" i="94"/>
  <c r="Q462" i="94"/>
  <c r="I462" i="94"/>
  <c r="A462" i="94"/>
  <c r="BX461" i="94"/>
  <c r="BT461" i="94"/>
  <c r="BN461" i="94"/>
  <c r="BC461" i="94"/>
  <c r="AU461" i="94"/>
  <c r="AL461" i="94"/>
  <c r="AH461" i="94"/>
  <c r="AB461" i="94"/>
  <c r="Q461" i="94"/>
  <c r="I461" i="94"/>
  <c r="A461" i="94"/>
  <c r="BX460" i="94"/>
  <c r="BT460" i="94"/>
  <c r="BN460" i="94"/>
  <c r="BC460" i="94"/>
  <c r="AU460" i="94"/>
  <c r="AL460" i="94"/>
  <c r="AH460" i="94"/>
  <c r="AB460" i="94"/>
  <c r="Q460" i="94"/>
  <c r="I460" i="94"/>
  <c r="A460" i="94"/>
  <c r="BX459" i="94"/>
  <c r="BT459" i="94"/>
  <c r="BN459" i="94"/>
  <c r="BC459" i="94"/>
  <c r="AU459" i="94"/>
  <c r="AL459" i="94"/>
  <c r="AH459" i="94"/>
  <c r="AB459" i="94"/>
  <c r="Q459" i="94"/>
  <c r="I459" i="94"/>
  <c r="A459" i="94"/>
  <c r="BX458" i="94"/>
  <c r="BT458" i="94"/>
  <c r="BN458" i="94"/>
  <c r="BC458" i="94"/>
  <c r="AU458" i="94"/>
  <c r="AL458" i="94"/>
  <c r="AH458" i="94"/>
  <c r="AB458" i="94"/>
  <c r="Q458" i="94"/>
  <c r="I458" i="94"/>
  <c r="A458" i="94"/>
  <c r="BX457" i="94"/>
  <c r="BT457" i="94"/>
  <c r="BN457" i="94"/>
  <c r="BC457" i="94"/>
  <c r="AU457" i="94"/>
  <c r="AL457" i="94"/>
  <c r="AH457" i="94"/>
  <c r="AB457" i="94"/>
  <c r="Q457" i="94"/>
  <c r="I457" i="94"/>
  <c r="A457" i="94"/>
  <c r="BX456" i="94"/>
  <c r="BT456" i="94"/>
  <c r="BN456" i="94"/>
  <c r="BC456" i="94"/>
  <c r="AU456" i="94"/>
  <c r="AL456" i="94"/>
  <c r="AH456" i="94"/>
  <c r="AB456" i="94"/>
  <c r="Q456" i="94"/>
  <c r="I456" i="94"/>
  <c r="A456" i="94"/>
  <c r="BX455" i="94"/>
  <c r="BT455" i="94"/>
  <c r="BN455" i="94"/>
  <c r="BC455" i="94"/>
  <c r="AU455" i="94"/>
  <c r="AL455" i="94"/>
  <c r="AH455" i="94"/>
  <c r="AB455" i="94"/>
  <c r="Q455" i="94"/>
  <c r="I455" i="94"/>
  <c r="A455" i="94"/>
  <c r="BX454" i="94"/>
  <c r="BT454" i="94"/>
  <c r="BN454" i="94"/>
  <c r="BC454" i="94"/>
  <c r="AU454" i="94"/>
  <c r="AL454" i="94"/>
  <c r="AH454" i="94"/>
  <c r="AB454" i="94"/>
  <c r="Q454" i="94"/>
  <c r="I454" i="94"/>
  <c r="A454" i="94"/>
  <c r="BX453" i="94"/>
  <c r="BT453" i="94"/>
  <c r="BN453" i="94"/>
  <c r="BC453" i="94"/>
  <c r="AU453" i="94"/>
  <c r="AL453" i="94"/>
  <c r="AH453" i="94"/>
  <c r="AB453" i="94"/>
  <c r="Q453" i="94"/>
  <c r="I453" i="94"/>
  <c r="A453" i="94"/>
  <c r="BX452" i="94"/>
  <c r="BT452" i="94"/>
  <c r="BN452" i="94"/>
  <c r="BC452" i="94"/>
  <c r="AU452" i="94"/>
  <c r="AL452" i="94"/>
  <c r="AH452" i="94"/>
  <c r="AB452" i="94"/>
  <c r="Q452" i="94"/>
  <c r="I452" i="94"/>
  <c r="A452" i="94"/>
  <c r="BX451" i="94"/>
  <c r="BT451" i="94"/>
  <c r="BN451" i="94"/>
  <c r="BC451" i="94"/>
  <c r="AU451" i="94"/>
  <c r="AL451" i="94"/>
  <c r="AH451" i="94"/>
  <c r="AB451" i="94"/>
  <c r="Q451" i="94"/>
  <c r="I451" i="94"/>
  <c r="A451" i="94"/>
  <c r="BX450" i="94"/>
  <c r="BT450" i="94"/>
  <c r="BN450" i="94"/>
  <c r="BC450" i="94"/>
  <c r="AU450" i="94"/>
  <c r="AL450" i="94"/>
  <c r="AH450" i="94"/>
  <c r="AB450" i="94"/>
  <c r="Q450" i="94"/>
  <c r="I450" i="94"/>
  <c r="A450" i="94"/>
  <c r="BX449" i="94"/>
  <c r="BT449" i="94"/>
  <c r="BN449" i="94"/>
  <c r="BC449" i="94"/>
  <c r="AU449" i="94"/>
  <c r="AL449" i="94"/>
  <c r="AH449" i="94"/>
  <c r="AB449" i="94"/>
  <c r="Q449" i="94"/>
  <c r="I449" i="94"/>
  <c r="A449" i="94"/>
  <c r="BX448" i="94"/>
  <c r="BT448" i="94"/>
  <c r="BN448" i="94"/>
  <c r="BC448" i="94"/>
  <c r="AU448" i="94"/>
  <c r="AL448" i="94"/>
  <c r="AH448" i="94"/>
  <c r="AB448" i="94"/>
  <c r="Q448" i="94"/>
  <c r="I448" i="94"/>
  <c r="A448" i="94"/>
  <c r="BX447" i="94"/>
  <c r="BT447" i="94"/>
  <c r="BN447" i="94"/>
  <c r="BC447" i="94"/>
  <c r="AU447" i="94"/>
  <c r="AL447" i="94"/>
  <c r="AH447" i="94"/>
  <c r="AB447" i="94"/>
  <c r="Q447" i="94"/>
  <c r="I447" i="94"/>
  <c r="A447" i="94"/>
  <c r="BX446" i="94"/>
  <c r="BT446" i="94"/>
  <c r="BN446" i="94"/>
  <c r="BC446" i="94"/>
  <c r="AU446" i="94"/>
  <c r="AL446" i="94"/>
  <c r="AH446" i="94"/>
  <c r="AB446" i="94"/>
  <c r="Q446" i="94"/>
  <c r="I446" i="94"/>
  <c r="A446" i="94"/>
  <c r="BX445" i="94"/>
  <c r="BT445" i="94"/>
  <c r="BN445" i="94"/>
  <c r="BC445" i="94"/>
  <c r="AU445" i="94"/>
  <c r="AL445" i="94"/>
  <c r="AH445" i="94"/>
  <c r="AB445" i="94"/>
  <c r="Q445" i="94"/>
  <c r="I445" i="94"/>
  <c r="A445" i="94"/>
  <c r="BX444" i="94"/>
  <c r="BT444" i="94"/>
  <c r="BN444" i="94"/>
  <c r="BC444" i="94"/>
  <c r="AU444" i="94"/>
  <c r="AL444" i="94"/>
  <c r="AH444" i="94"/>
  <c r="AB444" i="94"/>
  <c r="Q444" i="94"/>
  <c r="I444" i="94"/>
  <c r="A444" i="94"/>
  <c r="BX443" i="94"/>
  <c r="BT443" i="94"/>
  <c r="BN443" i="94"/>
  <c r="BC443" i="94"/>
  <c r="AU443" i="94"/>
  <c r="AL443" i="94"/>
  <c r="AH443" i="94"/>
  <c r="AB443" i="94"/>
  <c r="Q443" i="94"/>
  <c r="I443" i="94"/>
  <c r="A443" i="94"/>
  <c r="BX442" i="94"/>
  <c r="BT442" i="94"/>
  <c r="BN442" i="94"/>
  <c r="BC442" i="94"/>
  <c r="AU442" i="94"/>
  <c r="AL442" i="94"/>
  <c r="AH442" i="94"/>
  <c r="AB442" i="94"/>
  <c r="Q442" i="94"/>
  <c r="I442" i="94"/>
  <c r="A442" i="94"/>
  <c r="BX441" i="94"/>
  <c r="BT441" i="94"/>
  <c r="BN441" i="94"/>
  <c r="BC441" i="94"/>
  <c r="AU441" i="94"/>
  <c r="AL441" i="94"/>
  <c r="AH441" i="94"/>
  <c r="AB441" i="94"/>
  <c r="Q441" i="94"/>
  <c r="I441" i="94"/>
  <c r="A441" i="94"/>
  <c r="BX440" i="94"/>
  <c r="BT440" i="94"/>
  <c r="BN440" i="94"/>
  <c r="BC440" i="94"/>
  <c r="AU440" i="94"/>
  <c r="AL440" i="94"/>
  <c r="AH440" i="94"/>
  <c r="AB440" i="94"/>
  <c r="Q440" i="94"/>
  <c r="I440" i="94"/>
  <c r="A440" i="94"/>
  <c r="BX439" i="94"/>
  <c r="BT439" i="94"/>
  <c r="BN439" i="94"/>
  <c r="BC439" i="94"/>
  <c r="AU439" i="94"/>
  <c r="AL439" i="94"/>
  <c r="AH439" i="94"/>
  <c r="AB439" i="94"/>
  <c r="Q439" i="94"/>
  <c r="I439" i="94"/>
  <c r="A439" i="94"/>
  <c r="BX438" i="94"/>
  <c r="BT438" i="94"/>
  <c r="BN438" i="94"/>
  <c r="BC438" i="94"/>
  <c r="AU438" i="94"/>
  <c r="AL438" i="94"/>
  <c r="AH438" i="94"/>
  <c r="AB438" i="94"/>
  <c r="Q438" i="94"/>
  <c r="I438" i="94"/>
  <c r="A438" i="94"/>
  <c r="BX437" i="94"/>
  <c r="BT437" i="94"/>
  <c r="BN437" i="94"/>
  <c r="BC437" i="94"/>
  <c r="AU437" i="94"/>
  <c r="AL437" i="94"/>
  <c r="AH437" i="94"/>
  <c r="AB437" i="94"/>
  <c r="Q437" i="94"/>
  <c r="I437" i="94"/>
  <c r="A437" i="94"/>
  <c r="FD430" i="94"/>
  <c r="EM430" i="94"/>
  <c r="EA430" i="94"/>
  <c r="CX430" i="94"/>
  <c r="CP430" i="94"/>
  <c r="BV430" i="94"/>
  <c r="CC430" i="94" s="1"/>
  <c r="BK430" i="94"/>
  <c r="AY430" i="94"/>
  <c r="V430" i="94"/>
  <c r="N430" i="94"/>
  <c r="A430" i="94"/>
  <c r="FD429" i="94"/>
  <c r="EM429" i="94"/>
  <c r="EA429" i="94"/>
  <c r="CX429" i="94"/>
  <c r="CP429" i="94"/>
  <c r="BV429" i="94"/>
  <c r="CC429" i="94" s="1"/>
  <c r="BK429" i="94"/>
  <c r="AY429" i="94"/>
  <c r="V429" i="94"/>
  <c r="N429" i="94"/>
  <c r="A429" i="94"/>
  <c r="FD428" i="94"/>
  <c r="EM428" i="94"/>
  <c r="EA428" i="94"/>
  <c r="CX428" i="94"/>
  <c r="CP428" i="94"/>
  <c r="BV428" i="94"/>
  <c r="CC428" i="94" s="1"/>
  <c r="BK428" i="94"/>
  <c r="AY428" i="94"/>
  <c r="V428" i="94"/>
  <c r="N428" i="94"/>
  <c r="A428" i="94"/>
  <c r="FD427" i="94"/>
  <c r="EM427" i="94"/>
  <c r="EA427" i="94"/>
  <c r="CX427" i="94"/>
  <c r="CP427" i="94"/>
  <c r="BV427" i="94"/>
  <c r="CC427" i="94" s="1"/>
  <c r="BK427" i="94"/>
  <c r="AY427" i="94"/>
  <c r="V427" i="94"/>
  <c r="N427" i="94"/>
  <c r="A427" i="94"/>
  <c r="FD426" i="94"/>
  <c r="EM426" i="94"/>
  <c r="EA426" i="94"/>
  <c r="CX426" i="94"/>
  <c r="CP426" i="94"/>
  <c r="BV426" i="94"/>
  <c r="CC426" i="94" s="1"/>
  <c r="BK426" i="94"/>
  <c r="AY426" i="94"/>
  <c r="V426" i="94"/>
  <c r="N426" i="94"/>
  <c r="A426" i="94"/>
  <c r="FD425" i="94"/>
  <c r="EM425" i="94"/>
  <c r="EA425" i="94"/>
  <c r="CX425" i="94"/>
  <c r="CP425" i="94"/>
  <c r="BV425" i="94"/>
  <c r="CC425" i="94" s="1"/>
  <c r="BK425" i="94"/>
  <c r="AY425" i="94"/>
  <c r="V425" i="94"/>
  <c r="N425" i="94"/>
  <c r="A425" i="94"/>
  <c r="FD424" i="94"/>
  <c r="EM424" i="94"/>
  <c r="EA424" i="94"/>
  <c r="CX424" i="94"/>
  <c r="CP424" i="94"/>
  <c r="BV424" i="94"/>
  <c r="CC424" i="94" s="1"/>
  <c r="BK424" i="94"/>
  <c r="AY424" i="94"/>
  <c r="V424" i="94"/>
  <c r="N424" i="94"/>
  <c r="A424" i="94"/>
  <c r="FD423" i="94"/>
  <c r="EM423" i="94"/>
  <c r="EA423" i="94"/>
  <c r="CX423" i="94"/>
  <c r="CP423" i="94"/>
  <c r="BV423" i="94"/>
  <c r="CC423" i="94" s="1"/>
  <c r="BK423" i="94"/>
  <c r="AY423" i="94"/>
  <c r="V423" i="94"/>
  <c r="A423" i="94"/>
  <c r="FD422" i="94"/>
  <c r="EM422" i="94"/>
  <c r="EA422" i="94"/>
  <c r="CX422" i="94"/>
  <c r="CP422" i="94"/>
  <c r="BV422" i="94"/>
  <c r="CC422" i="94" s="1"/>
  <c r="BK422" i="94"/>
  <c r="AY422" i="94"/>
  <c r="V422" i="94"/>
  <c r="N422" i="94"/>
  <c r="FD421" i="94"/>
  <c r="EM421" i="94"/>
  <c r="EA421" i="94"/>
  <c r="CX421" i="94"/>
  <c r="CP421" i="94"/>
  <c r="BV421" i="94"/>
  <c r="CC421" i="94" s="1"/>
  <c r="BK421" i="94"/>
  <c r="AY421" i="94"/>
  <c r="V421" i="94"/>
  <c r="N421" i="94"/>
  <c r="A421" i="94"/>
  <c r="FD420" i="94"/>
  <c r="EM420" i="94"/>
  <c r="EA420" i="94"/>
  <c r="CX420" i="94"/>
  <c r="CP420" i="94"/>
  <c r="BV420" i="94"/>
  <c r="CC420" i="94" s="1"/>
  <c r="BK420" i="94"/>
  <c r="AY420" i="94"/>
  <c r="V420" i="94"/>
  <c r="N420" i="94"/>
  <c r="A420" i="94"/>
  <c r="FD419" i="94"/>
  <c r="EM419" i="94"/>
  <c r="EA419" i="94"/>
  <c r="CX419" i="94"/>
  <c r="CP419" i="94"/>
  <c r="BV419" i="94"/>
  <c r="CC419" i="94" s="1"/>
  <c r="BK419" i="94"/>
  <c r="AY419" i="94"/>
  <c r="V419" i="94"/>
  <c r="N419" i="94"/>
  <c r="FD418" i="94"/>
  <c r="EM418" i="94"/>
  <c r="EA418" i="94"/>
  <c r="CX418" i="94"/>
  <c r="CP418" i="94"/>
  <c r="BV418" i="94"/>
  <c r="CC418" i="94" s="1"/>
  <c r="BK418" i="94"/>
  <c r="AY418" i="94"/>
  <c r="V418" i="94"/>
  <c r="N418" i="94"/>
  <c r="A418" i="94"/>
  <c r="FD417" i="94"/>
  <c r="EM417" i="94"/>
  <c r="EA417" i="94"/>
  <c r="CX417" i="94"/>
  <c r="CP417" i="94"/>
  <c r="BV417" i="94"/>
  <c r="CC417" i="94" s="1"/>
  <c r="BK417" i="94"/>
  <c r="AY417" i="94"/>
  <c r="V417" i="94"/>
  <c r="N417" i="94"/>
  <c r="FD416" i="94"/>
  <c r="EM416" i="94"/>
  <c r="EA416" i="94"/>
  <c r="CX416" i="94"/>
  <c r="CP416" i="94"/>
  <c r="BV416" i="94"/>
  <c r="CC416" i="94" s="1"/>
  <c r="BK416" i="94"/>
  <c r="AY416" i="94"/>
  <c r="V416" i="94"/>
  <c r="N416" i="94"/>
  <c r="A416" i="94"/>
  <c r="FD415" i="94"/>
  <c r="EM415" i="94"/>
  <c r="EA415" i="94"/>
  <c r="CX415" i="94"/>
  <c r="CP415" i="94"/>
  <c r="BV415" i="94"/>
  <c r="CC415" i="94" s="1"/>
  <c r="BK415" i="94"/>
  <c r="AY415" i="94"/>
  <c r="V415" i="94"/>
  <c r="N415" i="94"/>
  <c r="A415" i="94"/>
  <c r="FD414" i="94"/>
  <c r="EM414" i="94"/>
  <c r="EA414" i="94"/>
  <c r="CX414" i="94"/>
  <c r="CP414" i="94"/>
  <c r="BV414" i="94"/>
  <c r="CC414" i="94" s="1"/>
  <c r="BK414" i="94"/>
  <c r="AY414" i="94"/>
  <c r="V414" i="94"/>
  <c r="N414" i="94"/>
  <c r="A414" i="94"/>
  <c r="FD413" i="94"/>
  <c r="EM413" i="94"/>
  <c r="EA413" i="94"/>
  <c r="CX413" i="94"/>
  <c r="CP413" i="94"/>
  <c r="BV413" i="94"/>
  <c r="CC413" i="94" s="1"/>
  <c r="BK413" i="94"/>
  <c r="AY413" i="94"/>
  <c r="V413" i="94"/>
  <c r="N413" i="94"/>
  <c r="A413" i="94"/>
  <c r="FD412" i="94"/>
  <c r="EM412" i="94"/>
  <c r="EA412" i="94"/>
  <c r="CX412" i="94"/>
  <c r="CP412" i="94"/>
  <c r="BV412" i="94"/>
  <c r="CC412" i="94" s="1"/>
  <c r="BK412" i="94"/>
  <c r="AY412" i="94"/>
  <c r="V412" i="94"/>
  <c r="N412" i="94"/>
  <c r="A412" i="94"/>
  <c r="FD411" i="94"/>
  <c r="EM411" i="94"/>
  <c r="EA411" i="94"/>
  <c r="CX411" i="94"/>
  <c r="CP411" i="94"/>
  <c r="BV411" i="94"/>
  <c r="CC411" i="94" s="1"/>
  <c r="BK411" i="94"/>
  <c r="AY411" i="94"/>
  <c r="V411" i="94"/>
  <c r="N411" i="94"/>
  <c r="A411" i="94"/>
  <c r="FD410" i="94"/>
  <c r="EM410" i="94"/>
  <c r="EA410" i="94"/>
  <c r="CX410" i="94"/>
  <c r="CP410" i="94"/>
  <c r="BV410" i="94"/>
  <c r="CC410" i="94" s="1"/>
  <c r="BK410" i="94"/>
  <c r="AY410" i="94"/>
  <c r="V410" i="94"/>
  <c r="N410" i="94"/>
  <c r="A410" i="94"/>
  <c r="FD409" i="94"/>
  <c r="EM409" i="94"/>
  <c r="EA409" i="94"/>
  <c r="CX409" i="94"/>
  <c r="CP409" i="94"/>
  <c r="BV409" i="94"/>
  <c r="CC409" i="94" s="1"/>
  <c r="BK409" i="94"/>
  <c r="AY409" i="94"/>
  <c r="V409" i="94"/>
  <c r="N409" i="94"/>
  <c r="A409" i="94"/>
  <c r="FD408" i="94"/>
  <c r="EM408" i="94"/>
  <c r="EA408" i="94"/>
  <c r="CX408" i="94"/>
  <c r="CP408" i="94"/>
  <c r="BV408" i="94"/>
  <c r="CC408" i="94" s="1"/>
  <c r="BK408" i="94"/>
  <c r="AY408" i="94"/>
  <c r="V408" i="94"/>
  <c r="N408" i="94"/>
  <c r="A408" i="94"/>
  <c r="FD407" i="94"/>
  <c r="EM407" i="94"/>
  <c r="EA407" i="94"/>
  <c r="CX407" i="94"/>
  <c r="CP407" i="94"/>
  <c r="BV407" i="94"/>
  <c r="CC407" i="94" s="1"/>
  <c r="BK407" i="94"/>
  <c r="AY407" i="94"/>
  <c r="V407" i="94"/>
  <c r="N407" i="94"/>
  <c r="A407" i="94"/>
  <c r="FD406" i="94"/>
  <c r="EM406" i="94"/>
  <c r="EA406" i="94"/>
  <c r="CX406" i="94"/>
  <c r="CP406" i="94"/>
  <c r="BV406" i="94"/>
  <c r="CC406" i="94" s="1"/>
  <c r="BK406" i="94"/>
  <c r="AY406" i="94"/>
  <c r="V406" i="94"/>
  <c r="N406" i="94"/>
  <c r="A406" i="94"/>
  <c r="FD405" i="94"/>
  <c r="EM405" i="94"/>
  <c r="EA405" i="94"/>
  <c r="CX405" i="94"/>
  <c r="CP405" i="94"/>
  <c r="BV405" i="94"/>
  <c r="CC405" i="94" s="1"/>
  <c r="BK405" i="94"/>
  <c r="AY405" i="94"/>
  <c r="V405" i="94"/>
  <c r="N405" i="94"/>
  <c r="A405" i="94"/>
  <c r="FD404" i="94"/>
  <c r="EM404" i="94"/>
  <c r="EA404" i="94"/>
  <c r="CX404" i="94"/>
  <c r="CP404" i="94"/>
  <c r="BV404" i="94"/>
  <c r="CC404" i="94" s="1"/>
  <c r="BK404" i="94"/>
  <c r="AY404" i="94"/>
  <c r="V404" i="94"/>
  <c r="N404" i="94"/>
  <c r="A404" i="94"/>
  <c r="FD403" i="94"/>
  <c r="EM403" i="94"/>
  <c r="EA403" i="94"/>
  <c r="CX403" i="94"/>
  <c r="CP403" i="94"/>
  <c r="BV403" i="94"/>
  <c r="CC403" i="94" s="1"/>
  <c r="BK403" i="94"/>
  <c r="AY403" i="94"/>
  <c r="V403" i="94"/>
  <c r="N403" i="94"/>
  <c r="A403" i="94"/>
  <c r="A359" i="94"/>
  <c r="A358" i="94"/>
  <c r="A357" i="94"/>
  <c r="A356" i="94"/>
  <c r="A355" i="94"/>
  <c r="A354" i="94"/>
  <c r="A353" i="94"/>
  <c r="A352" i="94"/>
  <c r="A351" i="94"/>
  <c r="A350" i="94"/>
  <c r="A349" i="94"/>
  <c r="A348" i="94"/>
  <c r="A347" i="94"/>
  <c r="A346" i="94"/>
  <c r="A345" i="94"/>
  <c r="A344" i="94"/>
  <c r="A343" i="94"/>
  <c r="A342" i="94"/>
  <c r="A341" i="94"/>
  <c r="A340" i="94"/>
  <c r="A339" i="94"/>
  <c r="A338" i="94"/>
  <c r="A337" i="94"/>
  <c r="A336" i="94"/>
  <c r="A335" i="94"/>
  <c r="A334" i="94"/>
  <c r="A333" i="94"/>
  <c r="A332" i="94"/>
  <c r="A326" i="94"/>
  <c r="A325" i="94"/>
  <c r="A324" i="94"/>
  <c r="A323" i="94"/>
  <c r="A322" i="94"/>
  <c r="A321" i="94"/>
  <c r="A320" i="94"/>
  <c r="A319" i="94"/>
  <c r="A318" i="94"/>
  <c r="A317" i="94"/>
  <c r="A316" i="94"/>
  <c r="A315" i="94"/>
  <c r="A314" i="94"/>
  <c r="A313" i="94"/>
  <c r="A312" i="94"/>
  <c r="A311" i="94"/>
  <c r="A310" i="94"/>
  <c r="A309" i="94"/>
  <c r="A308" i="94"/>
  <c r="A307" i="94"/>
  <c r="A306" i="94"/>
  <c r="A305" i="94"/>
  <c r="A304" i="94"/>
  <c r="A303" i="94"/>
  <c r="A302" i="94"/>
  <c r="A301" i="94"/>
  <c r="A300" i="94"/>
  <c r="A299" i="94"/>
  <c r="A288" i="94"/>
  <c r="A287" i="94"/>
  <c r="A286" i="94"/>
  <c r="A285" i="94"/>
  <c r="A284" i="94"/>
  <c r="A283" i="94"/>
  <c r="A282" i="94"/>
  <c r="A281" i="94"/>
  <c r="A280" i="94"/>
  <c r="A279" i="94"/>
  <c r="A278" i="94"/>
  <c r="A277" i="94"/>
  <c r="A276" i="94"/>
  <c r="A275" i="94"/>
  <c r="A274" i="94"/>
  <c r="A273" i="94"/>
  <c r="A272" i="94"/>
  <c r="A271" i="94"/>
  <c r="A270" i="94"/>
  <c r="A269" i="94"/>
  <c r="A268" i="94"/>
  <c r="A267" i="94"/>
  <c r="A266" i="94"/>
  <c r="A265" i="94"/>
  <c r="A264" i="94"/>
  <c r="A263" i="94"/>
  <c r="A262" i="94"/>
  <c r="A261" i="94"/>
  <c r="A254" i="94"/>
  <c r="A253" i="94"/>
  <c r="A252" i="94"/>
  <c r="A251" i="94"/>
  <c r="A250" i="94"/>
  <c r="A249" i="94"/>
  <c r="A248" i="94"/>
  <c r="A247" i="94"/>
  <c r="A246" i="94"/>
  <c r="A245" i="94"/>
  <c r="A244" i="94"/>
  <c r="A243" i="94"/>
  <c r="A242" i="94"/>
  <c r="A241" i="94"/>
  <c r="A240" i="94"/>
  <c r="A239" i="94"/>
  <c r="A238" i="94"/>
  <c r="A237" i="94"/>
  <c r="A236" i="94"/>
  <c r="A235" i="94"/>
  <c r="A234" i="94"/>
  <c r="A233" i="94"/>
  <c r="A232" i="94"/>
  <c r="A231" i="94"/>
  <c r="A230" i="94"/>
  <c r="A229" i="94"/>
  <c r="A228" i="94"/>
  <c r="A227" i="94"/>
  <c r="A220" i="94"/>
  <c r="A219" i="94"/>
  <c r="A218" i="94"/>
  <c r="A217" i="94"/>
  <c r="A216" i="94"/>
  <c r="A215" i="94"/>
  <c r="A214" i="94"/>
  <c r="A213" i="94"/>
  <c r="A212" i="94"/>
  <c r="A211" i="94"/>
  <c r="A210" i="94"/>
  <c r="A209" i="94"/>
  <c r="A208" i="94"/>
  <c r="A207" i="94"/>
  <c r="A206" i="94"/>
  <c r="A205" i="94"/>
  <c r="A204" i="94"/>
  <c r="A203" i="94"/>
  <c r="A202" i="94"/>
  <c r="A201" i="94"/>
  <c r="A200" i="94"/>
  <c r="A199" i="94"/>
  <c r="A198" i="94"/>
  <c r="A197" i="94"/>
  <c r="A196" i="94"/>
  <c r="A195" i="94"/>
  <c r="A194" i="94"/>
  <c r="A193" i="94"/>
  <c r="N181" i="94"/>
  <c r="N180" i="94"/>
  <c r="N179" i="94"/>
  <c r="B179" i="94"/>
  <c r="N178" i="94"/>
  <c r="N177" i="94"/>
  <c r="N176" i="94"/>
  <c r="N175" i="94"/>
  <c r="N174" i="94"/>
  <c r="N173" i="94"/>
  <c r="N172" i="94"/>
  <c r="N171" i="94"/>
  <c r="N170" i="94"/>
  <c r="N169" i="94"/>
  <c r="N168" i="94"/>
  <c r="N167" i="94"/>
  <c r="N166" i="94"/>
  <c r="N165" i="94"/>
  <c r="N164" i="94"/>
  <c r="N163" i="94"/>
  <c r="N162" i="94"/>
  <c r="N161" i="94"/>
  <c r="N160" i="94"/>
  <c r="N159" i="94"/>
  <c r="N158" i="94"/>
  <c r="N157" i="94"/>
  <c r="N156" i="94"/>
  <c r="N155" i="94"/>
  <c r="N154" i="94"/>
  <c r="D106" i="94"/>
  <c r="D105" i="94"/>
  <c r="D104" i="94"/>
  <c r="D103" i="94"/>
  <c r="D102" i="94"/>
  <c r="D101" i="94"/>
  <c r="D100" i="94"/>
  <c r="D99" i="94"/>
  <c r="D98" i="94"/>
  <c r="D97" i="94"/>
  <c r="D96" i="94"/>
  <c r="D95" i="94"/>
  <c r="D94" i="94"/>
  <c r="D93" i="94"/>
  <c r="D92" i="94"/>
  <c r="D91" i="94"/>
  <c r="D90" i="94"/>
  <c r="D89" i="94"/>
  <c r="D88" i="94"/>
  <c r="D87" i="94"/>
  <c r="D86" i="94"/>
  <c r="D85" i="94"/>
  <c r="D84" i="94"/>
  <c r="D83" i="94"/>
  <c r="D82" i="94"/>
  <c r="D81" i="94"/>
  <c r="D80" i="94"/>
  <c r="D79" i="94"/>
  <c r="D71" i="94"/>
  <c r="D70" i="94"/>
  <c r="D69" i="94"/>
  <c r="D68" i="94"/>
  <c r="D67" i="94"/>
  <c r="D66" i="94"/>
  <c r="D65" i="94"/>
  <c r="D64" i="94"/>
  <c r="D63" i="94"/>
  <c r="D62" i="94"/>
  <c r="D61" i="94"/>
  <c r="D60" i="94"/>
  <c r="D59" i="94"/>
  <c r="D58" i="94"/>
  <c r="D57" i="94"/>
  <c r="D56" i="94"/>
  <c r="D55" i="94"/>
  <c r="D54" i="94"/>
  <c r="D53" i="94"/>
  <c r="D52" i="94"/>
  <c r="D51" i="94"/>
  <c r="D50" i="94"/>
  <c r="D49" i="94"/>
  <c r="D48" i="94"/>
  <c r="D47" i="94"/>
  <c r="D46" i="94"/>
  <c r="D45" i="94"/>
  <c r="D44" i="94"/>
  <c r="B43" i="94"/>
  <c r="E36" i="94"/>
  <c r="E35" i="94"/>
  <c r="E34" i="94"/>
  <c r="E33" i="94"/>
  <c r="E32" i="94"/>
  <c r="E31" i="94"/>
  <c r="E30" i="94"/>
  <c r="E29" i="94"/>
  <c r="E28" i="94"/>
  <c r="E27" i="94"/>
  <c r="E26" i="94"/>
  <c r="E25" i="94"/>
  <c r="E24" i="94"/>
  <c r="E23" i="94"/>
  <c r="E22" i="94"/>
  <c r="E21" i="94"/>
  <c r="E20" i="94"/>
  <c r="E19" i="94"/>
  <c r="E18" i="94"/>
  <c r="E17" i="94"/>
  <c r="E16" i="94"/>
  <c r="E15" i="94"/>
  <c r="E14" i="94"/>
  <c r="E13" i="94"/>
  <c r="E12" i="94"/>
  <c r="E11" i="94"/>
  <c r="E10" i="94"/>
  <c r="E9" i="94"/>
  <c r="I51" i="49"/>
  <c r="I67" i="49" s="1"/>
  <c r="I89" i="49" s="1"/>
  <c r="G51" i="49"/>
  <c r="G67" i="49" s="1"/>
  <c r="G89" i="49" s="1"/>
  <c r="I40" i="49"/>
  <c r="I39" i="49"/>
  <c r="I38" i="49"/>
  <c r="I37" i="49"/>
  <c r="I36" i="49"/>
  <c r="I34" i="49"/>
  <c r="M5" i="49"/>
  <c r="G4" i="49"/>
  <c r="G1" i="49"/>
  <c r="A52" i="48"/>
  <c r="I3" i="48"/>
  <c r="E3" i="48"/>
  <c r="E1" i="48"/>
  <c r="G7" i="70"/>
  <c r="G4" i="70"/>
  <c r="I74" i="62"/>
  <c r="I73" i="62"/>
  <c r="I58" i="62"/>
  <c r="I57" i="62"/>
  <c r="H39" i="62"/>
  <c r="F74" i="62" s="1"/>
  <c r="H38" i="62"/>
  <c r="H22" i="62"/>
  <c r="F58" i="62" s="1"/>
  <c r="H21" i="62"/>
  <c r="F57" i="62" s="1"/>
  <c r="J17" i="62"/>
  <c r="H17" i="62"/>
  <c r="P10" i="62" s="1"/>
  <c r="H16" i="62"/>
  <c r="J15" i="63" s="1"/>
  <c r="O10" i="62"/>
  <c r="K5" i="62"/>
  <c r="F4" i="62"/>
  <c r="F96" i="63"/>
  <c r="D96" i="63"/>
  <c r="D94" i="63"/>
  <c r="D93" i="63"/>
  <c r="F87" i="63"/>
  <c r="D87" i="63"/>
  <c r="F86" i="63"/>
  <c r="D86" i="63"/>
  <c r="J85" i="63"/>
  <c r="D85" i="63"/>
  <c r="J84" i="63"/>
  <c r="D84" i="63"/>
  <c r="D78" i="63"/>
  <c r="D77" i="63"/>
  <c r="D76" i="63"/>
  <c r="F73" i="63"/>
  <c r="J69" i="63"/>
  <c r="J68" i="63"/>
  <c r="J50" i="63"/>
  <c r="F50" i="63"/>
  <c r="J45" i="63"/>
  <c r="J44" i="63"/>
  <c r="J42" i="63"/>
  <c r="J35" i="63"/>
  <c r="J25" i="63"/>
  <c r="J24" i="63"/>
  <c r="F71" i="63" s="1"/>
  <c r="J23" i="63"/>
  <c r="F70" i="63" s="1"/>
  <c r="J22" i="63"/>
  <c r="F69" i="63" s="1"/>
  <c r="J21" i="63"/>
  <c r="F68" i="63" s="1"/>
  <c r="J20" i="63"/>
  <c r="A9" i="63"/>
  <c r="F6" i="63"/>
  <c r="N5" i="63"/>
  <c r="F3" i="63"/>
  <c r="N1" i="63"/>
  <c r="D190" i="96"/>
  <c r="B190" i="96"/>
  <c r="D183" i="96"/>
  <c r="D182" i="96"/>
  <c r="D181" i="96"/>
  <c r="D180" i="96"/>
  <c r="D173" i="96"/>
  <c r="D172" i="96"/>
  <c r="D171" i="96"/>
  <c r="D170" i="96"/>
  <c r="D169" i="96"/>
  <c r="D168" i="96"/>
  <c r="D167" i="96"/>
  <c r="D166" i="96"/>
  <c r="D165" i="96"/>
  <c r="D158" i="96"/>
  <c r="D157" i="96"/>
  <c r="D156" i="96"/>
  <c r="D155" i="96"/>
  <c r="D154" i="96"/>
  <c r="D153" i="96"/>
  <c r="D152" i="96"/>
  <c r="D146" i="96"/>
  <c r="N145" i="96"/>
  <c r="M145" i="96"/>
  <c r="K145" i="96"/>
  <c r="B145" i="96"/>
  <c r="J145" i="96" s="1"/>
  <c r="D144" i="96"/>
  <c r="D143" i="96"/>
  <c r="D142" i="96"/>
  <c r="D141" i="96"/>
  <c r="D140" i="96"/>
  <c r="N139" i="96"/>
  <c r="M139" i="96"/>
  <c r="K139" i="96"/>
  <c r="B139" i="96"/>
  <c r="J139" i="96" s="1"/>
  <c r="D138" i="96"/>
  <c r="H135" i="96"/>
  <c r="F134" i="96"/>
  <c r="B134" i="96"/>
  <c r="D124" i="96"/>
  <c r="D123" i="96"/>
  <c r="D122" i="96"/>
  <c r="D121" i="96"/>
  <c r="D120" i="96"/>
  <c r="D119" i="96"/>
  <c r="D117" i="96"/>
  <c r="D114" i="96"/>
  <c r="D111" i="96"/>
  <c r="D110" i="96"/>
  <c r="D109" i="96"/>
  <c r="D108" i="96"/>
  <c r="D107" i="96"/>
  <c r="D106" i="96"/>
  <c r="D99" i="96"/>
  <c r="D98" i="96"/>
  <c r="D97" i="96"/>
  <c r="D96" i="96"/>
  <c r="D95" i="96"/>
  <c r="D94" i="96"/>
  <c r="D93" i="96"/>
  <c r="D92" i="96"/>
  <c r="D91" i="96"/>
  <c r="D90" i="96"/>
  <c r="D89" i="96"/>
  <c r="D84" i="96"/>
  <c r="D83" i="96"/>
  <c r="D82" i="96"/>
  <c r="D81" i="96"/>
  <c r="D80" i="96"/>
  <c r="D79" i="96"/>
  <c r="D78" i="96"/>
  <c r="D77" i="96"/>
  <c r="D76" i="96"/>
  <c r="D75" i="96"/>
  <c r="D74" i="96"/>
  <c r="D72" i="96"/>
  <c r="D71" i="96"/>
  <c r="D70" i="96"/>
  <c r="D69" i="96"/>
  <c r="D68" i="96"/>
  <c r="D67" i="96"/>
  <c r="D66" i="96"/>
  <c r="D65" i="96"/>
  <c r="D64" i="96"/>
  <c r="D60" i="96"/>
  <c r="D57" i="96"/>
  <c r="D56" i="96"/>
  <c r="D55" i="96"/>
  <c r="D54" i="96"/>
  <c r="D47" i="96"/>
  <c r="D46" i="96"/>
  <c r="D45" i="96"/>
  <c r="D44" i="96"/>
  <c r="D43" i="96"/>
  <c r="D42" i="96"/>
  <c r="D41" i="96"/>
  <c r="D36" i="96"/>
  <c r="D35" i="96"/>
  <c r="D34" i="96"/>
  <c r="D33" i="96"/>
  <c r="D32" i="96"/>
  <c r="D31" i="96"/>
  <c r="D30" i="96"/>
  <c r="D29" i="96"/>
  <c r="D28" i="96"/>
  <c r="D27" i="96"/>
  <c r="D26" i="96"/>
  <c r="D25" i="96"/>
  <c r="H22" i="96"/>
  <c r="M16" i="96"/>
  <c r="E1" i="96"/>
  <c r="A9" i="73"/>
  <c r="Q27" i="60"/>
  <c r="N25" i="60"/>
  <c r="N22" i="60"/>
  <c r="P20" i="60"/>
  <c r="K19" i="60"/>
  <c r="P18" i="60"/>
  <c r="I18" i="60" a="1"/>
  <c r="I18" i="60" s="1"/>
  <c r="I21" i="60" s="1" a="1"/>
  <c r="I21" i="60" s="1"/>
  <c r="G18" i="60" a="1"/>
  <c r="G18" i="60" s="1"/>
  <c r="G21" i="60" s="1" a="1"/>
  <c r="G21" i="60" s="1"/>
  <c r="D266" i="79" s="1"/>
  <c r="K17" i="60"/>
  <c r="P16" i="60"/>
  <c r="K16" i="60"/>
  <c r="K15" i="60"/>
  <c r="P14" i="60"/>
  <c r="K14" i="60"/>
  <c r="N13" i="60"/>
  <c r="K13" i="60"/>
  <c r="O11" i="60"/>
  <c r="N10" i="60"/>
  <c r="A4" i="60"/>
  <c r="A2" i="73" s="1"/>
  <c r="A1" i="60"/>
  <c r="A1" i="73" s="1"/>
  <c r="I23" i="59" a="1"/>
  <c r="I23" i="59" s="1"/>
  <c r="R22" i="59"/>
  <c r="P22" i="59"/>
  <c r="B9" i="59" s="1"/>
  <c r="R21" i="59"/>
  <c r="Q21" i="59"/>
  <c r="P21" i="59"/>
  <c r="R20" i="59"/>
  <c r="Q20" i="59"/>
  <c r="P20" i="59"/>
  <c r="Q19" i="59"/>
  <c r="Q17" i="59"/>
  <c r="Q15" i="59"/>
  <c r="Q13" i="59"/>
  <c r="O13" i="59"/>
  <c r="O12" i="59"/>
  <c r="O10" i="59"/>
  <c r="A4" i="59"/>
  <c r="O3" i="59" s="1"/>
  <c r="A1" i="59"/>
  <c r="O2" i="59" s="1"/>
  <c r="I21" i="57" a="1"/>
  <c r="I21" i="57" s="1"/>
  <c r="K19" i="57" a="1"/>
  <c r="K19" i="57" s="1"/>
  <c r="K18" i="57" a="1"/>
  <c r="K18" i="57" s="1"/>
  <c r="K17" i="57" a="1"/>
  <c r="K17" i="57" s="1"/>
  <c r="K16" i="57" a="1"/>
  <c r="K16" i="57" s="1"/>
  <c r="K15" i="57" a="1"/>
  <c r="K15" i="57" s="1"/>
  <c r="K14" i="57" a="1"/>
  <c r="K14" i="57" s="1"/>
  <c r="K13" i="57" a="1"/>
  <c r="K13" i="57" s="1"/>
  <c r="A4" i="57"/>
  <c r="A1" i="57"/>
  <c r="I43" i="72" a="1"/>
  <c r="I43" i="72" s="1"/>
  <c r="I46" i="72" s="1"/>
  <c r="Q35" i="72"/>
  <c r="I20" i="72" a="1"/>
  <c r="I20" i="72" s="1"/>
  <c r="I23" i="72" s="1"/>
  <c r="Q18" i="72"/>
  <c r="A4" i="72"/>
  <c r="N3" i="72" s="1"/>
  <c r="Q1" i="72"/>
  <c r="A1" i="72"/>
  <c r="N2" i="72" s="1"/>
  <c r="T3" i="93"/>
  <c r="G4" i="92"/>
  <c r="L3" i="91"/>
  <c r="D4" i="99"/>
  <c r="E14" i="90"/>
  <c r="D4" i="90"/>
  <c r="P49" i="89"/>
  <c r="N49" i="89"/>
  <c r="G42" i="89"/>
  <c r="K21" i="89"/>
  <c r="W18" i="89"/>
  <c r="J4" i="89"/>
  <c r="AZ33" i="87"/>
  <c r="AZ32" i="87"/>
  <c r="AN27" i="87"/>
  <c r="AZ27" i="87" s="1"/>
  <c r="AZ25" i="87"/>
  <c r="AZ24" i="87"/>
  <c r="AZ23" i="87"/>
  <c r="AZ22" i="87"/>
  <c r="AC5" i="87"/>
  <c r="H325" i="97"/>
  <c r="H301" i="97"/>
  <c r="H289" i="97"/>
  <c r="H277" i="97"/>
  <c r="G247" i="97"/>
  <c r="F247" i="97"/>
  <c r="H245" i="97"/>
  <c r="H243" i="97"/>
  <c r="H241" i="97"/>
  <c r="H239" i="97"/>
  <c r="H237" i="97"/>
  <c r="H235" i="97"/>
  <c r="H233" i="97"/>
  <c r="H231" i="97"/>
  <c r="G215" i="97"/>
  <c r="H188" i="97"/>
  <c r="H139" i="97"/>
  <c r="C139" i="97"/>
  <c r="H138" i="97"/>
  <c r="C138" i="97"/>
  <c r="H137" i="97"/>
  <c r="C137" i="97"/>
  <c r="H129" i="97"/>
  <c r="C129" i="97"/>
  <c r="H128" i="97"/>
  <c r="C128" i="97"/>
  <c r="H127" i="97"/>
  <c r="C127" i="97"/>
  <c r="H126" i="97"/>
  <c r="C126" i="97"/>
  <c r="H125" i="97"/>
  <c r="H124" i="97"/>
  <c r="C124" i="97"/>
  <c r="H123" i="97"/>
  <c r="C123" i="97"/>
  <c r="H122" i="97"/>
  <c r="C122" i="97"/>
  <c r="H78" i="97"/>
  <c r="H66" i="97"/>
  <c r="G65" i="97"/>
  <c r="F65" i="97"/>
  <c r="E65" i="97"/>
  <c r="H64" i="97"/>
  <c r="H63" i="97"/>
  <c r="H62" i="97"/>
  <c r="H59" i="97"/>
  <c r="G45" i="97"/>
  <c r="F45" i="97"/>
  <c r="E45" i="97"/>
  <c r="H44" i="97"/>
  <c r="H144" i="97" s="1"/>
  <c r="H43" i="97"/>
  <c r="H143" i="97" s="1"/>
  <c r="H42" i="97"/>
  <c r="H40" i="97"/>
  <c r="H39" i="97"/>
  <c r="G38" i="97"/>
  <c r="F38" i="97"/>
  <c r="E38" i="97"/>
  <c r="H37" i="97"/>
  <c r="H36" i="97"/>
  <c r="H35" i="97"/>
  <c r="H34" i="97"/>
  <c r="H32" i="97"/>
  <c r="H31" i="97"/>
  <c r="G30" i="97"/>
  <c r="F30" i="97"/>
  <c r="E30" i="97"/>
  <c r="H29" i="97"/>
  <c r="H28" i="97"/>
  <c r="G26" i="97"/>
  <c r="F26" i="97"/>
  <c r="E26" i="97"/>
  <c r="H25" i="97"/>
  <c r="H24" i="97"/>
  <c r="H23" i="97"/>
  <c r="H22" i="97"/>
  <c r="H21" i="97"/>
  <c r="H20" i="97"/>
  <c r="C6" i="97"/>
  <c r="O174" i="84"/>
  <c r="O153" i="84"/>
  <c r="O141" i="84"/>
  <c r="O129" i="84"/>
  <c r="G116" i="84"/>
  <c r="G114" i="84"/>
  <c r="G112" i="84"/>
  <c r="G110" i="84"/>
  <c r="M99" i="84"/>
  <c r="K99" i="84"/>
  <c r="O97" i="84"/>
  <c r="O95" i="84"/>
  <c r="O93" i="84"/>
  <c r="O91" i="84"/>
  <c r="H75" i="84"/>
  <c r="M52" i="84"/>
  <c r="E33" i="84"/>
  <c r="D33" i="84"/>
  <c r="I4" i="84"/>
  <c r="J68" i="83"/>
  <c r="G46" i="83"/>
  <c r="F7" i="83"/>
  <c r="F6" i="89" s="1"/>
  <c r="K143" i="58"/>
  <c r="K141" i="58" a="1"/>
  <c r="K141" i="58" s="1"/>
  <c r="K126" i="58"/>
  <c r="K123" i="58" a="1"/>
  <c r="K123" i="58" s="1"/>
  <c r="K93" i="58"/>
  <c r="I92" i="58" a="1"/>
  <c r="I92" i="58" s="1"/>
  <c r="I95" i="58" s="1" a="1"/>
  <c r="I95" i="58" s="1"/>
  <c r="E267" i="79" s="1"/>
  <c r="G92" i="58" a="1"/>
  <c r="G92" i="58" s="1"/>
  <c r="K91" i="58"/>
  <c r="K90" i="58"/>
  <c r="K89" i="58"/>
  <c r="K88" i="58"/>
  <c r="K87" i="58"/>
  <c r="G78" i="58"/>
  <c r="G76" i="58"/>
  <c r="I74" i="58" a="1"/>
  <c r="I74" i="58" s="1"/>
  <c r="G74" i="58" a="1"/>
  <c r="G74" i="58" s="1"/>
  <c r="K72" i="58" a="1"/>
  <c r="K72" i="58" s="1"/>
  <c r="F72" i="58"/>
  <c r="D72" i="58"/>
  <c r="K71" i="58" a="1"/>
  <c r="K71" i="58" s="1"/>
  <c r="F71" i="58"/>
  <c r="D71" i="58"/>
  <c r="K70" i="58" a="1"/>
  <c r="K70" i="58" s="1"/>
  <c r="D70" i="58"/>
  <c r="K69" i="58" a="1"/>
  <c r="K69" i="58" s="1"/>
  <c r="D69" i="58"/>
  <c r="K68" i="58" a="1"/>
  <c r="K68" i="58" s="1"/>
  <c r="D68" i="58"/>
  <c r="K67" i="58" a="1"/>
  <c r="K67" i="58" s="1"/>
  <c r="D67" i="58"/>
  <c r="K66" i="58" a="1"/>
  <c r="K66" i="58" s="1"/>
  <c r="D66" i="58"/>
  <c r="G55" i="58"/>
  <c r="Q53" i="58" a="1"/>
  <c r="Q53" i="58" s="1"/>
  <c r="Q52" i="58" a="1"/>
  <c r="Q52" i="58" s="1"/>
  <c r="K52" i="58" a="1"/>
  <c r="K52" i="58" s="1"/>
  <c r="I52" i="58" a="1"/>
  <c r="I52" i="58" s="1"/>
  <c r="Q50" i="58"/>
  <c r="O50" i="58"/>
  <c r="E243" i="79" s="1"/>
  <c r="Q49" i="58"/>
  <c r="O49" i="58"/>
  <c r="Q48" i="58"/>
  <c r="O48" i="58"/>
  <c r="Q47" i="58"/>
  <c r="O47" i="58"/>
  <c r="Q45" i="58"/>
  <c r="O45" i="58"/>
  <c r="E242" i="79" s="1"/>
  <c r="Q44" i="58"/>
  <c r="O44" i="58"/>
  <c r="E241" i="79" s="1"/>
  <c r="Q43" i="58"/>
  <c r="O43" i="58"/>
  <c r="E240" i="79" s="1"/>
  <c r="Q42" i="58"/>
  <c r="O42" i="58"/>
  <c r="Q41" i="58"/>
  <c r="O41" i="58"/>
  <c r="E238" i="79" s="1"/>
  <c r="Q40" i="58"/>
  <c r="O40" i="58"/>
  <c r="Q32" i="58"/>
  <c r="K30" i="58" a="1"/>
  <c r="K30" i="58" s="1"/>
  <c r="J30" i="58"/>
  <c r="J32" i="58" s="1"/>
  <c r="I30" i="58" a="1"/>
  <c r="I30" i="58" s="1"/>
  <c r="K23" i="58" a="1"/>
  <c r="K23" i="58" s="1"/>
  <c r="I23" i="58" a="1"/>
  <c r="I23" i="58" s="1"/>
  <c r="Q16" i="58"/>
  <c r="K16" i="58" a="1"/>
  <c r="K16" i="58" s="1"/>
  <c r="I16" i="58" a="1"/>
  <c r="I16" i="58" s="1"/>
  <c r="O2" i="58"/>
  <c r="G1" i="58"/>
  <c r="M39" i="51" a="1"/>
  <c r="M39" i="51" s="1"/>
  <c r="K39" i="51" a="1"/>
  <c r="K39" i="51" s="1"/>
  <c r="I39" i="51" a="1"/>
  <c r="I39" i="51" s="1"/>
  <c r="M29" i="51" a="1"/>
  <c r="M29" i="51" s="1"/>
  <c r="K29" i="51" a="1"/>
  <c r="K29" i="51" s="1"/>
  <c r="I29" i="51" a="1"/>
  <c r="I29" i="51" s="1"/>
  <c r="M19" i="51" a="1"/>
  <c r="M19" i="51" s="1"/>
  <c r="K19" i="51" a="1"/>
  <c r="K19" i="51" s="1"/>
  <c r="I19" i="51" a="1"/>
  <c r="I19" i="51" s="1"/>
  <c r="R2" i="51"/>
  <c r="G1" i="51"/>
  <c r="G80" i="77"/>
  <c r="D120" i="79" s="1"/>
  <c r="G79" i="77"/>
  <c r="D119" i="79" s="1"/>
  <c r="G78" i="77"/>
  <c r="D118" i="79" s="1"/>
  <c r="G74" i="77"/>
  <c r="D116" i="79" s="1"/>
  <c r="F116" i="79" s="1" a="1"/>
  <c r="G73" i="77"/>
  <c r="D115" i="79" s="1"/>
  <c r="G72" i="77"/>
  <c r="D114" i="79" s="1"/>
  <c r="F114" i="79" s="1" a="1"/>
  <c r="G71" i="77"/>
  <c r="D113" i="79" s="1"/>
  <c r="G70" i="77"/>
  <c r="G69" i="77"/>
  <c r="D111" i="79" s="1"/>
  <c r="H39" i="77"/>
  <c r="E1" i="77"/>
  <c r="A34" i="77" s="1"/>
  <c r="J27" i="52" a="1"/>
  <c r="J27" i="52" s="1"/>
  <c r="H27" i="52" a="1"/>
  <c r="H27" i="52" s="1"/>
  <c r="Q3" i="52"/>
  <c r="H1" i="52"/>
  <c r="F19" i="52" s="1"/>
  <c r="D88" i="27"/>
  <c r="D87" i="27"/>
  <c r="D83" i="27"/>
  <c r="D82" i="27"/>
  <c r="D81" i="27"/>
  <c r="D80" i="27"/>
  <c r="D79" i="27"/>
  <c r="D78" i="27"/>
  <c r="D77" i="27"/>
  <c r="D76" i="27"/>
  <c r="D75" i="27"/>
  <c r="D74" i="27"/>
  <c r="D73" i="27"/>
  <c r="D72" i="27"/>
  <c r="D71" i="27"/>
  <c r="D70" i="27"/>
  <c r="B66" i="27"/>
  <c r="C61" i="27"/>
  <c r="A61" i="27"/>
  <c r="C60" i="27"/>
  <c r="A60" i="27"/>
  <c r="C59" i="27"/>
  <c r="A59" i="27"/>
  <c r="C58" i="27"/>
  <c r="A58" i="27"/>
  <c r="C57" i="27"/>
  <c r="A57" i="27"/>
  <c r="C56" i="27"/>
  <c r="A56" i="27"/>
  <c r="C55" i="27"/>
  <c r="A55" i="27"/>
  <c r="C54" i="27"/>
  <c r="A54" i="27"/>
  <c r="C53" i="27"/>
  <c r="A53" i="27"/>
  <c r="C52" i="27"/>
  <c r="A52" i="27"/>
  <c r="C51" i="27"/>
  <c r="A51" i="27"/>
  <c r="C50" i="27"/>
  <c r="A50" i="27"/>
  <c r="C49" i="27"/>
  <c r="A49" i="27"/>
  <c r="C48" i="27"/>
  <c r="A48" i="27"/>
  <c r="C47" i="27"/>
  <c r="A47" i="27"/>
  <c r="C46" i="27"/>
  <c r="A46" i="27"/>
  <c r="C45" i="27"/>
  <c r="A45" i="27"/>
  <c r="C44" i="27"/>
  <c r="A44" i="27"/>
  <c r="C43" i="27"/>
  <c r="A43" i="27"/>
  <c r="C42" i="27"/>
  <c r="A42" i="27"/>
  <c r="C41" i="27"/>
  <c r="A41" i="27"/>
  <c r="C40" i="27"/>
  <c r="A40" i="27"/>
  <c r="C39" i="27"/>
  <c r="A39" i="27"/>
  <c r="C38" i="27"/>
  <c r="A38" i="27"/>
  <c r="C37" i="27"/>
  <c r="A37" i="27"/>
  <c r="C36" i="27"/>
  <c r="A36" i="27"/>
  <c r="C35" i="27"/>
  <c r="A35" i="27"/>
  <c r="C34" i="27"/>
  <c r="A34" i="27"/>
  <c r="C33" i="27"/>
  <c r="A33" i="27"/>
  <c r="C32" i="27"/>
  <c r="A32" i="27"/>
  <c r="C31" i="27"/>
  <c r="A31" i="27"/>
  <c r="C30" i="27"/>
  <c r="A30" i="27"/>
  <c r="C29" i="27"/>
  <c r="A29" i="27"/>
  <c r="C28" i="27"/>
  <c r="A28" i="27"/>
  <c r="C27" i="27"/>
  <c r="A27" i="27"/>
  <c r="C22" i="27"/>
  <c r="A22" i="27"/>
  <c r="C21" i="27"/>
  <c r="A21" i="27"/>
  <c r="C20" i="27"/>
  <c r="A20" i="27"/>
  <c r="C19" i="27"/>
  <c r="A19" i="27"/>
  <c r="C18" i="27"/>
  <c r="A18" i="27"/>
  <c r="C17" i="27"/>
  <c r="A17" i="27"/>
  <c r="C16" i="27"/>
  <c r="A16" i="27"/>
  <c r="C15" i="27"/>
  <c r="A15" i="27"/>
  <c r="C13" i="27"/>
  <c r="A13" i="27"/>
  <c r="C12" i="27"/>
  <c r="A12" i="27"/>
  <c r="C11" i="27"/>
  <c r="A11" i="27"/>
  <c r="C10" i="27"/>
  <c r="A10" i="27"/>
  <c r="C9" i="27"/>
  <c r="A9" i="27"/>
  <c r="C8" i="27"/>
  <c r="A8" i="27"/>
  <c r="C7" i="27"/>
  <c r="A7" i="27"/>
  <c r="C6" i="27"/>
  <c r="A6" i="27"/>
  <c r="E2" i="27"/>
  <c r="B1" i="27"/>
  <c r="B65" i="27" s="1"/>
  <c r="C25" i="40"/>
  <c r="F14" i="40"/>
  <c r="F13" i="40"/>
  <c r="C6" i="40"/>
  <c r="B4" i="40"/>
  <c r="B1" i="40"/>
  <c r="C8" i="40" s="1"/>
  <c r="E24" i="26"/>
  <c r="E4" i="26"/>
  <c r="C3" i="26"/>
  <c r="C1" i="26"/>
  <c r="F35" i="25"/>
  <c r="D33" i="25"/>
  <c r="B33" i="25"/>
  <c r="F32" i="25"/>
  <c r="F31" i="25"/>
  <c r="F30" i="25"/>
  <c r="F29" i="25"/>
  <c r="F28" i="25"/>
  <c r="F27" i="25"/>
  <c r="F26" i="25"/>
  <c r="F21" i="25"/>
  <c r="F19" i="25"/>
  <c r="D17" i="25"/>
  <c r="D23" i="25" s="1"/>
  <c r="F5" i="25"/>
  <c r="B4" i="25"/>
  <c r="B1" i="25"/>
  <c r="D10" i="25" s="1"/>
  <c r="D22" i="23" a="1"/>
  <c r="D22" i="23" s="1"/>
  <c r="D99" i="16" s="1"/>
  <c r="C22" i="23" a="1"/>
  <c r="C22" i="23" s="1"/>
  <c r="D94" i="16" s="1"/>
  <c r="B22" i="23" a="1"/>
  <c r="B22" i="23" s="1"/>
  <c r="D89" i="16" s="1"/>
  <c r="E20" i="23" a="1"/>
  <c r="E20" i="23" s="1"/>
  <c r="E19" i="23" a="1"/>
  <c r="E19" i="23" s="1"/>
  <c r="E18" i="23" a="1"/>
  <c r="E18" i="23" s="1"/>
  <c r="E17" i="23" a="1"/>
  <c r="E17" i="23" s="1"/>
  <c r="E16" i="23" a="1"/>
  <c r="E16" i="23" s="1"/>
  <c r="E15" i="23" a="1"/>
  <c r="E15" i="23" s="1"/>
  <c r="E14" i="23" a="1"/>
  <c r="E14" i="23" s="1"/>
  <c r="E12" i="23" a="1"/>
  <c r="E12" i="23" s="1"/>
  <c r="E11" i="23" a="1"/>
  <c r="E11" i="23" s="1"/>
  <c r="E10" i="23" a="1"/>
  <c r="E10" i="23" s="1"/>
  <c r="F6" i="23"/>
  <c r="C4" i="23"/>
  <c r="C1" i="23"/>
  <c r="D103" i="95"/>
  <c r="M103" i="95"/>
  <c r="P83" i="95"/>
  <c r="B81" i="95"/>
  <c r="K83" i="4" s="1"/>
  <c r="M83" i="4" s="1"/>
  <c r="R83" i="4" s="1"/>
  <c r="S83" i="4" s="1"/>
  <c r="M81" i="95"/>
  <c r="N80" i="95"/>
  <c r="O80" i="95" s="1"/>
  <c r="C44" i="95" s="1"/>
  <c r="N79" i="95"/>
  <c r="O79" i="95" s="1"/>
  <c r="D16" i="95" s="1"/>
  <c r="N78" i="95"/>
  <c r="O78" i="95" s="1"/>
  <c r="E19" i="95" s="1"/>
  <c r="N77" i="95"/>
  <c r="N76" i="95"/>
  <c r="O76" i="95" s="1"/>
  <c r="E7" i="95" s="1"/>
  <c r="D73" i="95"/>
  <c r="C73" i="95"/>
  <c r="M67" i="95"/>
  <c r="M93" i="95" s="1"/>
  <c r="N66" i="95"/>
  <c r="O66" i="95" s="1"/>
  <c r="D44" i="95" s="1"/>
  <c r="N65" i="95"/>
  <c r="O65" i="95" s="1"/>
  <c r="F80" i="95" s="1"/>
  <c r="N64" i="95"/>
  <c r="O64" i="95" s="1"/>
  <c r="E9" i="95" s="1"/>
  <c r="B59" i="95"/>
  <c r="M58" i="95"/>
  <c r="G54" i="95"/>
  <c r="G52" i="95" s="1"/>
  <c r="B52" i="95" s="1"/>
  <c r="K49" i="4" s="1"/>
  <c r="M49" i="4" s="1"/>
  <c r="B53" i="95"/>
  <c r="K50" i="4" s="1"/>
  <c r="M50" i="4" s="1"/>
  <c r="D357" i="79" s="1"/>
  <c r="B47" i="95"/>
  <c r="K44" i="4" s="1"/>
  <c r="M44" i="4" s="1"/>
  <c r="D354" i="79" s="1"/>
  <c r="P45" i="95"/>
  <c r="Y41" i="95"/>
  <c r="B41" i="95"/>
  <c r="K39" i="4" s="1"/>
  <c r="M39" i="4" s="1"/>
  <c r="D349" i="79" s="1"/>
  <c r="M42" i="95"/>
  <c r="C38" i="95"/>
  <c r="B38" i="95" s="1"/>
  <c r="K36" i="4" s="1"/>
  <c r="M36" i="4" s="1"/>
  <c r="B33" i="95"/>
  <c r="K31" i="4" s="1"/>
  <c r="M31" i="4" s="1"/>
  <c r="B31" i="4" s="1"/>
  <c r="N32" i="95"/>
  <c r="O32" i="95" s="1"/>
  <c r="N31" i="95"/>
  <c r="O31" i="95" s="1"/>
  <c r="N30" i="95"/>
  <c r="N29" i="95"/>
  <c r="Q27" i="95"/>
  <c r="M25" i="95"/>
  <c r="M47" i="95" s="1"/>
  <c r="N24" i="95"/>
  <c r="O24" i="95" s="1"/>
  <c r="D19" i="95" s="1"/>
  <c r="B18" i="95"/>
  <c r="K17" i="4" s="1"/>
  <c r="M17" i="4" s="1"/>
  <c r="D333" i="79" s="1"/>
  <c r="B17" i="95"/>
  <c r="K16" i="4" s="1"/>
  <c r="M16" i="4" s="1"/>
  <c r="D332" i="79" s="1"/>
  <c r="A3" i="95"/>
  <c r="A1" i="95"/>
  <c r="B63" i="4"/>
  <c r="B61" i="4"/>
  <c r="L53" i="4"/>
  <c r="L46" i="4"/>
  <c r="L33" i="4"/>
  <c r="L22" i="4"/>
  <c r="M28" i="4"/>
  <c r="R28" i="4" s="1"/>
  <c r="S28" i="4" s="1"/>
  <c r="M27" i="4"/>
  <c r="D340" i="79" s="1"/>
  <c r="N4" i="4"/>
  <c r="I1" i="4"/>
  <c r="B60" i="4" s="1"/>
  <c r="U62" i="46"/>
  <c r="V62" i="46" s="1"/>
  <c r="S62" i="46"/>
  <c r="T62" i="46" s="1"/>
  <c r="O62" i="46"/>
  <c r="B15" i="107" s="1"/>
  <c r="N57" i="46" a="1"/>
  <c r="N57" i="46" s="1"/>
  <c r="K57" i="46"/>
  <c r="U55" i="46"/>
  <c r="V55" i="46" s="1"/>
  <c r="L55" i="46"/>
  <c r="U54" i="46"/>
  <c r="V54" i="46" s="1"/>
  <c r="U53" i="46"/>
  <c r="V53" i="46" s="1"/>
  <c r="U52" i="46"/>
  <c r="N47" i="46" a="1"/>
  <c r="N47" i="46" s="1"/>
  <c r="K47" i="46"/>
  <c r="U45" i="46"/>
  <c r="V45" i="46" s="1"/>
  <c r="L45" i="46"/>
  <c r="D101" i="79" s="1"/>
  <c r="U44" i="46"/>
  <c r="V44" i="46" s="1"/>
  <c r="U43" i="46"/>
  <c r="V43" i="46" s="1"/>
  <c r="U42" i="46"/>
  <c r="V42" i="46" s="1"/>
  <c r="U41" i="46"/>
  <c r="V41" i="46" s="1"/>
  <c r="U40" i="46"/>
  <c r="V40" i="46" s="1"/>
  <c r="U39" i="46"/>
  <c r="V39" i="46" s="1"/>
  <c r="U38" i="46"/>
  <c r="V38" i="46" s="1"/>
  <c r="U37" i="46"/>
  <c r="N32" i="46" a="1"/>
  <c r="N32" i="46" s="1"/>
  <c r="K32" i="46"/>
  <c r="U30" i="46"/>
  <c r="V30" i="46" s="1"/>
  <c r="U29" i="46"/>
  <c r="V29" i="46" s="1"/>
  <c r="U28" i="46"/>
  <c r="V28" i="46" s="1"/>
  <c r="U27" i="46"/>
  <c r="V27" i="46" s="1"/>
  <c r="U26" i="46"/>
  <c r="V26" i="46" s="1"/>
  <c r="U25" i="46"/>
  <c r="V25" i="46" s="1"/>
  <c r="U24" i="46"/>
  <c r="V24" i="46" s="1"/>
  <c r="U23" i="46"/>
  <c r="V23" i="46" s="1"/>
  <c r="S23" i="46"/>
  <c r="T23" i="46" s="1"/>
  <c r="U22" i="46"/>
  <c r="S22" i="46"/>
  <c r="T22" i="46" s="1"/>
  <c r="N20" i="46" a="1"/>
  <c r="N20" i="46" s="1"/>
  <c r="K20" i="46" a="1"/>
  <c r="K20" i="46" s="1"/>
  <c r="U18" i="46"/>
  <c r="V18" i="46" s="1"/>
  <c r="U17" i="46"/>
  <c r="V17" i="46" s="1"/>
  <c r="U16" i="46"/>
  <c r="V16" i="46" s="1"/>
  <c r="U15" i="46"/>
  <c r="V15" i="46" s="1"/>
  <c r="J15" i="46"/>
  <c r="L15" i="46" s="1"/>
  <c r="U14" i="46"/>
  <c r="V14" i="46" s="1"/>
  <c r="U13" i="46"/>
  <c r="V13" i="46" s="1"/>
  <c r="U12" i="46"/>
  <c r="V12" i="46" s="1"/>
  <c r="U11" i="46"/>
  <c r="N7" i="46"/>
  <c r="P4" i="46"/>
  <c r="J1" i="46"/>
  <c r="L129" i="45"/>
  <c r="W126" i="45"/>
  <c r="X126" i="45" s="1"/>
  <c r="M126" i="45"/>
  <c r="D68" i="79" s="1"/>
  <c r="W125" i="45"/>
  <c r="X125" i="45" s="1"/>
  <c r="W124" i="45"/>
  <c r="X124" i="45" s="1"/>
  <c r="W123" i="45"/>
  <c r="X123" i="45" s="1"/>
  <c r="W122" i="45"/>
  <c r="X122" i="45" s="1"/>
  <c r="W121" i="45"/>
  <c r="X121" i="45" s="1"/>
  <c r="K121" i="45"/>
  <c r="M121" i="45" s="1"/>
  <c r="W119" i="45"/>
  <c r="X119" i="45" s="1"/>
  <c r="K119" i="45"/>
  <c r="M119" i="45" s="1"/>
  <c r="W116" i="45"/>
  <c r="O112" i="45"/>
  <c r="L112" i="45"/>
  <c r="W110" i="45"/>
  <c r="X110" i="45" s="1"/>
  <c r="W109" i="45"/>
  <c r="X109" i="45" s="1"/>
  <c r="W108" i="45"/>
  <c r="X108" i="45" s="1"/>
  <c r="W107" i="45"/>
  <c r="X107" i="45" s="1"/>
  <c r="W106" i="45"/>
  <c r="X106" i="45" s="1"/>
  <c r="W105" i="45"/>
  <c r="X105" i="45" s="1"/>
  <c r="W104" i="45"/>
  <c r="O99" i="45" a="1"/>
  <c r="O99" i="45" s="1"/>
  <c r="E60" i="79" s="1"/>
  <c r="L99" i="45"/>
  <c r="W97" i="45"/>
  <c r="X97" i="45" s="1"/>
  <c r="W96" i="45"/>
  <c r="X96" i="45" s="1"/>
  <c r="W95" i="45"/>
  <c r="X95" i="45" s="1"/>
  <c r="W94" i="45"/>
  <c r="X94" i="45" s="1"/>
  <c r="W93" i="45"/>
  <c r="X93" i="45" s="1"/>
  <c r="W92" i="45"/>
  <c r="X92" i="45" s="1"/>
  <c r="W91" i="45"/>
  <c r="X91" i="45" s="1"/>
  <c r="W90" i="45"/>
  <c r="X90" i="45" s="1"/>
  <c r="W89" i="45"/>
  <c r="X89" i="45" s="1"/>
  <c r="W88" i="45"/>
  <c r="X88" i="45" s="1"/>
  <c r="W87" i="45"/>
  <c r="O85" i="45"/>
  <c r="K82" i="45"/>
  <c r="O77" i="45"/>
  <c r="E48" i="79" s="1"/>
  <c r="L77" i="45"/>
  <c r="W75" i="45"/>
  <c r="X75" i="45" s="1"/>
  <c r="W74" i="45"/>
  <c r="X74" i="45" s="1"/>
  <c r="W73" i="45"/>
  <c r="X73" i="45" s="1"/>
  <c r="W72" i="45"/>
  <c r="X72" i="45" s="1"/>
  <c r="W71" i="45"/>
  <c r="X71" i="45" s="1"/>
  <c r="W70" i="45"/>
  <c r="X70" i="45" s="1"/>
  <c r="W69" i="45"/>
  <c r="X69" i="45" s="1"/>
  <c r="W68" i="45"/>
  <c r="X68" i="45" s="1"/>
  <c r="W67" i="45"/>
  <c r="X67" i="45" s="1"/>
  <c r="W66" i="45"/>
  <c r="X66" i="45" s="1"/>
  <c r="W65" i="45"/>
  <c r="X65" i="45" s="1"/>
  <c r="W64" i="45"/>
  <c r="X64" i="45" s="1"/>
  <c r="M64" i="45"/>
  <c r="W63" i="45"/>
  <c r="X63" i="45" s="1"/>
  <c r="W62" i="45"/>
  <c r="X62" i="45" s="1"/>
  <c r="W61" i="45"/>
  <c r="X61" i="45" s="1"/>
  <c r="W60" i="45"/>
  <c r="X60" i="45" s="1"/>
  <c r="W59" i="45"/>
  <c r="X59" i="45" s="1"/>
  <c r="W58" i="45"/>
  <c r="X58" i="45" s="1"/>
  <c r="W57" i="45"/>
  <c r="X57" i="45" s="1"/>
  <c r="W56" i="45"/>
  <c r="X56" i="45" s="1"/>
  <c r="W55" i="45"/>
  <c r="W50" i="45"/>
  <c r="O50" i="45"/>
  <c r="L50" i="45"/>
  <c r="O37" i="45"/>
  <c r="D49" i="96" s="1"/>
  <c r="L37" i="45"/>
  <c r="W35" i="45"/>
  <c r="X35" i="45" s="1"/>
  <c r="W34" i="45"/>
  <c r="X34" i="45" s="1"/>
  <c r="W33" i="45"/>
  <c r="X33" i="45" s="1"/>
  <c r="W32" i="45"/>
  <c r="X32" i="45" s="1"/>
  <c r="W31" i="45"/>
  <c r="X31" i="45" s="1"/>
  <c r="W30" i="45"/>
  <c r="X30" i="45" s="1"/>
  <c r="W29" i="45"/>
  <c r="X29" i="45" s="1"/>
  <c r="K29" i="45"/>
  <c r="W28" i="45"/>
  <c r="O25" i="45"/>
  <c r="E13" i="79" s="1"/>
  <c r="L25" i="45"/>
  <c r="W23" i="45"/>
  <c r="X23" i="45" s="1"/>
  <c r="W22" i="45"/>
  <c r="X22" i="45" s="1"/>
  <c r="W21" i="45"/>
  <c r="X21" i="45" s="1"/>
  <c r="W20" i="45"/>
  <c r="X20" i="45" s="1"/>
  <c r="W19" i="45"/>
  <c r="X19" i="45" s="1"/>
  <c r="W18" i="45"/>
  <c r="X18" i="45" s="1"/>
  <c r="W17" i="45"/>
  <c r="X17" i="45" s="1"/>
  <c r="W16" i="45"/>
  <c r="X16" i="45" s="1"/>
  <c r="W15" i="45"/>
  <c r="X15" i="45" s="1"/>
  <c r="W14" i="45"/>
  <c r="X14" i="45" s="1"/>
  <c r="K14" i="45"/>
  <c r="M14" i="45" s="1"/>
  <c r="W13" i="45"/>
  <c r="X13" i="45" s="1"/>
  <c r="W12" i="45"/>
  <c r="K12" i="45"/>
  <c r="M12" i="45" s="1"/>
  <c r="D1" i="79" s="1"/>
  <c r="K3" i="45"/>
  <c r="K79" i="45" s="1"/>
  <c r="P2" i="45"/>
  <c r="N552" i="22"/>
  <c r="N554" i="22" s="1"/>
  <c r="N584" i="22" s="1"/>
  <c r="L552" i="22"/>
  <c r="L554" i="22" s="1"/>
  <c r="I552" i="22"/>
  <c r="I554" i="22" s="1"/>
  <c r="I584" i="22" s="1"/>
  <c r="D552" i="22"/>
  <c r="M551" i="22"/>
  <c r="M549" i="22"/>
  <c r="O549" i="22" s="1"/>
  <c r="M548" i="22"/>
  <c r="O548" i="22" s="1"/>
  <c r="M547" i="22"/>
  <c r="O547" i="22" s="1"/>
  <c r="M546" i="22"/>
  <c r="O546" i="22" s="1"/>
  <c r="M545" i="22"/>
  <c r="O545" i="22" s="1"/>
  <c r="M544" i="22"/>
  <c r="O544" i="22" s="1"/>
  <c r="M543" i="22"/>
  <c r="O543" i="22" s="1"/>
  <c r="M542" i="22"/>
  <c r="O542" i="22" s="1"/>
  <c r="M541" i="22"/>
  <c r="O541" i="22" s="1"/>
  <c r="N530" i="22"/>
  <c r="L530" i="22"/>
  <c r="K530" i="22"/>
  <c r="J530" i="22"/>
  <c r="I530" i="22"/>
  <c r="H530" i="22"/>
  <c r="G530" i="22"/>
  <c r="F530" i="22"/>
  <c r="E530" i="22"/>
  <c r="D530" i="22"/>
  <c r="D98" i="16" s="1"/>
  <c r="M528" i="22"/>
  <c r="O528" i="22" s="1"/>
  <c r="M527" i="22"/>
  <c r="O527" i="22" s="1"/>
  <c r="M526" i="22"/>
  <c r="O526" i="22" s="1"/>
  <c r="M525" i="22"/>
  <c r="O525" i="22" s="1"/>
  <c r="M524" i="22"/>
  <c r="O524" i="22" s="1"/>
  <c r="M523" i="22"/>
  <c r="O523" i="22" s="1"/>
  <c r="M522" i="22"/>
  <c r="O522" i="22" s="1"/>
  <c r="M521" i="22"/>
  <c r="O521" i="22" s="1"/>
  <c r="M520" i="22"/>
  <c r="O520" i="22" s="1"/>
  <c r="M519" i="22"/>
  <c r="O519" i="22" s="1"/>
  <c r="M518" i="22"/>
  <c r="O518" i="22" s="1"/>
  <c r="M517" i="22"/>
  <c r="O517" i="22" s="1"/>
  <c r="M516" i="22"/>
  <c r="O516" i="22" s="1"/>
  <c r="M515" i="22"/>
  <c r="O515" i="22" s="1"/>
  <c r="M514" i="22"/>
  <c r="O514" i="22" s="1"/>
  <c r="M513" i="22"/>
  <c r="O513" i="22" s="1"/>
  <c r="M512" i="22"/>
  <c r="O512" i="22" s="1"/>
  <c r="M511" i="22"/>
  <c r="C23" i="23"/>
  <c r="M505" i="22"/>
  <c r="O505" i="22" s="1"/>
  <c r="M503" i="22"/>
  <c r="O503" i="22" s="1"/>
  <c r="M502" i="22"/>
  <c r="O502" i="22" s="1"/>
  <c r="J30" i="46" s="1"/>
  <c r="L30" i="46" s="1"/>
  <c r="M501" i="22"/>
  <c r="N501" i="22" s="1"/>
  <c r="M404" i="78" s="1"/>
  <c r="M500" i="22"/>
  <c r="N500" i="22" s="1"/>
  <c r="M403" i="78" s="1"/>
  <c r="M499" i="22"/>
  <c r="M498" i="22"/>
  <c r="N498" i="22" s="1"/>
  <c r="M497" i="22"/>
  <c r="N497" i="22" s="1"/>
  <c r="M400" i="78" s="1"/>
  <c r="M496" i="22"/>
  <c r="M495" i="22"/>
  <c r="M494" i="22"/>
  <c r="N494" i="22" s="1"/>
  <c r="M493" i="22"/>
  <c r="N493" i="22" s="1"/>
  <c r="M396" i="78" s="1"/>
  <c r="M492" i="22"/>
  <c r="M491" i="22"/>
  <c r="M490" i="22"/>
  <c r="N490" i="22" s="1"/>
  <c r="M489" i="22"/>
  <c r="N489" i="22" s="1"/>
  <c r="M392" i="78" s="1"/>
  <c r="M488" i="22"/>
  <c r="N488" i="22" s="1"/>
  <c r="M391" i="78" s="1"/>
  <c r="M487" i="22"/>
  <c r="O487" i="22" s="1"/>
  <c r="M486" i="22"/>
  <c r="O486" i="22" s="1"/>
  <c r="M485" i="22"/>
  <c r="O485" i="22" s="1"/>
  <c r="J44" i="46" s="1"/>
  <c r="L44" i="46" s="1"/>
  <c r="N484" i="22"/>
  <c r="M387" i="78" s="1"/>
  <c r="M484" i="22"/>
  <c r="M483" i="22"/>
  <c r="O483" i="22" s="1"/>
  <c r="M482" i="22"/>
  <c r="N482" i="22" s="1"/>
  <c r="M481" i="22"/>
  <c r="O481" i="22" s="1"/>
  <c r="M480" i="22"/>
  <c r="O480" i="22" s="1"/>
  <c r="M479" i="22"/>
  <c r="O479" i="22" s="1"/>
  <c r="M478" i="22"/>
  <c r="O478" i="22" s="1"/>
  <c r="M477" i="22"/>
  <c r="O477" i="22" s="1"/>
  <c r="M476" i="22"/>
  <c r="O476" i="22" s="1"/>
  <c r="M475" i="22"/>
  <c r="O475" i="22" s="1"/>
  <c r="M474" i="22"/>
  <c r="O474" i="22" s="1"/>
  <c r="M473" i="22"/>
  <c r="O473" i="22" s="1"/>
  <c r="M472" i="22"/>
  <c r="O472" i="22" s="1"/>
  <c r="M471" i="22"/>
  <c r="O471" i="22" s="1"/>
  <c r="M470" i="22"/>
  <c r="O470" i="22" s="1"/>
  <c r="M469" i="22"/>
  <c r="O469" i="22" s="1"/>
  <c r="M468" i="22"/>
  <c r="O468" i="22" s="1"/>
  <c r="M467" i="22"/>
  <c r="O467" i="22" s="1"/>
  <c r="M466" i="22"/>
  <c r="O466" i="22" s="1"/>
  <c r="M465" i="22"/>
  <c r="O465" i="22" s="1"/>
  <c r="M464" i="22"/>
  <c r="O464" i="22" s="1"/>
  <c r="M463" i="22"/>
  <c r="O463" i="22" s="1"/>
  <c r="M462" i="22"/>
  <c r="O462" i="22" s="1"/>
  <c r="M461" i="22"/>
  <c r="O461" i="22" s="1"/>
  <c r="M460" i="22"/>
  <c r="O460" i="22" s="1"/>
  <c r="M459" i="22"/>
  <c r="O459" i="22" s="1"/>
  <c r="M458" i="22"/>
  <c r="O458" i="22" s="1"/>
  <c r="M457" i="22"/>
  <c r="O457" i="22" s="1"/>
  <c r="M456" i="22"/>
  <c r="O456" i="22" s="1"/>
  <c r="M455" i="22"/>
  <c r="O455" i="22" s="1"/>
  <c r="M454" i="22"/>
  <c r="O454" i="22" s="1"/>
  <c r="M453" i="22"/>
  <c r="O453" i="22" s="1"/>
  <c r="M452" i="22"/>
  <c r="O452" i="22" s="1"/>
  <c r="M451" i="22"/>
  <c r="O451" i="22" s="1"/>
  <c r="M450" i="22"/>
  <c r="O450" i="22" s="1"/>
  <c r="M449" i="22"/>
  <c r="O449" i="22" s="1"/>
  <c r="M448" i="22"/>
  <c r="O448" i="22" s="1"/>
  <c r="M447" i="22"/>
  <c r="O447" i="22" s="1"/>
  <c r="M446" i="22"/>
  <c r="O446" i="22" s="1"/>
  <c r="M445" i="22"/>
  <c r="O445" i="22" s="1"/>
  <c r="M444" i="22"/>
  <c r="O444" i="22" s="1"/>
  <c r="M443" i="22"/>
  <c r="O443" i="22" s="1"/>
  <c r="M442" i="22"/>
  <c r="M441" i="22"/>
  <c r="O441" i="22" s="1"/>
  <c r="N437" i="22"/>
  <c r="D88" i="16"/>
  <c r="M435" i="22"/>
  <c r="O435" i="22" s="1"/>
  <c r="M434" i="22"/>
  <c r="O434" i="22" s="1"/>
  <c r="M433" i="22"/>
  <c r="O433" i="22" s="1"/>
  <c r="M432" i="22"/>
  <c r="O432" i="22" s="1"/>
  <c r="M431" i="22"/>
  <c r="O431" i="22" s="1"/>
  <c r="M430" i="22"/>
  <c r="O430" i="22" s="1"/>
  <c r="M429" i="22"/>
  <c r="O429" i="22" s="1"/>
  <c r="M428" i="22"/>
  <c r="O428" i="22" s="1"/>
  <c r="M427" i="22"/>
  <c r="O427" i="22" s="1"/>
  <c r="M426" i="22"/>
  <c r="O426" i="22" s="1"/>
  <c r="M425" i="22"/>
  <c r="O425" i="22" s="1"/>
  <c r="M424" i="22"/>
  <c r="O424" i="22" s="1"/>
  <c r="M423" i="22"/>
  <c r="O423" i="22" s="1"/>
  <c r="M422" i="22"/>
  <c r="O422" i="22" s="1"/>
  <c r="M421" i="22"/>
  <c r="O421" i="22" s="1"/>
  <c r="M420" i="22"/>
  <c r="O420" i="22" s="1"/>
  <c r="M419" i="22"/>
  <c r="O419" i="22" s="1"/>
  <c r="M418" i="22"/>
  <c r="O418" i="22" s="1"/>
  <c r="M417" i="22"/>
  <c r="O417" i="22" s="1"/>
  <c r="M416" i="22"/>
  <c r="O416" i="22" s="1"/>
  <c r="M415" i="22"/>
  <c r="O415" i="22" s="1"/>
  <c r="M414" i="22"/>
  <c r="O414" i="22" s="1"/>
  <c r="M413" i="22"/>
  <c r="O413" i="22" s="1"/>
  <c r="M412" i="22"/>
  <c r="O412" i="22" s="1"/>
  <c r="M411" i="22"/>
  <c r="O411" i="22" s="1"/>
  <c r="M410" i="22"/>
  <c r="O410" i="22" s="1"/>
  <c r="M409" i="22"/>
  <c r="O409" i="22" s="1"/>
  <c r="M408" i="22"/>
  <c r="O408" i="22" s="1"/>
  <c r="M407" i="22"/>
  <c r="O407" i="22" s="1"/>
  <c r="M406" i="22"/>
  <c r="O406" i="22" s="1"/>
  <c r="M405" i="22"/>
  <c r="O405" i="22" s="1"/>
  <c r="M404" i="22"/>
  <c r="O404" i="22" s="1"/>
  <c r="M403" i="22"/>
  <c r="O403" i="22" s="1"/>
  <c r="M402" i="22"/>
  <c r="O402" i="22" s="1"/>
  <c r="M401" i="22"/>
  <c r="O401" i="22" s="1"/>
  <c r="M400" i="22"/>
  <c r="O400" i="22" s="1"/>
  <c r="M399" i="22"/>
  <c r="O399" i="22" s="1"/>
  <c r="M398" i="22"/>
  <c r="O398" i="22" s="1"/>
  <c r="M397" i="22"/>
  <c r="O397" i="22" s="1"/>
  <c r="M396" i="22"/>
  <c r="O396" i="22" s="1"/>
  <c r="M395" i="22"/>
  <c r="O395" i="22" s="1"/>
  <c r="M394" i="22"/>
  <c r="O394" i="22" s="1"/>
  <c r="M393" i="22"/>
  <c r="O393" i="22" s="1"/>
  <c r="M392" i="22"/>
  <c r="O392" i="22" s="1"/>
  <c r="M391" i="22"/>
  <c r="O391" i="22" s="1"/>
  <c r="M390" i="22"/>
  <c r="O390" i="22" s="1"/>
  <c r="M389" i="22"/>
  <c r="O389" i="22" s="1"/>
  <c r="M388" i="22"/>
  <c r="M387" i="22"/>
  <c r="O387" i="22" s="1"/>
  <c r="M379" i="22"/>
  <c r="O379" i="22" s="1"/>
  <c r="M378" i="22"/>
  <c r="O378" i="22" s="1"/>
  <c r="M377" i="22"/>
  <c r="O377" i="22" s="1"/>
  <c r="M375" i="22"/>
  <c r="O375" i="22" s="1"/>
  <c r="M374" i="22"/>
  <c r="O374" i="22" s="1"/>
  <c r="M373" i="22"/>
  <c r="O373" i="22" s="1"/>
  <c r="J43" i="46" s="1"/>
  <c r="G44" i="95" s="1"/>
  <c r="M372" i="22"/>
  <c r="O372" i="22" s="1"/>
  <c r="M371" i="22"/>
  <c r="M370" i="22"/>
  <c r="N370" i="22" s="1"/>
  <c r="M290" i="78" s="1"/>
  <c r="M369" i="22"/>
  <c r="N369" i="22" s="1"/>
  <c r="O369" i="22" s="1"/>
  <c r="M368" i="22"/>
  <c r="M367" i="22"/>
  <c r="M366" i="22"/>
  <c r="N366" i="22" s="1"/>
  <c r="M286" i="78" s="1"/>
  <c r="M365" i="22"/>
  <c r="N365" i="22" s="1"/>
  <c r="O365" i="22" s="1"/>
  <c r="M364" i="22"/>
  <c r="N364" i="22" s="1"/>
  <c r="M363" i="22"/>
  <c r="N363" i="22" s="1"/>
  <c r="M283" i="78" s="1"/>
  <c r="M362" i="22"/>
  <c r="M361" i="22"/>
  <c r="M360" i="22"/>
  <c r="N360" i="22" s="1"/>
  <c r="M280" i="78" s="1"/>
  <c r="M359" i="22"/>
  <c r="N359" i="22" s="1"/>
  <c r="M279" i="78" s="1"/>
  <c r="M358" i="22"/>
  <c r="N358" i="22" s="1"/>
  <c r="N354" i="22"/>
  <c r="M352" i="22"/>
  <c r="O352" i="22" s="1"/>
  <c r="M351" i="22"/>
  <c r="O351" i="22" s="1"/>
  <c r="M350" i="22"/>
  <c r="O350" i="22" s="1"/>
  <c r="J41" i="46" s="1"/>
  <c r="L41" i="46" s="1"/>
  <c r="M349" i="22"/>
  <c r="N345" i="22"/>
  <c r="M343" i="22"/>
  <c r="M345" i="22" s="1"/>
  <c r="M339" i="22"/>
  <c r="N339" i="22" s="1"/>
  <c r="M272" i="78" s="1"/>
  <c r="M338" i="22"/>
  <c r="N338" i="22" s="1"/>
  <c r="M271" i="78" s="1"/>
  <c r="M337" i="22"/>
  <c r="M336" i="22"/>
  <c r="N336" i="22" s="1"/>
  <c r="M335" i="22"/>
  <c r="O335" i="22" s="1"/>
  <c r="M334" i="22"/>
  <c r="O334" i="22" s="1"/>
  <c r="M333" i="22"/>
  <c r="O333" i="22" s="1"/>
  <c r="M332" i="22"/>
  <c r="O332" i="22" s="1"/>
  <c r="M331" i="22"/>
  <c r="O331" i="22" s="1"/>
  <c r="M330" i="22"/>
  <c r="O330" i="22" s="1"/>
  <c r="M329" i="22"/>
  <c r="O329" i="22" s="1"/>
  <c r="M328" i="22"/>
  <c r="O328" i="22" s="1"/>
  <c r="M327" i="22"/>
  <c r="O327" i="22" s="1"/>
  <c r="N326" i="22"/>
  <c r="M260" i="78" s="1"/>
  <c r="M326" i="22"/>
  <c r="M320" i="22"/>
  <c r="O320" i="22" s="1"/>
  <c r="M319" i="22"/>
  <c r="O319" i="22" s="1"/>
  <c r="M318" i="22"/>
  <c r="O318" i="22" s="1"/>
  <c r="M317" i="22"/>
  <c r="M316" i="22"/>
  <c r="O316" i="22" s="1"/>
  <c r="M315" i="22"/>
  <c r="O315" i="22" s="1"/>
  <c r="M314" i="22"/>
  <c r="O314" i="22" s="1"/>
  <c r="M313" i="22"/>
  <c r="O313" i="22" s="1"/>
  <c r="M312" i="22"/>
  <c r="O312" i="22" s="1"/>
  <c r="M306" i="22"/>
  <c r="O306" i="22" s="1"/>
  <c r="M305" i="22"/>
  <c r="O305" i="22" s="1"/>
  <c r="M304" i="22"/>
  <c r="O304" i="22" s="1"/>
  <c r="M303" i="22"/>
  <c r="N303" i="22" s="1"/>
  <c r="M302" i="22"/>
  <c r="O302" i="22" s="1"/>
  <c r="M300" i="22"/>
  <c r="O300" i="22" s="1"/>
  <c r="M298" i="22"/>
  <c r="O298" i="22" s="1"/>
  <c r="M297" i="22"/>
  <c r="O297" i="22" s="1"/>
  <c r="M291" i="22"/>
  <c r="O291" i="22" s="1"/>
  <c r="M290" i="22"/>
  <c r="O290" i="22" s="1"/>
  <c r="M289" i="22"/>
  <c r="O289" i="22" s="1"/>
  <c r="M288" i="22"/>
  <c r="N288" i="22" s="1"/>
  <c r="M287" i="22"/>
  <c r="O287" i="22" s="1"/>
  <c r="M286" i="22"/>
  <c r="O286" i="22" s="1"/>
  <c r="M285" i="22"/>
  <c r="O285" i="22" s="1"/>
  <c r="M284" i="22"/>
  <c r="O284" i="22" s="1"/>
  <c r="M283" i="22"/>
  <c r="O283" i="22" s="1"/>
  <c r="M282" i="22"/>
  <c r="O282" i="22" s="1"/>
  <c r="M281" i="22"/>
  <c r="O281" i="22" s="1"/>
  <c r="M280" i="22"/>
  <c r="O280" i="22" s="1"/>
  <c r="M279" i="22"/>
  <c r="O279" i="22" s="1"/>
  <c r="M278" i="22"/>
  <c r="O278" i="22" s="1"/>
  <c r="M277" i="22"/>
  <c r="O277" i="22" s="1"/>
  <c r="M276" i="22"/>
  <c r="O276" i="22" s="1"/>
  <c r="M275" i="22"/>
  <c r="O275" i="22" s="1"/>
  <c r="M274" i="22"/>
  <c r="O274" i="22" s="1"/>
  <c r="M273" i="22"/>
  <c r="O273" i="22" s="1"/>
  <c r="M272" i="22"/>
  <c r="O272" i="22" s="1"/>
  <c r="M271" i="22"/>
  <c r="O271" i="22" s="1"/>
  <c r="M270" i="22"/>
  <c r="O270" i="22" s="1"/>
  <c r="M269" i="22"/>
  <c r="O269" i="22" s="1"/>
  <c r="M268" i="22"/>
  <c r="O268" i="22" s="1"/>
  <c r="M267" i="22"/>
  <c r="O267" i="22" s="1"/>
  <c r="M266" i="22"/>
  <c r="O266" i="22" s="1"/>
  <c r="M265" i="22"/>
  <c r="O265" i="22" s="1"/>
  <c r="M264" i="22"/>
  <c r="M258" i="22"/>
  <c r="O258" i="22" s="1"/>
  <c r="M257" i="22"/>
  <c r="O257" i="22" s="1"/>
  <c r="M256" i="22"/>
  <c r="O256" i="22" s="1"/>
  <c r="M255" i="22"/>
  <c r="N255" i="22" s="1"/>
  <c r="M254" i="22"/>
  <c r="O254" i="22" s="1"/>
  <c r="M253" i="22"/>
  <c r="O253" i="22" s="1"/>
  <c r="M252" i="22"/>
  <c r="O252" i="22" s="1"/>
  <c r="M251" i="22"/>
  <c r="O251" i="22" s="1"/>
  <c r="M250" i="22"/>
  <c r="O250" i="22" s="1"/>
  <c r="M249" i="22"/>
  <c r="O249" i="22" s="1"/>
  <c r="M248" i="22"/>
  <c r="O248" i="22" s="1"/>
  <c r="M247" i="22"/>
  <c r="O247" i="22" s="1"/>
  <c r="N241" i="22"/>
  <c r="M239" i="22"/>
  <c r="O239" i="22" s="1"/>
  <c r="M238" i="22"/>
  <c r="D60" i="27" s="1"/>
  <c r="M237" i="22"/>
  <c r="D59" i="27" s="1"/>
  <c r="M236" i="22"/>
  <c r="M235" i="22"/>
  <c r="D57" i="27" s="1"/>
  <c r="M234" i="22"/>
  <c r="D56" i="27" s="1"/>
  <c r="M233" i="22"/>
  <c r="D55" i="27" s="1"/>
  <c r="M232" i="22"/>
  <c r="D54" i="27" s="1"/>
  <c r="M231" i="22"/>
  <c r="D53" i="27" s="1"/>
  <c r="M230" i="22"/>
  <c r="M229" i="22"/>
  <c r="D51" i="27" s="1"/>
  <c r="D100" i="27" s="1"/>
  <c r="M228" i="22"/>
  <c r="D50" i="27" s="1"/>
  <c r="M227" i="22"/>
  <c r="O227" i="22" s="1"/>
  <c r="M226" i="22"/>
  <c r="D48" i="27" s="1"/>
  <c r="M225" i="22"/>
  <c r="D47" i="27" s="1"/>
  <c r="M224" i="22"/>
  <c r="M223" i="22"/>
  <c r="M222" i="22"/>
  <c r="D44" i="27" s="1"/>
  <c r="M221" i="22"/>
  <c r="D43" i="27" s="1"/>
  <c r="M220" i="22"/>
  <c r="D42" i="27" s="1"/>
  <c r="M219" i="22"/>
  <c r="D41" i="27" s="1"/>
  <c r="M218" i="22"/>
  <c r="D40" i="27" s="1"/>
  <c r="M217" i="22"/>
  <c r="O217" i="22" s="1"/>
  <c r="M216" i="22"/>
  <c r="D38" i="27" s="1"/>
  <c r="M215" i="22"/>
  <c r="D37" i="27" s="1"/>
  <c r="M214" i="22"/>
  <c r="D36" i="27" s="1"/>
  <c r="M213" i="22"/>
  <c r="D35" i="27" s="1"/>
  <c r="M212" i="22"/>
  <c r="D34" i="27" s="1"/>
  <c r="M211" i="22"/>
  <c r="D33" i="27" s="1"/>
  <c r="M210" i="22"/>
  <c r="D32" i="27" s="1"/>
  <c r="M209" i="22"/>
  <c r="O209" i="22" s="1"/>
  <c r="M208" i="22"/>
  <c r="D30" i="27" s="1"/>
  <c r="M207" i="22"/>
  <c r="D29" i="27" s="1"/>
  <c r="M206" i="22"/>
  <c r="D28" i="27" s="1"/>
  <c r="M205" i="22"/>
  <c r="D27" i="27" s="1"/>
  <c r="M204" i="22"/>
  <c r="O204" i="22" s="1"/>
  <c r="M200" i="22"/>
  <c r="D22" i="27" s="1"/>
  <c r="M199" i="22"/>
  <c r="O199" i="22" s="1"/>
  <c r="M198" i="22"/>
  <c r="D20" i="27" s="1"/>
  <c r="M197" i="22"/>
  <c r="D19" i="27" s="1"/>
  <c r="M196" i="22"/>
  <c r="O196" i="22" s="1"/>
  <c r="M195" i="22"/>
  <c r="M194" i="22"/>
  <c r="D16" i="27" s="1"/>
  <c r="M193" i="22"/>
  <c r="D15" i="27" s="1"/>
  <c r="M192" i="22"/>
  <c r="O192" i="22" s="1"/>
  <c r="M191" i="22"/>
  <c r="O191" i="22" s="1"/>
  <c r="M190" i="22"/>
  <c r="O190" i="22" s="1"/>
  <c r="M189" i="22"/>
  <c r="D10" i="27" s="1"/>
  <c r="M188" i="22"/>
  <c r="O188" i="22" s="1"/>
  <c r="M187" i="22"/>
  <c r="N186" i="22"/>
  <c r="M157" i="78" s="1"/>
  <c r="M186" i="22"/>
  <c r="M185" i="22"/>
  <c r="N181" i="22"/>
  <c r="D557" i="22"/>
  <c r="D560" i="22" s="1"/>
  <c r="M179" i="22"/>
  <c r="O179" i="22" s="1"/>
  <c r="M178" i="22"/>
  <c r="O178" i="22" s="1"/>
  <c r="M177" i="22"/>
  <c r="O177" i="22" s="1"/>
  <c r="M176" i="22"/>
  <c r="O176" i="22" s="1"/>
  <c r="M175" i="22"/>
  <c r="O175" i="22" s="1"/>
  <c r="M174" i="22"/>
  <c r="O174" i="22" s="1"/>
  <c r="M173" i="22"/>
  <c r="O173" i="22" s="1"/>
  <c r="M172" i="22"/>
  <c r="O172" i="22" s="1"/>
  <c r="M171" i="22"/>
  <c r="O171" i="22" s="1"/>
  <c r="M170" i="22"/>
  <c r="O170" i="22" s="1"/>
  <c r="M169" i="22"/>
  <c r="O169" i="22" s="1"/>
  <c r="M168" i="22"/>
  <c r="O168" i="22" s="1"/>
  <c r="M167" i="22"/>
  <c r="M166" i="22"/>
  <c r="O166" i="22" s="1"/>
  <c r="M165" i="22"/>
  <c r="O165" i="22" s="1"/>
  <c r="M164" i="22"/>
  <c r="O164" i="22" s="1"/>
  <c r="M163" i="22"/>
  <c r="O163" i="22" s="1"/>
  <c r="M162" i="22"/>
  <c r="O162" i="22" s="1"/>
  <c r="M161" i="22"/>
  <c r="O161" i="22" s="1"/>
  <c r="M160" i="22"/>
  <c r="O160" i="22" s="1"/>
  <c r="L582" i="22"/>
  <c r="K582" i="22"/>
  <c r="K28" i="45"/>
  <c r="M28" i="45" s="1"/>
  <c r="I582" i="22"/>
  <c r="H582" i="22"/>
  <c r="G582" i="22"/>
  <c r="F582" i="22"/>
  <c r="E582" i="22"/>
  <c r="D582" i="22"/>
  <c r="M155" i="22"/>
  <c r="O155" i="22" s="1"/>
  <c r="K108" i="45" s="1"/>
  <c r="M108" i="45" s="1"/>
  <c r="M154" i="22"/>
  <c r="O154" i="22" s="1"/>
  <c r="K109" i="45" s="1"/>
  <c r="M109" i="45" s="1"/>
  <c r="N102" i="95" s="1"/>
  <c r="O102" i="95" s="1"/>
  <c r="E20" i="95" s="1"/>
  <c r="M153" i="22"/>
  <c r="O153" i="22" s="1"/>
  <c r="K107" i="45" s="1"/>
  <c r="M107" i="45" s="1"/>
  <c r="M152" i="22"/>
  <c r="O152" i="22" s="1"/>
  <c r="K106" i="45" s="1"/>
  <c r="M106" i="45" s="1"/>
  <c r="M151" i="22"/>
  <c r="O151" i="22" s="1"/>
  <c r="K105" i="45" s="1"/>
  <c r="M150" i="22"/>
  <c r="O150" i="22" s="1"/>
  <c r="K110" i="45" s="1"/>
  <c r="M110" i="45" s="1"/>
  <c r="M149" i="22"/>
  <c r="O149" i="22" s="1"/>
  <c r="K104" i="45" s="1"/>
  <c r="M104" i="45" s="1"/>
  <c r="M147" i="22"/>
  <c r="N147" i="22" s="1"/>
  <c r="M131" i="78" s="1"/>
  <c r="M146" i="22"/>
  <c r="M145" i="22"/>
  <c r="N145" i="22" s="1"/>
  <c r="M129" i="78" s="1"/>
  <c r="M144" i="22"/>
  <c r="N144" i="22" s="1"/>
  <c r="M143" i="22"/>
  <c r="M142" i="22"/>
  <c r="M141" i="22"/>
  <c r="N141" i="22" s="1"/>
  <c r="M125" i="78" s="1"/>
  <c r="M140" i="22"/>
  <c r="N140" i="22" s="1"/>
  <c r="M139" i="22"/>
  <c r="O139" i="22" s="1"/>
  <c r="K60" i="45" s="1"/>
  <c r="M60" i="45" s="1"/>
  <c r="M138" i="22"/>
  <c r="O138" i="22" s="1"/>
  <c r="M137" i="22"/>
  <c r="O137" i="22" s="1"/>
  <c r="M136" i="22"/>
  <c r="O136" i="22" s="1"/>
  <c r="K61" i="45" s="1"/>
  <c r="M61" i="45" s="1"/>
  <c r="M135" i="22"/>
  <c r="O135" i="22" s="1"/>
  <c r="K91" i="45" s="1"/>
  <c r="M91" i="45" s="1"/>
  <c r="D53" i="79" s="1"/>
  <c r="M134" i="22"/>
  <c r="O134" i="22" s="1"/>
  <c r="K69" i="45" s="1"/>
  <c r="M69" i="45" s="1"/>
  <c r="M133" i="22"/>
  <c r="O133" i="22" s="1"/>
  <c r="K90" i="45" s="1"/>
  <c r="M90" i="45" s="1"/>
  <c r="M132" i="22"/>
  <c r="O132" i="22" s="1"/>
  <c r="K68" i="45" s="1"/>
  <c r="M68" i="45" s="1"/>
  <c r="M131" i="22"/>
  <c r="O131" i="22" s="1"/>
  <c r="K92" i="45" s="1"/>
  <c r="M92" i="45" s="1"/>
  <c r="M130" i="22"/>
  <c r="O130" i="22" s="1"/>
  <c r="K70" i="45" s="1"/>
  <c r="M70" i="45" s="1"/>
  <c r="M129" i="22"/>
  <c r="O129" i="22" s="1"/>
  <c r="K89" i="45" s="1"/>
  <c r="M89" i="45" s="1"/>
  <c r="M128" i="22"/>
  <c r="O128" i="22" s="1"/>
  <c r="K67" i="45" s="1"/>
  <c r="M67" i="45" s="1"/>
  <c r="D39" i="79" s="1"/>
  <c r="M127" i="22"/>
  <c r="O127" i="22" s="1"/>
  <c r="M126" i="22"/>
  <c r="O126" i="22" s="1"/>
  <c r="K56" i="45" s="1"/>
  <c r="M56" i="45" s="1"/>
  <c r="M125" i="22"/>
  <c r="O125" i="22" s="1"/>
  <c r="K88" i="45" s="1"/>
  <c r="M88" i="45" s="1"/>
  <c r="M124" i="22"/>
  <c r="O124" i="22" s="1"/>
  <c r="K66" i="45" s="1"/>
  <c r="M66" i="45" s="1"/>
  <c r="M123" i="22"/>
  <c r="O123" i="22" s="1"/>
  <c r="K87" i="45" s="1"/>
  <c r="M87" i="45" s="1"/>
  <c r="M122" i="22"/>
  <c r="O122" i="22" s="1"/>
  <c r="K65" i="45" s="1"/>
  <c r="M65" i="45" s="1"/>
  <c r="M121" i="22"/>
  <c r="O121" i="22" s="1"/>
  <c r="M120" i="22"/>
  <c r="O120" i="22" s="1"/>
  <c r="M119" i="22"/>
  <c r="O119" i="22" s="1"/>
  <c r="M118" i="22"/>
  <c r="O118" i="22" s="1"/>
  <c r="K62" i="45" s="1"/>
  <c r="M62" i="45" s="1"/>
  <c r="M117" i="22"/>
  <c r="O117" i="22" s="1"/>
  <c r="M116" i="22"/>
  <c r="O116" i="22" s="1"/>
  <c r="K58" i="45" s="1"/>
  <c r="M58" i="45" s="1"/>
  <c r="M115" i="22"/>
  <c r="O115" i="22" s="1"/>
  <c r="M114" i="22"/>
  <c r="O114" i="22" s="1"/>
  <c r="K75" i="45" s="1"/>
  <c r="M75" i="45" s="1"/>
  <c r="M113" i="22"/>
  <c r="O113" i="22" s="1"/>
  <c r="M112" i="22"/>
  <c r="O112" i="22" s="1"/>
  <c r="K95" i="45" s="1"/>
  <c r="M95" i="45" s="1"/>
  <c r="M111" i="22"/>
  <c r="O111" i="22" s="1"/>
  <c r="K94" i="45" s="1"/>
  <c r="M94" i="45" s="1"/>
  <c r="M110" i="22"/>
  <c r="O110" i="22" s="1"/>
  <c r="K73" i="45" s="1"/>
  <c r="M73" i="45" s="1"/>
  <c r="M109" i="22"/>
  <c r="O109" i="22" s="1"/>
  <c r="K72" i="45" s="1"/>
  <c r="M108" i="22"/>
  <c r="O108" i="22" s="1"/>
  <c r="K96" i="45" s="1"/>
  <c r="M96" i="45" s="1"/>
  <c r="M107" i="22"/>
  <c r="O107" i="22" s="1"/>
  <c r="K74" i="45" s="1"/>
  <c r="M106" i="22"/>
  <c r="O106" i="22" s="1"/>
  <c r="K93" i="45" s="1"/>
  <c r="M105" i="22"/>
  <c r="O105" i="22" s="1"/>
  <c r="K71" i="45" s="1"/>
  <c r="M71" i="45" s="1"/>
  <c r="M104" i="22"/>
  <c r="O104" i="22" s="1"/>
  <c r="M103" i="22"/>
  <c r="O103" i="22" s="1"/>
  <c r="M102" i="22"/>
  <c r="O102" i="22" s="1"/>
  <c r="M101" i="22"/>
  <c r="O101" i="22" s="1"/>
  <c r="M100" i="22"/>
  <c r="O100" i="22" s="1"/>
  <c r="M99" i="22"/>
  <c r="O99" i="22" s="1"/>
  <c r="M98" i="22"/>
  <c r="O98" i="22" s="1"/>
  <c r="M97" i="22"/>
  <c r="O97" i="22" s="1"/>
  <c r="M96" i="22"/>
  <c r="O96" i="22" s="1"/>
  <c r="M95" i="22"/>
  <c r="O95" i="22" s="1"/>
  <c r="M94" i="22"/>
  <c r="O94" i="22" s="1"/>
  <c r="M93" i="22"/>
  <c r="I580" i="22"/>
  <c r="H580" i="22"/>
  <c r="F580" i="22"/>
  <c r="E580" i="22"/>
  <c r="O87" i="22"/>
  <c r="K46" i="45" s="1"/>
  <c r="M46" i="45" s="1"/>
  <c r="O86" i="22"/>
  <c r="K47" i="45" s="1"/>
  <c r="M47" i="45" s="1"/>
  <c r="N57" i="95" s="1"/>
  <c r="O57" i="95" s="1"/>
  <c r="D20" i="95" s="1"/>
  <c r="O85" i="22"/>
  <c r="K45" i="45" s="1"/>
  <c r="M45" i="45" s="1"/>
  <c r="O84" i="22"/>
  <c r="K44" i="45" s="1"/>
  <c r="M44" i="45" s="1"/>
  <c r="O83" i="22"/>
  <c r="K43" i="45" s="1"/>
  <c r="O82" i="22"/>
  <c r="K48" i="45" s="1"/>
  <c r="M48" i="45" s="1"/>
  <c r="N54" i="95" s="1"/>
  <c r="O54" i="95" s="1"/>
  <c r="O81" i="22"/>
  <c r="K42" i="45" s="1"/>
  <c r="M42" i="45" s="1"/>
  <c r="O80" i="22"/>
  <c r="S17" i="51" s="1"/>
  <c r="O79" i="22"/>
  <c r="S15" i="51" s="1"/>
  <c r="O78" i="22"/>
  <c r="O77" i="22"/>
  <c r="O76" i="22"/>
  <c r="O75" i="22"/>
  <c r="O74" i="22"/>
  <c r="O73" i="22"/>
  <c r="O72" i="22"/>
  <c r="O71" i="22"/>
  <c r="O70" i="22"/>
  <c r="O69" i="22"/>
  <c r="O68" i="22"/>
  <c r="O67" i="22"/>
  <c r="O66" i="22"/>
  <c r="O65" i="22"/>
  <c r="O64" i="22"/>
  <c r="O63" i="22"/>
  <c r="O62" i="22"/>
  <c r="O61" i="22"/>
  <c r="O60" i="22"/>
  <c r="O59" i="22"/>
  <c r="O58" i="22"/>
  <c r="O57" i="22"/>
  <c r="O56" i="22"/>
  <c r="O55" i="22"/>
  <c r="S33" i="51" s="1"/>
  <c r="O54" i="22"/>
  <c r="S23" i="51" s="1"/>
  <c r="O53" i="22"/>
  <c r="O52" i="22"/>
  <c r="O51" i="22"/>
  <c r="O50" i="22"/>
  <c r="S35" i="51" s="1"/>
  <c r="O49" i="22"/>
  <c r="S25" i="51" s="1"/>
  <c r="O48" i="22"/>
  <c r="S36" i="51" s="1"/>
  <c r="O47" i="22"/>
  <c r="S26" i="51" s="1"/>
  <c r="N45" i="22"/>
  <c r="M41" i="78" s="1"/>
  <c r="N43" i="22"/>
  <c r="N42" i="22"/>
  <c r="O42" i="22" s="1"/>
  <c r="N40" i="22"/>
  <c r="O38" i="22"/>
  <c r="N34" i="95" s="1"/>
  <c r="O34" i="95" s="1"/>
  <c r="F8" i="95" s="1"/>
  <c r="O37" i="22"/>
  <c r="O36" i="22"/>
  <c r="O35" i="22"/>
  <c r="K20" i="45" s="1"/>
  <c r="M20" i="45" s="1"/>
  <c r="K30" i="45"/>
  <c r="M30" i="45" s="1"/>
  <c r="O33" i="22"/>
  <c r="O32" i="22"/>
  <c r="O31" i="22"/>
  <c r="O30" i="22"/>
  <c r="O29" i="22"/>
  <c r="K35" i="45" s="1"/>
  <c r="M35" i="45" s="1"/>
  <c r="O28" i="22"/>
  <c r="O27" i="22"/>
  <c r="K23" i="45" s="1"/>
  <c r="M23" i="45" s="1"/>
  <c r="D12" i="79" s="1"/>
  <c r="O26" i="22"/>
  <c r="K31" i="45" s="1"/>
  <c r="M31" i="45" s="1"/>
  <c r="O25" i="22"/>
  <c r="O24" i="22"/>
  <c r="D140" i="79" s="1"/>
  <c r="F140" i="79" s="1" a="1"/>
  <c r="O23" i="22"/>
  <c r="O22" i="22"/>
  <c r="K32" i="45" s="1"/>
  <c r="M32" i="45" s="1"/>
  <c r="D18" i="79" s="1"/>
  <c r="O21" i="22"/>
  <c r="O20" i="22"/>
  <c r="N44" i="95" s="1"/>
  <c r="O44" i="95" s="1"/>
  <c r="E54" i="95" s="1"/>
  <c r="O19" i="22"/>
  <c r="D138" i="79" s="1"/>
  <c r="F138" i="79" s="1" a="1"/>
  <c r="O18" i="22"/>
  <c r="N23" i="95" s="1"/>
  <c r="O23" i="95" s="1"/>
  <c r="D13" i="95" s="1"/>
  <c r="O17" i="22"/>
  <c r="O16" i="22"/>
  <c r="O15" i="22"/>
  <c r="O14" i="22"/>
  <c r="O13" i="22"/>
  <c r="O12" i="22"/>
  <c r="O11" i="22"/>
  <c r="O10" i="22"/>
  <c r="O9" i="22"/>
  <c r="O8" i="22"/>
  <c r="Q7" i="22"/>
  <c r="O7" i="22"/>
  <c r="O3" i="22"/>
  <c r="H1" i="22"/>
  <c r="E3" i="16"/>
  <c r="C1" i="16"/>
  <c r="D56" i="16" s="1"/>
  <c r="D16" i="106"/>
  <c r="D14" i="106"/>
  <c r="D13" i="106"/>
  <c r="D12" i="106"/>
  <c r="D11" i="106"/>
  <c r="D10" i="106"/>
  <c r="D9" i="106"/>
  <c r="D8" i="106"/>
  <c r="D380" i="79"/>
  <c r="C380" i="79"/>
  <c r="D379" i="79"/>
  <c r="C379" i="79"/>
  <c r="D378" i="79"/>
  <c r="C378" i="79"/>
  <c r="D377" i="79"/>
  <c r="C377" i="79"/>
  <c r="D376" i="79"/>
  <c r="C376" i="79"/>
  <c r="D375" i="79"/>
  <c r="C375" i="79"/>
  <c r="D374" i="79"/>
  <c r="C374" i="79"/>
  <c r="D373" i="79"/>
  <c r="C373" i="79"/>
  <c r="D372" i="79"/>
  <c r="C372" i="79"/>
  <c r="D371" i="79"/>
  <c r="C371" i="79"/>
  <c r="D370" i="79"/>
  <c r="C370" i="79"/>
  <c r="D369" i="79"/>
  <c r="C369" i="79"/>
  <c r="D368" i="79"/>
  <c r="C368" i="79"/>
  <c r="D367" i="79"/>
  <c r="C367" i="79"/>
  <c r="D366" i="79"/>
  <c r="C366" i="79"/>
  <c r="D365" i="79"/>
  <c r="C365" i="79"/>
  <c r="D364" i="79"/>
  <c r="C364" i="79"/>
  <c r="D363" i="79"/>
  <c r="C363" i="79"/>
  <c r="D362" i="79"/>
  <c r="C362" i="79"/>
  <c r="C361" i="79"/>
  <c r="D360" i="79"/>
  <c r="C360" i="79"/>
  <c r="C359" i="79"/>
  <c r="C358" i="79"/>
  <c r="C357" i="79"/>
  <c r="C356" i="79"/>
  <c r="C355" i="79"/>
  <c r="C354" i="79"/>
  <c r="C353" i="79"/>
  <c r="C352" i="79"/>
  <c r="C351" i="79"/>
  <c r="C350" i="79"/>
  <c r="C349" i="79"/>
  <c r="C348" i="79"/>
  <c r="C347" i="79"/>
  <c r="C346" i="79"/>
  <c r="C345" i="79"/>
  <c r="C344" i="79"/>
  <c r="C343" i="79"/>
  <c r="C342" i="79"/>
  <c r="C341" i="79"/>
  <c r="C340" i="79"/>
  <c r="C339" i="79"/>
  <c r="C338" i="79"/>
  <c r="C337" i="79"/>
  <c r="C336" i="79"/>
  <c r="C335" i="79"/>
  <c r="C334" i="79"/>
  <c r="C333" i="79"/>
  <c r="C332" i="79"/>
  <c r="C331" i="79"/>
  <c r="C330" i="79"/>
  <c r="C329" i="79"/>
  <c r="C328" i="79"/>
  <c r="C327" i="79"/>
  <c r="C326" i="79"/>
  <c r="C325" i="79"/>
  <c r="D316" i="79"/>
  <c r="D315" i="79"/>
  <c r="D314" i="79"/>
  <c r="D313" i="79"/>
  <c r="D312" i="79"/>
  <c r="D311" i="79"/>
  <c r="D310" i="79"/>
  <c r="F310" i="79" s="1" a="1"/>
  <c r="F310" i="79" s="1"/>
  <c r="D309" i="79"/>
  <c r="F309" i="79" s="1" a="1"/>
  <c r="F309" i="79" s="1"/>
  <c r="D308" i="79"/>
  <c r="F308" i="79" s="1" a="1"/>
  <c r="F308" i="79" s="1"/>
  <c r="D307" i="79"/>
  <c r="F307" i="79" s="1" a="1"/>
  <c r="F307" i="79" s="1"/>
  <c r="D306" i="79"/>
  <c r="F306" i="79" s="1" a="1"/>
  <c r="F306" i="79" s="1"/>
  <c r="D305" i="79"/>
  <c r="F305" i="79" s="1" a="1"/>
  <c r="F305" i="79" s="1"/>
  <c r="D304" i="79"/>
  <c r="F304" i="79" s="1" a="1"/>
  <c r="F304" i="79" s="1"/>
  <c r="E303" i="79"/>
  <c r="D303" i="79"/>
  <c r="E302" i="79"/>
  <c r="D302" i="79"/>
  <c r="E301" i="79"/>
  <c r="D301" i="79"/>
  <c r="E300" i="79"/>
  <c r="D300" i="79"/>
  <c r="E299" i="79"/>
  <c r="D299" i="79"/>
  <c r="E298" i="79"/>
  <c r="D298" i="79"/>
  <c r="E297" i="79"/>
  <c r="D297" i="79"/>
  <c r="E296" i="79"/>
  <c r="D296" i="79"/>
  <c r="E295" i="79"/>
  <c r="D295" i="79"/>
  <c r="E294" i="79"/>
  <c r="D294" i="79"/>
  <c r="E293" i="79"/>
  <c r="D293" i="79"/>
  <c r="E292" i="79"/>
  <c r="D292" i="79"/>
  <c r="E291" i="79"/>
  <c r="D291" i="79"/>
  <c r="E290" i="79"/>
  <c r="D289" i="79"/>
  <c r="F289" i="79" s="1" a="1"/>
  <c r="F289" i="79" s="1"/>
  <c r="D288" i="79"/>
  <c r="F288" i="79" s="1" a="1"/>
  <c r="F288" i="79" s="1"/>
  <c r="D287" i="79"/>
  <c r="F287" i="79" s="1" a="1"/>
  <c r="F287" i="79" s="1"/>
  <c r="D286" i="79"/>
  <c r="F286" i="79" s="1" a="1"/>
  <c r="F286" i="79" s="1"/>
  <c r="D285" i="79"/>
  <c r="F285" i="79" s="1" a="1"/>
  <c r="F285" i="79" s="1"/>
  <c r="D284" i="79"/>
  <c r="F284" i="79" s="1" a="1"/>
  <c r="F284" i="79" s="1"/>
  <c r="D283" i="79"/>
  <c r="F283" i="79" s="1" a="1"/>
  <c r="F283" i="79" s="1"/>
  <c r="D282" i="79"/>
  <c r="F282" i="79" s="1" a="1"/>
  <c r="F282" i="79" s="1"/>
  <c r="D281" i="79"/>
  <c r="F281" i="79" s="1" a="1"/>
  <c r="F281" i="79" s="1"/>
  <c r="D280" i="79"/>
  <c r="F280" i="79" s="1" a="1"/>
  <c r="F280" i="79" s="1"/>
  <c r="D279" i="79"/>
  <c r="F279" i="79" s="1" a="1"/>
  <c r="F279" i="79" s="1"/>
  <c r="D278" i="79"/>
  <c r="F278" i="79" s="1" a="1"/>
  <c r="F278" i="79" s="1"/>
  <c r="D277" i="79"/>
  <c r="F277" i="79" s="1" a="1"/>
  <c r="F277" i="79" s="1"/>
  <c r="D276" i="79"/>
  <c r="F276" i="79" s="1" a="1"/>
  <c r="F276" i="79" s="1"/>
  <c r="D275" i="79"/>
  <c r="F275" i="79" s="1" a="1"/>
  <c r="F275" i="79" s="1"/>
  <c r="D274" i="79"/>
  <c r="F274" i="79" s="1" a="1"/>
  <c r="F274" i="79" s="1"/>
  <c r="D273" i="79"/>
  <c r="F273" i="79" s="1" a="1"/>
  <c r="F273" i="79" s="1"/>
  <c r="D272" i="79"/>
  <c r="F272" i="79" s="1" a="1"/>
  <c r="F272" i="79" s="1"/>
  <c r="D271" i="79"/>
  <c r="F271" i="79" s="1" a="1"/>
  <c r="F271" i="79" s="1"/>
  <c r="D270" i="79"/>
  <c r="F270" i="79" s="1" a="1"/>
  <c r="F270" i="79" s="1"/>
  <c r="D269" i="79"/>
  <c r="F269" i="79" s="1" a="1"/>
  <c r="F269" i="79" s="1"/>
  <c r="D267" i="79"/>
  <c r="E265" i="79"/>
  <c r="D265" i="79"/>
  <c r="E264" i="79"/>
  <c r="D264" i="79"/>
  <c r="E263" i="79"/>
  <c r="D263" i="79"/>
  <c r="E262" i="79"/>
  <c r="D262" i="79"/>
  <c r="E261" i="79"/>
  <c r="D261" i="79"/>
  <c r="E260" i="79"/>
  <c r="D260" i="79"/>
  <c r="E259" i="79"/>
  <c r="D259" i="79"/>
  <c r="E258" i="79"/>
  <c r="D258" i="79"/>
  <c r="E257" i="79"/>
  <c r="D257" i="79"/>
  <c r="E256" i="79"/>
  <c r="D256" i="79"/>
  <c r="E255" i="79"/>
  <c r="D255" i="79"/>
  <c r="E254" i="79"/>
  <c r="D254" i="79"/>
  <c r="E253" i="79"/>
  <c r="D253" i="79"/>
  <c r="E252" i="79"/>
  <c r="D252" i="79"/>
  <c r="E251" i="79"/>
  <c r="D251" i="79"/>
  <c r="E250" i="79"/>
  <c r="E249" i="79"/>
  <c r="E248" i="79"/>
  <c r="D248" i="79"/>
  <c r="E247" i="79"/>
  <c r="D247" i="79"/>
  <c r="E246" i="79"/>
  <c r="E245" i="79"/>
  <c r="E244" i="79"/>
  <c r="E239" i="79"/>
  <c r="E236" i="79"/>
  <c r="E228" i="79"/>
  <c r="D228" i="79"/>
  <c r="E227" i="79"/>
  <c r="D227" i="79"/>
  <c r="E226" i="79"/>
  <c r="D226" i="79"/>
  <c r="E225" i="79"/>
  <c r="D225" i="79"/>
  <c r="E224" i="79"/>
  <c r="D224" i="79"/>
  <c r="E223" i="79"/>
  <c r="D223" i="79"/>
  <c r="E222" i="79"/>
  <c r="D222" i="79"/>
  <c r="E221" i="79"/>
  <c r="D221" i="79"/>
  <c r="E220" i="79"/>
  <c r="D220" i="79"/>
  <c r="E219" i="79"/>
  <c r="D219" i="79"/>
  <c r="E218" i="79"/>
  <c r="D218" i="79"/>
  <c r="E217" i="79"/>
  <c r="D217" i="79"/>
  <c r="E216" i="79"/>
  <c r="D216" i="79"/>
  <c r="E215" i="79"/>
  <c r="D215" i="79"/>
  <c r="E214" i="79"/>
  <c r="D214" i="79"/>
  <c r="E213" i="79"/>
  <c r="D213" i="79"/>
  <c r="E212" i="79"/>
  <c r="E204" i="79"/>
  <c r="D204" i="79"/>
  <c r="D203" i="79"/>
  <c r="F203" i="79" s="1" a="1"/>
  <c r="F203" i="79" s="1"/>
  <c r="D202" i="79"/>
  <c r="F202" i="79" s="1" a="1"/>
  <c r="F202" i="79" s="1"/>
  <c r="E201" i="79"/>
  <c r="D201" i="79"/>
  <c r="D200" i="79"/>
  <c r="F200" i="79" s="1" a="1"/>
  <c r="F200" i="79" s="1"/>
  <c r="E199" i="79"/>
  <c r="D199" i="79"/>
  <c r="E198" i="79"/>
  <c r="D198" i="79"/>
  <c r="D197" i="79"/>
  <c r="F197" i="79" s="1" a="1"/>
  <c r="F197" i="79" s="1"/>
  <c r="D196" i="79"/>
  <c r="F196" i="79" s="1" a="1"/>
  <c r="F196" i="79" s="1"/>
  <c r="E195" i="79"/>
  <c r="D195" i="79"/>
  <c r="D194" i="79"/>
  <c r="F194" i="79" s="1" a="1"/>
  <c r="F194" i="79" s="1"/>
  <c r="E193" i="79"/>
  <c r="D193" i="79"/>
  <c r="E192" i="79"/>
  <c r="D192" i="79"/>
  <c r="E191" i="79"/>
  <c r="D191" i="79"/>
  <c r="D190" i="79"/>
  <c r="F190" i="79" s="1" a="1"/>
  <c r="F190" i="79" s="1"/>
  <c r="E189" i="79"/>
  <c r="D189" i="79"/>
  <c r="E188" i="79"/>
  <c r="D188" i="79"/>
  <c r="D187" i="79"/>
  <c r="F187" i="79" s="1" a="1"/>
  <c r="F187" i="79" s="1"/>
  <c r="D186" i="79"/>
  <c r="F186" i="79" s="1" a="1"/>
  <c r="F186" i="79" s="1"/>
  <c r="E185" i="79"/>
  <c r="D185" i="79"/>
  <c r="D184" i="79"/>
  <c r="F184" i="79" s="1" a="1"/>
  <c r="F184" i="79" s="1"/>
  <c r="E183" i="79"/>
  <c r="D183" i="79"/>
  <c r="E182" i="79"/>
  <c r="D182" i="79"/>
  <c r="D181" i="79"/>
  <c r="F181" i="79" s="1" a="1"/>
  <c r="F181" i="79" s="1"/>
  <c r="D180" i="79"/>
  <c r="F180" i="79" s="1" a="1"/>
  <c r="F180" i="79" s="1"/>
  <c r="E179" i="79"/>
  <c r="D179" i="79"/>
  <c r="D178" i="79"/>
  <c r="F178" i="79" s="1" a="1"/>
  <c r="F178" i="79" s="1"/>
  <c r="E177" i="79"/>
  <c r="D177" i="79"/>
  <c r="E176" i="79"/>
  <c r="D176" i="79"/>
  <c r="E175" i="79"/>
  <c r="D175" i="79"/>
  <c r="D174" i="79"/>
  <c r="F174" i="79" s="1" a="1"/>
  <c r="F174" i="79" s="1"/>
  <c r="E173" i="79"/>
  <c r="D173" i="79"/>
  <c r="D172" i="79"/>
  <c r="F172" i="79" s="1" a="1"/>
  <c r="F172" i="79" s="1"/>
  <c r="D171" i="79"/>
  <c r="F171" i="79" s="1" a="1"/>
  <c r="F171" i="79" s="1"/>
  <c r="D170" i="79"/>
  <c r="F170" i="79" s="1" a="1"/>
  <c r="F170" i="79" s="1"/>
  <c r="D169" i="79"/>
  <c r="F169" i="79" s="1" a="1"/>
  <c r="F169" i="79" s="1"/>
  <c r="D168" i="79"/>
  <c r="F168" i="79" s="1" a="1"/>
  <c r="F168" i="79" s="1"/>
  <c r="D167" i="79"/>
  <c r="F167" i="79" s="1" a="1"/>
  <c r="F167" i="79" s="1"/>
  <c r="D166" i="79"/>
  <c r="D165" i="79"/>
  <c r="F165" i="79" s="1" a="1"/>
  <c r="F165" i="79" s="1"/>
  <c r="D164" i="79"/>
  <c r="F164" i="79" s="1" a="1"/>
  <c r="F164" i="79" s="1"/>
  <c r="D163" i="79"/>
  <c r="F163" i="79" s="1" a="1"/>
  <c r="F163" i="79" s="1"/>
  <c r="D162" i="79"/>
  <c r="F162" i="79" s="1" a="1"/>
  <c r="F162" i="79" s="1"/>
  <c r="D161" i="79"/>
  <c r="F161" i="79" s="1" a="1"/>
  <c r="F161" i="79" s="1"/>
  <c r="D160" i="79"/>
  <c r="F160" i="79" s="1" a="1"/>
  <c r="F160" i="79" s="1"/>
  <c r="D159" i="79"/>
  <c r="F159" i="79" s="1" a="1"/>
  <c r="F159" i="79" s="1"/>
  <c r="D158" i="79"/>
  <c r="F158" i="79" s="1" a="1"/>
  <c r="F158" i="79" s="1"/>
  <c r="D157" i="79"/>
  <c r="F157" i="79" s="1" a="1"/>
  <c r="F157" i="79" s="1"/>
  <c r="E118" i="79"/>
  <c r="D117" i="79"/>
  <c r="E115" i="79"/>
  <c r="E113" i="79"/>
  <c r="E111" i="79"/>
  <c r="E110" i="79"/>
  <c r="E109" i="79"/>
  <c r="D109" i="79"/>
  <c r="J107" i="79"/>
  <c r="I107" i="79"/>
  <c r="K107" i="79" s="1"/>
  <c r="E106" i="79"/>
  <c r="E105" i="79"/>
  <c r="E104" i="79"/>
  <c r="E103" i="79"/>
  <c r="E101" i="79"/>
  <c r="E100" i="79"/>
  <c r="E99" i="79"/>
  <c r="E98" i="79"/>
  <c r="E97" i="79"/>
  <c r="E96" i="79"/>
  <c r="E95" i="79"/>
  <c r="E94" i="79"/>
  <c r="E93" i="79"/>
  <c r="E91" i="79"/>
  <c r="E90" i="79"/>
  <c r="E89" i="79"/>
  <c r="E88" i="79"/>
  <c r="E87" i="79"/>
  <c r="E86" i="79"/>
  <c r="E85" i="79"/>
  <c r="E83" i="79"/>
  <c r="E82" i="79"/>
  <c r="E81" i="79"/>
  <c r="E80" i="79"/>
  <c r="E79" i="79"/>
  <c r="E78" i="79"/>
  <c r="E77" i="79"/>
  <c r="E76" i="79"/>
  <c r="E75" i="79"/>
  <c r="E74" i="79"/>
  <c r="E73" i="79"/>
  <c r="E72" i="79"/>
  <c r="E71" i="79"/>
  <c r="E68" i="79"/>
  <c r="E67" i="79"/>
  <c r="E66" i="79"/>
  <c r="E65" i="79"/>
  <c r="E64" i="79"/>
  <c r="E63" i="79"/>
  <c r="E62" i="79"/>
  <c r="E61" i="79"/>
  <c r="E59" i="79"/>
  <c r="E58" i="79"/>
  <c r="E57" i="79"/>
  <c r="E56" i="79"/>
  <c r="E55" i="79"/>
  <c r="E54" i="79"/>
  <c r="E53" i="79"/>
  <c r="E52" i="79"/>
  <c r="E51" i="79"/>
  <c r="E50" i="79"/>
  <c r="E49" i="79"/>
  <c r="E47" i="79"/>
  <c r="E46" i="79"/>
  <c r="E45" i="79"/>
  <c r="E44" i="79"/>
  <c r="E43" i="79"/>
  <c r="E42" i="79"/>
  <c r="E41" i="79"/>
  <c r="E40" i="79"/>
  <c r="E39" i="79"/>
  <c r="E38" i="79"/>
  <c r="E37" i="79"/>
  <c r="E36" i="79"/>
  <c r="E35" i="79"/>
  <c r="E34" i="79"/>
  <c r="E33" i="79"/>
  <c r="E32" i="79"/>
  <c r="E31" i="79"/>
  <c r="E30" i="79"/>
  <c r="E29" i="79"/>
  <c r="E28" i="79"/>
  <c r="E26" i="79"/>
  <c r="E25" i="79"/>
  <c r="E24" i="79"/>
  <c r="E23" i="79"/>
  <c r="E21" i="79"/>
  <c r="E20" i="79"/>
  <c r="E19" i="79"/>
  <c r="E18" i="79"/>
  <c r="F18" i="79" s="1" a="1"/>
  <c r="E17" i="79"/>
  <c r="E16" i="79"/>
  <c r="E15" i="79"/>
  <c r="E14" i="79"/>
  <c r="E12" i="79"/>
  <c r="E11" i="79"/>
  <c r="E10" i="79"/>
  <c r="E9" i="79"/>
  <c r="E8" i="79"/>
  <c r="E7" i="79"/>
  <c r="E6" i="79"/>
  <c r="E5" i="79"/>
  <c r="E4" i="79"/>
  <c r="E3" i="79"/>
  <c r="E2" i="79"/>
  <c r="E1" i="79"/>
  <c r="A1" i="79"/>
  <c r="A25" i="79" s="1"/>
  <c r="H4" i="82"/>
  <c r="F3" i="82"/>
  <c r="R451" i="94" l="1"/>
  <c r="E92" i="79"/>
  <c r="E35" i="105"/>
  <c r="G35" i="105" s="1"/>
  <c r="D119" i="105" s="1"/>
  <c r="E32" i="105"/>
  <c r="G32" i="105" s="1"/>
  <c r="D118" i="105" s="1"/>
  <c r="E84" i="79"/>
  <c r="E57" i="105"/>
  <c r="G57" i="105" s="1"/>
  <c r="E107" i="79"/>
  <c r="E59" i="105"/>
  <c r="G59" i="105" s="1"/>
  <c r="B12" i="59"/>
  <c r="E102" i="79"/>
  <c r="E58" i="105"/>
  <c r="G58" i="105" s="1"/>
  <c r="F16" i="40"/>
  <c r="E82" i="105"/>
  <c r="G82" i="105" s="1"/>
  <c r="G84" i="105" s="1"/>
  <c r="M74" i="45"/>
  <c r="E13" i="105"/>
  <c r="G13" i="105" s="1"/>
  <c r="M72" i="45"/>
  <c r="E14" i="105"/>
  <c r="G14" i="105" s="1"/>
  <c r="J38" i="46"/>
  <c r="L38" i="46" s="1"/>
  <c r="G70" i="49" s="1"/>
  <c r="BD462" i="94"/>
  <c r="R448" i="94"/>
  <c r="AC448" i="94" s="1"/>
  <c r="AI448" i="94" s="1"/>
  <c r="AM448" i="94" s="1"/>
  <c r="BD449" i="94"/>
  <c r="BO449" i="94" s="1"/>
  <c r="BU449" i="94" s="1"/>
  <c r="BY449" i="94" s="1"/>
  <c r="R456" i="94"/>
  <c r="AC456" i="94" s="1"/>
  <c r="AI456" i="94" s="1"/>
  <c r="AM456" i="94" s="1"/>
  <c r="BD457" i="94"/>
  <c r="BO457" i="94" s="1"/>
  <c r="BU457" i="94" s="1"/>
  <c r="BY457" i="94" s="1"/>
  <c r="R464" i="94"/>
  <c r="AC464" i="94" s="1"/>
  <c r="AI464" i="94" s="1"/>
  <c r="AM464" i="94" s="1"/>
  <c r="F115" i="79" a="1"/>
  <c r="F115" i="79" s="1"/>
  <c r="G16" i="82" s="1"/>
  <c r="AD404" i="94"/>
  <c r="DF405" i="94"/>
  <c r="BL406" i="94"/>
  <c r="ET407" i="94"/>
  <c r="AD412" i="94"/>
  <c r="DF413" i="94"/>
  <c r="BL414" i="94"/>
  <c r="ET415" i="94"/>
  <c r="AD420" i="94"/>
  <c r="DF421" i="94"/>
  <c r="BL422" i="94"/>
  <c r="AD425" i="94"/>
  <c r="DF426" i="94"/>
  <c r="BL427" i="94"/>
  <c r="ET428" i="94"/>
  <c r="R439" i="94"/>
  <c r="AC439" i="94" s="1"/>
  <c r="AI439" i="94" s="1"/>
  <c r="AM439" i="94" s="1"/>
  <c r="BD440" i="94"/>
  <c r="BO440" i="94" s="1"/>
  <c r="BU440" i="94" s="1"/>
  <c r="BY440" i="94" s="1"/>
  <c r="R447" i="94"/>
  <c r="AC447" i="94" s="1"/>
  <c r="AI447" i="94" s="1"/>
  <c r="AM447" i="94" s="1"/>
  <c r="BD448" i="94"/>
  <c r="BO448" i="94" s="1"/>
  <c r="BU448" i="94" s="1"/>
  <c r="BY448" i="94" s="1"/>
  <c r="R455" i="94"/>
  <c r="AC455" i="94" s="1"/>
  <c r="AI455" i="94" s="1"/>
  <c r="AM455" i="94" s="1"/>
  <c r="BD456" i="94"/>
  <c r="BO456" i="94" s="1"/>
  <c r="BU456" i="94" s="1"/>
  <c r="BY456" i="94" s="1"/>
  <c r="R463" i="94"/>
  <c r="AC463" i="94" s="1"/>
  <c r="AI463" i="94" s="1"/>
  <c r="AM463" i="94" s="1"/>
  <c r="BD464" i="94"/>
  <c r="BO464" i="94" s="1"/>
  <c r="BU464" i="94" s="1"/>
  <c r="BY464" i="94" s="1"/>
  <c r="E22" i="79"/>
  <c r="J33" i="70"/>
  <c r="K57" i="62"/>
  <c r="L39" i="45"/>
  <c r="L51" i="45" s="1"/>
  <c r="K34" i="46"/>
  <c r="K50" i="46" s="1"/>
  <c r="K59" i="46" s="1"/>
  <c r="B8" i="59"/>
  <c r="ET403" i="94"/>
  <c r="AD408" i="94"/>
  <c r="DF409" i="94"/>
  <c r="BL410" i="94"/>
  <c r="ET411" i="94"/>
  <c r="AD416" i="94"/>
  <c r="DF417" i="94"/>
  <c r="BL418" i="94"/>
  <c r="ET419" i="94"/>
  <c r="BL423" i="94"/>
  <c r="ET424" i="94"/>
  <c r="AD429" i="94"/>
  <c r="DF430" i="94"/>
  <c r="R443" i="94"/>
  <c r="BD444" i="94"/>
  <c r="BO444" i="94" s="1"/>
  <c r="BU444" i="94" s="1"/>
  <c r="BY444" i="94" s="1"/>
  <c r="BD452" i="94"/>
  <c r="BO452" i="94" s="1"/>
  <c r="BU452" i="94" s="1"/>
  <c r="BY452" i="94" s="1"/>
  <c r="F53" i="79" a="1"/>
  <c r="F39" i="79" a="1"/>
  <c r="I41" i="51"/>
  <c r="G117" i="84"/>
  <c r="H247" i="97"/>
  <c r="D95" i="63"/>
  <c r="BL403" i="94"/>
  <c r="ET404" i="94"/>
  <c r="AD409" i="94"/>
  <c r="DF410" i="94"/>
  <c r="BL411" i="94"/>
  <c r="ET412" i="94"/>
  <c r="AD417" i="94"/>
  <c r="DF418" i="94"/>
  <c r="BL419" i="94"/>
  <c r="ET420" i="94"/>
  <c r="DF423" i="94"/>
  <c r="BL424" i="94"/>
  <c r="ET425" i="94"/>
  <c r="AD430" i="94"/>
  <c r="BD437" i="94"/>
  <c r="BO437" i="94" s="1"/>
  <c r="BU437" i="94" s="1"/>
  <c r="BY437" i="94" s="1"/>
  <c r="R444" i="94"/>
  <c r="AC444" i="94" s="1"/>
  <c r="AI444" i="94" s="1"/>
  <c r="AM444" i="94" s="1"/>
  <c r="BD445" i="94"/>
  <c r="BO445" i="94" s="1"/>
  <c r="BU445" i="94" s="1"/>
  <c r="BY445" i="94" s="1"/>
  <c r="R452" i="94"/>
  <c r="AC452" i="94" s="1"/>
  <c r="BD453" i="94"/>
  <c r="BO453" i="94" s="1"/>
  <c r="BU453" i="94" s="1"/>
  <c r="BY453" i="94" s="1"/>
  <c r="R460" i="94"/>
  <c r="AC460" i="94" s="1"/>
  <c r="AI460" i="94" s="1"/>
  <c r="AM460" i="94" s="1"/>
  <c r="BD461" i="94"/>
  <c r="BO461" i="94" s="1"/>
  <c r="BU461" i="94" s="1"/>
  <c r="BY461" i="94" s="1"/>
  <c r="D100" i="16"/>
  <c r="O52" i="58" a="1"/>
  <c r="O52" i="58" s="1"/>
  <c r="K58" i="62"/>
  <c r="K32" i="58"/>
  <c r="AD405" i="94"/>
  <c r="DF406" i="94"/>
  <c r="BL407" i="94"/>
  <c r="ET408" i="94"/>
  <c r="AD413" i="94"/>
  <c r="DF414" i="94"/>
  <c r="BL415" i="94"/>
  <c r="ET416" i="94"/>
  <c r="AD421" i="94"/>
  <c r="DF422" i="94"/>
  <c r="AD426" i="94"/>
  <c r="DF427" i="94"/>
  <c r="BL428" i="94"/>
  <c r="ET429" i="94"/>
  <c r="R440" i="94"/>
  <c r="AC440" i="94" s="1"/>
  <c r="AI440" i="94" s="1"/>
  <c r="AM440" i="94" s="1"/>
  <c r="BD441" i="94"/>
  <c r="BO441" i="94" s="1"/>
  <c r="BU441" i="94" s="1"/>
  <c r="BY441" i="94" s="1"/>
  <c r="K74" i="62"/>
  <c r="R459" i="94"/>
  <c r="AC459" i="94" s="1"/>
  <c r="AI459" i="94" s="1"/>
  <c r="AM459" i="94" s="1"/>
  <c r="BD460" i="94"/>
  <c r="BO460" i="94" s="1"/>
  <c r="BU460" i="94" s="1"/>
  <c r="BY460" i="94" s="1"/>
  <c r="N11" i="62"/>
  <c r="N68" i="63"/>
  <c r="F118" i="79" a="1"/>
  <c r="F12" i="79" a="1"/>
  <c r="D344" i="79"/>
  <c r="D80" i="63"/>
  <c r="AD403" i="94"/>
  <c r="DF404" i="94"/>
  <c r="BL405" i="94"/>
  <c r="ET406" i="94"/>
  <c r="AD407" i="94"/>
  <c r="DF408" i="94"/>
  <c r="BL409" i="94"/>
  <c r="ET410" i="94"/>
  <c r="AD411" i="94"/>
  <c r="DF412" i="94"/>
  <c r="BL413" i="94"/>
  <c r="ET414" i="94"/>
  <c r="AD415" i="94"/>
  <c r="DF416" i="94"/>
  <c r="BL417" i="94"/>
  <c r="ET418" i="94"/>
  <c r="AD419" i="94"/>
  <c r="DF420" i="94"/>
  <c r="BL421" i="94"/>
  <c r="ET422" i="94"/>
  <c r="N423" i="94"/>
  <c r="AD423" i="94" s="1"/>
  <c r="ET423" i="94"/>
  <c r="AD424" i="94"/>
  <c r="DF425" i="94"/>
  <c r="BL426" i="94"/>
  <c r="ET427" i="94"/>
  <c r="AD428" i="94"/>
  <c r="DF429" i="94"/>
  <c r="BL430" i="94"/>
  <c r="R438" i="94"/>
  <c r="AC438" i="94" s="1"/>
  <c r="AI438" i="94" s="1"/>
  <c r="AM438" i="94" s="1"/>
  <c r="BD439" i="94"/>
  <c r="R442" i="94"/>
  <c r="AC442" i="94" s="1"/>
  <c r="AI442" i="94" s="1"/>
  <c r="AM442" i="94" s="1"/>
  <c r="BD443" i="94"/>
  <c r="BO443" i="94" s="1"/>
  <c r="BU443" i="94" s="1"/>
  <c r="BY443" i="94" s="1"/>
  <c r="R446" i="94"/>
  <c r="AC446" i="94" s="1"/>
  <c r="AI446" i="94" s="1"/>
  <c r="AM446" i="94" s="1"/>
  <c r="BD447" i="94"/>
  <c r="R450" i="94"/>
  <c r="AC450" i="94" s="1"/>
  <c r="AI450" i="94" s="1"/>
  <c r="AM450" i="94" s="1"/>
  <c r="BD451" i="94"/>
  <c r="BO451" i="94" s="1"/>
  <c r="BU451" i="94" s="1"/>
  <c r="BY451" i="94" s="1"/>
  <c r="R454" i="94"/>
  <c r="BD455" i="94"/>
  <c r="R458" i="94"/>
  <c r="AC458" i="94" s="1"/>
  <c r="AI458" i="94" s="1"/>
  <c r="AM458" i="94" s="1"/>
  <c r="BD459" i="94"/>
  <c r="BO459" i="94" s="1"/>
  <c r="BU459" i="94" s="1"/>
  <c r="BY459" i="94" s="1"/>
  <c r="R462" i="94"/>
  <c r="AC462" i="94" s="1"/>
  <c r="AI462" i="94" s="1"/>
  <c r="AM462" i="94" s="1"/>
  <c r="BD463" i="94"/>
  <c r="AI452" i="94"/>
  <c r="AM452" i="94" s="1"/>
  <c r="D89" i="63"/>
  <c r="D98" i="63"/>
  <c r="AC443" i="94"/>
  <c r="AI443" i="94" s="1"/>
  <c r="AM443" i="94" s="1"/>
  <c r="AC451" i="94"/>
  <c r="AI451" i="94" s="1"/>
  <c r="AM451" i="94" s="1"/>
  <c r="B7" i="82"/>
  <c r="B9" i="82" s="1"/>
  <c r="F8" i="89" s="1"/>
  <c r="I49" i="89"/>
  <c r="I55" i="89" s="1"/>
  <c r="G46" i="97"/>
  <c r="F46" i="97"/>
  <c r="H65" i="97"/>
  <c r="H67" i="97" s="1"/>
  <c r="H30" i="97"/>
  <c r="B11" i="59"/>
  <c r="C55" i="46"/>
  <c r="D106" i="79"/>
  <c r="F113" i="79" a="1"/>
  <c r="E237" i="79"/>
  <c r="D3" i="79"/>
  <c r="F3" i="79" s="1" a="1"/>
  <c r="F3" i="79" s="1"/>
  <c r="M41" i="51"/>
  <c r="O99" i="84"/>
  <c r="BO439" i="94"/>
  <c r="BU439" i="94" s="1"/>
  <c r="BY439" i="94" s="1"/>
  <c r="BO447" i="94"/>
  <c r="BU447" i="94" s="1"/>
  <c r="BY447" i="94" s="1"/>
  <c r="AC454" i="94"/>
  <c r="AI454" i="94" s="1"/>
  <c r="AM454" i="94" s="1"/>
  <c r="F33" i="25"/>
  <c r="K41" i="51"/>
  <c r="H38" i="97"/>
  <c r="J27" i="46"/>
  <c r="L27" i="46" s="1"/>
  <c r="M104" i="95"/>
  <c r="G50" i="58"/>
  <c r="D6" i="84"/>
  <c r="B7" i="107"/>
  <c r="H140" i="97"/>
  <c r="L50" i="63"/>
  <c r="I72" i="49"/>
  <c r="BO455" i="94"/>
  <c r="BU455" i="94" s="1"/>
  <c r="BY455" i="94" s="1"/>
  <c r="BO463" i="94"/>
  <c r="BU463" i="94" s="1"/>
  <c r="BY463" i="94" s="1"/>
  <c r="F111" i="79" a="1"/>
  <c r="D90" i="16"/>
  <c r="L101" i="45"/>
  <c r="L113" i="45" s="1"/>
  <c r="L131" i="45" s="1"/>
  <c r="D37" i="25"/>
  <c r="G16" i="51"/>
  <c r="D143" i="79" s="1"/>
  <c r="I32" i="58"/>
  <c r="E46" i="97"/>
  <c r="DF403" i="94"/>
  <c r="BL404" i="94"/>
  <c r="ET405" i="94"/>
  <c r="AD406" i="94"/>
  <c r="DF407" i="94"/>
  <c r="BL408" i="94"/>
  <c r="ET409" i="94"/>
  <c r="AD410" i="94"/>
  <c r="DF411" i="94"/>
  <c r="BL412" i="94"/>
  <c r="ET413" i="94"/>
  <c r="AD414" i="94"/>
  <c r="DF415" i="94"/>
  <c r="BL416" i="94"/>
  <c r="ET417" i="94"/>
  <c r="AD418" i="94"/>
  <c r="DF419" i="94"/>
  <c r="BL420" i="94"/>
  <c r="ET421" i="94"/>
  <c r="AD422" i="94"/>
  <c r="DF424" i="94"/>
  <c r="BL425" i="94"/>
  <c r="ET426" i="94"/>
  <c r="AD427" i="94"/>
  <c r="DF428" i="94"/>
  <c r="BL429" i="94"/>
  <c r="ET430" i="94"/>
  <c r="R437" i="94"/>
  <c r="AC437" i="94" s="1"/>
  <c r="AI437" i="94" s="1"/>
  <c r="AM437" i="94" s="1"/>
  <c r="BD438" i="94"/>
  <c r="BO438" i="94" s="1"/>
  <c r="BU438" i="94" s="1"/>
  <c r="BY438" i="94" s="1"/>
  <c r="R441" i="94"/>
  <c r="AC441" i="94" s="1"/>
  <c r="AI441" i="94" s="1"/>
  <c r="AM441" i="94" s="1"/>
  <c r="BD442" i="94"/>
  <c r="BO442" i="94" s="1"/>
  <c r="BU442" i="94" s="1"/>
  <c r="BY442" i="94" s="1"/>
  <c r="R445" i="94"/>
  <c r="AC445" i="94" s="1"/>
  <c r="AI445" i="94" s="1"/>
  <c r="AM445" i="94" s="1"/>
  <c r="BD446" i="94"/>
  <c r="BO446" i="94" s="1"/>
  <c r="BU446" i="94" s="1"/>
  <c r="BY446" i="94" s="1"/>
  <c r="R449" i="94"/>
  <c r="AC449" i="94" s="1"/>
  <c r="AI449" i="94" s="1"/>
  <c r="AM449" i="94" s="1"/>
  <c r="BD450" i="94"/>
  <c r="BO450" i="94" s="1"/>
  <c r="BU450" i="94" s="1"/>
  <c r="BY450" i="94" s="1"/>
  <c r="R453" i="94"/>
  <c r="AC453" i="94" s="1"/>
  <c r="AI453" i="94" s="1"/>
  <c r="AM453" i="94" s="1"/>
  <c r="BD454" i="94"/>
  <c r="BO454" i="94" s="1"/>
  <c r="BU454" i="94" s="1"/>
  <c r="BY454" i="94" s="1"/>
  <c r="R457" i="94"/>
  <c r="AC457" i="94" s="1"/>
  <c r="AI457" i="94" s="1"/>
  <c r="AM457" i="94" s="1"/>
  <c r="BD458" i="94"/>
  <c r="BO458" i="94" s="1"/>
  <c r="BU458" i="94" s="1"/>
  <c r="BY458" i="94" s="1"/>
  <c r="R461" i="94"/>
  <c r="AC461" i="94" s="1"/>
  <c r="AI461" i="94" s="1"/>
  <c r="AM461" i="94" s="1"/>
  <c r="BO462" i="94"/>
  <c r="BU462" i="94" s="1"/>
  <c r="BY462" i="94" s="1"/>
  <c r="H26" i="97"/>
  <c r="N69" i="63"/>
  <c r="F34" i="62"/>
  <c r="O29" i="95"/>
  <c r="C74" i="95" s="1"/>
  <c r="B74" i="95" s="1"/>
  <c r="K76" i="4" s="1"/>
  <c r="M76" i="4" s="1"/>
  <c r="R76" i="4" s="1"/>
  <c r="S76" i="4" s="1"/>
  <c r="N33" i="95"/>
  <c r="B73" i="95"/>
  <c r="K75" i="4" s="1"/>
  <c r="M75" i="4" s="1"/>
  <c r="R75" i="4" s="1"/>
  <c r="S75" i="4" s="1"/>
  <c r="D341" i="79"/>
  <c r="D39" i="95"/>
  <c r="M59" i="95"/>
  <c r="J39" i="46"/>
  <c r="L39" i="46" s="1"/>
  <c r="E119" i="79" a="1"/>
  <c r="E119" i="79" s="1"/>
  <c r="F1" i="79" a="1"/>
  <c r="F1" i="79" s="1"/>
  <c r="F117" i="79" a="1"/>
  <c r="F117" i="79" s="1"/>
  <c r="G17" i="82" s="1"/>
  <c r="F166" i="79" a="1"/>
  <c r="F166" i="79" s="1"/>
  <c r="F138" i="79"/>
  <c r="F140" i="79"/>
  <c r="W25" i="45"/>
  <c r="X12" i="45"/>
  <c r="I56" i="62"/>
  <c r="I61" i="62" s="1"/>
  <c r="H20" i="62"/>
  <c r="J67" i="63"/>
  <c r="J72" i="63" s="1"/>
  <c r="D38" i="96"/>
  <c r="O39" i="45"/>
  <c r="W37" i="45"/>
  <c r="X37" i="45" s="1"/>
  <c r="X28" i="45"/>
  <c r="X50" i="45"/>
  <c r="W77" i="45"/>
  <c r="X77" i="45" s="1"/>
  <c r="X55" i="45"/>
  <c r="U64" i="45"/>
  <c r="V64" i="45" s="1"/>
  <c r="P64" i="45"/>
  <c r="I65" i="62"/>
  <c r="H29" i="62"/>
  <c r="J76" i="63"/>
  <c r="D86" i="96"/>
  <c r="O101" i="45"/>
  <c r="W99" i="45"/>
  <c r="X87" i="45"/>
  <c r="I66" i="62"/>
  <c r="H30" i="62"/>
  <c r="F66" i="62" s="1"/>
  <c r="J77" i="63"/>
  <c r="D101" i="96"/>
  <c r="W112" i="45"/>
  <c r="X112" i="45" s="1"/>
  <c r="X104" i="45"/>
  <c r="X116" i="45"/>
  <c r="B124" i="96"/>
  <c r="U126" i="45"/>
  <c r="V126" i="45" s="1"/>
  <c r="P126" i="45"/>
  <c r="U20" i="46"/>
  <c r="V11" i="46"/>
  <c r="D148" i="96"/>
  <c r="N34" i="46"/>
  <c r="V20" i="46"/>
  <c r="U32" i="46"/>
  <c r="V32" i="46" s="1"/>
  <c r="V22" i="46"/>
  <c r="J30" i="63"/>
  <c r="I44" i="49" s="1"/>
  <c r="I35" i="49" s="1"/>
  <c r="I42" i="49" s="1"/>
  <c r="D160" i="96"/>
  <c r="U47" i="46"/>
  <c r="V47" i="46" s="1"/>
  <c r="V37" i="46"/>
  <c r="G77" i="49"/>
  <c r="B173" i="96"/>
  <c r="S45" i="46"/>
  <c r="T45" i="46" s="1"/>
  <c r="O45" i="46"/>
  <c r="D175" i="96"/>
  <c r="U57" i="46"/>
  <c r="V57" i="46" s="1"/>
  <c r="V52" i="46"/>
  <c r="F45" i="63"/>
  <c r="B183" i="96"/>
  <c r="S55" i="46"/>
  <c r="T55" i="46" s="1"/>
  <c r="O55" i="46"/>
  <c r="D185" i="96"/>
  <c r="E73" i="70"/>
  <c r="R16" i="4"/>
  <c r="S16" i="4" s="1"/>
  <c r="E82" i="70"/>
  <c r="R27" i="4"/>
  <c r="S27" i="4" s="1"/>
  <c r="E74" i="70"/>
  <c r="R17" i="4"/>
  <c r="S17" i="4" s="1"/>
  <c r="E85" i="70"/>
  <c r="R31" i="4"/>
  <c r="S31" i="4" s="1"/>
  <c r="E91" i="70"/>
  <c r="R39" i="4"/>
  <c r="S39" i="4" s="1"/>
  <c r="E96" i="70"/>
  <c r="R44" i="4"/>
  <c r="S44" i="4" s="1"/>
  <c r="E100" i="70"/>
  <c r="R50" i="4"/>
  <c r="S50" i="4" s="1"/>
  <c r="M106" i="95"/>
  <c r="E22" i="23" a="1"/>
  <c r="E22" i="23" s="1"/>
  <c r="D104" i="16" s="1"/>
  <c r="F17" i="40"/>
  <c r="D4" i="97"/>
  <c r="F4" i="83"/>
  <c r="G3" i="58"/>
  <c r="G4" i="51"/>
  <c r="A35" i="77"/>
  <c r="F111" i="79"/>
  <c r="G14" i="82" s="1"/>
  <c r="F113" i="79"/>
  <c r="G15" i="82" s="1"/>
  <c r="F114" i="79"/>
  <c r="G29" i="82" s="1"/>
  <c r="F116" i="79"/>
  <c r="G30" i="82" s="1"/>
  <c r="F118" i="79"/>
  <c r="G31" i="82" s="1"/>
  <c r="G95" i="58" a="1"/>
  <c r="G95" i="58" s="1"/>
  <c r="E266" i="79" s="1"/>
  <c r="K92" i="58"/>
  <c r="H142" i="97"/>
  <c r="H145" i="97" s="1"/>
  <c r="H45" i="97"/>
  <c r="W24" i="89"/>
  <c r="F67" i="63"/>
  <c r="J27" i="63"/>
  <c r="D81" i="63"/>
  <c r="D90" i="63"/>
  <c r="F73" i="62"/>
  <c r="H108" i="96"/>
  <c r="N108" i="96" s="1"/>
  <c r="F93" i="96"/>
  <c r="F78" i="96"/>
  <c r="F58" i="96"/>
  <c r="F59" i="96"/>
  <c r="E99" i="70"/>
  <c r="D356" i="79"/>
  <c r="R49" i="4"/>
  <c r="S49" i="4" s="1"/>
  <c r="L61" i="46"/>
  <c r="L64" i="46" s="1" a="1"/>
  <c r="L64" i="46" s="1"/>
  <c r="E72" i="105" s="1"/>
  <c r="G72" i="105" s="1"/>
  <c r="N61" i="46"/>
  <c r="N64" i="46" s="1" a="1"/>
  <c r="N55" i="89"/>
  <c r="O198" i="22"/>
  <c r="O212" i="22"/>
  <c r="O193" i="22"/>
  <c r="O345" i="22"/>
  <c r="O34" i="22"/>
  <c r="G11" i="77" s="1"/>
  <c r="O220" i="22"/>
  <c r="D12" i="27"/>
  <c r="M284" i="78"/>
  <c r="O364" i="22"/>
  <c r="O218" i="22"/>
  <c r="O343" i="22"/>
  <c r="J54" i="46" s="1"/>
  <c r="L54" i="46" s="1"/>
  <c r="D105" i="79" s="1"/>
  <c r="N361" i="22"/>
  <c r="M281" i="78" s="1"/>
  <c r="H532" i="22"/>
  <c r="N202" i="22"/>
  <c r="N243" i="22" s="1"/>
  <c r="O210" i="22"/>
  <c r="H69" i="96"/>
  <c r="M69" i="96" s="1"/>
  <c r="G22" i="51"/>
  <c r="H46" i="96"/>
  <c r="M46" i="96" s="1"/>
  <c r="H93" i="96"/>
  <c r="M93" i="96" s="1"/>
  <c r="G26" i="51"/>
  <c r="G32" i="51"/>
  <c r="F24" i="52"/>
  <c r="S30" i="87" s="1"/>
  <c r="H31" i="96"/>
  <c r="M31" i="96" s="1"/>
  <c r="H78" i="96"/>
  <c r="M78" i="96" s="1"/>
  <c r="K35" i="49"/>
  <c r="G24" i="51"/>
  <c r="N2" i="60"/>
  <c r="H42" i="96"/>
  <c r="M42" i="96" s="1"/>
  <c r="H89" i="96"/>
  <c r="M89" i="96" s="1"/>
  <c r="K34" i="49"/>
  <c r="F18" i="52"/>
  <c r="D208" i="79" s="1"/>
  <c r="H27" i="96"/>
  <c r="M27" i="96" s="1"/>
  <c r="H54" i="96"/>
  <c r="M54" i="96" s="1"/>
  <c r="H74" i="96"/>
  <c r="M74" i="96" s="1"/>
  <c r="H97" i="96"/>
  <c r="M97" i="96" s="1"/>
  <c r="F532" i="22"/>
  <c r="G532" i="22"/>
  <c r="M354" i="22"/>
  <c r="O354" i="22" s="1"/>
  <c r="O338" i="22"/>
  <c r="M341" i="22"/>
  <c r="O339" i="22"/>
  <c r="J14" i="46"/>
  <c r="L14" i="46" s="1"/>
  <c r="O208" i="22"/>
  <c r="O216" i="22"/>
  <c r="O206" i="22"/>
  <c r="O214" i="22"/>
  <c r="O200" i="22"/>
  <c r="D18" i="27"/>
  <c r="D554" i="22"/>
  <c r="N81" i="95"/>
  <c r="N46" i="22"/>
  <c r="M42" i="78" s="1"/>
  <c r="K532" i="22"/>
  <c r="K588" i="22" s="1"/>
  <c r="I532" i="22"/>
  <c r="O349" i="22"/>
  <c r="J40" i="46" s="1"/>
  <c r="L40" i="46" s="1"/>
  <c r="B168" i="96" s="1"/>
  <c r="O226" i="22"/>
  <c r="B14" i="25" s="1"/>
  <c r="F14" i="25" s="1"/>
  <c r="O234" i="22"/>
  <c r="D61" i="27"/>
  <c r="O222" i="22"/>
  <c r="B60" i="96"/>
  <c r="G68" i="77"/>
  <c r="H75" i="77" s="1"/>
  <c r="K15" i="45"/>
  <c r="M15" i="45" s="1"/>
  <c r="G32" i="77" a="1"/>
  <c r="G32" i="77" s="1"/>
  <c r="B117" i="96"/>
  <c r="U119" i="45"/>
  <c r="V119" i="45" s="1"/>
  <c r="D62" i="79"/>
  <c r="D6" i="27"/>
  <c r="E6" i="27" s="1"/>
  <c r="O185" i="22"/>
  <c r="D52" i="27"/>
  <c r="O230" i="22"/>
  <c r="D31" i="27"/>
  <c r="D8" i="27"/>
  <c r="O187" i="22"/>
  <c r="D58" i="27"/>
  <c r="O236" i="22"/>
  <c r="O336" i="22"/>
  <c r="O363" i="22"/>
  <c r="U48" i="45"/>
  <c r="G40" i="95"/>
  <c r="G43" i="95"/>
  <c r="D21" i="27"/>
  <c r="E12" i="27" s="1"/>
  <c r="N56" i="95"/>
  <c r="O56" i="95" s="1"/>
  <c r="F20" i="95" s="1"/>
  <c r="D26" i="79"/>
  <c r="U46" i="45"/>
  <c r="O197" i="22"/>
  <c r="O205" i="22"/>
  <c r="O213" i="22"/>
  <c r="O219" i="22"/>
  <c r="E8" i="26" s="1"/>
  <c r="E26" i="26" s="1"/>
  <c r="D46" i="27"/>
  <c r="O224" i="22"/>
  <c r="C10" i="40" s="1"/>
  <c r="N317" i="22"/>
  <c r="N322" i="22" s="1"/>
  <c r="O370" i="22"/>
  <c r="D39" i="27"/>
  <c r="N143" i="22"/>
  <c r="O207" i="22"/>
  <c r="O211" i="22"/>
  <c r="O215" i="22"/>
  <c r="O221" i="22"/>
  <c r="O189" i="22"/>
  <c r="O195" i="22"/>
  <c r="D17" i="27"/>
  <c r="O238" i="22"/>
  <c r="O359" i="22"/>
  <c r="O360" i="22"/>
  <c r="N362" i="22"/>
  <c r="M282" i="78" s="1"/>
  <c r="O366" i="22"/>
  <c r="U47" i="45"/>
  <c r="U109" i="45"/>
  <c r="V109" i="45" s="1"/>
  <c r="C21" i="95"/>
  <c r="B21" i="95" s="1"/>
  <c r="K19" i="4" s="1"/>
  <c r="M19" i="4" s="1"/>
  <c r="D335" i="79" s="1"/>
  <c r="D81" i="79"/>
  <c r="F92" i="77"/>
  <c r="G18" i="83" s="1"/>
  <c r="K21" i="45"/>
  <c r="M21" i="45" s="1"/>
  <c r="B34" i="96" s="1"/>
  <c r="K59" i="45"/>
  <c r="M59" i="45" s="1"/>
  <c r="D32" i="79" s="1"/>
  <c r="M260" i="22"/>
  <c r="J12" i="46"/>
  <c r="L12" i="46" s="1"/>
  <c r="C8" i="95" s="1"/>
  <c r="M322" i="22"/>
  <c r="J42" i="46"/>
  <c r="L42" i="46" s="1"/>
  <c r="G74" i="49" s="1"/>
  <c r="M530" i="22"/>
  <c r="O530" i="22" s="1"/>
  <c r="O77" i="95"/>
  <c r="C9" i="95" s="1"/>
  <c r="K22" i="45"/>
  <c r="M22" i="45" s="1"/>
  <c r="U22" i="45" s="1"/>
  <c r="V22" i="45" s="1"/>
  <c r="O147" i="22"/>
  <c r="M202" i="22"/>
  <c r="E24" i="27" s="1"/>
  <c r="O484" i="22"/>
  <c r="J25" i="46" s="1"/>
  <c r="L25" i="46" s="1"/>
  <c r="C16" i="95" s="1"/>
  <c r="B16" i="95" s="1"/>
  <c r="K15" i="4" s="1"/>
  <c r="M15" i="4" s="1"/>
  <c r="D84" i="27"/>
  <c r="AT27" i="87"/>
  <c r="N87" i="95"/>
  <c r="O87" i="95" s="1"/>
  <c r="U67" i="45"/>
  <c r="V67" i="45" s="1"/>
  <c r="BC27" i="87"/>
  <c r="B76" i="96"/>
  <c r="P67" i="45"/>
  <c r="Q17" i="52"/>
  <c r="Q11" i="72"/>
  <c r="N20" i="72" s="1"/>
  <c r="N17" i="52"/>
  <c r="D239" i="79" s="1"/>
  <c r="P70" i="45"/>
  <c r="Q19" i="52"/>
  <c r="D42" i="79"/>
  <c r="N19" i="52"/>
  <c r="D241" i="79" s="1"/>
  <c r="B79" i="96"/>
  <c r="N84" i="95"/>
  <c r="O84" i="95" s="1"/>
  <c r="G15" i="95" s="1"/>
  <c r="U70" i="45"/>
  <c r="V70" i="45" s="1"/>
  <c r="BC31" i="87"/>
  <c r="N18" i="52"/>
  <c r="D240" i="79" s="1"/>
  <c r="N88" i="95"/>
  <c r="O88" i="95" s="1"/>
  <c r="D45" i="95" s="1"/>
  <c r="P68" i="45"/>
  <c r="Q27" i="72"/>
  <c r="N37" i="72" s="1"/>
  <c r="AT31" i="87"/>
  <c r="U68" i="45"/>
  <c r="V68" i="45" s="1"/>
  <c r="B77" i="96"/>
  <c r="Q18" i="52"/>
  <c r="D40" i="79"/>
  <c r="B78" i="96"/>
  <c r="U69" i="45"/>
  <c r="V69" i="45" s="1"/>
  <c r="P69" i="45"/>
  <c r="D41" i="79"/>
  <c r="N89" i="95"/>
  <c r="O89" i="95" s="1"/>
  <c r="P110" i="45"/>
  <c r="D76" i="79"/>
  <c r="B111" i="96"/>
  <c r="N100" i="95"/>
  <c r="O100" i="95" s="1"/>
  <c r="U110" i="45"/>
  <c r="V110" i="45" s="1"/>
  <c r="B54" i="96"/>
  <c r="P42" i="45"/>
  <c r="N52" i="95"/>
  <c r="O52" i="95" s="1"/>
  <c r="F19" i="95" s="1"/>
  <c r="U42" i="45"/>
  <c r="P89" i="45"/>
  <c r="B91" i="96"/>
  <c r="U89" i="45"/>
  <c r="V89" i="45" s="1"/>
  <c r="D51" i="79"/>
  <c r="F44" i="63"/>
  <c r="G93" i="49" s="1"/>
  <c r="S54" i="46"/>
  <c r="T54" i="46" s="1"/>
  <c r="M128" i="78"/>
  <c r="O144" i="22"/>
  <c r="B94" i="96"/>
  <c r="U92" i="45"/>
  <c r="V92" i="45" s="1"/>
  <c r="P92" i="45"/>
  <c r="D54" i="79"/>
  <c r="U90" i="45"/>
  <c r="V90" i="45" s="1"/>
  <c r="B92" i="96"/>
  <c r="P90" i="45"/>
  <c r="D52" i="79"/>
  <c r="U91" i="45"/>
  <c r="V91" i="45" s="1"/>
  <c r="P91" i="45"/>
  <c r="B93" i="96"/>
  <c r="N73" i="95"/>
  <c r="O73" i="95" s="1"/>
  <c r="P60" i="45"/>
  <c r="B69" i="96"/>
  <c r="U60" i="45"/>
  <c r="V60" i="45" s="1"/>
  <c r="D33" i="79"/>
  <c r="D75" i="79"/>
  <c r="B110" i="96"/>
  <c r="U108" i="45"/>
  <c r="V108" i="45" s="1"/>
  <c r="P108" i="45"/>
  <c r="D346" i="79"/>
  <c r="E88" i="70"/>
  <c r="R36" i="4"/>
  <c r="S36" i="4" s="1"/>
  <c r="M124" i="78"/>
  <c r="O140" i="22"/>
  <c r="N98" i="95"/>
  <c r="O98" i="95" s="1"/>
  <c r="G19" i="95" s="1"/>
  <c r="D71" i="79"/>
  <c r="U104" i="45"/>
  <c r="V104" i="45" s="1"/>
  <c r="P104" i="45"/>
  <c r="B106" i="96"/>
  <c r="P121" i="45"/>
  <c r="B119" i="96"/>
  <c r="D63" i="79"/>
  <c r="U121" i="45"/>
  <c r="V121" i="45" s="1"/>
  <c r="O141" i="22"/>
  <c r="O145" i="22"/>
  <c r="P46" i="45"/>
  <c r="P47" i="45"/>
  <c r="P48" i="45"/>
  <c r="P109" i="45"/>
  <c r="P119" i="45"/>
  <c r="S15" i="46"/>
  <c r="T15" i="46" s="1"/>
  <c r="D89" i="27"/>
  <c r="B143" i="96"/>
  <c r="D18" i="106"/>
  <c r="N142" i="22"/>
  <c r="M126" i="78" s="1"/>
  <c r="N146" i="22"/>
  <c r="M130" i="78" s="1"/>
  <c r="M181" i="22"/>
  <c r="O181" i="22" s="1"/>
  <c r="M107" i="95" s="1"/>
  <c r="O358" i="22"/>
  <c r="M278" i="78"/>
  <c r="M381" i="22"/>
  <c r="J532" i="22"/>
  <c r="C14" i="95"/>
  <c r="L532" i="22"/>
  <c r="O511" i="22"/>
  <c r="L584" i="22"/>
  <c r="K116" i="45"/>
  <c r="M116" i="45" s="1"/>
  <c r="J29" i="46"/>
  <c r="L29" i="46" s="1"/>
  <c r="B157" i="96" s="1"/>
  <c r="D23" i="23"/>
  <c r="M393" i="78"/>
  <c r="O490" i="22"/>
  <c r="O494" i="22"/>
  <c r="M397" i="78"/>
  <c r="O498" i="22"/>
  <c r="M401" i="78"/>
  <c r="M72" i="4"/>
  <c r="R72" i="4" s="1"/>
  <c r="S72" i="4" s="1"/>
  <c r="O30" i="46"/>
  <c r="E40" i="49"/>
  <c r="G54" i="49" s="1"/>
  <c r="B158" i="96"/>
  <c r="D43" i="95"/>
  <c r="S30" i="46"/>
  <c r="T30" i="46" s="1"/>
  <c r="D91" i="79"/>
  <c r="B70" i="95"/>
  <c r="O501" i="22"/>
  <c r="D93" i="16"/>
  <c r="D95" i="16" s="1"/>
  <c r="O489" i="22"/>
  <c r="N492" i="22"/>
  <c r="M395" i="78" s="1"/>
  <c r="N496" i="22"/>
  <c r="M399" i="78" s="1"/>
  <c r="M507" i="22"/>
  <c r="N491" i="22"/>
  <c r="M394" i="78" s="1"/>
  <c r="N495" i="22"/>
  <c r="M398" i="78" s="1"/>
  <c r="N499" i="22"/>
  <c r="M402" i="78" s="1"/>
  <c r="O500" i="22"/>
  <c r="O493" i="22"/>
  <c r="O497" i="22"/>
  <c r="E532" i="22"/>
  <c r="G76" i="49"/>
  <c r="D100" i="79"/>
  <c r="S44" i="46"/>
  <c r="T44" i="46" s="1"/>
  <c r="B172" i="96"/>
  <c r="C46" i="95"/>
  <c r="B46" i="95" s="1"/>
  <c r="K43" i="4" s="1"/>
  <c r="M43" i="4" s="1"/>
  <c r="O44" i="46"/>
  <c r="O482" i="22"/>
  <c r="M385" i="78"/>
  <c r="J26" i="46"/>
  <c r="L26" i="46" s="1"/>
  <c r="D532" i="22"/>
  <c r="O488" i="22"/>
  <c r="O442" i="22"/>
  <c r="J28" i="46" s="1"/>
  <c r="L28" i="46" s="1"/>
  <c r="M437" i="22"/>
  <c r="O388" i="22"/>
  <c r="B23" i="23"/>
  <c r="L43" i="46"/>
  <c r="D102" i="95"/>
  <c r="N368" i="22"/>
  <c r="M288" i="78" s="1"/>
  <c r="M285" i="78"/>
  <c r="M289" i="78"/>
  <c r="N367" i="22"/>
  <c r="M287" i="78" s="1"/>
  <c r="N371" i="22"/>
  <c r="M291" i="78" s="1"/>
  <c r="J18" i="46"/>
  <c r="L18" i="46" s="1"/>
  <c r="C22" i="95" s="1"/>
  <c r="S41" i="46"/>
  <c r="T41" i="46" s="1"/>
  <c r="C41" i="46"/>
  <c r="D97" i="79"/>
  <c r="D54" i="95"/>
  <c r="B169" i="96"/>
  <c r="O41" i="46"/>
  <c r="G73" i="49"/>
  <c r="S40" i="46"/>
  <c r="T40" i="46" s="1"/>
  <c r="M269" i="78"/>
  <c r="N337" i="22"/>
  <c r="M270" i="78" s="1"/>
  <c r="F24" i="63"/>
  <c r="O326" i="22"/>
  <c r="J17" i="46" s="1"/>
  <c r="L17" i="46" s="1"/>
  <c r="O15" i="46"/>
  <c r="E8" i="95"/>
  <c r="S14" i="46"/>
  <c r="T14" i="46" s="1"/>
  <c r="B142" i="96"/>
  <c r="O14" i="46"/>
  <c r="D80" i="79"/>
  <c r="F23" i="63"/>
  <c r="B140" i="96"/>
  <c r="S12" i="46"/>
  <c r="T12" i="46" s="1"/>
  <c r="O303" i="22"/>
  <c r="M247" i="78"/>
  <c r="N308" i="22"/>
  <c r="M308" i="22"/>
  <c r="O288" i="22"/>
  <c r="M239" i="78"/>
  <c r="N293" i="22"/>
  <c r="M293" i="22"/>
  <c r="J13" i="46"/>
  <c r="L13" i="46" s="1"/>
  <c r="F22" i="63" s="1"/>
  <c r="J52" i="46"/>
  <c r="L52" i="46" s="1"/>
  <c r="O264" i="22"/>
  <c r="J37" i="46" s="1"/>
  <c r="M212" i="78"/>
  <c r="N260" i="22"/>
  <c r="O255" i="22"/>
  <c r="J552" i="22"/>
  <c r="J554" i="22" s="1"/>
  <c r="J434" i="78"/>
  <c r="K434" i="78"/>
  <c r="K552" i="22"/>
  <c r="K554" i="22" s="1"/>
  <c r="O232" i="22"/>
  <c r="M241" i="22"/>
  <c r="O241" i="22" s="1"/>
  <c r="O228" i="22"/>
  <c r="B15" i="25"/>
  <c r="F15" i="25" s="1"/>
  <c r="D109" i="16"/>
  <c r="G434" i="78"/>
  <c r="D49" i="27"/>
  <c r="E533" i="22"/>
  <c r="E434" i="78" s="1"/>
  <c r="O223" i="22"/>
  <c r="O225" i="22"/>
  <c r="O229" i="22"/>
  <c r="O231" i="22"/>
  <c r="O233" i="22"/>
  <c r="O235" i="22"/>
  <c r="O237" i="22"/>
  <c r="D45" i="27"/>
  <c r="E10" i="27"/>
  <c r="D7" i="27"/>
  <c r="E7" i="27" s="1"/>
  <c r="D9" i="27"/>
  <c r="D11" i="27"/>
  <c r="E11" i="27" s="1"/>
  <c r="D13" i="27"/>
  <c r="E13" i="27" s="1"/>
  <c r="O186" i="22"/>
  <c r="O194" i="22"/>
  <c r="M108" i="95"/>
  <c r="D39" i="16"/>
  <c r="D571" i="22"/>
  <c r="O167" i="22"/>
  <c r="U106" i="45"/>
  <c r="V106" i="45" s="1"/>
  <c r="B108" i="96"/>
  <c r="D73" i="79"/>
  <c r="P106" i="45"/>
  <c r="M105" i="45"/>
  <c r="K112" i="45"/>
  <c r="D74" i="79"/>
  <c r="U107" i="45"/>
  <c r="V107" i="45" s="1"/>
  <c r="B109" i="96"/>
  <c r="P107" i="45"/>
  <c r="N101" i="95"/>
  <c r="O101" i="95" s="1"/>
  <c r="M156" i="22"/>
  <c r="M582" i="22" s="1"/>
  <c r="P61" i="45"/>
  <c r="U61" i="45"/>
  <c r="V61" i="45" s="1"/>
  <c r="D34" i="79"/>
  <c r="B70" i="96"/>
  <c r="B75" i="96"/>
  <c r="N86" i="95"/>
  <c r="O86" i="95" s="1"/>
  <c r="D38" i="79"/>
  <c r="N16" i="52"/>
  <c r="D238" i="79" s="1"/>
  <c r="P66" i="45"/>
  <c r="Q16" i="52"/>
  <c r="U66" i="45"/>
  <c r="V66" i="45" s="1"/>
  <c r="B74" i="96"/>
  <c r="Q15" i="52"/>
  <c r="N85" i="95"/>
  <c r="O85" i="95" s="1"/>
  <c r="C45" i="95" s="1"/>
  <c r="G12" i="57"/>
  <c r="N15" i="52"/>
  <c r="U65" i="45"/>
  <c r="V65" i="45" s="1"/>
  <c r="D37" i="79"/>
  <c r="BC20" i="87"/>
  <c r="P65" i="45"/>
  <c r="AT20" i="87"/>
  <c r="P88" i="45"/>
  <c r="D50" i="79"/>
  <c r="B90" i="96"/>
  <c r="U88" i="45"/>
  <c r="V88" i="45" s="1"/>
  <c r="B41" i="96"/>
  <c r="D14" i="79"/>
  <c r="N70" i="95"/>
  <c r="O70" i="95" s="1"/>
  <c r="D14" i="95" s="1"/>
  <c r="B89" i="96"/>
  <c r="G23" i="57"/>
  <c r="D49" i="79"/>
  <c r="P87" i="45"/>
  <c r="U87" i="45"/>
  <c r="V87" i="45" s="1"/>
  <c r="U62" i="45"/>
  <c r="V62" i="45" s="1"/>
  <c r="D35" i="79"/>
  <c r="U56" i="45"/>
  <c r="V56" i="45" s="1"/>
  <c r="B65" i="96"/>
  <c r="P56" i="45"/>
  <c r="D29" i="79"/>
  <c r="K97" i="45"/>
  <c r="M97" i="45" s="1"/>
  <c r="Q25" i="52" s="1"/>
  <c r="N63" i="95"/>
  <c r="N67" i="95" s="1"/>
  <c r="N69" i="95"/>
  <c r="O69" i="95" s="1"/>
  <c r="C82" i="95" s="1"/>
  <c r="O93" i="22"/>
  <c r="K63" i="45" s="1"/>
  <c r="M63" i="45" s="1"/>
  <c r="D36" i="79" s="1"/>
  <c r="J582" i="22"/>
  <c r="K13" i="45"/>
  <c r="M13" i="45" s="1"/>
  <c r="G25" i="57"/>
  <c r="B80" i="96"/>
  <c r="AT28" i="87"/>
  <c r="P71" i="45"/>
  <c r="D43" i="79"/>
  <c r="U71" i="45"/>
  <c r="V71" i="45" s="1"/>
  <c r="N20" i="52"/>
  <c r="U74" i="45"/>
  <c r="V74" i="45" s="1"/>
  <c r="D46" i="79"/>
  <c r="N22" i="52"/>
  <c r="D243" i="79" s="1"/>
  <c r="P74" i="45"/>
  <c r="B83" i="96"/>
  <c r="BC29" i="87"/>
  <c r="U72" i="45"/>
  <c r="V72" i="45" s="1"/>
  <c r="D44" i="79"/>
  <c r="N23" i="52"/>
  <c r="P72" i="45"/>
  <c r="AT29" i="87" s="1"/>
  <c r="B81" i="96"/>
  <c r="D56" i="79"/>
  <c r="Q23" i="52"/>
  <c r="P94" i="45"/>
  <c r="B97" i="96"/>
  <c r="U94" i="45"/>
  <c r="V94" i="45" s="1"/>
  <c r="Q22" i="52"/>
  <c r="N91" i="95"/>
  <c r="O91" i="95" s="1"/>
  <c r="F14" i="95" s="1"/>
  <c r="P96" i="45"/>
  <c r="B96" i="96"/>
  <c r="D58" i="79"/>
  <c r="U96" i="45"/>
  <c r="V96" i="45" s="1"/>
  <c r="BC30" i="87"/>
  <c r="N24" i="52"/>
  <c r="P73" i="45"/>
  <c r="AT30" i="87" s="1"/>
  <c r="N92" i="95"/>
  <c r="O92" i="95" s="1"/>
  <c r="B82" i="96"/>
  <c r="U73" i="45"/>
  <c r="V73" i="45" s="1"/>
  <c r="D45" i="79"/>
  <c r="B98" i="96"/>
  <c r="U95" i="45"/>
  <c r="V95" i="45" s="1"/>
  <c r="Q24" i="52"/>
  <c r="D57" i="79"/>
  <c r="P95" i="45"/>
  <c r="B84" i="96"/>
  <c r="N25" i="52"/>
  <c r="D244" i="79" s="1"/>
  <c r="P75" i="45"/>
  <c r="U75" i="45"/>
  <c r="V75" i="45" s="1"/>
  <c r="AT34" i="87"/>
  <c r="D47" i="79"/>
  <c r="B67" i="96"/>
  <c r="P58" i="45"/>
  <c r="N74" i="95"/>
  <c r="O74" i="95" s="1"/>
  <c r="C43" i="95" s="1"/>
  <c r="D31" i="79"/>
  <c r="U58" i="45"/>
  <c r="V58" i="45" s="1"/>
  <c r="M93" i="45"/>
  <c r="P62" i="45"/>
  <c r="N82" i="95"/>
  <c r="O82" i="95" s="1"/>
  <c r="D436" i="78"/>
  <c r="M553" i="22"/>
  <c r="O553" i="22" s="1"/>
  <c r="K55" i="45"/>
  <c r="K57" i="45"/>
  <c r="M57" i="45" s="1"/>
  <c r="C20" i="95"/>
  <c r="E80" i="95"/>
  <c r="B71" i="96"/>
  <c r="I586" i="22"/>
  <c r="S34" i="51"/>
  <c r="K34" i="45"/>
  <c r="M34" i="45" s="1"/>
  <c r="S14" i="51"/>
  <c r="D19" i="16"/>
  <c r="N39" i="95"/>
  <c r="S22" i="51"/>
  <c r="K33" i="45"/>
  <c r="M33" i="45" s="1"/>
  <c r="S32" i="51"/>
  <c r="N40" i="95"/>
  <c r="O40" i="95" s="1"/>
  <c r="F43" i="95" s="1"/>
  <c r="S24" i="51"/>
  <c r="B56" i="96"/>
  <c r="U44" i="45"/>
  <c r="D24" i="79"/>
  <c r="P44" i="45"/>
  <c r="U45" i="45"/>
  <c r="N55" i="95"/>
  <c r="O55" i="95" s="1"/>
  <c r="P45" i="45"/>
  <c r="B57" i="96"/>
  <c r="D25" i="79"/>
  <c r="K50" i="45"/>
  <c r="M43" i="45"/>
  <c r="D580" i="22"/>
  <c r="M89" i="22"/>
  <c r="M580" i="22" s="1"/>
  <c r="F12" i="79"/>
  <c r="G27" i="82" s="1"/>
  <c r="K17" i="45"/>
  <c r="M17" i="45" s="1"/>
  <c r="B30" i="96" s="1"/>
  <c r="M39" i="78"/>
  <c r="O43" i="22"/>
  <c r="G21" i="82"/>
  <c r="K18" i="45"/>
  <c r="M18" i="45" s="1"/>
  <c r="D7" i="79" s="1"/>
  <c r="M38" i="78"/>
  <c r="L580" i="22"/>
  <c r="N41" i="22"/>
  <c r="M37" i="78" s="1"/>
  <c r="P28" i="45"/>
  <c r="D112" i="79"/>
  <c r="N39" i="22"/>
  <c r="M35" i="78" s="1"/>
  <c r="N44" i="22"/>
  <c r="M40" i="78" s="1"/>
  <c r="O45" i="22"/>
  <c r="J580" i="22"/>
  <c r="U28" i="45"/>
  <c r="V28" i="45" s="1"/>
  <c r="K16" i="45"/>
  <c r="M16" i="45" s="1"/>
  <c r="U16" i="45" s="1"/>
  <c r="V16" i="45" s="1"/>
  <c r="K580" i="22"/>
  <c r="H81" i="77"/>
  <c r="J248" i="79" s="1"/>
  <c r="D17" i="79"/>
  <c r="U31" i="45"/>
  <c r="V31" i="45" s="1"/>
  <c r="P31" i="45"/>
  <c r="B36" i="96"/>
  <c r="U23" i="45"/>
  <c r="V23" i="45" s="1"/>
  <c r="P23" i="45"/>
  <c r="N43" i="95"/>
  <c r="O43" i="95" s="1"/>
  <c r="B47" i="96"/>
  <c r="U35" i="45"/>
  <c r="V35" i="45" s="1"/>
  <c r="D21" i="79"/>
  <c r="P35" i="45"/>
  <c r="B33" i="96"/>
  <c r="N35" i="95"/>
  <c r="O35" i="95" s="1"/>
  <c r="P20" i="45"/>
  <c r="U20" i="45"/>
  <c r="V20" i="45" s="1"/>
  <c r="D9" i="79"/>
  <c r="B27" i="96"/>
  <c r="U14" i="45"/>
  <c r="V14" i="45" s="1"/>
  <c r="P14" i="45"/>
  <c r="B43" i="96"/>
  <c r="U30" i="45"/>
  <c r="V30" i="45" s="1"/>
  <c r="D16" i="79"/>
  <c r="N20" i="95"/>
  <c r="O20" i="95" s="1"/>
  <c r="P30" i="45"/>
  <c r="M36" i="78"/>
  <c r="O40" i="22"/>
  <c r="B25" i="96"/>
  <c r="F54" i="77"/>
  <c r="N16" i="95"/>
  <c r="P12" i="45"/>
  <c r="D73" i="16"/>
  <c r="U12" i="45"/>
  <c r="B44" i="96"/>
  <c r="U32" i="45"/>
  <c r="V32" i="45" s="1"/>
  <c r="P32" i="45"/>
  <c r="U15" i="45"/>
  <c r="V15" i="45" s="1"/>
  <c r="F18" i="79"/>
  <c r="E139" i="79"/>
  <c r="G580" i="22"/>
  <c r="C75" i="95"/>
  <c r="B75" i="95" s="1"/>
  <c r="K77" i="4" s="1"/>
  <c r="M77" i="4" s="1"/>
  <c r="R77" i="4" s="1"/>
  <c r="S77" i="4" s="1"/>
  <c r="G13" i="77"/>
  <c r="D246" i="79" s="1"/>
  <c r="O6" i="22"/>
  <c r="K19" i="45"/>
  <c r="M19" i="45" s="1"/>
  <c r="M29" i="45"/>
  <c r="D22" i="62" s="1"/>
  <c r="D58" i="62" s="1"/>
  <c r="N22" i="95"/>
  <c r="O30" i="95"/>
  <c r="D28" i="95" s="1"/>
  <c r="A5" i="79"/>
  <c r="A6" i="79"/>
  <c r="A9" i="79"/>
  <c r="A11" i="79"/>
  <c r="A18" i="79"/>
  <c r="A20" i="79"/>
  <c r="A24" i="79"/>
  <c r="F23" i="52"/>
  <c r="L23" i="52" s="1"/>
  <c r="G17" i="51"/>
  <c r="H35" i="96"/>
  <c r="M35" i="96" s="1"/>
  <c r="H65" i="96"/>
  <c r="M65" i="96" s="1"/>
  <c r="H82" i="96"/>
  <c r="M82" i="96" s="1"/>
  <c r="H23" i="63"/>
  <c r="I17" i="49" s="1"/>
  <c r="H27" i="63"/>
  <c r="I20" i="49" s="1"/>
  <c r="H42" i="63"/>
  <c r="H50" i="63"/>
  <c r="F85" i="63" s="1"/>
  <c r="N85" i="63" s="1"/>
  <c r="J20" i="62"/>
  <c r="K37" i="49"/>
  <c r="A2" i="79"/>
  <c r="A4" i="79"/>
  <c r="A13" i="79"/>
  <c r="A7" i="79"/>
  <c r="A14" i="79"/>
  <c r="A30" i="79"/>
  <c r="F39" i="79"/>
  <c r="H64" i="82" s="1"/>
  <c r="G12" i="90" s="1"/>
  <c r="P12" i="90" s="1"/>
  <c r="B10" i="25"/>
  <c r="F10" i="25" s="1"/>
  <c r="R5" i="51"/>
  <c r="G23" i="51"/>
  <c r="G25" i="51"/>
  <c r="G27" i="51"/>
  <c r="G33" i="51"/>
  <c r="G35" i="51"/>
  <c r="G37" i="51"/>
  <c r="H22" i="63"/>
  <c r="I16" i="49" s="1"/>
  <c r="H30" i="63"/>
  <c r="E31" i="48" s="1"/>
  <c r="H36" i="63"/>
  <c r="H45" i="63"/>
  <c r="H49" i="63"/>
  <c r="F29" i="62"/>
  <c r="J30" i="70"/>
  <c r="J32" i="70"/>
  <c r="J36" i="70"/>
  <c r="K36" i="49"/>
  <c r="I76" i="49"/>
  <c r="A15" i="79"/>
  <c r="A23" i="79"/>
  <c r="A27" i="79"/>
  <c r="F53" i="79"/>
  <c r="H79" i="82" s="1"/>
  <c r="F25" i="52"/>
  <c r="H21" i="63"/>
  <c r="I15" i="49" s="1"/>
  <c r="H35" i="63"/>
  <c r="H44" i="63"/>
  <c r="F78" i="63" s="1"/>
  <c r="I74" i="49"/>
  <c r="A3" i="79"/>
  <c r="A22" i="79"/>
  <c r="G34" i="51"/>
  <c r="G36" i="51"/>
  <c r="H20" i="63"/>
  <c r="I14" i="49" s="1"/>
  <c r="H24" i="63"/>
  <c r="I18" i="49" s="1"/>
  <c r="H43" i="63"/>
  <c r="I92" i="49" s="1"/>
  <c r="J31" i="70"/>
  <c r="K38" i="49"/>
  <c r="A378" i="79"/>
  <c r="A374" i="79"/>
  <c r="A370" i="79"/>
  <c r="A366" i="79"/>
  <c r="A362" i="79"/>
  <c r="A358" i="79"/>
  <c r="A354" i="79"/>
  <c r="A350" i="79"/>
  <c r="A346" i="79"/>
  <c r="A342" i="79"/>
  <c r="A338" i="79"/>
  <c r="A334" i="79"/>
  <c r="A330" i="79"/>
  <c r="A326" i="79"/>
  <c r="A320" i="79"/>
  <c r="A303" i="79"/>
  <c r="A299" i="79"/>
  <c r="A295" i="79"/>
  <c r="A291" i="79"/>
  <c r="A266" i="79"/>
  <c r="A250" i="79"/>
  <c r="A247" i="79"/>
  <c r="A246" i="79"/>
  <c r="A244" i="79"/>
  <c r="A240" i="79"/>
  <c r="A236" i="79"/>
  <c r="A232" i="79"/>
  <c r="A228" i="79"/>
  <c r="A224" i="79"/>
  <c r="A220" i="79"/>
  <c r="A216" i="79"/>
  <c r="A212" i="79"/>
  <c r="A208" i="79"/>
  <c r="A204" i="79"/>
  <c r="A203" i="79"/>
  <c r="A202" i="79"/>
  <c r="A195" i="79"/>
  <c r="A194" i="79"/>
  <c r="A189" i="79"/>
  <c r="A182" i="79"/>
  <c r="A181" i="79"/>
  <c r="A180" i="79"/>
  <c r="A175" i="79"/>
  <c r="A174" i="79"/>
  <c r="A151" i="79"/>
  <c r="A144" i="79"/>
  <c r="A380" i="79"/>
  <c r="A376" i="79"/>
  <c r="A372" i="79"/>
  <c r="A368" i="79"/>
  <c r="A364" i="79"/>
  <c r="A360" i="79"/>
  <c r="A356" i="79"/>
  <c r="A352" i="79"/>
  <c r="A348" i="79"/>
  <c r="A344" i="79"/>
  <c r="A340" i="79"/>
  <c r="A336" i="79"/>
  <c r="A332" i="79"/>
  <c r="A328" i="79"/>
  <c r="A318" i="79"/>
  <c r="A301" i="79"/>
  <c r="A297" i="79"/>
  <c r="A293" i="79"/>
  <c r="A268" i="79"/>
  <c r="A242" i="79"/>
  <c r="A238" i="79"/>
  <c r="A234" i="79"/>
  <c r="A230" i="79"/>
  <c r="A226" i="79"/>
  <c r="A222" i="79"/>
  <c r="A218" i="79"/>
  <c r="A214" i="79"/>
  <c r="A210" i="79"/>
  <c r="A206" i="79"/>
  <c r="A199" i="79"/>
  <c r="A192" i="79"/>
  <c r="A185" i="79"/>
  <c r="A184" i="79"/>
  <c r="A177" i="79"/>
  <c r="A156" i="79"/>
  <c r="A155" i="79"/>
  <c r="A154" i="79"/>
  <c r="A8" i="79"/>
  <c r="A10" i="79"/>
  <c r="A16" i="79"/>
  <c r="A21" i="79"/>
  <c r="A26" i="79"/>
  <c r="A29" i="79"/>
  <c r="A33" i="79"/>
  <c r="A37" i="79"/>
  <c r="A41" i="79"/>
  <c r="A45" i="79"/>
  <c r="A51" i="79"/>
  <c r="A55" i="79"/>
  <c r="A59" i="79"/>
  <c r="A65" i="79"/>
  <c r="A69" i="79"/>
  <c r="A72" i="79"/>
  <c r="A76" i="79"/>
  <c r="A79" i="79"/>
  <c r="A83" i="79"/>
  <c r="A89" i="79"/>
  <c r="A95" i="79"/>
  <c r="A99" i="79"/>
  <c r="A105" i="79"/>
  <c r="A109" i="79"/>
  <c r="A112" i="79"/>
  <c r="A113" i="79"/>
  <c r="A114" i="79"/>
  <c r="E120" i="79"/>
  <c r="A123" i="79"/>
  <c r="A128" i="79"/>
  <c r="A129" i="79"/>
  <c r="A130" i="79"/>
  <c r="A137" i="79"/>
  <c r="A193" i="79"/>
  <c r="A196" i="79"/>
  <c r="A197" i="79"/>
  <c r="A198" i="79"/>
  <c r="A205" i="79"/>
  <c r="A209" i="79"/>
  <c r="A219" i="79"/>
  <c r="A227" i="79"/>
  <c r="A241" i="79"/>
  <c r="A248" i="79"/>
  <c r="A249" i="79"/>
  <c r="A292" i="79"/>
  <c r="A300" i="79"/>
  <c r="A312" i="79"/>
  <c r="A314" i="79"/>
  <c r="A316" i="79"/>
  <c r="A325" i="79"/>
  <c r="A333" i="79"/>
  <c r="A341" i="79"/>
  <c r="A349" i="79"/>
  <c r="A357" i="79"/>
  <c r="A365" i="79"/>
  <c r="A373" i="79"/>
  <c r="A34" i="79"/>
  <c r="A38" i="79"/>
  <c r="A42" i="79"/>
  <c r="A46" i="79"/>
  <c r="A49" i="79"/>
  <c r="A52" i="79"/>
  <c r="A56" i="79"/>
  <c r="A60" i="79"/>
  <c r="A62" i="79"/>
  <c r="A66" i="79"/>
  <c r="A70" i="79"/>
  <c r="A73" i="79"/>
  <c r="A77" i="79"/>
  <c r="A80" i="79"/>
  <c r="A84" i="79"/>
  <c r="A86" i="79"/>
  <c r="A90" i="79"/>
  <c r="A93" i="79"/>
  <c r="A96" i="79"/>
  <c r="A100" i="79"/>
  <c r="A103" i="79"/>
  <c r="A106" i="79"/>
  <c r="A110" i="79"/>
  <c r="A111" i="79"/>
  <c r="A118" i="79"/>
  <c r="A119" i="79"/>
  <c r="A124" i="79"/>
  <c r="A131" i="79"/>
  <c r="A138" i="79"/>
  <c r="A139" i="79"/>
  <c r="A153" i="79"/>
  <c r="A200" i="79"/>
  <c r="A201" i="79"/>
  <c r="A213" i="79"/>
  <c r="A221" i="79"/>
  <c r="A229" i="79"/>
  <c r="A233" i="79"/>
  <c r="A243" i="79"/>
  <c r="A251" i="79"/>
  <c r="A252" i="79"/>
  <c r="A253" i="79"/>
  <c r="A254" i="79"/>
  <c r="A255" i="79"/>
  <c r="A256" i="79"/>
  <c r="A257" i="79"/>
  <c r="A258" i="79"/>
  <c r="A259" i="79"/>
  <c r="A260" i="79"/>
  <c r="A261" i="79"/>
  <c r="A262" i="79"/>
  <c r="A263" i="79"/>
  <c r="A264" i="79"/>
  <c r="A265" i="79"/>
  <c r="A294" i="79"/>
  <c r="A302" i="79"/>
  <c r="A327" i="79"/>
  <c r="A335" i="79"/>
  <c r="A343" i="79"/>
  <c r="A351" i="79"/>
  <c r="A359" i="79"/>
  <c r="A367" i="79"/>
  <c r="A375" i="79"/>
  <c r="D209" i="79"/>
  <c r="L19" i="52"/>
  <c r="A12" i="79"/>
  <c r="A19" i="79"/>
  <c r="A28" i="79"/>
  <c r="A31" i="79"/>
  <c r="A35" i="79"/>
  <c r="A39" i="79"/>
  <c r="A43" i="79"/>
  <c r="A47" i="79"/>
  <c r="A53" i="79"/>
  <c r="A57" i="79"/>
  <c r="A63" i="79"/>
  <c r="A67" i="79"/>
  <c r="A74" i="79"/>
  <c r="A81" i="79"/>
  <c r="A87" i="79"/>
  <c r="A91" i="79"/>
  <c r="A97" i="79"/>
  <c r="A101" i="79"/>
  <c r="A107" i="79"/>
  <c r="A108" i="79"/>
  <c r="A117" i="79"/>
  <c r="A120" i="79"/>
  <c r="A121" i="79"/>
  <c r="A125" i="79"/>
  <c r="A132" i="79"/>
  <c r="A133" i="79"/>
  <c r="E137" i="79"/>
  <c r="A140" i="79"/>
  <c r="A141" i="79"/>
  <c r="A145" i="79"/>
  <c r="A152" i="79"/>
  <c r="A157" i="79"/>
  <c r="A158" i="79"/>
  <c r="A159" i="79"/>
  <c r="A160" i="79"/>
  <c r="A161" i="79"/>
  <c r="A162" i="79"/>
  <c r="A163" i="79"/>
  <c r="A164" i="79"/>
  <c r="A165" i="79"/>
  <c r="A166" i="79"/>
  <c r="A167" i="79"/>
  <c r="A168" i="79"/>
  <c r="A169" i="79"/>
  <c r="A170" i="79"/>
  <c r="A171" i="79"/>
  <c r="A172" i="79"/>
  <c r="A173" i="79"/>
  <c r="A176" i="79"/>
  <c r="A183" i="79"/>
  <c r="A186" i="79"/>
  <c r="A187" i="79"/>
  <c r="A188" i="79"/>
  <c r="A207" i="79"/>
  <c r="A211" i="79"/>
  <c r="A215" i="79"/>
  <c r="A223" i="79"/>
  <c r="A237" i="79"/>
  <c r="A245" i="79"/>
  <c r="A267" i="79"/>
  <c r="A296" i="79"/>
  <c r="A304" i="79"/>
  <c r="A305" i="79"/>
  <c r="A306" i="79"/>
  <c r="A307" i="79"/>
  <c r="A308" i="79"/>
  <c r="A309" i="79"/>
  <c r="A310" i="79"/>
  <c r="A311" i="79"/>
  <c r="A313" i="79"/>
  <c r="A315" i="79"/>
  <c r="A317" i="79"/>
  <c r="A329" i="79"/>
  <c r="A337" i="79"/>
  <c r="A345" i="79"/>
  <c r="A353" i="79"/>
  <c r="A361" i="79"/>
  <c r="A369" i="79"/>
  <c r="A377" i="79"/>
  <c r="D61" i="16"/>
  <c r="D51" i="16"/>
  <c r="A32" i="79"/>
  <c r="A36" i="79"/>
  <c r="A40" i="79"/>
  <c r="A44" i="79"/>
  <c r="A48" i="79"/>
  <c r="A50" i="79"/>
  <c r="A54" i="79"/>
  <c r="A58" i="79"/>
  <c r="A61" i="79"/>
  <c r="A64" i="79"/>
  <c r="A68" i="79"/>
  <c r="A71" i="79"/>
  <c r="A75" i="79"/>
  <c r="A78" i="79"/>
  <c r="A82" i="79"/>
  <c r="A85" i="79"/>
  <c r="A88" i="79"/>
  <c r="A92" i="79"/>
  <c r="A94" i="79"/>
  <c r="A98" i="79"/>
  <c r="A102" i="79"/>
  <c r="A104" i="79"/>
  <c r="A115" i="79"/>
  <c r="A116" i="79"/>
  <c r="A122" i="79"/>
  <c r="A126" i="79"/>
  <c r="A127" i="79"/>
  <c r="A134" i="79"/>
  <c r="A135" i="79"/>
  <c r="A136" i="79"/>
  <c r="A142" i="79"/>
  <c r="A143" i="79"/>
  <c r="A146" i="79"/>
  <c r="A147" i="79"/>
  <c r="A148" i="79"/>
  <c r="A149" i="79"/>
  <c r="A150" i="79"/>
  <c r="A178" i="79"/>
  <c r="A179" i="79"/>
  <c r="A190" i="79"/>
  <c r="A191" i="79"/>
  <c r="A217" i="79"/>
  <c r="A225" i="79"/>
  <c r="A231" i="79"/>
  <c r="A235" i="79"/>
  <c r="A239" i="79"/>
  <c r="A269" i="79"/>
  <c r="A270" i="79"/>
  <c r="A271" i="79"/>
  <c r="A272" i="79"/>
  <c r="A273" i="79"/>
  <c r="A274" i="79"/>
  <c r="A275" i="79"/>
  <c r="A276" i="79"/>
  <c r="A277" i="79"/>
  <c r="A278" i="79"/>
  <c r="A279" i="79"/>
  <c r="A280" i="79"/>
  <c r="A281" i="79"/>
  <c r="A282" i="79"/>
  <c r="A283" i="79"/>
  <c r="A284" i="79"/>
  <c r="A285" i="79"/>
  <c r="A286" i="79"/>
  <c r="A287" i="79"/>
  <c r="A288" i="79"/>
  <c r="A289" i="79"/>
  <c r="A290" i="79"/>
  <c r="A298" i="79"/>
  <c r="A319" i="79"/>
  <c r="A331" i="79"/>
  <c r="A339" i="79"/>
  <c r="A347" i="79"/>
  <c r="A355" i="79"/>
  <c r="A363" i="79"/>
  <c r="A371" i="79"/>
  <c r="A379" i="79"/>
  <c r="F16" i="52"/>
  <c r="F20" i="52"/>
  <c r="G19" i="58"/>
  <c r="G21" i="58"/>
  <c r="G27" i="58"/>
  <c r="H114" i="96"/>
  <c r="M56" i="4"/>
  <c r="F17" i="52"/>
  <c r="F22" i="52"/>
  <c r="G12" i="58"/>
  <c r="M12" i="58" s="1"/>
  <c r="E122" i="79" s="1"/>
  <c r="G14" i="58"/>
  <c r="D8" i="85"/>
  <c r="N7" i="87"/>
  <c r="S34" i="87" s="1"/>
  <c r="C6" i="90"/>
  <c r="H28" i="96"/>
  <c r="H32" i="96"/>
  <c r="H36" i="96"/>
  <c r="H43" i="96"/>
  <c r="H47" i="96"/>
  <c r="H55" i="96"/>
  <c r="H59" i="96"/>
  <c r="H66" i="96"/>
  <c r="H70" i="96"/>
  <c r="H75" i="96"/>
  <c r="H79" i="96"/>
  <c r="H83" i="96"/>
  <c r="H90" i="96"/>
  <c r="H94" i="96"/>
  <c r="H98" i="96"/>
  <c r="H106" i="96"/>
  <c r="H110" i="96"/>
  <c r="G20" i="58"/>
  <c r="G26" i="58"/>
  <c r="G28" i="58"/>
  <c r="H25" i="96"/>
  <c r="H29" i="96"/>
  <c r="H33" i="96"/>
  <c r="H44" i="96"/>
  <c r="H56" i="96"/>
  <c r="H58" i="96"/>
  <c r="H60" i="96"/>
  <c r="H67" i="96"/>
  <c r="H71" i="96"/>
  <c r="H76" i="96"/>
  <c r="H80" i="96"/>
  <c r="H84" i="96"/>
  <c r="H91" i="96"/>
  <c r="H95" i="96"/>
  <c r="H99" i="96"/>
  <c r="H107" i="96"/>
  <c r="F15" i="52"/>
  <c r="F27" i="52" s="1" a="1"/>
  <c r="G14" i="51"/>
  <c r="G15" i="51"/>
  <c r="G11" i="58"/>
  <c r="G13" i="58"/>
  <c r="G40" i="58"/>
  <c r="G52" i="58" s="1" a="1"/>
  <c r="G41" i="58"/>
  <c r="G42" i="58"/>
  <c r="G43" i="58"/>
  <c r="G44" i="58"/>
  <c r="G45" i="58"/>
  <c r="G47" i="58"/>
  <c r="M47" i="58" s="1"/>
  <c r="G48" i="58"/>
  <c r="M48" i="58" s="1"/>
  <c r="G49" i="58"/>
  <c r="M49" i="58" s="1"/>
  <c r="F138" i="96"/>
  <c r="F190" i="96"/>
  <c r="H181" i="96"/>
  <c r="F180" i="96"/>
  <c r="H173" i="96"/>
  <c r="F172" i="96"/>
  <c r="H169" i="96"/>
  <c r="F168" i="96"/>
  <c r="H165" i="96"/>
  <c r="H157" i="96"/>
  <c r="F156" i="96"/>
  <c r="H153" i="96"/>
  <c r="F152" i="96"/>
  <c r="H143" i="96"/>
  <c r="F142" i="96"/>
  <c r="H125" i="96"/>
  <c r="F124" i="96"/>
  <c r="H189" i="96"/>
  <c r="H183" i="96"/>
  <c r="F182" i="96"/>
  <c r="H171" i="96"/>
  <c r="F170" i="96"/>
  <c r="H167" i="96"/>
  <c r="F166" i="96"/>
  <c r="F158" i="96"/>
  <c r="H155" i="96"/>
  <c r="F154" i="96"/>
  <c r="F146" i="96"/>
  <c r="F144" i="96"/>
  <c r="H141" i="96"/>
  <c r="F140" i="96"/>
  <c r="H123" i="96"/>
  <c r="H122" i="96"/>
  <c r="H121" i="96"/>
  <c r="H120" i="96"/>
  <c r="F119" i="96"/>
  <c r="F117" i="96"/>
  <c r="F114" i="96"/>
  <c r="F111" i="96"/>
  <c r="F110" i="96"/>
  <c r="F109" i="96"/>
  <c r="F108" i="96"/>
  <c r="F189" i="96"/>
  <c r="F173" i="96"/>
  <c r="H172" i="96"/>
  <c r="F165" i="96"/>
  <c r="F153" i="96"/>
  <c r="H152" i="96"/>
  <c r="F141" i="96"/>
  <c r="H140" i="96"/>
  <c r="F122" i="96"/>
  <c r="F183" i="96"/>
  <c r="H182" i="96"/>
  <c r="F171" i="96"/>
  <c r="H170" i="96"/>
  <c r="H158" i="96"/>
  <c r="H146" i="96"/>
  <c r="H138" i="96"/>
  <c r="F121" i="96"/>
  <c r="H111" i="96"/>
  <c r="F181" i="96"/>
  <c r="H180" i="96"/>
  <c r="F169" i="96"/>
  <c r="H168" i="96"/>
  <c r="F157" i="96"/>
  <c r="H156" i="96"/>
  <c r="H144" i="96"/>
  <c r="F125" i="96"/>
  <c r="H124" i="96"/>
  <c r="F120" i="96"/>
  <c r="H119" i="96"/>
  <c r="N119" i="96" s="1"/>
  <c r="H190" i="96"/>
  <c r="F167" i="96"/>
  <c r="H166" i="96"/>
  <c r="F155" i="96"/>
  <c r="H154" i="96"/>
  <c r="F143" i="96"/>
  <c r="H142" i="96"/>
  <c r="F123" i="96"/>
  <c r="H117" i="96"/>
  <c r="H109" i="96"/>
  <c r="F107" i="96"/>
  <c r="F106" i="96"/>
  <c r="F99" i="96"/>
  <c r="F98" i="96"/>
  <c r="F97" i="96"/>
  <c r="F96" i="96"/>
  <c r="F95" i="96"/>
  <c r="F94" i="96"/>
  <c r="F92" i="96"/>
  <c r="F91" i="96"/>
  <c r="F90" i="96"/>
  <c r="F89" i="96"/>
  <c r="F84" i="96"/>
  <c r="F83" i="96"/>
  <c r="F82" i="96"/>
  <c r="F81" i="96"/>
  <c r="F80" i="96"/>
  <c r="F79" i="96"/>
  <c r="F77" i="96"/>
  <c r="F76" i="96"/>
  <c r="F75" i="96"/>
  <c r="F74" i="96"/>
  <c r="F72" i="96"/>
  <c r="F71" i="96"/>
  <c r="F70" i="96"/>
  <c r="F69" i="96"/>
  <c r="F68" i="96"/>
  <c r="F67" i="96"/>
  <c r="F66" i="96"/>
  <c r="F65" i="96"/>
  <c r="F64" i="96"/>
  <c r="F60" i="96"/>
  <c r="F57" i="96"/>
  <c r="F56" i="96"/>
  <c r="F55" i="96"/>
  <c r="F54" i="96"/>
  <c r="F47" i="96"/>
  <c r="F46" i="96"/>
  <c r="F45" i="96"/>
  <c r="F44" i="96"/>
  <c r="F43" i="96"/>
  <c r="F42" i="96"/>
  <c r="F41" i="96"/>
  <c r="F36" i="96"/>
  <c r="F35" i="96"/>
  <c r="F34" i="96"/>
  <c r="F33" i="96"/>
  <c r="F32" i="96"/>
  <c r="F31" i="96"/>
  <c r="F30" i="96"/>
  <c r="F29" i="96"/>
  <c r="F28" i="96"/>
  <c r="F27" i="96"/>
  <c r="F26" i="96"/>
  <c r="F25" i="96"/>
  <c r="H26" i="96"/>
  <c r="H30" i="96"/>
  <c r="H34" i="96"/>
  <c r="H41" i="96"/>
  <c r="H45" i="96"/>
  <c r="H57" i="96"/>
  <c r="H64" i="96"/>
  <c r="H68" i="96"/>
  <c r="H72" i="96"/>
  <c r="H77" i="96"/>
  <c r="H81" i="96"/>
  <c r="H92" i="96"/>
  <c r="H96" i="96"/>
  <c r="J40" i="62"/>
  <c r="J39" i="62"/>
  <c r="J38" i="62"/>
  <c r="J34" i="62"/>
  <c r="F26" i="62"/>
  <c r="F22" i="62"/>
  <c r="F21" i="62"/>
  <c r="F20" i="62"/>
  <c r="F38" i="62"/>
  <c r="J30" i="62"/>
  <c r="J29" i="62"/>
  <c r="J26" i="62"/>
  <c r="J21" i="62"/>
  <c r="F39" i="62"/>
  <c r="G60" i="48" s="1"/>
  <c r="J22" i="62"/>
  <c r="F30" i="62"/>
  <c r="F40" i="62"/>
  <c r="G61" i="48" s="1"/>
  <c r="B6" i="78"/>
  <c r="B22" i="78"/>
  <c r="B38" i="78"/>
  <c r="B54" i="78"/>
  <c r="B70" i="78"/>
  <c r="B86" i="78"/>
  <c r="B104" i="78"/>
  <c r="B117" i="78"/>
  <c r="B155" i="78"/>
  <c r="B168" i="78"/>
  <c r="B181" i="78"/>
  <c r="B220" i="78"/>
  <c r="B252" i="78"/>
  <c r="B284" i="78"/>
  <c r="B309" i="78"/>
  <c r="B373" i="78"/>
  <c r="H26" i="63"/>
  <c r="I19" i="49" s="1"/>
  <c r="K40" i="49"/>
  <c r="B10" i="78"/>
  <c r="B26" i="78"/>
  <c r="B42" i="78"/>
  <c r="B58" i="78"/>
  <c r="B74" i="78"/>
  <c r="B90" i="78"/>
  <c r="B101" i="78"/>
  <c r="B139" i="78"/>
  <c r="B152" i="78"/>
  <c r="B165" i="78"/>
  <c r="B196" i="78"/>
  <c r="B228" i="78"/>
  <c r="B260" i="78"/>
  <c r="B292" i="78"/>
  <c r="B325" i="78"/>
  <c r="B389" i="78"/>
  <c r="L20" i="63"/>
  <c r="L21" i="63"/>
  <c r="L22" i="63"/>
  <c r="L23" i="63"/>
  <c r="L24" i="63"/>
  <c r="L26" i="63"/>
  <c r="L27" i="63"/>
  <c r="L30" i="63"/>
  <c r="K44" i="49" s="1"/>
  <c r="L35" i="63"/>
  <c r="L36" i="63"/>
  <c r="L42" i="63"/>
  <c r="L43" i="63"/>
  <c r="L44" i="63"/>
  <c r="L45" i="63"/>
  <c r="L49" i="63"/>
  <c r="L52" i="63" s="1"/>
  <c r="I77" i="49"/>
  <c r="I75" i="49"/>
  <c r="I73" i="49"/>
  <c r="I71" i="49"/>
  <c r="I69" i="49"/>
  <c r="G40" i="49"/>
  <c r="I54" i="49" s="1"/>
  <c r="G39" i="49"/>
  <c r="I55" i="49" s="1"/>
  <c r="G38" i="49"/>
  <c r="I56" i="49" s="1"/>
  <c r="G34" i="49"/>
  <c r="G35" i="49"/>
  <c r="I59" i="49" s="1"/>
  <c r="G36" i="49"/>
  <c r="I58" i="49" s="1"/>
  <c r="G37" i="49"/>
  <c r="I57" i="49" s="1"/>
  <c r="K39" i="49"/>
  <c r="I70" i="49"/>
  <c r="B14" i="78"/>
  <c r="B30" i="78"/>
  <c r="B46" i="78"/>
  <c r="B62" i="78"/>
  <c r="B78" i="78"/>
  <c r="B94" i="78"/>
  <c r="B123" i="78"/>
  <c r="B136" i="78"/>
  <c r="B149" i="78"/>
  <c r="B187" i="78"/>
  <c r="B204" i="78"/>
  <c r="B236" i="78"/>
  <c r="B268" i="78"/>
  <c r="B341" i="78"/>
  <c r="B434" i="78"/>
  <c r="B430" i="78"/>
  <c r="B426" i="78"/>
  <c r="B422" i="78"/>
  <c r="B418" i="78"/>
  <c r="B414" i="78"/>
  <c r="B410" i="78"/>
  <c r="B406" i="78"/>
  <c r="B402" i="78"/>
  <c r="B398" i="78"/>
  <c r="B394" i="78"/>
  <c r="B390" i="78"/>
  <c r="B386" i="78"/>
  <c r="B382" i="78"/>
  <c r="B378" i="78"/>
  <c r="B374" i="78"/>
  <c r="B370" i="78"/>
  <c r="B366" i="78"/>
  <c r="B362" i="78"/>
  <c r="B358" i="78"/>
  <c r="B354" i="78"/>
  <c r="B350" i="78"/>
  <c r="B346" i="78"/>
  <c r="B342" i="78"/>
  <c r="B338" i="78"/>
  <c r="B334" i="78"/>
  <c r="B330" i="78"/>
  <c r="B326" i="78"/>
  <c r="B322" i="78"/>
  <c r="B318" i="78"/>
  <c r="B314" i="78"/>
  <c r="B310" i="78"/>
  <c r="B306" i="78"/>
  <c r="B302" i="78"/>
  <c r="B298" i="78"/>
  <c r="B294" i="78"/>
  <c r="B290" i="78"/>
  <c r="B286" i="78"/>
  <c r="B282" i="78"/>
  <c r="B278" i="78"/>
  <c r="B274" i="78"/>
  <c r="B270" i="78"/>
  <c r="B266" i="78"/>
  <c r="B262" i="78"/>
  <c r="B258" i="78"/>
  <c r="B254" i="78"/>
  <c r="B250" i="78"/>
  <c r="B246" i="78"/>
  <c r="B242" i="78"/>
  <c r="B238" i="78"/>
  <c r="B234" i="78"/>
  <c r="B230" i="78"/>
  <c r="B226" i="78"/>
  <c r="B222" i="78"/>
  <c r="B218" i="78"/>
  <c r="B214" i="78"/>
  <c r="B210" i="78"/>
  <c r="B206" i="78"/>
  <c r="B202" i="78"/>
  <c r="B198" i="78"/>
  <c r="B194" i="78"/>
  <c r="B190" i="78"/>
  <c r="B186" i="78"/>
  <c r="B182" i="78"/>
  <c r="B178" i="78"/>
  <c r="B174" i="78"/>
  <c r="B170" i="78"/>
  <c r="B166" i="78"/>
  <c r="B162" i="78"/>
  <c r="B158" i="78"/>
  <c r="B154" i="78"/>
  <c r="B150" i="78"/>
  <c r="B146" i="78"/>
  <c r="B142" i="78"/>
  <c r="B138" i="78"/>
  <c r="B134" i="78"/>
  <c r="B130" i="78"/>
  <c r="B126" i="78"/>
  <c r="B122" i="78"/>
  <c r="B118" i="78"/>
  <c r="B114" i="78"/>
  <c r="B110" i="78"/>
  <c r="B106" i="78"/>
  <c r="B102" i="78"/>
  <c r="B98" i="78"/>
  <c r="B435" i="78"/>
  <c r="B431" i="78"/>
  <c r="B427" i="78"/>
  <c r="B423" i="78"/>
  <c r="B419" i="78"/>
  <c r="B415" i="78"/>
  <c r="B411" i="78"/>
  <c r="B407" i="78"/>
  <c r="B403" i="78"/>
  <c r="B399" i="78"/>
  <c r="B395" i="78"/>
  <c r="B391" i="78"/>
  <c r="B387" i="78"/>
  <c r="B383" i="78"/>
  <c r="B379" i="78"/>
  <c r="B375" i="78"/>
  <c r="B371" i="78"/>
  <c r="B367" i="78"/>
  <c r="B363" i="78"/>
  <c r="B359" i="78"/>
  <c r="B355" i="78"/>
  <c r="B351" i="78"/>
  <c r="B347" i="78"/>
  <c r="B343" i="78"/>
  <c r="B339" i="78"/>
  <c r="B335" i="78"/>
  <c r="B331" i="78"/>
  <c r="B327" i="78"/>
  <c r="B323" i="78"/>
  <c r="B319" i="78"/>
  <c r="B315" i="78"/>
  <c r="B311" i="78"/>
  <c r="B307" i="78"/>
  <c r="B303" i="78"/>
  <c r="B299" i="78"/>
  <c r="B295" i="78"/>
  <c r="B291" i="78"/>
  <c r="B287" i="78"/>
  <c r="B283" i="78"/>
  <c r="B279" i="78"/>
  <c r="B275" i="78"/>
  <c r="B271" i="78"/>
  <c r="B267" i="78"/>
  <c r="B263" i="78"/>
  <c r="B259" i="78"/>
  <c r="B255" i="78"/>
  <c r="B251" i="78"/>
  <c r="B247" i="78"/>
  <c r="B243" i="78"/>
  <c r="B239" i="78"/>
  <c r="B235" i="78"/>
  <c r="B231" i="78"/>
  <c r="B227" i="78"/>
  <c r="B223" i="78"/>
  <c r="B219" i="78"/>
  <c r="B215" i="78"/>
  <c r="B211" i="78"/>
  <c r="B207" i="78"/>
  <c r="B203" i="78"/>
  <c r="B199" i="78"/>
  <c r="B195" i="78"/>
  <c r="B436" i="78"/>
  <c r="B432" i="78"/>
  <c r="B428" i="78"/>
  <c r="B424" i="78"/>
  <c r="B420" i="78"/>
  <c r="B416" i="78"/>
  <c r="B412" i="78"/>
  <c r="B408" i="78"/>
  <c r="B404" i="78"/>
  <c r="B400" i="78"/>
  <c r="B396" i="78"/>
  <c r="B392" i="78"/>
  <c r="B388" i="78"/>
  <c r="B384" i="78"/>
  <c r="B380" i="78"/>
  <c r="B376" i="78"/>
  <c r="B372" i="78"/>
  <c r="B368" i="78"/>
  <c r="B364" i="78"/>
  <c r="B360" i="78"/>
  <c r="B356" i="78"/>
  <c r="B352" i="78"/>
  <c r="B348" i="78"/>
  <c r="B344" i="78"/>
  <c r="B340" i="78"/>
  <c r="B336" i="78"/>
  <c r="B332" i="78"/>
  <c r="B328" i="78"/>
  <c r="B324" i="78"/>
  <c r="B320" i="78"/>
  <c r="B316" i="78"/>
  <c r="B312" i="78"/>
  <c r="B308" i="78"/>
  <c r="B304" i="78"/>
  <c r="B300" i="78"/>
  <c r="B433" i="78"/>
  <c r="B417" i="78"/>
  <c r="B401" i="78"/>
  <c r="B385" i="78"/>
  <c r="B369" i="78"/>
  <c r="B353" i="78"/>
  <c r="B337" i="78"/>
  <c r="B321" i="78"/>
  <c r="B305" i="78"/>
  <c r="B293" i="78"/>
  <c r="B285" i="78"/>
  <c r="B277" i="78"/>
  <c r="B269" i="78"/>
  <c r="B261" i="78"/>
  <c r="B253" i="78"/>
  <c r="B245" i="78"/>
  <c r="B237" i="78"/>
  <c r="B229" i="78"/>
  <c r="B221" i="78"/>
  <c r="B213" i="78"/>
  <c r="B205" i="78"/>
  <c r="B197" i="78"/>
  <c r="B191" i="78"/>
  <c r="B188" i="78"/>
  <c r="B185" i="78"/>
  <c r="B175" i="78"/>
  <c r="B172" i="78"/>
  <c r="B169" i="78"/>
  <c r="B159" i="78"/>
  <c r="B156" i="78"/>
  <c r="B153" i="78"/>
  <c r="B143" i="78"/>
  <c r="B140" i="78"/>
  <c r="B137" i="78"/>
  <c r="B127" i="78"/>
  <c r="B124" i="78"/>
  <c r="B121" i="78"/>
  <c r="B111" i="78"/>
  <c r="B108" i="78"/>
  <c r="B105" i="78"/>
  <c r="B95" i="78"/>
  <c r="B91" i="78"/>
  <c r="B87" i="78"/>
  <c r="B83" i="78"/>
  <c r="B79" i="78"/>
  <c r="B75" i="78"/>
  <c r="B71" i="78"/>
  <c r="B67" i="78"/>
  <c r="B63" i="78"/>
  <c r="B59" i="78"/>
  <c r="B55" i="78"/>
  <c r="B51" i="78"/>
  <c r="B47" i="78"/>
  <c r="B43" i="78"/>
  <c r="B39" i="78"/>
  <c r="B35" i="78"/>
  <c r="B31" i="78"/>
  <c r="B27" i="78"/>
  <c r="B23" i="78"/>
  <c r="B19" i="78"/>
  <c r="B15" i="78"/>
  <c r="B11" i="78"/>
  <c r="B7" i="78"/>
  <c r="B3" i="78"/>
  <c r="B429" i="78"/>
  <c r="B413" i="78"/>
  <c r="B397" i="78"/>
  <c r="B381" i="78"/>
  <c r="B365" i="78"/>
  <c r="B349" i="78"/>
  <c r="B333" i="78"/>
  <c r="B317" i="78"/>
  <c r="B301" i="78"/>
  <c r="B296" i="78"/>
  <c r="B288" i="78"/>
  <c r="B280" i="78"/>
  <c r="B272" i="78"/>
  <c r="B264" i="78"/>
  <c r="B256" i="78"/>
  <c r="B248" i="78"/>
  <c r="B240" i="78"/>
  <c r="B232" i="78"/>
  <c r="B224" i="78"/>
  <c r="B216" i="78"/>
  <c r="B208" i="78"/>
  <c r="B200" i="78"/>
  <c r="B192" i="78"/>
  <c r="B189" i="78"/>
  <c r="B179" i="78"/>
  <c r="B176" i="78"/>
  <c r="B173" i="78"/>
  <c r="B163" i="78"/>
  <c r="B160" i="78"/>
  <c r="B157" i="78"/>
  <c r="B147" i="78"/>
  <c r="B144" i="78"/>
  <c r="B141" i="78"/>
  <c r="B131" i="78"/>
  <c r="B128" i="78"/>
  <c r="B125" i="78"/>
  <c r="B115" i="78"/>
  <c r="B112" i="78"/>
  <c r="B109" i="78"/>
  <c r="B99" i="78"/>
  <c r="B96" i="78"/>
  <c r="B92" i="78"/>
  <c r="B88" i="78"/>
  <c r="B84" i="78"/>
  <c r="B80" i="78"/>
  <c r="B76" i="78"/>
  <c r="B72" i="78"/>
  <c r="B68" i="78"/>
  <c r="B64" i="78"/>
  <c r="B60" i="78"/>
  <c r="B56" i="78"/>
  <c r="B52" i="78"/>
  <c r="B48" i="78"/>
  <c r="B44" i="78"/>
  <c r="B40" i="78"/>
  <c r="B36" i="78"/>
  <c r="B32" i="78"/>
  <c r="B28" i="78"/>
  <c r="B24" i="78"/>
  <c r="B20" i="78"/>
  <c r="B16" i="78"/>
  <c r="B12" i="78"/>
  <c r="B8" i="78"/>
  <c r="B4" i="78"/>
  <c r="B425" i="78"/>
  <c r="B409" i="78"/>
  <c r="B393" i="78"/>
  <c r="B377" i="78"/>
  <c r="B361" i="78"/>
  <c r="B345" i="78"/>
  <c r="B329" i="78"/>
  <c r="B313" i="78"/>
  <c r="B297" i="78"/>
  <c r="B289" i="78"/>
  <c r="B281" i="78"/>
  <c r="B273" i="78"/>
  <c r="B265" i="78"/>
  <c r="B257" i="78"/>
  <c r="B249" i="78"/>
  <c r="B241" i="78"/>
  <c r="B233" i="78"/>
  <c r="B225" i="78"/>
  <c r="B217" i="78"/>
  <c r="B209" i="78"/>
  <c r="B201" i="78"/>
  <c r="B193" i="78"/>
  <c r="B183" i="78"/>
  <c r="B180" i="78"/>
  <c r="B177" i="78"/>
  <c r="B167" i="78"/>
  <c r="B164" i="78"/>
  <c r="B161" i="78"/>
  <c r="B151" i="78"/>
  <c r="B148" i="78"/>
  <c r="B145" i="78"/>
  <c r="B135" i="78"/>
  <c r="B132" i="78"/>
  <c r="B129" i="78"/>
  <c r="B119" i="78"/>
  <c r="B116" i="78"/>
  <c r="B113" i="78"/>
  <c r="B103" i="78"/>
  <c r="B100" i="78"/>
  <c r="B97" i="78"/>
  <c r="B93" i="78"/>
  <c r="B89" i="78"/>
  <c r="B85" i="78"/>
  <c r="B81" i="78"/>
  <c r="B77" i="78"/>
  <c r="B73" i="78"/>
  <c r="B69" i="78"/>
  <c r="B65" i="78"/>
  <c r="B61" i="78"/>
  <c r="B57" i="78"/>
  <c r="B53" i="78"/>
  <c r="B49" i="78"/>
  <c r="B45" i="78"/>
  <c r="B41" i="78"/>
  <c r="B37" i="78"/>
  <c r="B33" i="78"/>
  <c r="B29" i="78"/>
  <c r="B25" i="78"/>
  <c r="B21" i="78"/>
  <c r="B17" i="78"/>
  <c r="B13" i="78"/>
  <c r="B9" i="78"/>
  <c r="B5" i="78"/>
  <c r="B18" i="78"/>
  <c r="B34" i="78"/>
  <c r="B50" i="78"/>
  <c r="B66" i="78"/>
  <c r="B82" i="78"/>
  <c r="B107" i="78"/>
  <c r="B120" i="78"/>
  <c r="B133" i="78"/>
  <c r="B171" i="78"/>
  <c r="B184" i="78"/>
  <c r="B212" i="78"/>
  <c r="B244" i="78"/>
  <c r="B276" i="78"/>
  <c r="B357" i="78"/>
  <c r="B421" i="78"/>
  <c r="D249" i="79"/>
  <c r="D250" i="79"/>
  <c r="N3" i="60"/>
  <c r="O551" i="22"/>
  <c r="D103" i="16" l="1"/>
  <c r="D105" i="16" s="1"/>
  <c r="F558" i="22"/>
  <c r="F561" i="22" s="1"/>
  <c r="G9" i="92"/>
  <c r="D98" i="79"/>
  <c r="D131" i="105"/>
  <c r="V8" i="93"/>
  <c r="O8" i="91"/>
  <c r="N36" i="95"/>
  <c r="O36" i="95" s="1"/>
  <c r="C78" i="95" s="1"/>
  <c r="B78" i="95" s="1"/>
  <c r="K80" i="4" s="1"/>
  <c r="M80" i="4" s="1"/>
  <c r="R80" i="4" s="1"/>
  <c r="S80" i="4" s="1"/>
  <c r="D147" i="105"/>
  <c r="D149" i="105" s="1"/>
  <c r="D584" i="22"/>
  <c r="D586" i="22" s="1"/>
  <c r="D20" i="85"/>
  <c r="H533" i="22"/>
  <c r="H434" i="78" s="1"/>
  <c r="D96" i="79"/>
  <c r="O40" i="46"/>
  <c r="C54" i="95"/>
  <c r="B54" i="95" s="1"/>
  <c r="B56" i="95" s="1"/>
  <c r="G72" i="49"/>
  <c r="D108" i="16"/>
  <c r="B28" i="96"/>
  <c r="J28" i="96" s="1"/>
  <c r="N19" i="95"/>
  <c r="O19" i="95" s="1"/>
  <c r="E39" i="95" s="1"/>
  <c r="L135" i="45"/>
  <c r="J35" i="70"/>
  <c r="F9" i="83"/>
  <c r="B9" i="107" s="1"/>
  <c r="C8" i="97"/>
  <c r="G11" i="92"/>
  <c r="V10" i="93"/>
  <c r="C10" i="99"/>
  <c r="O10" i="91"/>
  <c r="N78" i="96"/>
  <c r="N35" i="96"/>
  <c r="N42" i="96"/>
  <c r="N54" i="96"/>
  <c r="N31" i="96"/>
  <c r="N46" i="96"/>
  <c r="N97" i="96"/>
  <c r="N93" i="96"/>
  <c r="M108" i="96"/>
  <c r="F49" i="63"/>
  <c r="F52" i="63" s="1"/>
  <c r="B189" i="96"/>
  <c r="J189" i="96" s="1"/>
  <c r="O61" i="46"/>
  <c r="S61" i="46"/>
  <c r="D108" i="79"/>
  <c r="D40" i="16"/>
  <c r="D41" i="16" s="1"/>
  <c r="B192" i="96"/>
  <c r="F11" i="23"/>
  <c r="G533" i="22"/>
  <c r="G552" i="22" s="1"/>
  <c r="G554" i="22" s="1"/>
  <c r="G584" i="22" s="1"/>
  <c r="F20" i="23"/>
  <c r="F19" i="23"/>
  <c r="F18" i="23"/>
  <c r="F16" i="23"/>
  <c r="F14" i="23"/>
  <c r="B155" i="96"/>
  <c r="J155" i="96" s="1"/>
  <c r="D88" i="79"/>
  <c r="F110" i="63"/>
  <c r="K42" i="49"/>
  <c r="G44" i="49"/>
  <c r="L24" i="52"/>
  <c r="D10" i="79"/>
  <c r="O202" i="22"/>
  <c r="D118" i="16"/>
  <c r="F21" i="63"/>
  <c r="D52" i="16"/>
  <c r="D53" i="16" s="1"/>
  <c r="N67" i="63"/>
  <c r="U21" i="45"/>
  <c r="V21" i="45" s="1"/>
  <c r="O81" i="95"/>
  <c r="C83" i="95" s="1"/>
  <c r="B83" i="95" s="1"/>
  <c r="K85" i="4" s="1"/>
  <c r="M85" i="4" s="1"/>
  <c r="R85" i="4" s="1"/>
  <c r="S85" i="4" s="1"/>
  <c r="D78" i="79"/>
  <c r="O12" i="46"/>
  <c r="K66" i="62"/>
  <c r="N74" i="96"/>
  <c r="P21" i="45"/>
  <c r="D117" i="16"/>
  <c r="G588" i="22"/>
  <c r="I93" i="49"/>
  <c r="O16" i="51"/>
  <c r="D123" i="79" s="1"/>
  <c r="F32" i="62"/>
  <c r="E28" i="48" s="1"/>
  <c r="F94" i="63"/>
  <c r="N82" i="96"/>
  <c r="N65" i="96"/>
  <c r="N27" i="96"/>
  <c r="H14" i="82"/>
  <c r="H46" i="97"/>
  <c r="H79" i="97" s="1"/>
  <c r="N89" i="96"/>
  <c r="G8" i="95"/>
  <c r="E9" i="27"/>
  <c r="M256" i="78"/>
  <c r="E37" i="49"/>
  <c r="G57" i="49" s="1"/>
  <c r="M57" i="49" s="1"/>
  <c r="O322" i="22"/>
  <c r="D96" i="27"/>
  <c r="N18" i="95"/>
  <c r="O18" i="95" s="1"/>
  <c r="Q18" i="95" s="1"/>
  <c r="Q20" i="95" s="1"/>
  <c r="D2" i="79"/>
  <c r="N17" i="95"/>
  <c r="C61" i="95" s="1"/>
  <c r="N69" i="96"/>
  <c r="S29" i="87"/>
  <c r="AN29" i="87" s="1"/>
  <c r="AZ29" i="87" s="1"/>
  <c r="O260" i="22"/>
  <c r="I588" i="22"/>
  <c r="F17" i="23"/>
  <c r="F12" i="23"/>
  <c r="M50" i="58"/>
  <c r="E235" i="79" s="1"/>
  <c r="E211" i="79"/>
  <c r="J24" i="62"/>
  <c r="J53" i="46"/>
  <c r="J57" i="46" s="1"/>
  <c r="C10" i="95"/>
  <c r="F15" i="23"/>
  <c r="F10" i="23"/>
  <c r="F22" i="23" s="1"/>
  <c r="O33" i="95"/>
  <c r="K533" i="22"/>
  <c r="I533" i="22"/>
  <c r="O42" i="46"/>
  <c r="B170" i="96"/>
  <c r="J170" i="96" s="1"/>
  <c r="C92" i="95"/>
  <c r="B92" i="95" s="1"/>
  <c r="K94" i="4" s="1"/>
  <c r="M94" i="4" s="1"/>
  <c r="R94" i="4" s="1"/>
  <c r="S94" i="4" s="1"/>
  <c r="F58" i="77"/>
  <c r="B141" i="96"/>
  <c r="J141" i="96" s="1"/>
  <c r="S42" i="46"/>
  <c r="T42" i="46" s="1"/>
  <c r="C42" i="95"/>
  <c r="B42" i="95" s="1"/>
  <c r="K40" i="4" s="1"/>
  <c r="M40" i="4" s="1"/>
  <c r="R40" i="4" s="1"/>
  <c r="S40" i="4" s="1"/>
  <c r="P15" i="45"/>
  <c r="K99" i="45"/>
  <c r="F120" i="79" a="1"/>
  <c r="F120" i="79" s="1"/>
  <c r="G32" i="82" s="1"/>
  <c r="F119" i="79" a="1"/>
  <c r="F119" i="79" s="1"/>
  <c r="G18" i="82" s="1"/>
  <c r="F112" i="79" a="1"/>
  <c r="F112" i="79" s="1"/>
  <c r="G28" i="82" s="1"/>
  <c r="D237" i="79"/>
  <c r="N27" i="52" a="1"/>
  <c r="N27" i="52" s="1"/>
  <c r="G21" i="57" a="1"/>
  <c r="G21" i="57" s="1"/>
  <c r="K12" i="57" a="1"/>
  <c r="K12" i="57" s="1"/>
  <c r="D11" i="79"/>
  <c r="N45" i="95"/>
  <c r="O45" i="95" s="1"/>
  <c r="M127" i="78"/>
  <c r="O143" i="22"/>
  <c r="G29" i="77" a="1"/>
  <c r="K73" i="62"/>
  <c r="F74" i="63"/>
  <c r="J29" i="63"/>
  <c r="J32" i="63" s="1"/>
  <c r="D162" i="96"/>
  <c r="N50" i="46"/>
  <c r="U34" i="46"/>
  <c r="W101" i="45"/>
  <c r="X99" i="45"/>
  <c r="I67" i="62"/>
  <c r="J94" i="63"/>
  <c r="J78" i="63"/>
  <c r="N78" i="63" s="1"/>
  <c r="D103" i="96"/>
  <c r="O113" i="45"/>
  <c r="J80" i="63"/>
  <c r="F65" i="62"/>
  <c r="H32" i="62"/>
  <c r="I69" i="62"/>
  <c r="I59" i="62"/>
  <c r="I62" i="62" s="1"/>
  <c r="J93" i="63"/>
  <c r="J70" i="63"/>
  <c r="D51" i="96"/>
  <c r="O127" i="45"/>
  <c r="O51" i="45"/>
  <c r="F56" i="62"/>
  <c r="H24" i="62"/>
  <c r="W39" i="45"/>
  <c r="X25" i="45"/>
  <c r="L18" i="52"/>
  <c r="P18" i="52" s="1"/>
  <c r="S31" i="87"/>
  <c r="AN31" i="87" s="1"/>
  <c r="AZ31" i="87" s="1"/>
  <c r="D110" i="79"/>
  <c r="N64" i="46"/>
  <c r="E73" i="105" s="1"/>
  <c r="G73" i="105" s="1"/>
  <c r="G74" i="105" s="1"/>
  <c r="U61" i="46"/>
  <c r="J49" i="63"/>
  <c r="J52" i="63" s="1"/>
  <c r="D57" i="16"/>
  <c r="D58" i="16" s="1"/>
  <c r="D189" i="96"/>
  <c r="M189" i="96" s="1"/>
  <c r="E108" i="79"/>
  <c r="O27" i="46"/>
  <c r="S27" i="46"/>
  <c r="T27" i="46" s="1"/>
  <c r="D23" i="27"/>
  <c r="D8" i="95"/>
  <c r="R19" i="4"/>
  <c r="S19" i="4" s="1"/>
  <c r="B45" i="95"/>
  <c r="K42" i="4" s="1"/>
  <c r="M42" i="4" s="1"/>
  <c r="R42" i="4" s="1"/>
  <c r="S42" i="4" s="1"/>
  <c r="N26" i="95"/>
  <c r="O26" i="95" s="1"/>
  <c r="Q26" i="95" s="1"/>
  <c r="Q28" i="95" s="1"/>
  <c r="H588" i="22"/>
  <c r="F533" i="22"/>
  <c r="F552" i="22" s="1"/>
  <c r="F554" i="22" s="1"/>
  <c r="F584" i="22" s="1"/>
  <c r="F586" i="22" s="1"/>
  <c r="B153" i="96"/>
  <c r="L588" i="22"/>
  <c r="J588" i="22"/>
  <c r="O492" i="22"/>
  <c r="L533" i="22"/>
  <c r="O54" i="46"/>
  <c r="C32" i="95"/>
  <c r="B32" i="95" s="1"/>
  <c r="K30" i="4" s="1"/>
  <c r="M30" i="4" s="1"/>
  <c r="E84" i="70" s="1"/>
  <c r="E76" i="70"/>
  <c r="D4" i="79"/>
  <c r="O25" i="46"/>
  <c r="B182" i="96"/>
  <c r="J182" i="96" s="1"/>
  <c r="O361" i="22"/>
  <c r="U97" i="45"/>
  <c r="V97" i="45" s="1"/>
  <c r="D59" i="79"/>
  <c r="F27" i="63"/>
  <c r="G20" i="49" s="1"/>
  <c r="P97" i="45"/>
  <c r="U63" i="45"/>
  <c r="V63" i="45" s="1"/>
  <c r="D6" i="79"/>
  <c r="D139" i="79" s="1"/>
  <c r="D119" i="16"/>
  <c r="E8" i="27"/>
  <c r="O32" i="51"/>
  <c r="D131" i="79" s="1"/>
  <c r="D151" i="79"/>
  <c r="O22" i="51"/>
  <c r="D125" i="79" s="1"/>
  <c r="D145" i="79"/>
  <c r="O26" i="51"/>
  <c r="D149" i="79"/>
  <c r="H38" i="63"/>
  <c r="O24" i="51"/>
  <c r="D127" i="79" s="1"/>
  <c r="D147" i="79"/>
  <c r="E39" i="49"/>
  <c r="G55" i="49" s="1"/>
  <c r="K55" i="49" s="1"/>
  <c r="D533" i="22"/>
  <c r="O18" i="46"/>
  <c r="D83" i="79"/>
  <c r="B146" i="96"/>
  <c r="S18" i="46"/>
  <c r="T18" i="46" s="1"/>
  <c r="D79" i="79"/>
  <c r="O13" i="46"/>
  <c r="D91" i="27"/>
  <c r="P59" i="45"/>
  <c r="BC34" i="87"/>
  <c r="E13" i="95"/>
  <c r="B99" i="96"/>
  <c r="J99" i="96" s="1"/>
  <c r="O46" i="22"/>
  <c r="H552" i="22"/>
  <c r="H554" i="22" s="1"/>
  <c r="K123" i="45" s="1"/>
  <c r="M123" i="45" s="1"/>
  <c r="O317" i="22"/>
  <c r="K37" i="45"/>
  <c r="N89" i="22"/>
  <c r="O89" i="22" s="1"/>
  <c r="B31" i="96"/>
  <c r="B29" i="96"/>
  <c r="J29" i="96" s="1"/>
  <c r="R59" i="4"/>
  <c r="O63" i="95"/>
  <c r="C80" i="95" s="1"/>
  <c r="U59" i="45"/>
  <c r="V59" i="45" s="1"/>
  <c r="O362" i="22"/>
  <c r="E82" i="95"/>
  <c r="B82" i="95" s="1"/>
  <c r="K84" i="4" s="1"/>
  <c r="M84" i="4" s="1"/>
  <c r="R84" i="4" s="1"/>
  <c r="S84" i="4" s="1"/>
  <c r="D74" i="16"/>
  <c r="D75" i="16" s="1"/>
  <c r="F55" i="77"/>
  <c r="G56" i="77" s="1"/>
  <c r="B35" i="96"/>
  <c r="J35" i="96" s="1"/>
  <c r="D5" i="79"/>
  <c r="D137" i="79" s="1"/>
  <c r="O44" i="22"/>
  <c r="D62" i="27"/>
  <c r="S13" i="46"/>
  <c r="T13" i="46" s="1"/>
  <c r="C28" i="95"/>
  <c r="B28" i="95" s="1"/>
  <c r="K26" i="4" s="1"/>
  <c r="N507" i="22"/>
  <c r="N532" i="22" s="1"/>
  <c r="D86" i="79"/>
  <c r="O496" i="22"/>
  <c r="J533" i="22"/>
  <c r="B68" i="96"/>
  <c r="J68" i="96" s="1"/>
  <c r="S25" i="46"/>
  <c r="T25" i="46" s="1"/>
  <c r="U13" i="45"/>
  <c r="V13" i="45" s="1"/>
  <c r="B26" i="96"/>
  <c r="J26" i="96" s="1"/>
  <c r="P18" i="45"/>
  <c r="P22" i="45"/>
  <c r="P16" i="45"/>
  <c r="N71" i="95"/>
  <c r="O71" i="95" s="1"/>
  <c r="F22" i="95" s="1"/>
  <c r="C76" i="95" s="1"/>
  <c r="B76" i="95" s="1"/>
  <c r="K78" i="4" s="1"/>
  <c r="M78" i="4" s="1"/>
  <c r="R78" i="4" s="1"/>
  <c r="S78" i="4" s="1"/>
  <c r="D80" i="95"/>
  <c r="D9" i="95"/>
  <c r="O146" i="22"/>
  <c r="U18" i="45"/>
  <c r="V18" i="45" s="1"/>
  <c r="C86" i="95"/>
  <c r="B86" i="95" s="1"/>
  <c r="K88" i="4" s="1"/>
  <c r="M88" i="4" s="1"/>
  <c r="R88" i="4" s="1"/>
  <c r="S88" i="4" s="1"/>
  <c r="N156" i="22"/>
  <c r="N582" i="22" s="1"/>
  <c r="O142" i="22"/>
  <c r="P13" i="45"/>
  <c r="P63" i="45"/>
  <c r="B72" i="96"/>
  <c r="N83" i="95"/>
  <c r="O83" i="95" s="1"/>
  <c r="C85" i="95" s="1"/>
  <c r="B85" i="95" s="1"/>
  <c r="K87" i="4" s="1"/>
  <c r="M87" i="4" s="1"/>
  <c r="R87" i="4" s="1"/>
  <c r="S87" i="4" s="1"/>
  <c r="O29" i="46"/>
  <c r="D90" i="79"/>
  <c r="S29" i="46"/>
  <c r="T29" i="46" s="1"/>
  <c r="E10" i="95"/>
  <c r="L586" i="22"/>
  <c r="P116" i="45"/>
  <c r="B114" i="96"/>
  <c r="J114" i="96" s="1"/>
  <c r="D61" i="79"/>
  <c r="H73" i="62"/>
  <c r="D38" i="62"/>
  <c r="H84" i="63"/>
  <c r="L84" i="63" s="1"/>
  <c r="U116" i="45"/>
  <c r="V116" i="45" s="1"/>
  <c r="M532" i="22"/>
  <c r="O499" i="22"/>
  <c r="O495" i="22"/>
  <c r="O491" i="22"/>
  <c r="S28" i="46"/>
  <c r="T28" i="46" s="1"/>
  <c r="D89" i="79"/>
  <c r="D10" i="95"/>
  <c r="E38" i="49"/>
  <c r="G56" i="49" s="1"/>
  <c r="M56" i="49" s="1"/>
  <c r="B156" i="96"/>
  <c r="J156" i="96" s="1"/>
  <c r="O28" i="46"/>
  <c r="O26" i="46"/>
  <c r="E36" i="49"/>
  <c r="G58" i="49" s="1"/>
  <c r="K58" i="49" s="1"/>
  <c r="B154" i="96"/>
  <c r="J154" i="96" s="1"/>
  <c r="C12" i="95"/>
  <c r="B12" i="95" s="1"/>
  <c r="K12" i="4" s="1"/>
  <c r="M12" i="4" s="1"/>
  <c r="S26" i="46"/>
  <c r="T26" i="46" s="1"/>
  <c r="D87" i="79"/>
  <c r="R43" i="4"/>
  <c r="S43" i="4" s="1"/>
  <c r="D353" i="79"/>
  <c r="E95" i="70"/>
  <c r="R15" i="4"/>
  <c r="S15" i="4" s="1"/>
  <c r="E72" i="70"/>
  <c r="D331" i="79"/>
  <c r="O437" i="22"/>
  <c r="D44" i="16" s="1"/>
  <c r="C13" i="95"/>
  <c r="J24" i="46"/>
  <c r="N381" i="22"/>
  <c r="O381" i="22" s="1"/>
  <c r="G75" i="49"/>
  <c r="B171" i="96"/>
  <c r="J171" i="96" s="1"/>
  <c r="S43" i="46"/>
  <c r="T43" i="46" s="1"/>
  <c r="C43" i="46"/>
  <c r="D99" i="79"/>
  <c r="O43" i="46"/>
  <c r="O368" i="22"/>
  <c r="O371" i="22"/>
  <c r="O367" i="22"/>
  <c r="H27" i="82"/>
  <c r="D71" i="63"/>
  <c r="G18" i="49"/>
  <c r="O337" i="22"/>
  <c r="C19" i="95"/>
  <c r="B19" i="95" s="1"/>
  <c r="K18" i="4" s="1"/>
  <c r="M18" i="4" s="1"/>
  <c r="B144" i="96"/>
  <c r="J144" i="96" s="1"/>
  <c r="S17" i="46"/>
  <c r="T17" i="46" s="1"/>
  <c r="F26" i="63"/>
  <c r="O17" i="46"/>
  <c r="D82" i="79"/>
  <c r="N341" i="22"/>
  <c r="O341" i="22" s="1"/>
  <c r="E552" i="22"/>
  <c r="E554" i="22" s="1"/>
  <c r="K122" i="45" s="1"/>
  <c r="M122" i="45" s="1"/>
  <c r="B166" i="96"/>
  <c r="J166" i="96" s="1"/>
  <c r="E588" i="22"/>
  <c r="D94" i="79"/>
  <c r="G17" i="49"/>
  <c r="M17" i="49" s="1"/>
  <c r="D70" i="63"/>
  <c r="G586" i="22"/>
  <c r="O38" i="46"/>
  <c r="G15" i="49"/>
  <c r="D68" i="63"/>
  <c r="S38" i="46"/>
  <c r="T38" i="46" s="1"/>
  <c r="O308" i="22"/>
  <c r="M550" i="22"/>
  <c r="F588" i="22"/>
  <c r="F434" i="78"/>
  <c r="O293" i="22"/>
  <c r="L37" i="46"/>
  <c r="E54" i="105" s="1"/>
  <c r="G54" i="105" s="1"/>
  <c r="J47" i="46"/>
  <c r="D588" i="22"/>
  <c r="B180" i="96"/>
  <c r="J180" i="96" s="1"/>
  <c r="S52" i="46"/>
  <c r="T52" i="46" s="1"/>
  <c r="C39" i="95"/>
  <c r="D103" i="79"/>
  <c r="O52" i="46"/>
  <c r="F42" i="63"/>
  <c r="G91" i="49" s="1"/>
  <c r="D561" i="22"/>
  <c r="D562" i="22" s="1"/>
  <c r="D564" i="22" s="1"/>
  <c r="D21" i="106" s="1"/>
  <c r="C31" i="95"/>
  <c r="B31" i="95" s="1"/>
  <c r="K29" i="4" s="1"/>
  <c r="M29" i="4" s="1"/>
  <c r="G71" i="49"/>
  <c r="B167" i="96"/>
  <c r="J167" i="96" s="1"/>
  <c r="S39" i="46"/>
  <c r="O39" i="46"/>
  <c r="D95" i="79"/>
  <c r="G16" i="49"/>
  <c r="D69" i="63"/>
  <c r="M243" i="22"/>
  <c r="O243" i="22" s="1"/>
  <c r="K584" i="22"/>
  <c r="K586" i="22" s="1"/>
  <c r="K125" i="45"/>
  <c r="M125" i="45" s="1"/>
  <c r="B16" i="25"/>
  <c r="D110" i="16"/>
  <c r="K124" i="45"/>
  <c r="M124" i="45" s="1"/>
  <c r="J584" i="22"/>
  <c r="J586" i="22" s="1"/>
  <c r="D122" i="16"/>
  <c r="C11" i="40"/>
  <c r="D14" i="27"/>
  <c r="D94" i="27"/>
  <c r="J11" i="46"/>
  <c r="D575" i="22"/>
  <c r="D573" i="22"/>
  <c r="U105" i="45"/>
  <c r="N99" i="95"/>
  <c r="D72" i="79"/>
  <c r="B107" i="96"/>
  <c r="J107" i="96" s="1"/>
  <c r="M112" i="45"/>
  <c r="E15" i="105" s="1"/>
  <c r="G15" i="105" s="1"/>
  <c r="P105" i="45"/>
  <c r="P112" i="45" s="1"/>
  <c r="D290" i="79"/>
  <c r="M55" i="45"/>
  <c r="K77" i="45"/>
  <c r="U93" i="45"/>
  <c r="B95" i="96"/>
  <c r="J95" i="96" s="1"/>
  <c r="D55" i="79"/>
  <c r="P93" i="45"/>
  <c r="BC28" i="87"/>
  <c r="C84" i="95"/>
  <c r="B84" i="95" s="1"/>
  <c r="K86" i="4" s="1"/>
  <c r="M86" i="4" s="1"/>
  <c r="R86" i="4" s="1"/>
  <c r="S86" i="4" s="1"/>
  <c r="E14" i="95"/>
  <c r="D242" i="79"/>
  <c r="D30" i="79"/>
  <c r="B66" i="96"/>
  <c r="J66" i="96" s="1"/>
  <c r="U57" i="45"/>
  <c r="V57" i="45" s="1"/>
  <c r="P57" i="45"/>
  <c r="C89" i="95"/>
  <c r="B89" i="95" s="1"/>
  <c r="K91" i="4" s="1"/>
  <c r="M91" i="4" s="1"/>
  <c r="R91" i="4" s="1"/>
  <c r="S91" i="4" s="1"/>
  <c r="F15" i="95"/>
  <c r="C88" i="95"/>
  <c r="B88" i="95" s="1"/>
  <c r="K90" i="4" s="1"/>
  <c r="M90" i="4" s="1"/>
  <c r="R90" i="4" s="1"/>
  <c r="S90" i="4" s="1"/>
  <c r="Q20" i="52"/>
  <c r="N90" i="95"/>
  <c r="O90" i="95" s="1"/>
  <c r="D21" i="62"/>
  <c r="D57" i="62" s="1"/>
  <c r="H68" i="63"/>
  <c r="U33" i="45"/>
  <c r="V33" i="45" s="1"/>
  <c r="S41" i="51"/>
  <c r="P33" i="45"/>
  <c r="D20" i="16"/>
  <c r="D21" i="16" s="1"/>
  <c r="H57" i="62"/>
  <c r="B45" i="96"/>
  <c r="J45" i="96" s="1"/>
  <c r="D19" i="79"/>
  <c r="B46" i="96"/>
  <c r="J46" i="96" s="1"/>
  <c r="N41" i="95"/>
  <c r="O41" i="95" s="1"/>
  <c r="E44" i="95" s="1"/>
  <c r="U34" i="45"/>
  <c r="V34" i="45" s="1"/>
  <c r="P34" i="45"/>
  <c r="S19" i="51"/>
  <c r="D20" i="79"/>
  <c r="L42" i="95"/>
  <c r="O39" i="95"/>
  <c r="N53" i="95"/>
  <c r="U43" i="45"/>
  <c r="U50" i="45" s="1"/>
  <c r="B55" i="96"/>
  <c r="J55" i="96" s="1"/>
  <c r="M50" i="45"/>
  <c r="E16" i="105" s="1"/>
  <c r="G16" i="105" s="1"/>
  <c r="P43" i="45"/>
  <c r="P50" i="45" s="1"/>
  <c r="D23" i="79"/>
  <c r="G14" i="95"/>
  <c r="P55" i="95"/>
  <c r="U17" i="45"/>
  <c r="V17" i="45" s="1"/>
  <c r="O39" i="22"/>
  <c r="H82" i="77"/>
  <c r="G29" i="77"/>
  <c r="J247" i="79" s="1"/>
  <c r="J249" i="79" s="1"/>
  <c r="D245" i="79" s="1"/>
  <c r="K25" i="45"/>
  <c r="P17" i="45"/>
  <c r="O41" i="22"/>
  <c r="O16" i="95"/>
  <c r="H69" i="63"/>
  <c r="H58" i="62"/>
  <c r="J58" i="62" s="1"/>
  <c r="B42" i="96"/>
  <c r="J42" i="96" s="1"/>
  <c r="P29" i="45"/>
  <c r="M37" i="45"/>
  <c r="U29" i="45"/>
  <c r="D15" i="79"/>
  <c r="F10" i="95"/>
  <c r="O22" i="95"/>
  <c r="N25" i="95"/>
  <c r="B32" i="96"/>
  <c r="J32" i="96" s="1"/>
  <c r="U19" i="45"/>
  <c r="V19" i="45" s="1"/>
  <c r="P19" i="45"/>
  <c r="D8" i="79"/>
  <c r="V12" i="45"/>
  <c r="F57" i="77"/>
  <c r="C79" i="95"/>
  <c r="G22" i="95"/>
  <c r="M25" i="45"/>
  <c r="G10" i="95"/>
  <c r="C77" i="95"/>
  <c r="B77" i="95" s="1"/>
  <c r="K79" i="4" s="1"/>
  <c r="M79" i="4" s="1"/>
  <c r="R79" i="4" s="1"/>
  <c r="S79" i="4" s="1"/>
  <c r="O34" i="51"/>
  <c r="D153" i="79"/>
  <c r="F84" i="63"/>
  <c r="H52" i="63"/>
  <c r="O27" i="51"/>
  <c r="D130" i="79" s="1"/>
  <c r="D150" i="79"/>
  <c r="O37" i="51"/>
  <c r="D136" i="79" s="1"/>
  <c r="D156" i="79"/>
  <c r="O25" i="51"/>
  <c r="D148" i="79"/>
  <c r="I91" i="49"/>
  <c r="I95" i="49" s="1"/>
  <c r="F77" i="63"/>
  <c r="N77" i="63" s="1"/>
  <c r="O35" i="51"/>
  <c r="D154" i="79"/>
  <c r="O23" i="51"/>
  <c r="D146" i="79"/>
  <c r="O36" i="51"/>
  <c r="D155" i="79"/>
  <c r="L25" i="52"/>
  <c r="D212" i="79"/>
  <c r="O33" i="51"/>
  <c r="D152" i="79"/>
  <c r="O17" i="51"/>
  <c r="D144" i="79"/>
  <c r="G42" i="49"/>
  <c r="I60" i="49"/>
  <c r="I61" i="49" s="1"/>
  <c r="I79" i="49"/>
  <c r="I82" i="49"/>
  <c r="L38" i="63"/>
  <c r="L29" i="63"/>
  <c r="L32" i="63" s="1"/>
  <c r="F24" i="62"/>
  <c r="E27" i="48" s="1"/>
  <c r="E34" i="48" s="1" a="1"/>
  <c r="H29" i="63"/>
  <c r="M96" i="96"/>
  <c r="N96" i="96"/>
  <c r="M72" i="96"/>
  <c r="N72" i="96"/>
  <c r="M45" i="96"/>
  <c r="N45" i="96"/>
  <c r="M26" i="96"/>
  <c r="N26" i="96"/>
  <c r="K28" i="96"/>
  <c r="K32" i="96"/>
  <c r="J36" i="96"/>
  <c r="K36" i="96"/>
  <c r="J44" i="96"/>
  <c r="K44" i="96"/>
  <c r="J54" i="96"/>
  <c r="K54" i="96"/>
  <c r="J59" i="96"/>
  <c r="K59" i="96"/>
  <c r="K66" i="96"/>
  <c r="J70" i="96"/>
  <c r="K70" i="96"/>
  <c r="J75" i="96"/>
  <c r="K75" i="96"/>
  <c r="J79" i="96"/>
  <c r="K79" i="96"/>
  <c r="J83" i="96"/>
  <c r="K83" i="96"/>
  <c r="J91" i="96"/>
  <c r="K91" i="96"/>
  <c r="K95" i="96"/>
  <c r="K99" i="96"/>
  <c r="M117" i="96"/>
  <c r="N117" i="96"/>
  <c r="N154" i="96"/>
  <c r="M154" i="96"/>
  <c r="N190" i="96"/>
  <c r="M190" i="96"/>
  <c r="K125" i="96"/>
  <c r="N168" i="96"/>
  <c r="M168" i="96"/>
  <c r="J58" i="96"/>
  <c r="K58" i="96"/>
  <c r="N146" i="96"/>
  <c r="M146" i="96"/>
  <c r="N182" i="96"/>
  <c r="M182" i="96"/>
  <c r="K141" i="96"/>
  <c r="N172" i="96"/>
  <c r="M172" i="96"/>
  <c r="J109" i="96"/>
  <c r="K109" i="96"/>
  <c r="J117" i="96"/>
  <c r="K117" i="96"/>
  <c r="N122" i="96"/>
  <c r="M122" i="96"/>
  <c r="K144" i="96"/>
  <c r="J158" i="96"/>
  <c r="K158" i="96"/>
  <c r="M171" i="96"/>
  <c r="N171" i="96"/>
  <c r="K124" i="96"/>
  <c r="J124" i="96"/>
  <c r="K152" i="96"/>
  <c r="F160" i="96"/>
  <c r="M165" i="96"/>
  <c r="N165" i="96"/>
  <c r="H175" i="96"/>
  <c r="M173" i="96"/>
  <c r="N173" i="96"/>
  <c r="K138" i="96"/>
  <c r="F148" i="96"/>
  <c r="E210" i="79"/>
  <c r="M45" i="58"/>
  <c r="E234" i="79" s="1"/>
  <c r="E206" i="79"/>
  <c r="M41" i="58"/>
  <c r="E230" i="79" s="1"/>
  <c r="O15" i="51"/>
  <c r="D142" i="79"/>
  <c r="M95" i="96"/>
  <c r="N95" i="96"/>
  <c r="M84" i="96"/>
  <c r="N84" i="96"/>
  <c r="M76" i="96"/>
  <c r="N76" i="96"/>
  <c r="M67" i="96"/>
  <c r="N67" i="96"/>
  <c r="M56" i="96"/>
  <c r="N56" i="96"/>
  <c r="M29" i="96"/>
  <c r="N29" i="96"/>
  <c r="M26" i="58"/>
  <c r="E151" i="79"/>
  <c r="M110" i="96"/>
  <c r="N110" i="96"/>
  <c r="M90" i="96"/>
  <c r="N90" i="96"/>
  <c r="M70" i="96"/>
  <c r="N70" i="96"/>
  <c r="M47" i="96"/>
  <c r="N47" i="96"/>
  <c r="M28" i="96"/>
  <c r="N28" i="96"/>
  <c r="M14" i="58"/>
  <c r="E124" i="79" s="1"/>
  <c r="E144" i="79"/>
  <c r="H36" i="70"/>
  <c r="R56" i="4"/>
  <c r="D62" i="16"/>
  <c r="D63" i="16" s="1"/>
  <c r="D361" i="79"/>
  <c r="M114" i="96"/>
  <c r="H127" i="96"/>
  <c r="N114" i="96"/>
  <c r="L20" i="52"/>
  <c r="S28" i="87"/>
  <c r="D210" i="79"/>
  <c r="AN30" i="87"/>
  <c r="AZ30" i="87" s="1"/>
  <c r="D233" i="79"/>
  <c r="P19" i="52"/>
  <c r="J38" i="70"/>
  <c r="J32" i="62"/>
  <c r="J42" i="62"/>
  <c r="M92" i="96"/>
  <c r="N92" i="96"/>
  <c r="M68" i="96"/>
  <c r="N68" i="96"/>
  <c r="M41" i="96"/>
  <c r="H49" i="96"/>
  <c r="N41" i="96"/>
  <c r="J25" i="96"/>
  <c r="F38" i="96"/>
  <c r="K25" i="96"/>
  <c r="K29" i="96"/>
  <c r="J33" i="96"/>
  <c r="K33" i="96"/>
  <c r="J41" i="96"/>
  <c r="F49" i="96"/>
  <c r="K41" i="96"/>
  <c r="K45" i="96"/>
  <c r="K55" i="96"/>
  <c r="J60" i="96"/>
  <c r="K60" i="96"/>
  <c r="J67" i="96"/>
  <c r="K67" i="96"/>
  <c r="J71" i="96"/>
  <c r="K71" i="96"/>
  <c r="J76" i="96"/>
  <c r="K76" i="96"/>
  <c r="J80" i="96"/>
  <c r="K80" i="96"/>
  <c r="J84" i="96"/>
  <c r="K84" i="96"/>
  <c r="J92" i="96"/>
  <c r="K92" i="96"/>
  <c r="J96" i="96"/>
  <c r="K96" i="96"/>
  <c r="J106" i="96"/>
  <c r="K106" i="96"/>
  <c r="K123" i="96"/>
  <c r="K155" i="96"/>
  <c r="N144" i="96"/>
  <c r="M144" i="96"/>
  <c r="J169" i="96"/>
  <c r="K169" i="96"/>
  <c r="M111" i="96"/>
  <c r="N111" i="96"/>
  <c r="N158" i="96"/>
  <c r="M158" i="96"/>
  <c r="J183" i="96"/>
  <c r="K183" i="96"/>
  <c r="N152" i="96"/>
  <c r="H160" i="96"/>
  <c r="M152" i="96"/>
  <c r="J173" i="96"/>
  <c r="K173" i="96"/>
  <c r="J110" i="96"/>
  <c r="K110" i="96"/>
  <c r="J119" i="96"/>
  <c r="K119" i="96"/>
  <c r="M123" i="96"/>
  <c r="N123" i="96"/>
  <c r="J146" i="96"/>
  <c r="K146" i="96"/>
  <c r="K166" i="96"/>
  <c r="K182" i="96"/>
  <c r="N125" i="96"/>
  <c r="M153" i="96"/>
  <c r="N153" i="96"/>
  <c r="J168" i="96"/>
  <c r="K168" i="96"/>
  <c r="F185" i="96"/>
  <c r="K180" i="96"/>
  <c r="M44" i="58"/>
  <c r="E233" i="79" s="1"/>
  <c r="E209" i="79"/>
  <c r="G52" i="58"/>
  <c r="M40" i="58"/>
  <c r="M52" i="58" s="1" a="1"/>
  <c r="E205" i="79"/>
  <c r="O14" i="51"/>
  <c r="D141" i="79"/>
  <c r="N107" i="96"/>
  <c r="M107" i="96"/>
  <c r="M20" i="58"/>
  <c r="E127" i="79" s="1"/>
  <c r="E147" i="79"/>
  <c r="M106" i="96"/>
  <c r="N106" i="96"/>
  <c r="M83" i="96"/>
  <c r="N83" i="96"/>
  <c r="M66" i="96"/>
  <c r="N66" i="96"/>
  <c r="M43" i="96"/>
  <c r="N43" i="96"/>
  <c r="C16" i="90"/>
  <c r="M27" i="58"/>
  <c r="E133" i="79" s="1"/>
  <c r="E153" i="79"/>
  <c r="L16" i="52"/>
  <c r="D206" i="79"/>
  <c r="M81" i="96"/>
  <c r="N81" i="96"/>
  <c r="M64" i="96"/>
  <c r="H86" i="96"/>
  <c r="N64" i="96"/>
  <c r="M34" i="96"/>
  <c r="N34" i="96"/>
  <c r="K26" i="96"/>
  <c r="J30" i="96"/>
  <c r="K30" i="96"/>
  <c r="J34" i="96"/>
  <c r="K34" i="96"/>
  <c r="K42" i="96"/>
  <c r="K46" i="96"/>
  <c r="J56" i="96"/>
  <c r="K56" i="96"/>
  <c r="F86" i="96"/>
  <c r="K64" i="96"/>
  <c r="K68" i="96"/>
  <c r="J72" i="96"/>
  <c r="K72" i="96"/>
  <c r="J77" i="96"/>
  <c r="K77" i="96"/>
  <c r="J81" i="96"/>
  <c r="K81" i="96"/>
  <c r="J89" i="96"/>
  <c r="F101" i="96"/>
  <c r="K89" i="96"/>
  <c r="J93" i="96"/>
  <c r="K93" i="96"/>
  <c r="J97" i="96"/>
  <c r="K97" i="96"/>
  <c r="K107" i="96"/>
  <c r="N142" i="96"/>
  <c r="M142" i="96"/>
  <c r="N166" i="96"/>
  <c r="M166" i="96"/>
  <c r="K120" i="96"/>
  <c r="N156" i="96"/>
  <c r="M156" i="96"/>
  <c r="N180" i="96"/>
  <c r="H185" i="96"/>
  <c r="M180" i="96"/>
  <c r="K121" i="96"/>
  <c r="N170" i="96"/>
  <c r="M170" i="96"/>
  <c r="K122" i="96"/>
  <c r="J153" i="96"/>
  <c r="K153" i="96"/>
  <c r="F192" i="96"/>
  <c r="K189" i="96"/>
  <c r="J111" i="96"/>
  <c r="K111" i="96"/>
  <c r="N120" i="96"/>
  <c r="M120" i="96"/>
  <c r="K140" i="96"/>
  <c r="J140" i="96"/>
  <c r="K154" i="96"/>
  <c r="M167" i="96"/>
  <c r="N167" i="96"/>
  <c r="M183" i="96"/>
  <c r="N183" i="96"/>
  <c r="K142" i="96"/>
  <c r="J142" i="96"/>
  <c r="K156" i="96"/>
  <c r="M169" i="96"/>
  <c r="N169" i="96"/>
  <c r="M181" i="96"/>
  <c r="N181" i="96"/>
  <c r="E208" i="79"/>
  <c r="M43" i="58"/>
  <c r="E232" i="79" s="1"/>
  <c r="M13" i="58"/>
  <c r="E123" i="79" s="1"/>
  <c r="E143" i="79"/>
  <c r="S20" i="87"/>
  <c r="D205" i="79"/>
  <c r="F27" i="52"/>
  <c r="L15" i="52"/>
  <c r="L27" i="52" s="1" a="1"/>
  <c r="M99" i="96"/>
  <c r="N99" i="96"/>
  <c r="M91" i="96"/>
  <c r="N91" i="96"/>
  <c r="M80" i="96"/>
  <c r="N80" i="96"/>
  <c r="M71" i="96"/>
  <c r="N71" i="96"/>
  <c r="M60" i="96"/>
  <c r="N60" i="96"/>
  <c r="M33" i="96"/>
  <c r="N33" i="96"/>
  <c r="M25" i="96"/>
  <c r="H38" i="96"/>
  <c r="N25" i="96"/>
  <c r="M98" i="96"/>
  <c r="N98" i="96"/>
  <c r="M79" i="96"/>
  <c r="N79" i="96"/>
  <c r="M59" i="96"/>
  <c r="N59" i="96"/>
  <c r="M36" i="96"/>
  <c r="N36" i="96"/>
  <c r="AN34" i="87"/>
  <c r="AZ34" i="87" s="1"/>
  <c r="D211" i="79"/>
  <c r="L22" i="52"/>
  <c r="M21" i="58"/>
  <c r="E130" i="79" s="1"/>
  <c r="E150" i="79"/>
  <c r="D8" i="84"/>
  <c r="N9" i="87"/>
  <c r="M54" i="49"/>
  <c r="K54" i="49"/>
  <c r="G59" i="48"/>
  <c r="F42" i="62"/>
  <c r="D110" i="63"/>
  <c r="H101" i="96"/>
  <c r="M77" i="96"/>
  <c r="N77" i="96"/>
  <c r="M57" i="96"/>
  <c r="N57" i="96"/>
  <c r="M30" i="96"/>
  <c r="N30" i="96"/>
  <c r="J27" i="96"/>
  <c r="K27" i="96"/>
  <c r="J31" i="96"/>
  <c r="K31" i="96"/>
  <c r="K35" i="96"/>
  <c r="J43" i="96"/>
  <c r="K43" i="96"/>
  <c r="J47" i="96"/>
  <c r="K47" i="96"/>
  <c r="J57" i="96"/>
  <c r="K57" i="96"/>
  <c r="J65" i="96"/>
  <c r="K65" i="96"/>
  <c r="J69" i="96"/>
  <c r="K69" i="96"/>
  <c r="J74" i="96"/>
  <c r="K74" i="96"/>
  <c r="J78" i="96"/>
  <c r="K78" i="96"/>
  <c r="J82" i="96"/>
  <c r="K82" i="96"/>
  <c r="J90" i="96"/>
  <c r="K90" i="96"/>
  <c r="J94" i="96"/>
  <c r="K94" i="96"/>
  <c r="J98" i="96"/>
  <c r="K98" i="96"/>
  <c r="M109" i="96"/>
  <c r="N109" i="96"/>
  <c r="K143" i="96"/>
  <c r="J143" i="96"/>
  <c r="K167" i="96"/>
  <c r="N124" i="96"/>
  <c r="M124" i="96"/>
  <c r="J157" i="96"/>
  <c r="K157" i="96"/>
  <c r="K181" i="96"/>
  <c r="M138" i="96"/>
  <c r="H148" i="96"/>
  <c r="N138" i="96"/>
  <c r="K171" i="96"/>
  <c r="N140" i="96"/>
  <c r="M140" i="96"/>
  <c r="F175" i="96"/>
  <c r="K165" i="96"/>
  <c r="J108" i="96"/>
  <c r="K108" i="96"/>
  <c r="F127" i="96"/>
  <c r="K114" i="96"/>
  <c r="N121" i="96"/>
  <c r="M121" i="96"/>
  <c r="M141" i="96"/>
  <c r="N141" i="96"/>
  <c r="M155" i="96"/>
  <c r="N155" i="96"/>
  <c r="K170" i="96"/>
  <c r="H192" i="96"/>
  <c r="M143" i="96"/>
  <c r="N143" i="96"/>
  <c r="M157" i="96"/>
  <c r="N157" i="96"/>
  <c r="J172" i="96"/>
  <c r="K172" i="96"/>
  <c r="J190" i="96"/>
  <c r="K190" i="96"/>
  <c r="M42" i="58"/>
  <c r="E231" i="79" s="1"/>
  <c r="E207" i="79"/>
  <c r="M11" i="58"/>
  <c r="E141" i="79"/>
  <c r="M58" i="96"/>
  <c r="N58" i="96"/>
  <c r="M44" i="96"/>
  <c r="N44" i="96"/>
  <c r="M28" i="58"/>
  <c r="E136" i="79" s="1"/>
  <c r="E156" i="79"/>
  <c r="M94" i="96"/>
  <c r="N94" i="96"/>
  <c r="M75" i="96"/>
  <c r="N75" i="96"/>
  <c r="M55" i="96"/>
  <c r="N55" i="96"/>
  <c r="M32" i="96"/>
  <c r="N32" i="96"/>
  <c r="D207" i="79"/>
  <c r="L17" i="52"/>
  <c r="M19" i="58"/>
  <c r="E145" i="79"/>
  <c r="E14" i="27" l="1"/>
  <c r="D113" i="105"/>
  <c r="E25" i="105"/>
  <c r="G25" i="105" s="1"/>
  <c r="G48" i="105" s="1"/>
  <c r="D127" i="105" s="1"/>
  <c r="B39" i="95"/>
  <c r="K37" i="4" s="1"/>
  <c r="M37" i="4" s="1"/>
  <c r="E22" i="105"/>
  <c r="G22" i="105" s="1"/>
  <c r="D112" i="105"/>
  <c r="D98" i="27"/>
  <c r="D102" i="27" s="1"/>
  <c r="G17" i="105"/>
  <c r="D111" i="16"/>
  <c r="D139" i="105"/>
  <c r="M55" i="49"/>
  <c r="N580" i="22"/>
  <c r="N586" i="22" s="1"/>
  <c r="L53" i="46"/>
  <c r="C40" i="95" s="1"/>
  <c r="B40" i="95" s="1"/>
  <c r="K38" i="4" s="1"/>
  <c r="M38" i="4" s="1"/>
  <c r="D348" i="79" s="1"/>
  <c r="H81" i="97"/>
  <c r="N189" i="96"/>
  <c r="K192" i="96"/>
  <c r="E17" i="90"/>
  <c r="D10" i="85"/>
  <c r="C8" i="90"/>
  <c r="D232" i="79"/>
  <c r="S64" i="46"/>
  <c r="T64" i="46" s="1"/>
  <c r="T61" i="46"/>
  <c r="K56" i="49"/>
  <c r="K39" i="45"/>
  <c r="K51" i="45" s="1"/>
  <c r="N94" i="63"/>
  <c r="D24" i="27"/>
  <c r="K101" i="45"/>
  <c r="K113" i="45" s="1"/>
  <c r="T32" i="51"/>
  <c r="O17" i="95"/>
  <c r="K57" i="49"/>
  <c r="I60" i="79" a="1"/>
  <c r="I60" i="79" s="1"/>
  <c r="J95" i="63"/>
  <c r="O156" i="22"/>
  <c r="D24" i="16" s="1"/>
  <c r="E94" i="70"/>
  <c r="E92" i="70"/>
  <c r="C11" i="95"/>
  <c r="B10" i="95" s="1"/>
  <c r="K11" i="4" s="1"/>
  <c r="M11" i="4" s="1"/>
  <c r="E69" i="70" s="1"/>
  <c r="D343" i="79"/>
  <c r="E22" i="95"/>
  <c r="D350" i="79"/>
  <c r="D79" i="95"/>
  <c r="B79" i="95" s="1"/>
  <c r="K81" i="4" s="1"/>
  <c r="M81" i="4" s="1"/>
  <c r="R81" i="4" s="1"/>
  <c r="S81" i="4" s="1"/>
  <c r="D22" i="95"/>
  <c r="O67" i="95"/>
  <c r="O93" i="95" s="1"/>
  <c r="D352" i="79"/>
  <c r="B80" i="95"/>
  <c r="K82" i="4" s="1"/>
  <c r="M82" i="4" s="1"/>
  <c r="R82" i="4" s="1"/>
  <c r="S82" i="4" s="1"/>
  <c r="H584" i="22"/>
  <c r="H586" i="22" s="1"/>
  <c r="L69" i="63"/>
  <c r="B8" i="95"/>
  <c r="K10" i="4" s="1"/>
  <c r="M10" i="4" s="1"/>
  <c r="R10" i="4" s="1"/>
  <c r="S10" i="4" s="1"/>
  <c r="G59" i="77"/>
  <c r="G60" i="77" s="1"/>
  <c r="H83" i="77" s="1"/>
  <c r="D63" i="27"/>
  <c r="R30" i="4"/>
  <c r="S30" i="4" s="1"/>
  <c r="D74" i="63"/>
  <c r="B13" i="95"/>
  <c r="K13" i="4" s="1"/>
  <c r="M13" i="4" s="1"/>
  <c r="R13" i="4" s="1"/>
  <c r="S13" i="4" s="1"/>
  <c r="F142" i="79" a="1"/>
  <c r="F142" i="79" s="1"/>
  <c r="F152" i="79" a="1"/>
  <c r="F152" i="79" s="1"/>
  <c r="F155" i="79" a="1"/>
  <c r="F155" i="79" s="1"/>
  <c r="F146" i="79" a="1"/>
  <c r="F146" i="79" s="1"/>
  <c r="F154" i="79" a="1"/>
  <c r="F154" i="79" s="1"/>
  <c r="F148" i="79" a="1"/>
  <c r="F148" i="79" s="1"/>
  <c r="I22" i="79" a="1"/>
  <c r="I22" i="79" s="1"/>
  <c r="P122" i="45"/>
  <c r="F149" i="79" a="1"/>
  <c r="F149" i="79" s="1"/>
  <c r="I13" i="79" a="1"/>
  <c r="I13" i="79" s="1"/>
  <c r="W51" i="45"/>
  <c r="X39" i="45"/>
  <c r="F82" i="62"/>
  <c r="F59" i="62"/>
  <c r="P12" i="62"/>
  <c r="F61" i="62"/>
  <c r="K56" i="62"/>
  <c r="I82" i="62"/>
  <c r="X51" i="45"/>
  <c r="I75" i="62"/>
  <c r="I78" i="62" s="1"/>
  <c r="H40" i="62"/>
  <c r="J86" i="63"/>
  <c r="D125" i="96"/>
  <c r="M125" i="96" s="1"/>
  <c r="O129" i="45" a="1"/>
  <c r="O129" i="45" s="1"/>
  <c r="O131" i="45" s="1"/>
  <c r="W127" i="45"/>
  <c r="E69" i="79"/>
  <c r="J73" i="63"/>
  <c r="N70" i="63"/>
  <c r="F83" i="62"/>
  <c r="F67" i="62"/>
  <c r="P13" i="62"/>
  <c r="F69" i="62"/>
  <c r="K65" i="62"/>
  <c r="I83" i="62"/>
  <c r="J81" i="63"/>
  <c r="I70" i="62"/>
  <c r="W113" i="45"/>
  <c r="X113" i="45" s="1"/>
  <c r="X101" i="45"/>
  <c r="U50" i="46"/>
  <c r="U59" i="46" s="1"/>
  <c r="V34" i="46"/>
  <c r="J36" i="63"/>
  <c r="J38" i="63" s="1"/>
  <c r="J41" i="63" s="1"/>
  <c r="D178" i="96"/>
  <c r="N59" i="46"/>
  <c r="T22" i="51"/>
  <c r="U64" i="46"/>
  <c r="V61" i="46"/>
  <c r="D192" i="96"/>
  <c r="M192" i="96" s="1"/>
  <c r="K51" i="4"/>
  <c r="O507" i="22"/>
  <c r="D129" i="79"/>
  <c r="T26" i="51"/>
  <c r="T24" i="51"/>
  <c r="I81" i="49"/>
  <c r="F93" i="63"/>
  <c r="M58" i="49"/>
  <c r="P5" i="22"/>
  <c r="O532" i="22"/>
  <c r="L68" i="63"/>
  <c r="M383" i="22"/>
  <c r="M533" i="22" s="1"/>
  <c r="O580" i="22"/>
  <c r="D14" i="16"/>
  <c r="K17" i="49"/>
  <c r="P37" i="45"/>
  <c r="D64" i="79"/>
  <c r="P25" i="45"/>
  <c r="N42" i="95"/>
  <c r="N47" i="95" s="1"/>
  <c r="S24" i="46"/>
  <c r="S32" i="46" s="1"/>
  <c r="D73" i="62"/>
  <c r="J73" i="62" s="1"/>
  <c r="F59" i="48"/>
  <c r="R12" i="4"/>
  <c r="S12" i="4" s="1"/>
  <c r="E70" i="70"/>
  <c r="D328" i="79"/>
  <c r="U122" i="45"/>
  <c r="V122" i="45" s="1"/>
  <c r="D39" i="62"/>
  <c r="F60" i="48" s="1"/>
  <c r="E584" i="22"/>
  <c r="E586" i="22" s="1"/>
  <c r="B120" i="96"/>
  <c r="J120" i="96" s="1"/>
  <c r="J32" i="46"/>
  <c r="L24" i="46"/>
  <c r="D20" i="106"/>
  <c r="E75" i="70"/>
  <c r="D334" i="79"/>
  <c r="R18" i="4"/>
  <c r="S18" i="4" s="1"/>
  <c r="O383" i="22"/>
  <c r="K18" i="49"/>
  <c r="M18" i="49"/>
  <c r="K20" i="49"/>
  <c r="M20" i="49"/>
  <c r="D73" i="63"/>
  <c r="G19" i="49"/>
  <c r="N383" i="22"/>
  <c r="O550" i="22"/>
  <c r="M552" i="22"/>
  <c r="K15" i="49"/>
  <c r="M15" i="49"/>
  <c r="H74" i="62"/>
  <c r="F35" i="63"/>
  <c r="O37" i="46"/>
  <c r="C27" i="95"/>
  <c r="B27" i="95" s="1"/>
  <c r="B35" i="95" s="1"/>
  <c r="G69" i="49"/>
  <c r="G82" i="49" s="1"/>
  <c r="B165" i="96"/>
  <c r="J165" i="96" s="1"/>
  <c r="K25" i="4"/>
  <c r="M25" i="4" s="1"/>
  <c r="S37" i="46"/>
  <c r="T37" i="46" s="1"/>
  <c r="D93" i="79"/>
  <c r="R29" i="4"/>
  <c r="S29" i="4" s="1"/>
  <c r="E83" i="70"/>
  <c r="D342" i="79"/>
  <c r="T39" i="46"/>
  <c r="K16" i="49"/>
  <c r="M16" i="49"/>
  <c r="F16" i="25"/>
  <c r="B17" i="25"/>
  <c r="B122" i="96"/>
  <c r="J122" i="96" s="1"/>
  <c r="D66" i="79"/>
  <c r="U124" i="45"/>
  <c r="V124" i="45" s="1"/>
  <c r="P124" i="45"/>
  <c r="P125" i="45"/>
  <c r="D67" i="79"/>
  <c r="U125" i="45"/>
  <c r="V125" i="45" s="1"/>
  <c r="B123" i="96"/>
  <c r="J123" i="96" s="1"/>
  <c r="C13" i="40"/>
  <c r="C27" i="40" s="1"/>
  <c r="D123" i="16"/>
  <c r="D124" i="16" s="1"/>
  <c r="H85" i="63"/>
  <c r="L85" i="63" s="1"/>
  <c r="J20" i="46"/>
  <c r="L11" i="46"/>
  <c r="L20" i="46" s="1" a="1"/>
  <c r="P123" i="45"/>
  <c r="U123" i="45"/>
  <c r="V123" i="45" s="1"/>
  <c r="D65" i="79"/>
  <c r="B121" i="96"/>
  <c r="J121" i="96" s="1"/>
  <c r="D34" i="62"/>
  <c r="U112" i="45"/>
  <c r="V112" i="45" s="1"/>
  <c r="V105" i="45"/>
  <c r="N103" i="95"/>
  <c r="O99" i="95"/>
  <c r="E15" i="95" s="1"/>
  <c r="U55" i="45"/>
  <c r="B64" i="96"/>
  <c r="J64" i="96" s="1"/>
  <c r="D28" i="79"/>
  <c r="I48" i="79" s="1" a="1"/>
  <c r="P55" i="45"/>
  <c r="P77" i="45" s="1"/>
  <c r="M77" i="45"/>
  <c r="N93" i="95"/>
  <c r="U99" i="45"/>
  <c r="V93" i="45"/>
  <c r="C87" i="95"/>
  <c r="B87" i="95" s="1"/>
  <c r="K89" i="4" s="1"/>
  <c r="M89" i="4" s="1"/>
  <c r="R89" i="4" s="1"/>
  <c r="S89" i="4" s="1"/>
  <c r="C15" i="95"/>
  <c r="J57" i="62"/>
  <c r="E43" i="95"/>
  <c r="B43" i="95" s="1"/>
  <c r="O42" i="95"/>
  <c r="P39" i="95"/>
  <c r="O53" i="95"/>
  <c r="N58" i="95"/>
  <c r="Q54" i="95" s="1"/>
  <c r="D26" i="62"/>
  <c r="V50" i="45"/>
  <c r="I36" i="84"/>
  <c r="U25" i="45"/>
  <c r="V25" i="45" s="1"/>
  <c r="B49" i="96"/>
  <c r="J49" i="96" s="1"/>
  <c r="D22" i="79"/>
  <c r="M26" i="4"/>
  <c r="O25" i="95"/>
  <c r="C72" i="95" s="1"/>
  <c r="B72" i="95" s="1"/>
  <c r="D7" i="95"/>
  <c r="H67" i="63"/>
  <c r="H56" i="62"/>
  <c r="H61" i="62" s="1"/>
  <c r="B38" i="96"/>
  <c r="J38" i="96" s="1"/>
  <c r="D20" i="62"/>
  <c r="M39" i="45"/>
  <c r="D13" i="79"/>
  <c r="U37" i="45"/>
  <c r="V37" i="45" s="1"/>
  <c r="V29" i="45"/>
  <c r="L41" i="63"/>
  <c r="L47" i="63" s="1"/>
  <c r="L54" i="63" s="1"/>
  <c r="N84" i="63"/>
  <c r="F89" i="63"/>
  <c r="F90" i="63" s="1"/>
  <c r="D124" i="79"/>
  <c r="I28" i="60"/>
  <c r="T17" i="51"/>
  <c r="P25" i="52"/>
  <c r="D236" i="79"/>
  <c r="T35" i="51"/>
  <c r="D134" i="79"/>
  <c r="T25" i="51"/>
  <c r="D128" i="79"/>
  <c r="T34" i="51"/>
  <c r="D133" i="79"/>
  <c r="T33" i="51"/>
  <c r="D132" i="79"/>
  <c r="T36" i="51"/>
  <c r="D135" i="79"/>
  <c r="T23" i="51"/>
  <c r="D126" i="79"/>
  <c r="E125" i="79"/>
  <c r="E121" i="79"/>
  <c r="K127" i="96"/>
  <c r="M148" i="96"/>
  <c r="H162" i="96"/>
  <c r="N148" i="96"/>
  <c r="M101" i="96"/>
  <c r="N101" i="96"/>
  <c r="H103" i="96"/>
  <c r="N192" i="96"/>
  <c r="K175" i="96"/>
  <c r="AN20" i="87"/>
  <c r="AZ20" i="87" s="1"/>
  <c r="N185" i="96"/>
  <c r="M185" i="96"/>
  <c r="K86" i="96"/>
  <c r="P16" i="52"/>
  <c r="D230" i="79"/>
  <c r="F51" i="96"/>
  <c r="K49" i="96"/>
  <c r="P20" i="52"/>
  <c r="D234" i="79"/>
  <c r="E34" i="48"/>
  <c r="M52" i="58"/>
  <c r="E229" i="79"/>
  <c r="M160" i="96"/>
  <c r="N160" i="96"/>
  <c r="T15" i="51"/>
  <c r="D122" i="79"/>
  <c r="D229" i="79"/>
  <c r="L27" i="52"/>
  <c r="P15" i="52"/>
  <c r="F103" i="96"/>
  <c r="K101" i="96"/>
  <c r="M86" i="96"/>
  <c r="N86" i="96"/>
  <c r="D231" i="79"/>
  <c r="P17" i="52"/>
  <c r="E29" i="48"/>
  <c r="D235" i="79"/>
  <c r="P22" i="52"/>
  <c r="T14" i="51"/>
  <c r="D121" i="79"/>
  <c r="K185" i="96"/>
  <c r="M49" i="96"/>
  <c r="H51" i="96"/>
  <c r="N49" i="96"/>
  <c r="N127" i="96"/>
  <c r="S56" i="4"/>
  <c r="F162" i="96"/>
  <c r="K148" i="96"/>
  <c r="K160" i="96"/>
  <c r="M38" i="96"/>
  <c r="N38" i="96"/>
  <c r="K38" i="96"/>
  <c r="J192" i="96"/>
  <c r="AN28" i="87"/>
  <c r="AZ28" i="87" s="1"/>
  <c r="E131" i="79"/>
  <c r="N175" i="96"/>
  <c r="M175" i="96"/>
  <c r="E30" i="48"/>
  <c r="I23" i="49"/>
  <c r="F109" i="63"/>
  <c r="H32" i="63"/>
  <c r="H41" i="63" s="1"/>
  <c r="N66" i="46" l="1"/>
  <c r="E68" i="105"/>
  <c r="G68" i="105" s="1"/>
  <c r="B181" i="96"/>
  <c r="J181" i="96" s="1"/>
  <c r="D140" i="105"/>
  <c r="E90" i="70"/>
  <c r="R38" i="4"/>
  <c r="S38" i="4" s="1"/>
  <c r="S53" i="46"/>
  <c r="S57" i="46" s="1"/>
  <c r="D104" i="79"/>
  <c r="O53" i="46"/>
  <c r="O582" i="22"/>
  <c r="U66" i="46"/>
  <c r="K127" i="45"/>
  <c r="D40" i="62" s="1"/>
  <c r="D75" i="62" s="1"/>
  <c r="V64" i="46"/>
  <c r="V50" i="46"/>
  <c r="O47" i="95"/>
  <c r="D329" i="79"/>
  <c r="B22" i="95"/>
  <c r="K20" i="4" s="1"/>
  <c r="M20" i="4" s="1"/>
  <c r="E77" i="70" s="1"/>
  <c r="E68" i="70"/>
  <c r="D326" i="79"/>
  <c r="P39" i="45"/>
  <c r="P51" i="45" s="1"/>
  <c r="I53" i="82" s="1"/>
  <c r="K33" i="4"/>
  <c r="O533" i="22"/>
  <c r="F126" i="79" a="1"/>
  <c r="F126" i="79" s="1"/>
  <c r="G44" i="82" s="1"/>
  <c r="F135" i="79" a="1"/>
  <c r="F135" i="79" s="1"/>
  <c r="H50" i="82" s="1"/>
  <c r="F132" i="79" a="1"/>
  <c r="F132" i="79" s="1"/>
  <c r="H45" i="82" s="1"/>
  <c r="F128" i="79" a="1"/>
  <c r="F128" i="79" s="1"/>
  <c r="G39" i="82" s="1"/>
  <c r="F134" i="79" a="1"/>
  <c r="F134" i="79" s="1"/>
  <c r="H40" i="82" s="1"/>
  <c r="I23" i="79" a="1"/>
  <c r="I23" i="79" s="1"/>
  <c r="I24" i="79" a="1"/>
  <c r="I24" i="79" s="1"/>
  <c r="F129" i="79" a="1"/>
  <c r="F129" i="79" s="1"/>
  <c r="G49" i="82" s="1"/>
  <c r="J43" i="63"/>
  <c r="J47" i="63" s="1"/>
  <c r="J54" i="63" s="1"/>
  <c r="D187" i="96"/>
  <c r="V59" i="46"/>
  <c r="D129" i="96"/>
  <c r="O135" i="45"/>
  <c r="F70" i="62"/>
  <c r="K67" i="62"/>
  <c r="K83" i="62"/>
  <c r="X127" i="45"/>
  <c r="W129" i="45"/>
  <c r="W133" i="45" s="1"/>
  <c r="I85" i="62"/>
  <c r="I76" i="62"/>
  <c r="I79" i="62" s="1"/>
  <c r="J96" i="63"/>
  <c r="J87" i="63"/>
  <c r="D127" i="96"/>
  <c r="M127" i="96" s="1"/>
  <c r="E70" i="79"/>
  <c r="J89" i="63"/>
  <c r="N86" i="63"/>
  <c r="F75" i="62"/>
  <c r="H42" i="62"/>
  <c r="I84" i="62"/>
  <c r="P15" i="62"/>
  <c r="F62" i="62"/>
  <c r="K59" i="62"/>
  <c r="F84" i="62"/>
  <c r="K82" i="62"/>
  <c r="N69" i="46"/>
  <c r="D194" i="96"/>
  <c r="K53" i="4"/>
  <c r="M51" i="4"/>
  <c r="N93" i="63"/>
  <c r="F95" i="63"/>
  <c r="M588" i="22"/>
  <c r="D74" i="62"/>
  <c r="J74" i="62" s="1"/>
  <c r="S47" i="46"/>
  <c r="R11" i="4"/>
  <c r="S11" i="4" s="1"/>
  <c r="D327" i="79"/>
  <c r="J34" i="46"/>
  <c r="E34" i="49"/>
  <c r="D45" i="16"/>
  <c r="D46" i="16" s="1"/>
  <c r="D85" i="79"/>
  <c r="T24" i="46"/>
  <c r="B152" i="96"/>
  <c r="J152" i="96" s="1"/>
  <c r="O24" i="46"/>
  <c r="O588" i="22"/>
  <c r="K19" i="49"/>
  <c r="M19" i="49"/>
  <c r="N533" i="22"/>
  <c r="N588" i="22"/>
  <c r="O552" i="22"/>
  <c r="O554" i="22" s="1"/>
  <c r="M554" i="22"/>
  <c r="M584" i="22" s="1"/>
  <c r="M586" i="22" s="1"/>
  <c r="G79" i="49"/>
  <c r="E80" i="70"/>
  <c r="D338" i="79"/>
  <c r="R25" i="4"/>
  <c r="S25" i="4" s="1"/>
  <c r="B23" i="25"/>
  <c r="B37" i="25" s="1"/>
  <c r="D113" i="16"/>
  <c r="D114" i="16" s="1"/>
  <c r="F17" i="25"/>
  <c r="F23" i="25" s="1"/>
  <c r="F37" i="25" s="1"/>
  <c r="L20" i="46"/>
  <c r="E53" i="105" s="1"/>
  <c r="G53" i="105" s="1"/>
  <c r="S11" i="46"/>
  <c r="D77" i="79"/>
  <c r="F20" i="63"/>
  <c r="O11" i="46"/>
  <c r="B138" i="96"/>
  <c r="J138" i="96" s="1"/>
  <c r="C7" i="95"/>
  <c r="B7" i="95" s="1"/>
  <c r="K9" i="4" s="1"/>
  <c r="Q99" i="95"/>
  <c r="O103" i="95"/>
  <c r="C91" i="95"/>
  <c r="B91" i="95" s="1"/>
  <c r="K93" i="4" s="1"/>
  <c r="M93" i="4" s="1"/>
  <c r="R93" i="4" s="1"/>
  <c r="S93" i="4" s="1"/>
  <c r="N104" i="95"/>
  <c r="O104" i="95" s="1"/>
  <c r="Q89" i="95"/>
  <c r="H65" i="62"/>
  <c r="H76" i="63"/>
  <c r="D48" i="79"/>
  <c r="B86" i="96"/>
  <c r="J86" i="96" s="1"/>
  <c r="D29" i="62"/>
  <c r="U77" i="45"/>
  <c r="V77" i="45" s="1"/>
  <c r="V55" i="45"/>
  <c r="I48" i="79"/>
  <c r="K41" i="4"/>
  <c r="B49" i="95"/>
  <c r="U39" i="45"/>
  <c r="U51" i="45" s="1"/>
  <c r="C90" i="95"/>
  <c r="B90" i="95" s="1"/>
  <c r="K92" i="4" s="1"/>
  <c r="M92" i="4" s="1"/>
  <c r="R92" i="4" s="1"/>
  <c r="S92" i="4" s="1"/>
  <c r="O58" i="95"/>
  <c r="D15" i="95"/>
  <c r="E81" i="70"/>
  <c r="D339" i="79"/>
  <c r="R26" i="4"/>
  <c r="N106" i="95"/>
  <c r="N59" i="95"/>
  <c r="E89" i="70"/>
  <c r="D347" i="79"/>
  <c r="R37" i="4"/>
  <c r="H70" i="63"/>
  <c r="B51" i="96"/>
  <c r="J51" i="96" s="1"/>
  <c r="H59" i="62"/>
  <c r="H62" i="62" s="1"/>
  <c r="H93" i="63"/>
  <c r="M51" i="45"/>
  <c r="H72" i="63"/>
  <c r="K74" i="4"/>
  <c r="M74" i="4" s="1"/>
  <c r="D24" i="62"/>
  <c r="D56" i="62"/>
  <c r="K162" i="96"/>
  <c r="F178" i="96"/>
  <c r="H129" i="96"/>
  <c r="M103" i="96"/>
  <c r="N103" i="96"/>
  <c r="N162" i="96"/>
  <c r="H178" i="96"/>
  <c r="M162" i="96"/>
  <c r="M51" i="96"/>
  <c r="N51" i="96"/>
  <c r="F129" i="96"/>
  <c r="K103" i="96"/>
  <c r="M94" i="95"/>
  <c r="D109" i="63"/>
  <c r="M48" i="95"/>
  <c r="M49" i="95" s="1"/>
  <c r="K51" i="96"/>
  <c r="F76" i="63"/>
  <c r="H47" i="63"/>
  <c r="H54" i="63" s="1"/>
  <c r="F111" i="63" s="1"/>
  <c r="D111" i="63"/>
  <c r="V66" i="46" l="1"/>
  <c r="D129" i="105"/>
  <c r="T53" i="46"/>
  <c r="F61" i="48"/>
  <c r="D42" i="62"/>
  <c r="D29" i="48" s="1"/>
  <c r="K129" i="45"/>
  <c r="K131" i="45" s="1"/>
  <c r="K135" i="45" s="1"/>
  <c r="H75" i="62"/>
  <c r="H78" i="62" s="1"/>
  <c r="H86" i="63"/>
  <c r="L86" i="63" s="1"/>
  <c r="U127" i="45"/>
  <c r="V127" i="45" s="1"/>
  <c r="M127" i="45"/>
  <c r="I87" i="62"/>
  <c r="B20" i="4"/>
  <c r="D336" i="79"/>
  <c r="R20" i="4"/>
  <c r="S20" i="4" s="1"/>
  <c r="U101" i="45"/>
  <c r="U113" i="45" s="1"/>
  <c r="O20" i="46" a="1"/>
  <c r="O20" i="46" s="1"/>
  <c r="K84" i="62"/>
  <c r="F85" i="62"/>
  <c r="F76" i="62"/>
  <c r="P14" i="62"/>
  <c r="P16" i="62" s="1"/>
  <c r="H44" i="62"/>
  <c r="I44" i="62" s="1"/>
  <c r="K75" i="62"/>
  <c r="F78" i="62"/>
  <c r="J90" i="63"/>
  <c r="N87" i="63"/>
  <c r="N96" i="63"/>
  <c r="J98" i="63"/>
  <c r="W131" i="45"/>
  <c r="X131" i="45" s="1"/>
  <c r="X129" i="45"/>
  <c r="E101" i="70"/>
  <c r="D358" i="79"/>
  <c r="R51" i="4"/>
  <c r="F98" i="63"/>
  <c r="N95" i="63"/>
  <c r="J50" i="46"/>
  <c r="J59" i="46" s="1"/>
  <c r="V39" i="45"/>
  <c r="G60" i="49"/>
  <c r="O584" i="22"/>
  <c r="O586" i="22" s="1"/>
  <c r="D29" i="16"/>
  <c r="D34" i="16"/>
  <c r="S20" i="46"/>
  <c r="S34" i="46" s="1"/>
  <c r="S50" i="46" s="1"/>
  <c r="S59" i="46" s="1"/>
  <c r="T11" i="46"/>
  <c r="D84" i="79"/>
  <c r="H104" i="63"/>
  <c r="B148" i="96"/>
  <c r="J148" i="96" s="1"/>
  <c r="G14" i="49"/>
  <c r="F29" i="63"/>
  <c r="D67" i="63"/>
  <c r="L67" i="63" s="1"/>
  <c r="B14" i="95"/>
  <c r="K14" i="4" s="1"/>
  <c r="M14" i="4" s="1"/>
  <c r="E71" i="70" s="1"/>
  <c r="D65" i="62"/>
  <c r="L76" i="63"/>
  <c r="M41" i="4"/>
  <c r="M46" i="4" s="1" a="1"/>
  <c r="K46" i="4"/>
  <c r="R74" i="4"/>
  <c r="N48" i="95"/>
  <c r="D78" i="62"/>
  <c r="D82" i="70"/>
  <c r="D83" i="70"/>
  <c r="D84" i="70"/>
  <c r="D80" i="70"/>
  <c r="D85" i="70"/>
  <c r="D81" i="70"/>
  <c r="H73" i="63"/>
  <c r="L70" i="63"/>
  <c r="D61" i="62"/>
  <c r="J56" i="62"/>
  <c r="H82" i="62"/>
  <c r="V51" i="45"/>
  <c r="D15" i="16"/>
  <c r="D16" i="16" s="1"/>
  <c r="O59" i="95"/>
  <c r="O106" i="95"/>
  <c r="O12" i="62"/>
  <c r="D82" i="62"/>
  <c r="D59" i="62"/>
  <c r="D27" i="48"/>
  <c r="M9" i="4"/>
  <c r="L93" i="63"/>
  <c r="S37" i="4"/>
  <c r="S26" i="4"/>
  <c r="R33" i="4"/>
  <c r="H187" i="96"/>
  <c r="M178" i="96"/>
  <c r="N178" i="96"/>
  <c r="M129" i="96"/>
  <c r="N129" i="96"/>
  <c r="F187" i="96"/>
  <c r="K178" i="96"/>
  <c r="K129" i="96"/>
  <c r="N76" i="63"/>
  <c r="F80" i="63"/>
  <c r="F81" i="63" s="1"/>
  <c r="M95" i="95"/>
  <c r="D85" i="62" l="1"/>
  <c r="D76" i="62"/>
  <c r="D79" i="62" s="1"/>
  <c r="D69" i="79"/>
  <c r="E11" i="105"/>
  <c r="G11" i="105" s="1"/>
  <c r="G18" i="105" s="1"/>
  <c r="H89" i="63"/>
  <c r="O14" i="62"/>
  <c r="J75" i="62"/>
  <c r="B125" i="96"/>
  <c r="J125" i="96" s="1"/>
  <c r="M129" i="45" a="1"/>
  <c r="M129" i="45" s="1"/>
  <c r="H85" i="62" s="1"/>
  <c r="J85" i="62" s="1"/>
  <c r="D44" i="62"/>
  <c r="E44" i="62" s="1"/>
  <c r="U129" i="45"/>
  <c r="U131" i="45" s="1"/>
  <c r="F79" i="62"/>
  <c r="K76" i="62"/>
  <c r="K85" i="62"/>
  <c r="F87" i="62"/>
  <c r="R53" i="4"/>
  <c r="S51" i="4"/>
  <c r="D100" i="70"/>
  <c r="D101" i="70"/>
  <c r="D99" i="70"/>
  <c r="R14" i="4"/>
  <c r="S14" i="4" s="1"/>
  <c r="D330" i="79"/>
  <c r="K22" i="4"/>
  <c r="M60" i="49"/>
  <c r="K60" i="49"/>
  <c r="D30" i="48"/>
  <c r="G23" i="49"/>
  <c r="F83" i="48"/>
  <c r="F104" i="63"/>
  <c r="K14" i="49"/>
  <c r="M14" i="49"/>
  <c r="S66" i="46"/>
  <c r="T20" i="46"/>
  <c r="B24" i="95"/>
  <c r="J65" i="62"/>
  <c r="D351" i="79"/>
  <c r="R41" i="4"/>
  <c r="E93" i="70"/>
  <c r="M46" i="4"/>
  <c r="N49" i="95"/>
  <c r="O48" i="95"/>
  <c r="O49" i="95" s="1"/>
  <c r="E67" i="70"/>
  <c r="D325" i="79"/>
  <c r="R9" i="4"/>
  <c r="J59" i="62"/>
  <c r="D62" i="62"/>
  <c r="S74" i="4"/>
  <c r="J82" i="62"/>
  <c r="D106" i="63"/>
  <c r="F29" i="48"/>
  <c r="H29" i="48" s="1"/>
  <c r="G29" i="48"/>
  <c r="N51" i="95"/>
  <c r="G27" i="48"/>
  <c r="I27" i="48"/>
  <c r="F27" i="48"/>
  <c r="F194" i="96"/>
  <c r="N107" i="95" s="1"/>
  <c r="K187" i="96"/>
  <c r="M187" i="96"/>
  <c r="H194" i="96"/>
  <c r="N187" i="96"/>
  <c r="D70" i="79" l="1"/>
  <c r="G21" i="105"/>
  <c r="G27" i="105" s="1"/>
  <c r="D111" i="105"/>
  <c r="D116" i="105" s="1"/>
  <c r="H87" i="63"/>
  <c r="H90" i="63" s="1"/>
  <c r="H76" i="62"/>
  <c r="H79" i="62" s="1"/>
  <c r="A44" i="62"/>
  <c r="D30" i="16"/>
  <c r="D31" i="16" s="1"/>
  <c r="B127" i="96"/>
  <c r="J127" i="96" s="1"/>
  <c r="H96" i="63"/>
  <c r="L96" i="63" s="1"/>
  <c r="U133" i="45"/>
  <c r="V129" i="45"/>
  <c r="D104" i="63"/>
  <c r="F30" i="48"/>
  <c r="H30" i="48" s="1"/>
  <c r="G30" i="48"/>
  <c r="B58" i="95"/>
  <c r="B61" i="95" s="1"/>
  <c r="D61" i="95" s="1"/>
  <c r="H32" i="70"/>
  <c r="B46" i="4"/>
  <c r="D355" i="79"/>
  <c r="D93" i="70"/>
  <c r="D95" i="70"/>
  <c r="D96" i="70"/>
  <c r="D89" i="70"/>
  <c r="D91" i="70"/>
  <c r="D90" i="70"/>
  <c r="D92" i="70"/>
  <c r="D94" i="70"/>
  <c r="D88" i="70"/>
  <c r="S41" i="4"/>
  <c r="R46" i="4"/>
  <c r="S46" i="4" s="1"/>
  <c r="H27" i="48"/>
  <c r="A95" i="70"/>
  <c r="A91" i="70"/>
  <c r="A85" i="70"/>
  <c r="D76" i="70"/>
  <c r="D72" i="70"/>
  <c r="A67" i="70"/>
  <c r="A96" i="70"/>
  <c r="A92" i="70"/>
  <c r="A88" i="70"/>
  <c r="A82" i="70"/>
  <c r="A76" i="70"/>
  <c r="D73" i="70"/>
  <c r="A72" i="70"/>
  <c r="A99" i="70"/>
  <c r="A93" i="70"/>
  <c r="A83" i="70"/>
  <c r="D74" i="70"/>
  <c r="A73" i="70"/>
  <c r="D70" i="70"/>
  <c r="A100" i="70"/>
  <c r="A94" i="70"/>
  <c r="A90" i="70"/>
  <c r="A84" i="70"/>
  <c r="A80" i="70"/>
  <c r="A74" i="70"/>
  <c r="A70" i="70"/>
  <c r="D67" i="70"/>
  <c r="A75" i="70"/>
  <c r="D75" i="70"/>
  <c r="A71" i="70"/>
  <c r="D71" i="70"/>
  <c r="D68" i="70"/>
  <c r="A68" i="70"/>
  <c r="D69" i="70"/>
  <c r="A69" i="70"/>
  <c r="A101" i="70"/>
  <c r="A89" i="70"/>
  <c r="A81" i="70"/>
  <c r="D77" i="70"/>
  <c r="A77" i="70"/>
  <c r="S9" i="4"/>
  <c r="R22" i="4"/>
  <c r="M194" i="96"/>
  <c r="N194" i="96"/>
  <c r="G79" i="105" l="1"/>
  <c r="J76" i="62"/>
  <c r="L87" i="63"/>
  <c r="R55" i="4"/>
  <c r="R58" i="4" s="1"/>
  <c r="C59" i="70"/>
  <c r="C57" i="70"/>
  <c r="C52" i="70"/>
  <c r="C50" i="70"/>
  <c r="E60" i="70"/>
  <c r="E58" i="70"/>
  <c r="E53" i="70"/>
  <c r="E51" i="70"/>
  <c r="E49" i="70"/>
  <c r="C60" i="70"/>
  <c r="C58" i="70"/>
  <c r="C53" i="70"/>
  <c r="C51" i="70"/>
  <c r="C49" i="70"/>
  <c r="E59" i="70"/>
  <c r="E57" i="70"/>
  <c r="E52" i="70"/>
  <c r="E50" i="70"/>
  <c r="N108" i="95"/>
  <c r="O107" i="95"/>
  <c r="O108" i="95" s="1"/>
  <c r="D145" i="105" l="1"/>
  <c r="G86" i="105"/>
  <c r="G92" i="105" s="1"/>
  <c r="I21" i="49" a="1"/>
  <c r="I21" i="49" s="1"/>
  <c r="G21" i="49" a="1"/>
  <c r="G21" i="49" s="1"/>
  <c r="K18" i="60" a="1"/>
  <c r="K18" i="60" s="1"/>
  <c r="K21" i="60" s="1" a="1"/>
  <c r="K21" i="60" s="1"/>
  <c r="D268" i="79" s="1"/>
  <c r="K21" i="57" a="1"/>
  <c r="K95" i="58" a="1"/>
  <c r="K95" i="58" s="1"/>
  <c r="E268" i="79" s="1"/>
  <c r="K74" i="58" a="1"/>
  <c r="K74" i="58" s="1"/>
  <c r="M30" i="58" a="1"/>
  <c r="M30" i="58" s="1"/>
  <c r="G30" i="58" a="1"/>
  <c r="M23" i="58" a="1"/>
  <c r="M23" i="58" s="1"/>
  <c r="G23" i="58" a="1"/>
  <c r="M16" i="58" a="1"/>
  <c r="G16" i="58" a="1"/>
  <c r="O39" i="51" a="1"/>
  <c r="O39" i="51" s="1"/>
  <c r="G39" i="51" a="1"/>
  <c r="G39" i="51" s="1"/>
  <c r="O29" i="51" a="1"/>
  <c r="G29" i="51" a="1"/>
  <c r="O19" i="51" a="1"/>
  <c r="O19" i="51" s="1"/>
  <c r="T19" i="51" s="1"/>
  <c r="G19" i="51" a="1"/>
  <c r="G19" i="51" s="1"/>
  <c r="G31" i="77" a="1"/>
  <c r="Q28" i="52" a="1"/>
  <c r="Q27" i="52" a="1"/>
  <c r="Q27" i="52" s="1"/>
  <c r="O58" i="4" a="1"/>
  <c r="O58" i="4" s="1"/>
  <c r="M53" i="4" a="1"/>
  <c r="M53" i="4" s="1"/>
  <c r="M33" i="4" a="1"/>
  <c r="M33" i="4" s="1"/>
  <c r="S33" i="4" s="1"/>
  <c r="M22" i="4" a="1"/>
  <c r="M22" i="4" s="1"/>
  <c r="O64" i="46" a="1"/>
  <c r="O64" i="46" s="1"/>
  <c r="O57" i="46" a="1"/>
  <c r="O57" i="46" s="1"/>
  <c r="L57" i="46" a="1"/>
  <c r="O47" i="46" a="1"/>
  <c r="O47" i="46" s="1"/>
  <c r="L47" i="46" a="1"/>
  <c r="L47" i="46" s="1"/>
  <c r="E45" i="105" s="1"/>
  <c r="G45" i="105" s="1"/>
  <c r="D126" i="105" s="1"/>
  <c r="O32" i="46" a="1"/>
  <c r="L32" i="46" a="1"/>
  <c r="P99" i="45" a="1"/>
  <c r="P99" i="45" s="1"/>
  <c r="P101" i="45" s="1"/>
  <c r="P113" i="45" s="1"/>
  <c r="M99" i="45" a="1"/>
  <c r="F303" i="79" a="1"/>
  <c r="F303" i="79" s="1"/>
  <c r="F302" i="79" a="1"/>
  <c r="F302" i="79" s="1"/>
  <c r="F301" i="79" a="1"/>
  <c r="F301" i="79" s="1"/>
  <c r="F300" i="79" a="1"/>
  <c r="F300" i="79" s="1"/>
  <c r="F299" i="79" a="1"/>
  <c r="F299" i="79" s="1"/>
  <c r="F298" i="79" a="1"/>
  <c r="F298" i="79" s="1"/>
  <c r="F297" i="79" a="1"/>
  <c r="F297" i="79" s="1"/>
  <c r="F296" i="79" a="1"/>
  <c r="F296" i="79" s="1"/>
  <c r="F295" i="79" a="1"/>
  <c r="F295" i="79" s="1"/>
  <c r="F294" i="79" a="1"/>
  <c r="F294" i="79" s="1"/>
  <c r="F293" i="79" a="1"/>
  <c r="F293" i="79" s="1"/>
  <c r="F292" i="79" a="1"/>
  <c r="F292" i="79" s="1"/>
  <c r="F291" i="79" a="1"/>
  <c r="F291" i="79" s="1"/>
  <c r="F290" i="79" a="1"/>
  <c r="F267" i="79" a="1"/>
  <c r="F267" i="79" s="1"/>
  <c r="F266" i="79" a="1"/>
  <c r="F266" i="79" s="1"/>
  <c r="F265" i="79" a="1"/>
  <c r="F265" i="79"/>
  <c r="F264" i="79" a="1"/>
  <c r="F264" i="79" s="1"/>
  <c r="F263" i="79" a="1"/>
  <c r="F263" i="79" s="1"/>
  <c r="F262" i="79" a="1"/>
  <c r="F262" i="79" s="1"/>
  <c r="F261" i="79" a="1"/>
  <c r="F261" i="79" s="1"/>
  <c r="F260" i="79" a="1"/>
  <c r="F260" i="79" s="1"/>
  <c r="F259" i="79" a="1"/>
  <c r="F259" i="79"/>
  <c r="F258" i="79" a="1"/>
  <c r="F258" i="79" s="1"/>
  <c r="F257" i="79" a="1"/>
  <c r="F257" i="79" s="1"/>
  <c r="F256" i="79" a="1"/>
  <c r="F256" i="79" s="1"/>
  <c r="F255" i="79" a="1"/>
  <c r="F255" i="79" s="1"/>
  <c r="F254" i="79" a="1"/>
  <c r="F254" i="79" s="1"/>
  <c r="F253" i="79" a="1"/>
  <c r="F253" i="79" s="1"/>
  <c r="F252" i="79" a="1"/>
  <c r="F252" i="79" s="1"/>
  <c r="F251" i="79" a="1"/>
  <c r="F251" i="79" s="1"/>
  <c r="F250" i="79" a="1"/>
  <c r="F250" i="79" s="1"/>
  <c r="F249" i="79" a="1"/>
  <c r="F249" i="79" s="1"/>
  <c r="F248" i="79" a="1"/>
  <c r="F248" i="79" s="1"/>
  <c r="F247" i="79" a="1"/>
  <c r="F247" i="79" s="1"/>
  <c r="F246" i="79" a="1"/>
  <c r="F246" i="79" s="1"/>
  <c r="F245" i="79" a="1"/>
  <c r="F245" i="79" s="1"/>
  <c r="F244" i="79" a="1"/>
  <c r="F244" i="79" s="1"/>
  <c r="F243" i="79" a="1"/>
  <c r="F242" i="79" a="1"/>
  <c r="F242" i="79" s="1"/>
  <c r="F241" i="79" a="1"/>
  <c r="F241" i="79" s="1"/>
  <c r="F240" i="79" a="1"/>
  <c r="F240" i="79" s="1"/>
  <c r="F239" i="79" a="1"/>
  <c r="F238" i="79" a="1"/>
  <c r="F237" i="79" a="1"/>
  <c r="F237" i="79" s="1"/>
  <c r="F236" i="79" a="1"/>
  <c r="F236" i="79" s="1"/>
  <c r="F235" i="79" a="1"/>
  <c r="F235" i="79" s="1"/>
  <c r="F234" i="79" a="1"/>
  <c r="F234" i="79" s="1"/>
  <c r="F233" i="79" a="1"/>
  <c r="F233" i="79" s="1"/>
  <c r="F232" i="79" a="1"/>
  <c r="F232" i="79" s="1"/>
  <c r="F231" i="79" a="1"/>
  <c r="F230" i="79" a="1"/>
  <c r="F229" i="79" a="1"/>
  <c r="F228" i="79" a="1"/>
  <c r="F228" i="79" s="1"/>
  <c r="F227" i="79" a="1"/>
  <c r="F227" i="79" s="1"/>
  <c r="F226" i="79" a="1"/>
  <c r="F226" i="79" s="1"/>
  <c r="F225" i="79" a="1"/>
  <c r="F225" i="79" s="1"/>
  <c r="F224" i="79" a="1"/>
  <c r="F224" i="79" s="1"/>
  <c r="F223" i="79" a="1"/>
  <c r="F223" i="79" s="1"/>
  <c r="F222" i="79" a="1"/>
  <c r="F222" i="79" s="1"/>
  <c r="F221" i="79" a="1"/>
  <c r="F221" i="79" s="1"/>
  <c r="F220" i="79" a="1"/>
  <c r="F220" i="79" s="1"/>
  <c r="F219" i="79" a="1"/>
  <c r="F219" i="79" s="1"/>
  <c r="F218" i="79" a="1"/>
  <c r="F218" i="79" s="1"/>
  <c r="F217" i="79" a="1"/>
  <c r="F217" i="79" s="1"/>
  <c r="F216" i="79" a="1"/>
  <c r="F216" i="79" s="1"/>
  <c r="F215" i="79" a="1"/>
  <c r="F215" i="79" s="1"/>
  <c r="F214" i="79" a="1"/>
  <c r="F214" i="79" s="1"/>
  <c r="F213" i="79" a="1"/>
  <c r="F213" i="79" s="1"/>
  <c r="F212" i="79" a="1"/>
  <c r="F212" i="79" s="1"/>
  <c r="F211" i="79" a="1"/>
  <c r="F210" i="79" a="1"/>
  <c r="F209" i="79" a="1"/>
  <c r="F209" i="79" s="1"/>
  <c r="F208" i="79" a="1"/>
  <c r="F208" i="79" s="1"/>
  <c r="F207" i="79" a="1"/>
  <c r="F207" i="79" s="1"/>
  <c r="F206" i="79" a="1"/>
  <c r="F205" i="79" a="1"/>
  <c r="F205" i="79" s="1"/>
  <c r="F204" i="79" a="1"/>
  <c r="F204" i="79" s="1"/>
  <c r="F201" i="79" a="1"/>
  <c r="F201" i="79" s="1"/>
  <c r="F199" i="79" a="1"/>
  <c r="F199" i="79" s="1"/>
  <c r="F198" i="79" a="1"/>
  <c r="F198" i="79" s="1"/>
  <c r="F195" i="79" a="1"/>
  <c r="F195" i="79" s="1"/>
  <c r="F193" i="79" a="1"/>
  <c r="F193" i="79" s="1"/>
  <c r="F192" i="79" a="1"/>
  <c r="F192" i="79" s="1"/>
  <c r="F191" i="79" a="1"/>
  <c r="F191" i="79" s="1"/>
  <c r="F189" i="79" a="1"/>
  <c r="F189" i="79" s="1"/>
  <c r="F188" i="79" a="1"/>
  <c r="F188" i="79" s="1"/>
  <c r="F185" i="79" a="1"/>
  <c r="F185" i="79" s="1"/>
  <c r="F183" i="79" a="1"/>
  <c r="F183" i="79" s="1"/>
  <c r="F182" i="79" a="1"/>
  <c r="F182" i="79" s="1"/>
  <c r="F179" i="79" a="1"/>
  <c r="F179" i="79" s="1"/>
  <c r="F177" i="79" a="1"/>
  <c r="F177" i="79" s="1"/>
  <c r="F176" i="79" a="1"/>
  <c r="F176" i="79" s="1"/>
  <c r="F175" i="79" a="1"/>
  <c r="F175" i="79" s="1"/>
  <c r="F173" i="79" a="1"/>
  <c r="F173" i="79"/>
  <c r="F156" i="79" a="1"/>
  <c r="F156" i="79" s="1"/>
  <c r="F153" i="79" a="1"/>
  <c r="F153" i="79" s="1"/>
  <c r="F151" i="79" a="1"/>
  <c r="F151" i="79" s="1"/>
  <c r="F150" i="79" a="1"/>
  <c r="F150" i="79" s="1"/>
  <c r="F147" i="79" a="1"/>
  <c r="F147" i="79" s="1"/>
  <c r="F145" i="79" a="1"/>
  <c r="F145" i="79" s="1"/>
  <c r="F144" i="79" a="1"/>
  <c r="F143" i="79" a="1"/>
  <c r="F143" i="79" s="1"/>
  <c r="F141" i="79" a="1"/>
  <c r="F141" i="79" s="1"/>
  <c r="F139" i="79" a="1"/>
  <c r="F139" i="79" s="1"/>
  <c r="G20" i="82" s="1"/>
  <c r="F137" i="79" a="1"/>
  <c r="F137" i="79" s="1"/>
  <c r="G19" i="82" s="1"/>
  <c r="F136" i="79" a="1"/>
  <c r="F136" i="79" s="1"/>
  <c r="H52" i="82" s="1"/>
  <c r="F133" i="79" a="1"/>
  <c r="F131" i="79" a="1"/>
  <c r="F131" i="79" s="1"/>
  <c r="H43" i="82" s="1"/>
  <c r="F130" i="79" a="1"/>
  <c r="F127" i="79" a="1"/>
  <c r="F127" i="79" s="1"/>
  <c r="G46" i="82" s="1"/>
  <c r="F125" i="79" a="1"/>
  <c r="F125" i="79" s="1"/>
  <c r="G42" i="82" s="1"/>
  <c r="F124" i="79" a="1"/>
  <c r="F124" i="79" s="1"/>
  <c r="G48" i="82" s="1"/>
  <c r="G25" i="92" s="1"/>
  <c r="I25" i="92" s="1"/>
  <c r="F123" i="79" a="1"/>
  <c r="F122" i="79" a="1"/>
  <c r="F122" i="79" s="1"/>
  <c r="G38" i="82" s="1"/>
  <c r="F121" i="79" a="1"/>
  <c r="F110" i="79" a="1"/>
  <c r="F110" i="79" s="1"/>
  <c r="G13" i="82" s="1"/>
  <c r="F109" i="79" a="1"/>
  <c r="F108" i="79" a="1"/>
  <c r="F108" i="79" s="1"/>
  <c r="L57" i="46"/>
  <c r="F106" i="79" a="1"/>
  <c r="F106" i="79" s="1"/>
  <c r="F105" i="79" a="1"/>
  <c r="F105" i="79" s="1"/>
  <c r="H100" i="82" s="1"/>
  <c r="F104" i="79" a="1"/>
  <c r="F104" i="79" s="1"/>
  <c r="F103" i="79" a="1"/>
  <c r="J102" i="79" a="1"/>
  <c r="J102" i="79" s="1"/>
  <c r="I102" i="79" a="1"/>
  <c r="F101" i="79" a="1"/>
  <c r="F101" i="79" s="1"/>
  <c r="F100" i="79" a="1"/>
  <c r="F100" i="79" s="1"/>
  <c r="F99" i="79" a="1"/>
  <c r="F99" i="79" s="1"/>
  <c r="H101" i="82" s="1"/>
  <c r="F98" i="79" a="1"/>
  <c r="F97" i="79" a="1"/>
  <c r="F97" i="79" s="1"/>
  <c r="F96" i="79" a="1"/>
  <c r="F96" i="79" s="1"/>
  <c r="F95" i="79" a="1"/>
  <c r="F95" i="79" s="1"/>
  <c r="F94" i="79" a="1"/>
  <c r="F93" i="79" a="1"/>
  <c r="F93" i="79" s="1"/>
  <c r="H97" i="82" s="1"/>
  <c r="J92" i="79" a="1"/>
  <c r="J92" i="79" s="1"/>
  <c r="I92" i="79" a="1"/>
  <c r="I92" i="79" s="1"/>
  <c r="L32" i="46"/>
  <c r="F30" i="63" s="1"/>
  <c r="E44" i="49" s="1"/>
  <c r="E35" i="49" s="1"/>
  <c r="F91" i="79" a="1"/>
  <c r="F91" i="79" s="1"/>
  <c r="G103" i="82" s="1"/>
  <c r="F90" i="79" a="1"/>
  <c r="F89" i="79" a="1"/>
  <c r="F89" i="79" s="1"/>
  <c r="F88" i="79" a="1"/>
  <c r="F88" i="79" s="1"/>
  <c r="F87" i="79" a="1"/>
  <c r="F86" i="79" a="1"/>
  <c r="F86" i="79" s="1"/>
  <c r="F85" i="79" a="1"/>
  <c r="F85" i="79" s="1"/>
  <c r="J84" i="79" a="1"/>
  <c r="J84" i="79" s="1"/>
  <c r="I84" i="79" a="1"/>
  <c r="I84" i="79" s="1"/>
  <c r="F84" i="79" a="1"/>
  <c r="F84" i="79" s="1"/>
  <c r="F83" i="79" a="1"/>
  <c r="F82" i="79" a="1"/>
  <c r="F82" i="79" s="1"/>
  <c r="F81" i="79" a="1"/>
  <c r="F81" i="79" s="1"/>
  <c r="F80" i="79" a="1"/>
  <c r="F80" i="79" s="1"/>
  <c r="F79" i="79" a="1"/>
  <c r="F78" i="79" a="1"/>
  <c r="F78" i="79" s="1"/>
  <c r="F77" i="79" a="1"/>
  <c r="F77" i="79" s="1"/>
  <c r="F76" i="79" a="1"/>
  <c r="F75" i="79" a="1"/>
  <c r="F74" i="79" a="1"/>
  <c r="F74" i="79" s="1"/>
  <c r="H78" i="82" s="1"/>
  <c r="F73" i="79" a="1"/>
  <c r="F73" i="79" s="1"/>
  <c r="H76" i="82" s="1"/>
  <c r="F72" i="79" a="1"/>
  <c r="F72" i="79" s="1"/>
  <c r="H75" i="82" s="1"/>
  <c r="F71" i="79" a="1"/>
  <c r="F71" i="79" s="1"/>
  <c r="H73" i="82" s="1"/>
  <c r="J70" i="79" a="1"/>
  <c r="J70" i="79" s="1"/>
  <c r="I70" i="79" a="1"/>
  <c r="I70" i="79" s="1"/>
  <c r="F70" i="79" a="1"/>
  <c r="F69" i="79" a="1"/>
  <c r="F69" i="79" s="1"/>
  <c r="F68" i="79" a="1"/>
  <c r="F68" i="79" s="1"/>
  <c r="F67" i="79" a="1"/>
  <c r="F67" i="79" s="1"/>
  <c r="H88" i="82" s="1"/>
  <c r="F66" i="79" a="1"/>
  <c r="F66" i="79" s="1"/>
  <c r="F65" i="79" a="1"/>
  <c r="F64" i="79" a="1"/>
  <c r="F64" i="79" s="1"/>
  <c r="F63" i="79" a="1"/>
  <c r="F63" i="79" s="1"/>
  <c r="H89" i="82" s="1"/>
  <c r="F62" i="79" a="1"/>
  <c r="F61" i="79" a="1"/>
  <c r="J60" i="79" a="1"/>
  <c r="J60" i="79" s="1"/>
  <c r="K60" i="79" s="1"/>
  <c r="M99" i="45"/>
  <c r="H77" i="63" s="1"/>
  <c r="L77" i="63" s="1"/>
  <c r="F59" i="79" a="1"/>
  <c r="F59" i="79" s="1"/>
  <c r="F58" i="79" a="1"/>
  <c r="F58" i="79" s="1"/>
  <c r="H83" i="82" s="1"/>
  <c r="F57" i="79" a="1"/>
  <c r="F57" i="79" s="1"/>
  <c r="H85" i="82" s="1"/>
  <c r="F56" i="79" a="1"/>
  <c r="F56" i="79" s="1"/>
  <c r="H84" i="82" s="1"/>
  <c r="F55" i="79" a="1"/>
  <c r="F54" i="79" a="1"/>
  <c r="F54" i="79" s="1"/>
  <c r="F52" i="79" a="1"/>
  <c r="F52" i="79" s="1"/>
  <c r="H82" i="82" s="1"/>
  <c r="G16" i="90" s="1"/>
  <c r="F51" i="79" a="1"/>
  <c r="F51" i="79" s="1"/>
  <c r="H80" i="82" s="1"/>
  <c r="G13" i="90" s="1"/>
  <c r="I14" i="90" s="1"/>
  <c r="W18" i="90" s="1"/>
  <c r="F50" i="79" a="1"/>
  <c r="F50" i="79" s="1"/>
  <c r="F49" i="79" a="1"/>
  <c r="F49" i="79" s="1"/>
  <c r="H72" i="82" s="1"/>
  <c r="I16" i="89" s="1"/>
  <c r="J48" i="79" a="1"/>
  <c r="J48" i="79" s="1"/>
  <c r="K48" i="79" s="1"/>
  <c r="F48" i="79" a="1"/>
  <c r="F47" i="79" a="1"/>
  <c r="F46" i="79" a="1"/>
  <c r="F46" i="79" s="1"/>
  <c r="H66" i="82" s="1"/>
  <c r="F45" i="79" a="1"/>
  <c r="F45" i="79" s="1"/>
  <c r="H68" i="82" s="1"/>
  <c r="F44" i="79" a="1"/>
  <c r="F44" i="79" s="1"/>
  <c r="H67" i="82" s="1"/>
  <c r="F43" i="79" a="1"/>
  <c r="F43" i="79" s="1"/>
  <c r="H65" i="82" s="1"/>
  <c r="F42" i="79" a="1"/>
  <c r="F42" i="79" s="1"/>
  <c r="F41" i="79" a="1"/>
  <c r="F41" i="79" s="1"/>
  <c r="H63" i="82" s="1"/>
  <c r="F40" i="79" a="1"/>
  <c r="F40" i="79" s="1"/>
  <c r="H69" i="82" s="1"/>
  <c r="G15" i="90" s="1"/>
  <c r="F38" i="79" a="1"/>
  <c r="F37" i="79" a="1"/>
  <c r="F37" i="79" s="1"/>
  <c r="H62" i="82" s="1"/>
  <c r="I15" i="89" s="1"/>
  <c r="W14" i="89" s="1"/>
  <c r="W97" i="89" s="1"/>
  <c r="F36" i="79" a="1"/>
  <c r="F36" i="79" s="1"/>
  <c r="H59" i="82" s="1"/>
  <c r="F35" i="79" a="1"/>
  <c r="F35" i="79" s="1"/>
  <c r="H56" i="82" s="1"/>
  <c r="F34" i="79" a="1"/>
  <c r="F34" i="79" s="1"/>
  <c r="H70" i="82" s="1"/>
  <c r="F33" i="79" a="1"/>
  <c r="F33" i="79" s="1"/>
  <c r="H61" i="82" s="1"/>
  <c r="F32" i="79" a="1"/>
  <c r="F32" i="79" s="1"/>
  <c r="H60" i="82" s="1"/>
  <c r="F31" i="79" a="1"/>
  <c r="F31" i="79" s="1"/>
  <c r="H55" i="82" s="1"/>
  <c r="F30" i="79" a="1"/>
  <c r="F29" i="79" a="1"/>
  <c r="F29" i="79" s="1"/>
  <c r="H58" i="82" s="1"/>
  <c r="F28" i="79" a="1"/>
  <c r="F28" i="79" s="1"/>
  <c r="F26" i="79" a="1"/>
  <c r="F26" i="79" s="1"/>
  <c r="G36" i="82" s="1"/>
  <c r="F25" i="79" a="1"/>
  <c r="F25" i="79" s="1"/>
  <c r="G35" i="82" s="1"/>
  <c r="J24" i="79" a="1"/>
  <c r="J24" i="79" s="1"/>
  <c r="K24" i="79" s="1"/>
  <c r="F24" i="79" a="1"/>
  <c r="F24" i="79" s="1"/>
  <c r="G34" i="82" s="1"/>
  <c r="J23" i="79" a="1"/>
  <c r="J23" i="79" s="1"/>
  <c r="K23" i="79" s="1"/>
  <c r="F23" i="79" a="1"/>
  <c r="J22" i="79" a="1"/>
  <c r="J22" i="79" s="1"/>
  <c r="K22" i="79" s="1"/>
  <c r="F22" i="79" a="1"/>
  <c r="F22" i="79" s="1"/>
  <c r="F21" i="79" a="1"/>
  <c r="F21" i="79" s="1"/>
  <c r="G53" i="82" s="1"/>
  <c r="F20" i="79" a="1"/>
  <c r="F20" i="79" s="1"/>
  <c r="F19" i="79" a="1"/>
  <c r="F19" i="79" s="1"/>
  <c r="F17" i="79" a="1"/>
  <c r="F17" i="79" s="1"/>
  <c r="G37" i="82" s="1"/>
  <c r="F16" i="79" a="1"/>
  <c r="F16" i="79" s="1"/>
  <c r="F15" i="79" a="1"/>
  <c r="F14" i="79" a="1"/>
  <c r="F14" i="79" s="1"/>
  <c r="J13" i="79" a="1"/>
  <c r="J13" i="79" s="1"/>
  <c r="K13" i="79" s="1"/>
  <c r="F13" i="79" a="1"/>
  <c r="F13" i="79" s="1"/>
  <c r="F11" i="79" a="1"/>
  <c r="F11" i="79" s="1"/>
  <c r="G26" i="82" s="1"/>
  <c r="F10" i="79" a="1"/>
  <c r="F10" i="79" s="1"/>
  <c r="G25" i="82" s="1"/>
  <c r="F9" i="79" a="1"/>
  <c r="F9" i="79" s="1"/>
  <c r="G24" i="82" s="1"/>
  <c r="F8" i="79" a="1"/>
  <c r="F8" i="79" s="1"/>
  <c r="G23" i="82" s="1"/>
  <c r="F7" i="79" a="1"/>
  <c r="F7" i="79" s="1"/>
  <c r="G22" i="82" s="1"/>
  <c r="F6" i="79" a="1"/>
  <c r="F6" i="79" s="1"/>
  <c r="F5" i="79" a="1"/>
  <c r="F5" i="79" s="1"/>
  <c r="F4" i="79" a="1"/>
  <c r="F4" i="79" s="1"/>
  <c r="F2" i="79" a="1"/>
  <c r="F2" i="79" s="1"/>
  <c r="F62" i="79"/>
  <c r="H90" i="82" s="1"/>
  <c r="F239" i="79"/>
  <c r="F75" i="79"/>
  <c r="H77" i="82" s="1"/>
  <c r="F98" i="79"/>
  <c r="F109" i="79"/>
  <c r="H87" i="82" s="1"/>
  <c r="F38" i="79"/>
  <c r="F238" i="79"/>
  <c r="Q28" i="52"/>
  <c r="F243" i="79"/>
  <c r="F47" i="79"/>
  <c r="F76" i="79"/>
  <c r="H74" i="82" s="1"/>
  <c r="G29" i="51"/>
  <c r="F83" i="79"/>
  <c r="F79" i="79"/>
  <c r="F90" i="79"/>
  <c r="F61" i="79"/>
  <c r="H91" i="82" s="1"/>
  <c r="F87" i="79"/>
  <c r="F94" i="79"/>
  <c r="F103" i="79"/>
  <c r="F290" i="79"/>
  <c r="K21" i="57"/>
  <c r="F30" i="79"/>
  <c r="H57" i="82" s="1"/>
  <c r="F23" i="79"/>
  <c r="G33" i="82" s="1"/>
  <c r="G31" i="77"/>
  <c r="G30" i="58"/>
  <c r="F144" i="79"/>
  <c r="F206" i="79"/>
  <c r="F211" i="79"/>
  <c r="F123" i="79"/>
  <c r="G16" i="58"/>
  <c r="G23" i="58"/>
  <c r="O29" i="51"/>
  <c r="F130" i="79"/>
  <c r="G51" i="82" s="1"/>
  <c r="F65" i="79"/>
  <c r="F55" i="79"/>
  <c r="H81" i="82" s="1"/>
  <c r="F15" i="79"/>
  <c r="F133" i="79"/>
  <c r="H47" i="82" s="1"/>
  <c r="M16" i="58"/>
  <c r="F230" i="79"/>
  <c r="F231" i="79"/>
  <c r="F121" i="79"/>
  <c r="F210" i="79"/>
  <c r="F229" i="79"/>
  <c r="O32" i="46"/>
  <c r="O34" i="46" s="1"/>
  <c r="I102" i="79"/>
  <c r="F48" i="79"/>
  <c r="F70" i="79"/>
  <c r="G98" i="105" l="1"/>
  <c r="L92" i="105"/>
  <c r="D146" i="105"/>
  <c r="D150" i="105"/>
  <c r="E151" i="105" s="1"/>
  <c r="G151" i="105" s="1"/>
  <c r="D92" i="79"/>
  <c r="F92" i="79" s="1" a="1"/>
  <c r="E31" i="105"/>
  <c r="G31" i="105" s="1"/>
  <c r="D107" i="79"/>
  <c r="E55" i="105"/>
  <c r="G55" i="105" s="1"/>
  <c r="K10" i="79"/>
  <c r="G41" i="82"/>
  <c r="O41" i="51"/>
  <c r="T41" i="51" s="1"/>
  <c r="D102" i="79"/>
  <c r="B175" i="96"/>
  <c r="J175" i="96" s="1"/>
  <c r="G41" i="51"/>
  <c r="M101" i="45"/>
  <c r="H94" i="63" s="1"/>
  <c r="L94" i="63" s="1"/>
  <c r="F105" i="63"/>
  <c r="T57" i="46"/>
  <c r="H99" i="82"/>
  <c r="H66" i="62"/>
  <c r="H69" i="62" s="1"/>
  <c r="G32" i="58"/>
  <c r="K70" i="79"/>
  <c r="K77" i="79" s="1"/>
  <c r="V99" i="45"/>
  <c r="D60" i="79"/>
  <c r="F60" i="79" s="1" a="1"/>
  <c r="D30" i="62"/>
  <c r="K28" i="79"/>
  <c r="B101" i="96"/>
  <c r="J101" i="96" s="1"/>
  <c r="J10" i="79"/>
  <c r="H92" i="82"/>
  <c r="H98" i="82"/>
  <c r="M32" i="58"/>
  <c r="K49" i="79"/>
  <c r="J9" i="79"/>
  <c r="F268" i="79" a="1"/>
  <c r="F268" i="79" s="1"/>
  <c r="M21" i="49"/>
  <c r="K21" i="49"/>
  <c r="K92" i="79"/>
  <c r="H54" i="82"/>
  <c r="J3" i="79"/>
  <c r="B185" i="96"/>
  <c r="J185" i="96" s="1"/>
  <c r="T47" i="46"/>
  <c r="F102" i="79" a="1"/>
  <c r="F107" i="79" a="1"/>
  <c r="B68" i="4"/>
  <c r="H30" i="70"/>
  <c r="D82" i="16"/>
  <c r="D337" i="79"/>
  <c r="B22" i="4"/>
  <c r="B71" i="4"/>
  <c r="S22" i="4"/>
  <c r="S53" i="4"/>
  <c r="H33" i="70"/>
  <c r="D359" i="79"/>
  <c r="B53" i="4"/>
  <c r="B33" i="4"/>
  <c r="J4" i="79"/>
  <c r="K18" i="89"/>
  <c r="W23" i="89" s="1"/>
  <c r="H86" i="82"/>
  <c r="J2" i="79"/>
  <c r="K14" i="79"/>
  <c r="H71" i="82"/>
  <c r="H95" i="82"/>
  <c r="G87" i="82"/>
  <c r="H94" i="82"/>
  <c r="J111" i="79"/>
  <c r="H96" i="82"/>
  <c r="O50" i="46"/>
  <c r="O59" i="46" s="1"/>
  <c r="I102" i="82" s="1"/>
  <c r="K84" i="79"/>
  <c r="K85" i="79" s="1"/>
  <c r="G102" i="82"/>
  <c r="G105" i="82" s="1"/>
  <c r="M55" i="4"/>
  <c r="K102" i="79"/>
  <c r="G59" i="49"/>
  <c r="E42" i="49"/>
  <c r="I85" i="82"/>
  <c r="P15" i="90"/>
  <c r="W88" i="90" s="1"/>
  <c r="I17" i="90"/>
  <c r="W19" i="90" s="1"/>
  <c r="W20" i="90" s="1"/>
  <c r="K7" i="79"/>
  <c r="D31" i="48"/>
  <c r="D345" i="79"/>
  <c r="H105" i="63"/>
  <c r="J6" i="79"/>
  <c r="P127" i="45"/>
  <c r="F32" i="63"/>
  <c r="H31" i="70"/>
  <c r="H80" i="63"/>
  <c r="T32" i="46"/>
  <c r="B160" i="96"/>
  <c r="J160" i="96" s="1"/>
  <c r="I111" i="79"/>
  <c r="K111" i="79" s="1"/>
  <c r="K112" i="79" s="1"/>
  <c r="L34" i="46"/>
  <c r="E44" i="105" s="1"/>
  <c r="G44" i="105" s="1"/>
  <c r="K9" i="79"/>
  <c r="K11" i="79" s="1"/>
  <c r="I54" i="82"/>
  <c r="J54" i="82" s="1"/>
  <c r="J7" i="79"/>
  <c r="K6" i="79"/>
  <c r="F92" i="79" l="1"/>
  <c r="K93" i="79" s="1"/>
  <c r="L98" i="105"/>
  <c r="G104" i="105"/>
  <c r="D130" i="105"/>
  <c r="D132" i="105" s="1"/>
  <c r="G60" i="105"/>
  <c r="D125" i="105"/>
  <c r="D128" i="105" s="1"/>
  <c r="G49" i="105"/>
  <c r="F107" i="79"/>
  <c r="K108" i="79" s="1"/>
  <c r="H78" i="63"/>
  <c r="L78" i="63" s="1"/>
  <c r="D117" i="105"/>
  <c r="D120" i="105" s="1"/>
  <c r="D121" i="105" s="1"/>
  <c r="E122" i="105" s="1"/>
  <c r="G122" i="105" s="1"/>
  <c r="G37" i="105"/>
  <c r="G39" i="105" s="1"/>
  <c r="G89" i="105" s="1"/>
  <c r="H95" i="63"/>
  <c r="L95" i="63" s="1"/>
  <c r="M113" i="45"/>
  <c r="H83" i="62" s="1"/>
  <c r="H84" i="62" s="1"/>
  <c r="J8" i="79"/>
  <c r="B103" i="96"/>
  <c r="N94" i="95" s="1"/>
  <c r="V101" i="45"/>
  <c r="F102" i="79"/>
  <c r="K103" i="79" s="1"/>
  <c r="H67" i="62"/>
  <c r="H70" i="62" s="1"/>
  <c r="J11" i="79"/>
  <c r="D66" i="62"/>
  <c r="D32" i="62"/>
  <c r="F60" i="79"/>
  <c r="K61" i="79" s="1"/>
  <c r="P129" i="45" a="1"/>
  <c r="P129" i="45" s="1"/>
  <c r="O66" i="46"/>
  <c r="J5" i="79"/>
  <c r="I86" i="82"/>
  <c r="J86" i="82" s="1"/>
  <c r="H35" i="70"/>
  <c r="C35" i="70" s="1"/>
  <c r="B55" i="4"/>
  <c r="M58" i="4" a="1"/>
  <c r="M58" i="4" s="1"/>
  <c r="O59" i="4" s="1"/>
  <c r="S55" i="4"/>
  <c r="I103" i="82"/>
  <c r="J103" i="82" s="1"/>
  <c r="F31" i="48"/>
  <c r="H31" i="48" s="1"/>
  <c r="D105" i="63"/>
  <c r="I31" i="48"/>
  <c r="G31" i="48"/>
  <c r="K8" i="79"/>
  <c r="L8" i="79" s="1"/>
  <c r="B162" i="96"/>
  <c r="J162" i="96" s="1"/>
  <c r="D34" i="46"/>
  <c r="M69" i="4"/>
  <c r="B67" i="95"/>
  <c r="B96" i="95" s="1"/>
  <c r="B98" i="95" s="1"/>
  <c r="D68" i="16"/>
  <c r="L50" i="46"/>
  <c r="T34" i="46"/>
  <c r="M59" i="49"/>
  <c r="G61" i="49"/>
  <c r="K59" i="49"/>
  <c r="H93" i="82"/>
  <c r="I93" i="82" s="1"/>
  <c r="M131" i="45" l="1"/>
  <c r="B129" i="96" s="1"/>
  <c r="J129" i="96" s="1"/>
  <c r="H98" i="63"/>
  <c r="V113" i="45"/>
  <c r="D25" i="16"/>
  <c r="D26" i="16" s="1"/>
  <c r="G62" i="105"/>
  <c r="G90" i="105" s="1"/>
  <c r="G96" i="105" s="1"/>
  <c r="G95" i="105"/>
  <c r="L89" i="105"/>
  <c r="H81" i="63"/>
  <c r="D133" i="105"/>
  <c r="E134" i="105" s="1"/>
  <c r="G134" i="105" s="1"/>
  <c r="J103" i="96"/>
  <c r="H105" i="82"/>
  <c r="I105" i="82" s="1"/>
  <c r="O13" i="62"/>
  <c r="O15" i="62" s="1"/>
  <c r="O16" i="62" s="1"/>
  <c r="D28" i="48"/>
  <c r="D67" i="62"/>
  <c r="D83" i="62"/>
  <c r="N95" i="95"/>
  <c r="O94" i="95"/>
  <c r="O95" i="95" s="1"/>
  <c r="J66" i="62"/>
  <c r="D69" i="62"/>
  <c r="O69" i="46"/>
  <c r="I92" i="82"/>
  <c r="J93" i="82" s="1"/>
  <c r="P131" i="45"/>
  <c r="P135" i="45" s="1"/>
  <c r="H38" i="70"/>
  <c r="D77" i="16"/>
  <c r="D78" i="16" s="1"/>
  <c r="S58" i="4"/>
  <c r="H87" i="62"/>
  <c r="M96" i="4"/>
  <c r="D69" i="16"/>
  <c r="D70" i="16" s="1"/>
  <c r="R69" i="4"/>
  <c r="K61" i="49"/>
  <c r="M61" i="49"/>
  <c r="L59" i="46"/>
  <c r="E67" i="105" s="1"/>
  <c r="G67" i="105" s="1"/>
  <c r="G69" i="105" s="1"/>
  <c r="F36" i="63"/>
  <c r="F38" i="63" s="1"/>
  <c r="C49" i="46"/>
  <c r="T50" i="46"/>
  <c r="B178" i="96"/>
  <c r="J178" i="96" s="1"/>
  <c r="V131" i="45" l="1"/>
  <c r="M135" i="45"/>
  <c r="L90" i="105"/>
  <c r="D137" i="105"/>
  <c r="G76" i="105"/>
  <c r="G91" i="105" s="1"/>
  <c r="G101" i="105"/>
  <c r="L95" i="105"/>
  <c r="G102" i="105"/>
  <c r="L96" i="105"/>
  <c r="D34" i="48" a="1"/>
  <c r="D34" i="48" s="1"/>
  <c r="D84" i="62"/>
  <c r="J83" i="62"/>
  <c r="G28" i="48"/>
  <c r="F28" i="48"/>
  <c r="J67" i="62"/>
  <c r="D70" i="62"/>
  <c r="B96" i="4"/>
  <c r="O96" i="4"/>
  <c r="D81" i="16"/>
  <c r="D83" i="16" s="1"/>
  <c r="C59" i="46"/>
  <c r="L66" i="46"/>
  <c r="B187" i="96"/>
  <c r="J187" i="96" s="1"/>
  <c r="T59" i="46"/>
  <c r="G81" i="49"/>
  <c r="F84" i="48"/>
  <c r="F41" i="63"/>
  <c r="S69" i="4"/>
  <c r="R96" i="4"/>
  <c r="S96" i="4" s="1"/>
  <c r="G97" i="105" l="1"/>
  <c r="L91" i="105"/>
  <c r="D138" i="105"/>
  <c r="D141" i="105"/>
  <c r="E142" i="105" s="1"/>
  <c r="G142" i="105" s="1"/>
  <c r="G153" i="105" s="1"/>
  <c r="D87" i="62"/>
  <c r="J84" i="62"/>
  <c r="I28" i="48"/>
  <c r="H28" i="48"/>
  <c r="F43" i="63"/>
  <c r="T66" i="46"/>
  <c r="L69" i="46"/>
  <c r="B194" i="96"/>
  <c r="D35" i="16"/>
  <c r="D36" i="16" s="1"/>
  <c r="H106" i="63"/>
  <c r="G103" i="105" l="1"/>
  <c r="G105" i="105" s="1"/>
  <c r="L97" i="105"/>
  <c r="J194" i="96"/>
  <c r="K194" i="96"/>
  <c r="G92" i="49"/>
  <c r="G95" i="49" s="1"/>
  <c r="F85" i="48"/>
  <c r="F47" i="63"/>
  <c r="F54" i="63" s="1"/>
  <c r="F106" i="63" s="1"/>
</calcChain>
</file>

<file path=xl/comments1.xml><?xml version="1.0" encoding="utf-8"?>
<comments xmlns="http://schemas.openxmlformats.org/spreadsheetml/2006/main">
  <authors>
    <author>Dickens, Jamaal</author>
    <author>roger.strickland</author>
  </authors>
  <commentList>
    <comment ref="G11" authorId="0" shapeId="0">
      <text>
        <r>
          <rPr>
            <b/>
            <sz val="9"/>
            <color indexed="81"/>
            <rFont val="Tahoma"/>
            <family val="2"/>
          </rPr>
          <t>College Reporting:</t>
        </r>
        <r>
          <rPr>
            <sz val="9"/>
            <color indexed="81"/>
            <rFont val="Tahoma"/>
            <family val="2"/>
          </rPr>
          <t xml:space="preserve">
Most entries flow from the DOEFSDownload (Black) tab</t>
        </r>
      </text>
    </comment>
    <comment ref="H11" authorId="0" shapeId="0">
      <text>
        <r>
          <rPr>
            <b/>
            <sz val="9"/>
            <color indexed="81"/>
            <rFont val="Tahoma"/>
            <family val="2"/>
          </rPr>
          <t>College Reporting:</t>
        </r>
        <r>
          <rPr>
            <sz val="9"/>
            <color indexed="81"/>
            <rFont val="Tahoma"/>
            <family val="2"/>
          </rPr>
          <t xml:space="preserve">
Most entries flow from the DOEFSDownload (Black) tab</t>
        </r>
      </text>
    </comment>
    <comment ref="I13" authorId="1" shapeId="0">
      <text>
        <r>
          <rPr>
            <b/>
            <sz val="10"/>
            <color indexed="81"/>
            <rFont val="Tahoma"/>
            <family val="2"/>
          </rPr>
          <t>This area is unlocked to use as a quick-check work area.</t>
        </r>
      </text>
    </comment>
    <comment ref="I14" authorId="1" shapeId="0">
      <text>
        <r>
          <rPr>
            <b/>
            <sz val="10"/>
            <color indexed="81"/>
            <rFont val="Tahoma"/>
            <family val="2"/>
          </rPr>
          <t>This area is unlocked to use as a quick-check work area.</t>
        </r>
      </text>
    </comment>
    <comment ref="I15" authorId="1" shapeId="0">
      <text>
        <r>
          <rPr>
            <b/>
            <sz val="10"/>
            <color indexed="81"/>
            <rFont val="Tahoma"/>
            <family val="2"/>
          </rPr>
          <t>This area is unlocked to use as a quick-check work area.</t>
        </r>
      </text>
    </comment>
    <comment ref="I16" authorId="1" shapeId="0">
      <text>
        <r>
          <rPr>
            <b/>
            <sz val="10"/>
            <color indexed="81"/>
            <rFont val="Tahoma"/>
            <family val="2"/>
          </rPr>
          <t>This area is unlocked to use as a quick-check work area.</t>
        </r>
      </text>
    </comment>
    <comment ref="I17" authorId="1" shapeId="0">
      <text>
        <r>
          <rPr>
            <b/>
            <sz val="10"/>
            <color indexed="81"/>
            <rFont val="Tahoma"/>
            <family val="2"/>
          </rPr>
          <t>This area is unlocked to use as a quick-check work area.</t>
        </r>
      </text>
    </comment>
    <comment ref="I18" authorId="1" shapeId="0">
      <text>
        <r>
          <rPr>
            <b/>
            <sz val="10"/>
            <color indexed="81"/>
            <rFont val="Tahoma"/>
            <family val="2"/>
          </rPr>
          <t>This area is unlocked to use as a quick-check work area.</t>
        </r>
      </text>
    </comment>
    <comment ref="I19" authorId="1" shapeId="0">
      <text>
        <r>
          <rPr>
            <b/>
            <sz val="10"/>
            <color indexed="81"/>
            <rFont val="Tahoma"/>
            <family val="2"/>
          </rPr>
          <t>This area is unlocked to use as a quick-check work area.</t>
        </r>
      </text>
    </comment>
    <comment ref="I20" authorId="1" shapeId="0">
      <text>
        <r>
          <rPr>
            <b/>
            <sz val="10"/>
            <color indexed="81"/>
            <rFont val="Tahoma"/>
            <family val="2"/>
          </rPr>
          <t>This area is unlocked to use as a quick-check work area.</t>
        </r>
      </text>
    </comment>
    <comment ref="I21" authorId="1" shapeId="0">
      <text>
        <r>
          <rPr>
            <b/>
            <sz val="10"/>
            <color indexed="81"/>
            <rFont val="Tahoma"/>
            <family val="2"/>
          </rPr>
          <t>This area is unlocked to use as a quick-check work area.</t>
        </r>
      </text>
    </comment>
    <comment ref="I22" authorId="1" shapeId="0">
      <text>
        <r>
          <rPr>
            <b/>
            <sz val="10"/>
            <color indexed="81"/>
            <rFont val="Tahoma"/>
            <family val="2"/>
          </rPr>
          <t>This area is unlocked to use as a quick-check work area.</t>
        </r>
      </text>
    </comment>
    <comment ref="I23" authorId="1" shapeId="0">
      <text>
        <r>
          <rPr>
            <b/>
            <sz val="10"/>
            <color indexed="81"/>
            <rFont val="Tahoma"/>
            <family val="2"/>
          </rPr>
          <t>This area is unlocked to use as a quick-check work area.</t>
        </r>
      </text>
    </comment>
    <comment ref="I24" authorId="1" shapeId="0">
      <text>
        <r>
          <rPr>
            <b/>
            <sz val="10"/>
            <color indexed="81"/>
            <rFont val="Tahoma"/>
            <family val="2"/>
          </rPr>
          <t>This area is unlocked to use as a quick-check work area.</t>
        </r>
      </text>
    </comment>
    <comment ref="I25" authorId="1" shapeId="0">
      <text>
        <r>
          <rPr>
            <b/>
            <sz val="10"/>
            <color indexed="81"/>
            <rFont val="Tahoma"/>
            <family val="2"/>
          </rPr>
          <t>This area is unlocked to use as a quick-check work area.</t>
        </r>
      </text>
    </comment>
    <comment ref="I26" authorId="1" shapeId="0">
      <text>
        <r>
          <rPr>
            <b/>
            <sz val="10"/>
            <color indexed="81"/>
            <rFont val="Tahoma"/>
            <family val="2"/>
          </rPr>
          <t>This area is unlocked to use as a quick-check work area.</t>
        </r>
      </text>
    </comment>
    <comment ref="I27" authorId="1" shapeId="0">
      <text>
        <r>
          <rPr>
            <b/>
            <sz val="10"/>
            <color indexed="81"/>
            <rFont val="Tahoma"/>
            <family val="2"/>
          </rPr>
          <t>This area is unlocked to use as a quick-check work area.</t>
        </r>
      </text>
    </comment>
    <comment ref="I28" authorId="1" shapeId="0">
      <text>
        <r>
          <rPr>
            <b/>
            <sz val="10"/>
            <color indexed="81"/>
            <rFont val="Tahoma"/>
            <family val="2"/>
          </rPr>
          <t>This area is unlocked to use as a quick-check work area.</t>
        </r>
      </text>
    </comment>
    <comment ref="I29" authorId="1" shapeId="0">
      <text>
        <r>
          <rPr>
            <b/>
            <sz val="10"/>
            <color indexed="81"/>
            <rFont val="Tahoma"/>
            <family val="2"/>
          </rPr>
          <t>This area is unlocked to use as a quick-check work area.</t>
        </r>
      </text>
    </comment>
    <comment ref="I30" authorId="1" shapeId="0">
      <text>
        <r>
          <rPr>
            <b/>
            <sz val="10"/>
            <color indexed="81"/>
            <rFont val="Tahoma"/>
            <family val="2"/>
          </rPr>
          <t>This area is unlocked to use as a quick-check work area.</t>
        </r>
      </text>
    </comment>
    <comment ref="I31" authorId="1" shapeId="0">
      <text>
        <r>
          <rPr>
            <b/>
            <sz val="10"/>
            <color indexed="81"/>
            <rFont val="Tahoma"/>
            <family val="2"/>
          </rPr>
          <t>This area is unlocked to use as a quick-check work area.</t>
        </r>
      </text>
    </comment>
    <comment ref="I32" authorId="1" shapeId="0">
      <text>
        <r>
          <rPr>
            <b/>
            <sz val="10"/>
            <color indexed="81"/>
            <rFont val="Tahoma"/>
            <family val="2"/>
          </rPr>
          <t>This area is unlocked to use as a quick-check work area.</t>
        </r>
      </text>
    </comment>
    <comment ref="I38" authorId="1" shapeId="0">
      <text>
        <r>
          <rPr>
            <b/>
            <sz val="10"/>
            <color indexed="81"/>
            <rFont val="Tahoma"/>
            <family val="2"/>
          </rPr>
          <t>This area is unlocked to use as a quick-check work area.</t>
        </r>
      </text>
    </comment>
    <comment ref="I39" authorId="1" shapeId="0">
      <text>
        <r>
          <rPr>
            <b/>
            <sz val="10"/>
            <color indexed="81"/>
            <rFont val="Tahoma"/>
            <family val="2"/>
          </rPr>
          <t>This area is unlocked to use as a quick-check work area.</t>
        </r>
      </text>
    </comment>
    <comment ref="I40" authorId="1" shapeId="0">
      <text>
        <r>
          <rPr>
            <b/>
            <sz val="10"/>
            <color indexed="81"/>
            <rFont val="Tahoma"/>
            <family val="2"/>
          </rPr>
          <t>This area is unlocked to use as a quick-check work area.</t>
        </r>
      </text>
    </comment>
    <comment ref="I41" authorId="1" shapeId="0">
      <text>
        <r>
          <rPr>
            <b/>
            <sz val="10"/>
            <color indexed="81"/>
            <rFont val="Tahoma"/>
            <family val="2"/>
          </rPr>
          <t>This area is unlocked to use as a quick-check work area.</t>
        </r>
      </text>
    </comment>
    <comment ref="I42" authorId="1" shapeId="0">
      <text>
        <r>
          <rPr>
            <b/>
            <sz val="10"/>
            <color indexed="81"/>
            <rFont val="Tahoma"/>
            <family val="2"/>
          </rPr>
          <t>This area is unlocked to use as a quick-check work area.</t>
        </r>
      </text>
    </comment>
    <comment ref="I43" authorId="1" shapeId="0">
      <text>
        <r>
          <rPr>
            <b/>
            <sz val="10"/>
            <color indexed="81"/>
            <rFont val="Tahoma"/>
            <family val="2"/>
          </rPr>
          <t>This area is unlocked to use as a quick-check work area.</t>
        </r>
      </text>
    </comment>
    <comment ref="I44" authorId="1" shapeId="0">
      <text>
        <r>
          <rPr>
            <b/>
            <sz val="10"/>
            <color indexed="81"/>
            <rFont val="Tahoma"/>
            <family val="2"/>
          </rPr>
          <t>This area is unlocked to use as a quick-check work area.</t>
        </r>
      </text>
    </comment>
    <comment ref="I45" authorId="1" shapeId="0">
      <text>
        <r>
          <rPr>
            <b/>
            <sz val="10"/>
            <color indexed="81"/>
            <rFont val="Tahoma"/>
            <family val="2"/>
          </rPr>
          <t>This area is unlocked to use as a quick-check work area.</t>
        </r>
      </text>
    </comment>
    <comment ref="I46" authorId="1" shapeId="0">
      <text>
        <r>
          <rPr>
            <b/>
            <sz val="10"/>
            <color indexed="81"/>
            <rFont val="Tahoma"/>
            <family val="2"/>
          </rPr>
          <t>This area is unlocked to use as a quick-check work area.</t>
        </r>
      </text>
    </comment>
    <comment ref="I47" authorId="1" shapeId="0">
      <text>
        <r>
          <rPr>
            <b/>
            <sz val="10"/>
            <color indexed="81"/>
            <rFont val="Tahoma"/>
            <family val="2"/>
          </rPr>
          <t>This area is unlocked to use as a quick-check work area.</t>
        </r>
      </text>
    </comment>
    <comment ref="I48" authorId="1" shapeId="0">
      <text>
        <r>
          <rPr>
            <b/>
            <sz val="10"/>
            <color indexed="81"/>
            <rFont val="Tahoma"/>
            <family val="2"/>
          </rPr>
          <t>This area is unlocked to use as a quick-check work area.</t>
        </r>
      </text>
    </comment>
    <comment ref="I49" authorId="1" shapeId="0">
      <text>
        <r>
          <rPr>
            <b/>
            <sz val="10"/>
            <color indexed="81"/>
            <rFont val="Tahoma"/>
            <family val="2"/>
          </rPr>
          <t>This area is unlocked to use as a quick-check work area.</t>
        </r>
      </text>
    </comment>
    <comment ref="I50" authorId="1" shapeId="0">
      <text>
        <r>
          <rPr>
            <b/>
            <sz val="10"/>
            <color indexed="81"/>
            <rFont val="Tahoma"/>
            <family val="2"/>
          </rPr>
          <t>This area is unlocked to use as a quick-check work area.</t>
        </r>
      </text>
    </comment>
    <comment ref="I51" authorId="1" shapeId="0">
      <text>
        <r>
          <rPr>
            <b/>
            <sz val="10"/>
            <color indexed="81"/>
            <rFont val="Tahoma"/>
            <family val="2"/>
          </rPr>
          <t>This area is unlocked to use as a quick-check work area.</t>
        </r>
      </text>
    </comment>
    <comment ref="I52" authorId="1" shapeId="0">
      <text>
        <r>
          <rPr>
            <b/>
            <sz val="10"/>
            <color indexed="81"/>
            <rFont val="Tahoma"/>
            <family val="2"/>
          </rPr>
          <t>This area is unlocked to use as a quick-check work area.</t>
        </r>
      </text>
    </comment>
    <comment ref="I53" authorId="1" shapeId="0">
      <text>
        <r>
          <rPr>
            <b/>
            <sz val="10"/>
            <color indexed="81"/>
            <rFont val="Tahoma"/>
            <family val="2"/>
          </rPr>
          <t>This area is unlocked to use as a quick-check work area.</t>
        </r>
      </text>
    </comment>
    <comment ref="I54" authorId="1" shapeId="0">
      <text>
        <r>
          <rPr>
            <b/>
            <sz val="10"/>
            <color indexed="81"/>
            <rFont val="Tahoma"/>
            <family val="2"/>
          </rPr>
          <t>This area is unlocked to use as a quick-check work area.</t>
        </r>
      </text>
    </comment>
    <comment ref="I55" authorId="1" shapeId="0">
      <text>
        <r>
          <rPr>
            <b/>
            <sz val="10"/>
            <color indexed="81"/>
            <rFont val="Tahoma"/>
            <family val="2"/>
          </rPr>
          <t>This area is unlocked to use as a quick-check work area.</t>
        </r>
      </text>
    </comment>
    <comment ref="I56" authorId="1" shapeId="0">
      <text>
        <r>
          <rPr>
            <b/>
            <sz val="10"/>
            <color indexed="81"/>
            <rFont val="Tahoma"/>
            <family val="2"/>
          </rPr>
          <t>This area is unlocked to use as a quick-check work area.</t>
        </r>
      </text>
    </comment>
    <comment ref="I57" authorId="1" shapeId="0">
      <text>
        <r>
          <rPr>
            <b/>
            <sz val="10"/>
            <color indexed="81"/>
            <rFont val="Tahoma"/>
            <family val="2"/>
          </rPr>
          <t>This area is unlocked to use as a quick-check work area.</t>
        </r>
      </text>
    </comment>
    <comment ref="I58" authorId="1" shapeId="0">
      <text>
        <r>
          <rPr>
            <b/>
            <sz val="10"/>
            <color indexed="81"/>
            <rFont val="Tahoma"/>
            <family val="2"/>
          </rPr>
          <t>This area is unlocked to use as a quick-check work area.</t>
        </r>
      </text>
    </comment>
    <comment ref="I59" authorId="1" shapeId="0">
      <text>
        <r>
          <rPr>
            <b/>
            <sz val="10"/>
            <color indexed="81"/>
            <rFont val="Tahoma"/>
            <family val="2"/>
          </rPr>
          <t>This area is unlocked to use as a quick-check work area.</t>
        </r>
      </text>
    </comment>
    <comment ref="I60" authorId="1" shapeId="0">
      <text>
        <r>
          <rPr>
            <b/>
            <sz val="10"/>
            <color indexed="81"/>
            <rFont val="Tahoma"/>
            <family val="2"/>
          </rPr>
          <t>This area is unlocked to use as a quick-check work area.</t>
        </r>
      </text>
    </comment>
    <comment ref="I61" authorId="1" shapeId="0">
      <text>
        <r>
          <rPr>
            <b/>
            <sz val="10"/>
            <color indexed="81"/>
            <rFont val="Tahoma"/>
            <family val="2"/>
          </rPr>
          <t>This area is unlocked to use as a quick-check work area.</t>
        </r>
      </text>
    </comment>
    <comment ref="I62" authorId="1" shapeId="0">
      <text>
        <r>
          <rPr>
            <b/>
            <sz val="10"/>
            <color indexed="81"/>
            <rFont val="Tahoma"/>
            <family val="2"/>
          </rPr>
          <t>This area is unlocked to use as a quick-check work area.</t>
        </r>
      </text>
    </comment>
    <comment ref="I64" authorId="1" shapeId="0">
      <text>
        <r>
          <rPr>
            <b/>
            <sz val="10"/>
            <color indexed="81"/>
            <rFont val="Tahoma"/>
            <family val="2"/>
          </rPr>
          <t>This area is unlocked to use as a quick-check work area.</t>
        </r>
      </text>
    </comment>
    <comment ref="I65" authorId="1" shapeId="0">
      <text>
        <r>
          <rPr>
            <b/>
            <sz val="10"/>
            <color indexed="81"/>
            <rFont val="Tahoma"/>
            <family val="2"/>
          </rPr>
          <t>This area is unlocked to use as a quick-check work area.</t>
        </r>
      </text>
    </comment>
    <comment ref="I69" authorId="1" shapeId="0">
      <text>
        <r>
          <rPr>
            <b/>
            <sz val="10"/>
            <color indexed="81"/>
            <rFont val="Tahoma"/>
            <family val="2"/>
          </rPr>
          <t>This area is unlocked to use as a quick-check work area.</t>
        </r>
      </text>
    </comment>
    <comment ref="I70" authorId="1" shapeId="0">
      <text>
        <r>
          <rPr>
            <b/>
            <sz val="10"/>
            <color indexed="81"/>
            <rFont val="Tahoma"/>
            <family val="2"/>
          </rPr>
          <t>This area is unlocked to use as a quick-check work area.</t>
        </r>
      </text>
    </comment>
    <comment ref="I71" authorId="1" shapeId="0">
      <text>
        <r>
          <rPr>
            <b/>
            <sz val="10"/>
            <color indexed="81"/>
            <rFont val="Tahoma"/>
            <family val="2"/>
          </rPr>
          <t>This area is unlocked to use as a quick-check work area.</t>
        </r>
      </text>
    </comment>
    <comment ref="I72" authorId="1" shapeId="0">
      <text>
        <r>
          <rPr>
            <b/>
            <sz val="10"/>
            <color indexed="81"/>
            <rFont val="Tahoma"/>
            <family val="2"/>
          </rPr>
          <t>This area is unlocked to use as a quick-check work area.</t>
        </r>
      </text>
    </comment>
    <comment ref="I80" authorId="1" shapeId="0">
      <text>
        <r>
          <rPr>
            <b/>
            <sz val="10"/>
            <color indexed="81"/>
            <rFont val="Tahoma"/>
            <family val="2"/>
          </rPr>
          <t>This area is unlocked to use as a quick-check work area.</t>
        </r>
      </text>
    </comment>
    <comment ref="I81" authorId="1" shapeId="0">
      <text>
        <r>
          <rPr>
            <b/>
            <sz val="10"/>
            <color indexed="81"/>
            <rFont val="Tahoma"/>
            <family val="2"/>
          </rPr>
          <t>This area is unlocked to use as a quick-check work area.</t>
        </r>
      </text>
    </comment>
    <comment ref="I82" authorId="1" shapeId="0">
      <text>
        <r>
          <rPr>
            <b/>
            <sz val="10"/>
            <color indexed="81"/>
            <rFont val="Tahoma"/>
            <family val="2"/>
          </rPr>
          <t>This area is unlocked to use as a quick-check work area.</t>
        </r>
      </text>
    </comment>
    <comment ref="I86" authorId="1" shapeId="0">
      <text>
        <r>
          <rPr>
            <b/>
            <sz val="10"/>
            <color indexed="81"/>
            <rFont val="Tahoma"/>
            <family val="2"/>
          </rPr>
          <t>This area is unlocked to use as a quick-check work area.</t>
        </r>
      </text>
    </comment>
    <comment ref="I87" authorId="1" shapeId="0">
      <text>
        <r>
          <rPr>
            <b/>
            <sz val="10"/>
            <color indexed="81"/>
            <rFont val="Tahoma"/>
            <family val="2"/>
          </rPr>
          <t>This area is unlocked to use as a quick-check work area.</t>
        </r>
      </text>
    </comment>
    <comment ref="I88" authorId="1" shapeId="0">
      <text>
        <r>
          <rPr>
            <b/>
            <sz val="10"/>
            <color indexed="81"/>
            <rFont val="Tahoma"/>
            <family val="2"/>
          </rPr>
          <t>This area is unlocked to use as a quick-check work area.</t>
        </r>
      </text>
    </comment>
    <comment ref="I89" authorId="1" shapeId="0">
      <text>
        <r>
          <rPr>
            <b/>
            <sz val="10"/>
            <color indexed="81"/>
            <rFont val="Tahoma"/>
            <family val="2"/>
          </rPr>
          <t>This area is unlocked to use as a quick-check work area.</t>
        </r>
      </text>
    </comment>
    <comment ref="I90" authorId="1" shapeId="0">
      <text>
        <r>
          <rPr>
            <b/>
            <sz val="10"/>
            <color indexed="81"/>
            <rFont val="Tahoma"/>
            <family val="2"/>
          </rPr>
          <t>This area is unlocked to use as a quick-check work area.</t>
        </r>
      </text>
    </comment>
    <comment ref="I91" authorId="1" shapeId="0">
      <text>
        <r>
          <rPr>
            <b/>
            <sz val="10"/>
            <color indexed="81"/>
            <rFont val="Tahoma"/>
            <family val="2"/>
          </rPr>
          <t>This area is unlocked to use as a quick-check work area.</t>
        </r>
      </text>
    </comment>
    <comment ref="I92" authorId="1" shapeId="0">
      <text>
        <r>
          <rPr>
            <b/>
            <sz val="10"/>
            <color indexed="81"/>
            <rFont val="Tahoma"/>
            <family val="2"/>
          </rPr>
          <t>This area is unlocked to use as a quick-check work area.</t>
        </r>
      </text>
    </comment>
    <comment ref="I93" authorId="1" shapeId="0">
      <text>
        <r>
          <rPr>
            <b/>
            <sz val="10"/>
            <color indexed="81"/>
            <rFont val="Tahoma"/>
            <family val="2"/>
          </rPr>
          <t>This area is unlocked to use as a quick-check work area.</t>
        </r>
      </text>
    </comment>
    <comment ref="I94" authorId="1" shapeId="0">
      <text>
        <r>
          <rPr>
            <b/>
            <sz val="10"/>
            <color indexed="81"/>
            <rFont val="Tahoma"/>
            <family val="2"/>
          </rPr>
          <t>This area is unlocked to use as a quick-check work area.</t>
        </r>
      </text>
    </comment>
    <comment ref="I95" authorId="1" shapeId="0">
      <text>
        <r>
          <rPr>
            <b/>
            <sz val="10"/>
            <color indexed="81"/>
            <rFont val="Tahoma"/>
            <family val="2"/>
          </rPr>
          <t>This area is unlocked to use as a quick-check work area.</t>
        </r>
      </text>
    </comment>
    <comment ref="I96" authorId="1" shapeId="0">
      <text>
        <r>
          <rPr>
            <b/>
            <sz val="10"/>
            <color indexed="81"/>
            <rFont val="Tahoma"/>
            <family val="2"/>
          </rPr>
          <t>This area is unlocked to use as a quick-check work area.</t>
        </r>
      </text>
    </comment>
    <comment ref="I97" authorId="1" shapeId="0">
      <text>
        <r>
          <rPr>
            <b/>
            <sz val="10"/>
            <color indexed="81"/>
            <rFont val="Tahoma"/>
            <family val="2"/>
          </rPr>
          <t>This area is unlocked to use as a quick-check work area.</t>
        </r>
      </text>
    </comment>
    <comment ref="I98" authorId="1" shapeId="0">
      <text>
        <r>
          <rPr>
            <b/>
            <sz val="10"/>
            <color indexed="81"/>
            <rFont val="Tahoma"/>
            <family val="2"/>
          </rPr>
          <t>This area is unlocked to use as a quick-check work area.</t>
        </r>
      </text>
    </comment>
    <comment ref="I99" authorId="1" shapeId="0">
      <text>
        <r>
          <rPr>
            <b/>
            <sz val="10"/>
            <color indexed="81"/>
            <rFont val="Tahoma"/>
            <family val="2"/>
          </rPr>
          <t>This area is unlocked to use as a quick-check work area.</t>
        </r>
      </text>
    </comment>
    <comment ref="I100" authorId="1" shapeId="0">
      <text>
        <r>
          <rPr>
            <b/>
            <sz val="10"/>
            <color indexed="81"/>
            <rFont val="Tahoma"/>
            <family val="2"/>
          </rPr>
          <t>This area is unlocked to use as a quick-check work area.</t>
        </r>
      </text>
    </comment>
    <comment ref="I101" authorId="1" shapeId="0">
      <text>
        <r>
          <rPr>
            <b/>
            <sz val="10"/>
            <color indexed="81"/>
            <rFont val="Tahoma"/>
            <family val="2"/>
          </rPr>
          <t>This area is unlocked to use as a quick-check work area.</t>
        </r>
      </text>
    </comment>
    <comment ref="G102" authorId="1" shapeId="0">
      <text>
        <r>
          <rPr>
            <sz val="10"/>
            <color indexed="81"/>
            <rFont val="Tahoma"/>
            <family val="2"/>
          </rPr>
          <t>Adjust this cell ONLY if needed to balance the worksheet because of an audit or other allowable adjustment.</t>
        </r>
      </text>
    </comment>
    <comment ref="I102" authorId="1" shapeId="0">
      <text>
        <r>
          <rPr>
            <b/>
            <sz val="10"/>
            <color indexed="81"/>
            <rFont val="Tahoma"/>
            <family val="2"/>
          </rPr>
          <t>This area is unlocked to use as a quick-check work area.</t>
        </r>
      </text>
    </comment>
    <comment ref="I103" authorId="1" shapeId="0">
      <text>
        <r>
          <rPr>
            <b/>
            <sz val="10"/>
            <color indexed="81"/>
            <rFont val="Tahoma"/>
            <family val="2"/>
          </rPr>
          <t>This area is unlocked to use as a quick-check work area.</t>
        </r>
      </text>
    </comment>
    <comment ref="I104" authorId="1" shapeId="0">
      <text>
        <r>
          <rPr>
            <b/>
            <sz val="10"/>
            <color indexed="81"/>
            <rFont val="Tahoma"/>
            <family val="2"/>
          </rPr>
          <t>This area is unlocked to use as a quick-check work area.</t>
        </r>
      </text>
    </comment>
    <comment ref="I105" authorId="0" shapeId="0">
      <text>
        <r>
          <rPr>
            <b/>
            <sz val="9"/>
            <color indexed="81"/>
            <rFont val="Tahoma"/>
            <family val="2"/>
          </rPr>
          <t>Dickens, Jamaal:</t>
        </r>
        <r>
          <rPr>
            <sz val="9"/>
            <color indexed="81"/>
            <rFont val="Tahoma"/>
            <family val="2"/>
          </rPr>
          <t xml:space="preserve">
Difference between Debit and Credit TOTALS
</t>
        </r>
        <r>
          <rPr>
            <b/>
            <sz val="9"/>
            <color indexed="81"/>
            <rFont val="Tahoma"/>
            <family val="2"/>
          </rPr>
          <t xml:space="preserve">Rose, Tracy:
</t>
        </r>
        <r>
          <rPr>
            <sz val="9"/>
            <color indexed="81"/>
            <rFont val="Tahoma"/>
            <family val="2"/>
          </rPr>
          <t>Debits &amp; credits should equal zero</t>
        </r>
      </text>
    </comment>
    <comment ref="G106" authorId="1" shapeId="0">
      <text>
        <r>
          <rPr>
            <b/>
            <sz val="10"/>
            <color indexed="81"/>
            <rFont val="Tahoma"/>
            <family val="2"/>
          </rPr>
          <t>This area is unlocked to use as a quick-check work area.</t>
        </r>
      </text>
    </comment>
    <comment ref="H106" authorId="1" shapeId="0">
      <text>
        <r>
          <rPr>
            <b/>
            <sz val="10"/>
            <color indexed="81"/>
            <rFont val="Tahoma"/>
            <family val="2"/>
          </rPr>
          <t>This area is unlocked to use as a quick-check work area.</t>
        </r>
      </text>
    </comment>
    <comment ref="G107" authorId="1" shapeId="0">
      <text>
        <r>
          <rPr>
            <b/>
            <sz val="10"/>
            <color indexed="81"/>
            <rFont val="Tahoma"/>
            <family val="2"/>
          </rPr>
          <t>This area is unlocked to use as a quick-check work area.</t>
        </r>
      </text>
    </comment>
    <comment ref="H107" authorId="1" shapeId="0">
      <text>
        <r>
          <rPr>
            <b/>
            <sz val="10"/>
            <color indexed="81"/>
            <rFont val="Tahoma"/>
            <family val="2"/>
          </rPr>
          <t>This area is unlocked to use as a quick-check work area.</t>
        </r>
      </text>
    </comment>
  </commentList>
</comments>
</file>

<file path=xl/comments10.xml><?xml version="1.0" encoding="utf-8"?>
<comments xmlns="http://schemas.openxmlformats.org/spreadsheetml/2006/main">
  <authors>
    <author>Hart, Yolanda</author>
  </authors>
  <commentList>
    <comment ref="O45" authorId="0" shapeId="0">
      <text>
        <r>
          <rPr>
            <sz val="9"/>
            <color indexed="81"/>
            <rFont val="Tahoma"/>
            <family val="2"/>
          </rPr>
          <t xml:space="preserve">Modify as appropriate
</t>
        </r>
      </text>
    </comment>
  </commentList>
</comments>
</file>

<file path=xl/comments11.xml><?xml version="1.0" encoding="utf-8"?>
<comments xmlns="http://schemas.openxmlformats.org/spreadsheetml/2006/main">
  <authors>
    <author>Admin</author>
  </authors>
  <commentList>
    <comment ref="M16" authorId="0" shapeId="0">
      <text>
        <r>
          <rPr>
            <b/>
            <sz val="9"/>
            <color indexed="81"/>
            <rFont val="Tahoma"/>
            <family val="2"/>
          </rPr>
          <t>Must tie to SNP</t>
        </r>
      </text>
    </comment>
    <comment ref="M32" authorId="0" shapeId="0">
      <text>
        <r>
          <rPr>
            <b/>
            <sz val="9"/>
            <color indexed="81"/>
            <rFont val="Tahoma"/>
            <family val="2"/>
          </rPr>
          <t>Must tie to SNP</t>
        </r>
      </text>
    </comment>
  </commentList>
</comments>
</file>

<file path=xl/comments12.xml><?xml version="1.0" encoding="utf-8"?>
<comments xmlns="http://schemas.openxmlformats.org/spreadsheetml/2006/main">
  <authors>
    <author>Dickens, Jamaal</author>
  </authors>
  <commentList>
    <comment ref="G18" authorId="0" shapeId="0">
      <text>
        <r>
          <rPr>
            <b/>
            <sz val="9"/>
            <color indexed="81"/>
            <rFont val="Tahoma"/>
            <family val="2"/>
          </rPr>
          <t>College Reporting:</t>
        </r>
        <r>
          <rPr>
            <sz val="9"/>
            <color indexed="81"/>
            <rFont val="Tahoma"/>
            <family val="2"/>
          </rPr>
          <t xml:space="preserve">
Takes data from 
FCS Notes Sched Inv &amp; Cash (HIDDEN), F92
AND 
CU Notes Sched, K133</t>
        </r>
      </text>
    </comment>
  </commentList>
</comments>
</file>

<file path=xl/comments13.xml><?xml version="1.0" encoding="utf-8"?>
<comments xmlns="http://schemas.openxmlformats.org/spreadsheetml/2006/main">
  <authors>
    <author>Dickens, Jamaal</author>
  </authors>
  <commentList>
    <comment ref="S19" authorId="0" shapeId="0">
      <text>
        <r>
          <rPr>
            <b/>
            <sz val="9"/>
            <color indexed="81"/>
            <rFont val="Tahoma"/>
            <family val="2"/>
          </rPr>
          <t>College Reporting:</t>
        </r>
        <r>
          <rPr>
            <sz val="9"/>
            <color indexed="81"/>
            <rFont val="Tahoma"/>
            <family val="2"/>
          </rPr>
          <t xml:space="preserve">
Information flows from the FCS Notes Sched LTD tab</t>
        </r>
      </text>
    </comment>
    <comment ref="AB19" authorId="0" shapeId="0">
      <text>
        <r>
          <rPr>
            <b/>
            <sz val="9"/>
            <color indexed="81"/>
            <rFont val="Tahoma"/>
            <family val="2"/>
          </rPr>
          <t>College Reporting:</t>
        </r>
        <r>
          <rPr>
            <sz val="9"/>
            <color indexed="81"/>
            <rFont val="Tahoma"/>
            <family val="2"/>
          </rPr>
          <t xml:space="preserve">
Acquired Debt</t>
        </r>
      </text>
    </comment>
    <comment ref="AH19" authorId="0" shapeId="0">
      <text>
        <r>
          <rPr>
            <b/>
            <sz val="9"/>
            <color indexed="81"/>
            <rFont val="Tahoma"/>
            <family val="2"/>
          </rPr>
          <t>College Reporting:</t>
        </r>
        <r>
          <rPr>
            <sz val="9"/>
            <color indexed="81"/>
            <rFont val="Tahoma"/>
            <family val="2"/>
          </rPr>
          <t xml:space="preserve">
Retired Debt</t>
        </r>
      </text>
    </comment>
  </commentList>
</comments>
</file>

<file path=xl/comments14.xml><?xml version="1.0" encoding="utf-8"?>
<comments xmlns="http://schemas.openxmlformats.org/spreadsheetml/2006/main">
  <authors>
    <author>Dickens, Jamaal</author>
  </authors>
  <commentList>
    <comment ref="O1" authorId="0" shapeId="0">
      <text>
        <r>
          <rPr>
            <b/>
            <sz val="9"/>
            <color indexed="81"/>
            <rFont val="Tahoma"/>
            <family val="2"/>
          </rPr>
          <t>College Reporting:</t>
        </r>
        <r>
          <rPr>
            <sz val="9"/>
            <color indexed="81"/>
            <rFont val="Tahoma"/>
            <family val="2"/>
          </rPr>
          <t xml:space="preserve">
Refers to prior year adjusment in DSO column (Line 62, Col L) of SCRENP</t>
        </r>
      </text>
    </comment>
  </commentList>
</comments>
</file>

<file path=xl/comments15.xml><?xml version="1.0" encoding="utf-8"?>
<comments xmlns="http://schemas.openxmlformats.org/spreadsheetml/2006/main">
  <authors>
    <author>Dickens, Jamaal</author>
  </authors>
  <commentList>
    <comment ref="I15" authorId="0" shapeId="0">
      <text>
        <r>
          <rPr>
            <b/>
            <sz val="9"/>
            <color indexed="81"/>
            <rFont val="Tahoma"/>
            <family val="2"/>
          </rPr>
          <t>College Reporting:</t>
        </r>
        <r>
          <rPr>
            <sz val="9"/>
            <color indexed="81"/>
            <rFont val="Tahoma"/>
            <family val="2"/>
          </rPr>
          <t xml:space="preserve">
Adjustment Form, I61</t>
        </r>
      </text>
    </comment>
  </commentList>
</comments>
</file>

<file path=xl/comments16.xml><?xml version="1.0" encoding="utf-8"?>
<comments xmlns="http://schemas.openxmlformats.org/spreadsheetml/2006/main">
  <authors>
    <author>Dickens, Jamaal</author>
  </authors>
  <commentList>
    <comment ref="G25" authorId="0" shapeId="0">
      <text>
        <r>
          <rPr>
            <b/>
            <sz val="9"/>
            <color indexed="81"/>
            <rFont val="Tahoma"/>
            <family val="2"/>
          </rPr>
          <t>College Reporting:</t>
        </r>
        <r>
          <rPr>
            <sz val="9"/>
            <color indexed="81"/>
            <rFont val="Tahoma"/>
            <family val="2"/>
          </rPr>
          <t xml:space="preserve">
This amount is calculated based on Nondepreciable Capital Assets, Construction in Progress:   
FCS Notes Sched Cap Assets, Cell O17 
+
CU Notes Sched, Cell M14</t>
        </r>
      </text>
    </comment>
  </commentList>
</comments>
</file>

<file path=xl/comments17.xml><?xml version="1.0" encoding="utf-8"?>
<comments xmlns="http://schemas.openxmlformats.org/spreadsheetml/2006/main">
  <authors>
    <author>claire.cotton-watkins</author>
  </authors>
  <commentList>
    <comment ref="B6" authorId="0" shapeId="0">
      <text>
        <r>
          <rPr>
            <b/>
            <sz val="8"/>
            <color indexed="81"/>
            <rFont val="Tahoma"/>
            <family val="2"/>
          </rPr>
          <t>Modify if desired</t>
        </r>
      </text>
    </comment>
    <comment ref="I23" authorId="0" shapeId="0">
      <text>
        <r>
          <rPr>
            <sz val="8"/>
            <color indexed="81"/>
            <rFont val="Tahoma"/>
            <family val="2"/>
          </rPr>
          <t>Must tie to SNP Totals.</t>
        </r>
      </text>
    </comment>
    <comment ref="B27" authorId="0" shapeId="0">
      <text>
        <r>
          <rPr>
            <b/>
            <sz val="8"/>
            <color indexed="81"/>
            <rFont val="Tahoma"/>
            <family val="2"/>
          </rPr>
          <t>Modify if desired</t>
        </r>
      </text>
    </comment>
    <comment ref="I46" authorId="0" shapeId="0">
      <text>
        <r>
          <rPr>
            <sz val="8"/>
            <color indexed="81"/>
            <rFont val="Tahoma"/>
            <family val="2"/>
          </rPr>
          <t>Must tie to SNP Totals.</t>
        </r>
      </text>
    </comment>
  </commentList>
</comments>
</file>

<file path=xl/comments18.xml><?xml version="1.0" encoding="utf-8"?>
<comments xmlns="http://schemas.openxmlformats.org/spreadsheetml/2006/main">
  <authors>
    <author>claire.cotton-watkins</author>
  </authors>
  <commentList>
    <comment ref="G8" authorId="0" shapeId="0">
      <text>
        <r>
          <rPr>
            <b/>
            <sz val="8"/>
            <color indexed="81"/>
            <rFont val="Tahoma"/>
            <family val="2"/>
          </rPr>
          <t>Cell unlocked for customization.</t>
        </r>
      </text>
    </comment>
    <comment ref="G9" authorId="0" shapeId="0">
      <text>
        <r>
          <rPr>
            <b/>
            <sz val="8"/>
            <color indexed="81"/>
            <rFont val="Tahoma"/>
            <family val="2"/>
          </rPr>
          <t>Cell unlocked for customization.</t>
        </r>
      </text>
    </comment>
    <comment ref="D17" authorId="0" shapeId="0">
      <text>
        <r>
          <rPr>
            <b/>
            <sz val="8"/>
            <color indexed="81"/>
            <rFont val="Tahoma"/>
            <family val="2"/>
          </rPr>
          <t>Cell unlocked for customization.</t>
        </r>
      </text>
    </comment>
    <comment ref="D18" authorId="0" shapeId="0">
      <text>
        <r>
          <rPr>
            <b/>
            <sz val="8"/>
            <color indexed="81"/>
            <rFont val="Tahoma"/>
            <family val="2"/>
          </rPr>
          <t>Cell unlocked for customization.</t>
        </r>
      </text>
    </comment>
    <comment ref="D19" authorId="0" shapeId="0">
      <text>
        <r>
          <rPr>
            <b/>
            <sz val="8"/>
            <color indexed="81"/>
            <rFont val="Tahoma"/>
            <family val="2"/>
          </rPr>
          <t>Cell unlocked for customization.</t>
        </r>
      </text>
    </comment>
  </commentList>
</comments>
</file>

<file path=xl/comments19.xml><?xml version="1.0" encoding="utf-8"?>
<comments xmlns="http://schemas.openxmlformats.org/spreadsheetml/2006/main">
  <authors>
    <author>claire.cotton-watkins</author>
  </authors>
  <commentList>
    <comment ref="D19" authorId="0" shapeId="0">
      <text>
        <r>
          <rPr>
            <b/>
            <sz val="8"/>
            <color indexed="81"/>
            <rFont val="Tahoma"/>
            <family val="2"/>
          </rPr>
          <t>Cell Unlocked</t>
        </r>
      </text>
    </comment>
    <comment ref="I21" authorId="0" shapeId="0">
      <text>
        <r>
          <rPr>
            <b/>
            <sz val="8"/>
            <color indexed="81"/>
            <rFont val="Tahoma"/>
            <family val="2"/>
          </rPr>
          <t>Compare to CIP balance below only if all capital projects are recorded above. These amounts will not tie if only major capital projects are included.</t>
        </r>
      </text>
    </comment>
    <comment ref="I28" authorId="0" shapeId="0">
      <text>
        <r>
          <rPr>
            <sz val="8"/>
            <color indexed="81"/>
            <rFont val="Tahoma"/>
            <family val="2"/>
          </rPr>
          <t>CIP will tie to "Completed to Date" if all current capital projects are listed above. If only major projects are included, these will not tie.</t>
        </r>
      </text>
    </comment>
  </commentList>
</comments>
</file>

<file path=xl/comments2.xml><?xml version="1.0" encoding="utf-8"?>
<comments xmlns="http://schemas.openxmlformats.org/spreadsheetml/2006/main">
  <authors>
    <author>Rose, Tracy</author>
  </authors>
  <commentList>
    <comment ref="D325" authorId="0" shapeId="0">
      <text>
        <r>
          <rPr>
            <b/>
            <sz val="9"/>
            <color indexed="81"/>
            <rFont val="Tahoma"/>
            <family val="2"/>
          </rPr>
          <t>Rose, Tracy:</t>
        </r>
        <r>
          <rPr>
            <sz val="9"/>
            <color indexed="81"/>
            <rFont val="Tahoma"/>
            <family val="2"/>
          </rPr>
          <t xml:space="preserve">
This entire section was pulling from column J so I changed the ones that were pulling our codes to pull from column M 4.19.17</t>
        </r>
      </text>
    </comment>
  </commentList>
</comments>
</file>

<file path=xl/comments20.xml><?xml version="1.0" encoding="utf-8"?>
<comments xmlns="http://schemas.openxmlformats.org/spreadsheetml/2006/main">
  <authors>
    <author>Sisley, Dottie</author>
    <author>Hart, Yolanda</author>
    <author>Barnes, Andrew</author>
    <author>Tracy Rose</author>
    <author>Rose, Tracy</author>
    <author>Yolanda Hart</author>
  </authors>
  <commentList>
    <comment ref="C152" authorId="0" shapeId="0">
      <text>
        <r>
          <rPr>
            <b/>
            <sz val="9"/>
            <color indexed="81"/>
            <rFont val="Tahoma"/>
            <family val="2"/>
          </rPr>
          <t>Hart, Yolanda</t>
        </r>
        <r>
          <rPr>
            <sz val="9"/>
            <color indexed="81"/>
            <rFont val="Tahoma"/>
            <family val="2"/>
          </rPr>
          <t xml:space="preserve">
This info was pulled directly from Audited financial report 2.24.20. YPH
</t>
        </r>
      </text>
    </comment>
    <comment ref="D152" authorId="0" shapeId="0">
      <text>
        <r>
          <rPr>
            <b/>
            <sz val="9"/>
            <color indexed="81"/>
            <rFont val="Tahoma"/>
            <family val="2"/>
          </rPr>
          <t>Hart, Yolanda:</t>
        </r>
        <r>
          <rPr>
            <sz val="9"/>
            <color indexed="81"/>
            <rFont val="Tahoma"/>
            <family val="2"/>
          </rPr>
          <t xml:space="preserve">
This info was pulled directly from Audited financial report 2.24.20. YPH</t>
        </r>
      </text>
    </comment>
    <comment ref="F152" authorId="0" shapeId="0">
      <text>
        <r>
          <rPr>
            <b/>
            <sz val="9"/>
            <color indexed="81"/>
            <rFont val="Tahoma"/>
            <family val="2"/>
          </rPr>
          <t>Hart, Yolanda:</t>
        </r>
        <r>
          <rPr>
            <sz val="9"/>
            <color indexed="81"/>
            <rFont val="Tahoma"/>
            <family val="2"/>
          </rPr>
          <t xml:space="preserve">
This info was pulled directly from Audited financial report 3.24.20. YPH</t>
        </r>
      </text>
    </comment>
    <comment ref="H152" authorId="0" shapeId="0">
      <text>
        <r>
          <rPr>
            <b/>
            <sz val="9"/>
            <color indexed="81"/>
            <rFont val="Tahoma"/>
            <family val="2"/>
          </rPr>
          <t>Hart, Yolanda:</t>
        </r>
        <r>
          <rPr>
            <sz val="9"/>
            <color indexed="81"/>
            <rFont val="Tahoma"/>
            <family val="2"/>
          </rPr>
          <t xml:space="preserve">
This info was pulled directly from Audited financial report 2.24.20. YPH</t>
        </r>
      </text>
    </comment>
    <comment ref="I152" authorId="0" shapeId="0">
      <text>
        <r>
          <rPr>
            <b/>
            <sz val="9"/>
            <color indexed="81"/>
            <rFont val="Tahoma"/>
            <family val="2"/>
          </rPr>
          <t>Sisley, Dottie:</t>
        </r>
        <r>
          <rPr>
            <sz val="9"/>
            <color indexed="81"/>
            <rFont val="Tahoma"/>
            <family val="2"/>
          </rPr>
          <t xml:space="preserve">
This info was pulled directly from Audited financial report 3.23.18. DRS</t>
        </r>
      </text>
    </comment>
    <comment ref="J152" authorId="0" shapeId="0">
      <text>
        <r>
          <rPr>
            <b/>
            <sz val="9"/>
            <color indexed="81"/>
            <rFont val="Tahoma"/>
            <family val="2"/>
          </rPr>
          <t>Hart, Yolanda:</t>
        </r>
        <r>
          <rPr>
            <sz val="9"/>
            <color indexed="81"/>
            <rFont val="Tahoma"/>
            <family val="2"/>
          </rPr>
          <t xml:space="preserve">
This info was pulled directly from Audited financial report 2.24.20. YPH</t>
        </r>
      </text>
    </comment>
    <comment ref="B156" authorId="1" shapeId="0">
      <text>
        <r>
          <rPr>
            <b/>
            <sz val="9"/>
            <color indexed="81"/>
            <rFont val="Tahoma"/>
            <family val="2"/>
          </rPr>
          <t>Hart, Yolanda:</t>
        </r>
        <r>
          <rPr>
            <sz val="9"/>
            <color indexed="81"/>
            <rFont val="Tahoma"/>
            <family val="2"/>
          </rPr>
          <t xml:space="preserve">
The amount agree with Audited Financial Statement 06.30.20 YPH 04.12.21
</t>
        </r>
      </text>
    </comment>
    <comment ref="G157" authorId="1" shapeId="0">
      <text>
        <r>
          <rPr>
            <b/>
            <sz val="9"/>
            <color indexed="81"/>
            <rFont val="Tahoma"/>
            <family val="2"/>
          </rPr>
          <t>Hart, Yolanda:</t>
        </r>
        <r>
          <rPr>
            <sz val="9"/>
            <color indexed="81"/>
            <rFont val="Tahoma"/>
            <family val="2"/>
          </rPr>
          <t xml:space="preserve">
The amount agree with Audited Financial Statement 06.30.20 YPH 04.12.21</t>
        </r>
      </text>
    </comment>
    <comment ref="G158" authorId="1" shapeId="0">
      <text>
        <r>
          <rPr>
            <b/>
            <sz val="9"/>
            <color indexed="81"/>
            <rFont val="Tahoma"/>
            <family val="2"/>
          </rPr>
          <t>Hart, Yolanda:</t>
        </r>
        <r>
          <rPr>
            <sz val="9"/>
            <color indexed="81"/>
            <rFont val="Tahoma"/>
            <family val="2"/>
          </rPr>
          <t xml:space="preserve">
The amount agree with Audited Financial Statement 06.30.20 YPH 04.12.21
</t>
        </r>
      </text>
    </comment>
    <comment ref="C164" authorId="1" shapeId="0">
      <text>
        <r>
          <rPr>
            <b/>
            <sz val="9"/>
            <color indexed="81"/>
            <rFont val="Tahoma"/>
            <family val="2"/>
          </rPr>
          <t>Hart, Yolanda:</t>
        </r>
        <r>
          <rPr>
            <sz val="9"/>
            <color indexed="81"/>
            <rFont val="Tahoma"/>
            <family val="2"/>
          </rPr>
          <t xml:space="preserve">
Amount agree with Audited Financial Statement 06.30.20 YPH 04.12.21
</t>
        </r>
      </text>
    </comment>
    <comment ref="H173" authorId="1" shapeId="0">
      <text>
        <r>
          <rPr>
            <b/>
            <sz val="9"/>
            <color indexed="81"/>
            <rFont val="Tahoma"/>
            <family val="2"/>
          </rPr>
          <t>Hart, Yolanda:</t>
        </r>
        <r>
          <rPr>
            <sz val="9"/>
            <color indexed="81"/>
            <rFont val="Tahoma"/>
            <family val="2"/>
          </rPr>
          <t xml:space="preserve">
The amount agrees with Audited Financial Statement 06.30.20 YPH 04.09.21</t>
        </r>
      </text>
    </comment>
    <comment ref="E198" authorId="1" shapeId="0">
      <text>
        <r>
          <rPr>
            <b/>
            <sz val="9"/>
            <color indexed="81"/>
            <rFont val="Tahoma"/>
            <charset val="1"/>
          </rPr>
          <t>Hart, Yolanda:</t>
        </r>
        <r>
          <rPr>
            <sz val="9"/>
            <color indexed="81"/>
            <rFont val="Tahoma"/>
            <charset val="1"/>
          </rPr>
          <t xml:space="preserve">
The amount agrees with Audited Financial Statement 06.30.20 YPH 04.09.21
</t>
        </r>
      </text>
    </comment>
    <comment ref="B232" authorId="1" shapeId="0">
      <text>
        <r>
          <rPr>
            <b/>
            <sz val="9"/>
            <color indexed="81"/>
            <rFont val="Tahoma"/>
            <charset val="1"/>
          </rPr>
          <t>Hart, Yolanda:</t>
        </r>
        <r>
          <rPr>
            <sz val="9"/>
            <color indexed="81"/>
            <rFont val="Tahoma"/>
            <charset val="1"/>
          </rPr>
          <t xml:space="preserve">
The amount agrees with Audited Financial Statement 06.30.20 YPH 04.09.21</t>
        </r>
      </text>
    </comment>
    <comment ref="C232" authorId="1" shapeId="0">
      <text>
        <r>
          <rPr>
            <b/>
            <sz val="9"/>
            <color indexed="81"/>
            <rFont val="Tahoma"/>
            <charset val="1"/>
          </rPr>
          <t>Hart, Yolanda:</t>
        </r>
        <r>
          <rPr>
            <sz val="9"/>
            <color indexed="81"/>
            <rFont val="Tahoma"/>
            <charset val="1"/>
          </rPr>
          <t xml:space="preserve">
The amount agrees with Audited Financial Statement 06.30.20 YPH 04.09.21</t>
        </r>
      </text>
    </comment>
    <comment ref="D232" authorId="1" shapeId="0">
      <text>
        <r>
          <rPr>
            <b/>
            <sz val="9"/>
            <color indexed="81"/>
            <rFont val="Tahoma"/>
            <charset val="1"/>
          </rPr>
          <t>Hart, Yolanda:</t>
        </r>
        <r>
          <rPr>
            <sz val="9"/>
            <color indexed="81"/>
            <rFont val="Tahoma"/>
            <charset val="1"/>
          </rPr>
          <t xml:space="preserve">
The amount agrees with Audited Financial Statement 06.30.20 YPH 04.09.21</t>
        </r>
      </text>
    </comment>
    <comment ref="F232" authorId="1" shapeId="0">
      <text>
        <r>
          <rPr>
            <b/>
            <sz val="9"/>
            <color indexed="81"/>
            <rFont val="Tahoma"/>
            <charset val="1"/>
          </rPr>
          <t>Hart, Yolanda:</t>
        </r>
        <r>
          <rPr>
            <sz val="9"/>
            <color indexed="81"/>
            <rFont val="Tahoma"/>
            <charset val="1"/>
          </rPr>
          <t xml:space="preserve">
The amount agrees with Audited Financial Statement 06.30.20 YPH 04.09.21</t>
        </r>
      </text>
    </comment>
    <comment ref="G232" authorId="1" shapeId="0">
      <text>
        <r>
          <rPr>
            <b/>
            <sz val="9"/>
            <color indexed="81"/>
            <rFont val="Tahoma"/>
            <charset val="1"/>
          </rPr>
          <t>Hart, Yolanda:</t>
        </r>
        <r>
          <rPr>
            <sz val="9"/>
            <color indexed="81"/>
            <rFont val="Tahoma"/>
            <charset val="1"/>
          </rPr>
          <t xml:space="preserve">
The amount agrees with Audited Financial Statement 06.30.20 YPH 04.09.21</t>
        </r>
      </text>
    </comment>
    <comment ref="D233" authorId="1" shapeId="0">
      <text>
        <r>
          <rPr>
            <b/>
            <sz val="9"/>
            <color indexed="81"/>
            <rFont val="Tahoma"/>
            <charset val="1"/>
          </rPr>
          <t>Hart, Yolanda:</t>
        </r>
        <r>
          <rPr>
            <sz val="9"/>
            <color indexed="81"/>
            <rFont val="Tahoma"/>
            <charset val="1"/>
          </rPr>
          <t xml:space="preserve">
The amount agrees with Audited Financial Statement 06.30.20 YPH 04.09.21
</t>
        </r>
      </text>
    </comment>
    <comment ref="B234" authorId="1" shapeId="0">
      <text>
        <r>
          <rPr>
            <b/>
            <sz val="9"/>
            <color indexed="81"/>
            <rFont val="Tahoma"/>
            <family val="2"/>
          </rPr>
          <t>Hart, Yolanda:</t>
        </r>
        <r>
          <rPr>
            <sz val="9"/>
            <color indexed="81"/>
            <rFont val="Tahoma"/>
            <family val="2"/>
          </rPr>
          <t xml:space="preserve">
The amount agrees with Audited Financial Statement 06.30.20 YPH 04.09.21
</t>
        </r>
      </text>
    </comment>
    <comment ref="C234" authorId="1" shapeId="0">
      <text>
        <r>
          <rPr>
            <b/>
            <sz val="9"/>
            <color indexed="81"/>
            <rFont val="Tahoma"/>
            <family val="2"/>
          </rPr>
          <t>Hart, Yolanda:</t>
        </r>
        <r>
          <rPr>
            <sz val="9"/>
            <color indexed="81"/>
            <rFont val="Tahoma"/>
            <family val="2"/>
          </rPr>
          <t xml:space="preserve">
The amount agrees with Audited Financial Statement 06.30.20 YPH 04.09.21
</t>
        </r>
      </text>
    </comment>
    <comment ref="D234" authorId="1" shapeId="0">
      <text>
        <r>
          <rPr>
            <b/>
            <sz val="9"/>
            <color indexed="81"/>
            <rFont val="Tahoma"/>
            <family val="2"/>
          </rPr>
          <t>Hart, Yolanda:</t>
        </r>
        <r>
          <rPr>
            <sz val="9"/>
            <color indexed="81"/>
            <rFont val="Tahoma"/>
            <family val="2"/>
          </rPr>
          <t xml:space="preserve">
The amount agrees with Audited Financial Statement 06.30.20 YPH 04.09.21
</t>
        </r>
      </text>
    </comment>
    <comment ref="B235" authorId="1" shapeId="0">
      <text>
        <r>
          <rPr>
            <b/>
            <sz val="9"/>
            <color indexed="81"/>
            <rFont val="Tahoma"/>
            <charset val="1"/>
          </rPr>
          <t>Hart, Yolanda:</t>
        </r>
        <r>
          <rPr>
            <sz val="9"/>
            <color indexed="81"/>
            <rFont val="Tahoma"/>
            <charset val="1"/>
          </rPr>
          <t xml:space="preserve">
The amount agrees with Audited Financial Statement 06.30.20 YPH 04.09.21</t>
        </r>
      </text>
    </comment>
    <comment ref="B243" authorId="1" shapeId="0">
      <text>
        <r>
          <rPr>
            <b/>
            <sz val="9"/>
            <color indexed="81"/>
            <rFont val="Tahoma"/>
            <family val="2"/>
          </rPr>
          <t>Hart, Yolanda:</t>
        </r>
        <r>
          <rPr>
            <sz val="9"/>
            <color indexed="81"/>
            <rFont val="Tahoma"/>
            <family val="2"/>
          </rPr>
          <t xml:space="preserve">
The amount agrees with Audited Financial Statement 06.30.20 YPH 04.09.21
</t>
        </r>
      </text>
    </comment>
    <comment ref="C243" authorId="1" shapeId="0">
      <text>
        <r>
          <rPr>
            <b/>
            <sz val="9"/>
            <color indexed="81"/>
            <rFont val="Tahoma"/>
            <family val="2"/>
          </rPr>
          <t>Hart, Yolanda:</t>
        </r>
        <r>
          <rPr>
            <sz val="9"/>
            <color indexed="81"/>
            <rFont val="Tahoma"/>
            <family val="2"/>
          </rPr>
          <t xml:space="preserve">
The amount agrees with Audited Finanical Statement 06.30.20 YPH 04.09.21
</t>
        </r>
      </text>
    </comment>
    <comment ref="B244" authorId="1" shapeId="0">
      <text>
        <r>
          <rPr>
            <b/>
            <sz val="9"/>
            <color indexed="81"/>
            <rFont val="Tahoma"/>
            <family val="2"/>
          </rPr>
          <t>Hart, Yolanda:</t>
        </r>
        <r>
          <rPr>
            <sz val="9"/>
            <color indexed="81"/>
            <rFont val="Tahoma"/>
            <family val="2"/>
          </rPr>
          <t xml:space="preserve">
The amount agrees with Audited Financial Statement 06.30.20 YPH 04.09.21
</t>
        </r>
      </text>
    </comment>
    <comment ref="C244" authorId="1" shapeId="0">
      <text>
        <r>
          <rPr>
            <b/>
            <sz val="9"/>
            <color indexed="81"/>
            <rFont val="Tahoma"/>
            <family val="2"/>
          </rPr>
          <t>Hart, Yolanda:</t>
        </r>
        <r>
          <rPr>
            <sz val="9"/>
            <color indexed="81"/>
            <rFont val="Tahoma"/>
            <family val="2"/>
          </rPr>
          <t xml:space="preserve">
The amount agrees with Audited Financial Statement 06.30.20 YPH 04.09.21
</t>
        </r>
      </text>
    </comment>
    <comment ref="D246" authorId="1" shapeId="0">
      <text>
        <r>
          <rPr>
            <b/>
            <sz val="9"/>
            <color indexed="81"/>
            <rFont val="Tahoma"/>
            <family val="2"/>
          </rPr>
          <t>Hart, Yolanda:</t>
        </r>
        <r>
          <rPr>
            <sz val="9"/>
            <color indexed="81"/>
            <rFont val="Tahoma"/>
            <family val="2"/>
          </rPr>
          <t xml:space="preserve">
The amount agrees with Audited Financial Statement 06.30.20 YPH 04.09.21</t>
        </r>
      </text>
    </comment>
    <comment ref="B253" authorId="1" shapeId="0">
      <text>
        <r>
          <rPr>
            <b/>
            <sz val="9"/>
            <color indexed="81"/>
            <rFont val="Tahoma"/>
            <charset val="1"/>
          </rPr>
          <t>Hart, Yolanda:</t>
        </r>
        <r>
          <rPr>
            <sz val="9"/>
            <color indexed="81"/>
            <rFont val="Tahoma"/>
            <charset val="1"/>
          </rPr>
          <t xml:space="preserve">
The amount agrees with Audited Financial Statement 06.30.20 YPH 04.09.21
</t>
        </r>
      </text>
    </comment>
    <comment ref="D254" authorId="1" shapeId="0">
      <text>
        <r>
          <rPr>
            <b/>
            <sz val="9"/>
            <color indexed="81"/>
            <rFont val="Tahoma"/>
            <family val="2"/>
          </rPr>
          <t>Hart, Yolanda:</t>
        </r>
        <r>
          <rPr>
            <sz val="9"/>
            <color indexed="81"/>
            <rFont val="Tahoma"/>
            <family val="2"/>
          </rPr>
          <t xml:space="preserve">
Revised due to DFS Trial Balance rolling up Cap Asset &amp; CU Notes together. YPH 04.09.21
</t>
        </r>
      </text>
    </comment>
    <comment ref="B266" authorId="1" shapeId="0">
      <text>
        <r>
          <rPr>
            <b/>
            <sz val="9"/>
            <color indexed="81"/>
            <rFont val="Tahoma"/>
            <charset val="1"/>
          </rPr>
          <t>Hart, Yolanda:</t>
        </r>
        <r>
          <rPr>
            <sz val="9"/>
            <color indexed="81"/>
            <rFont val="Tahoma"/>
            <charset val="1"/>
          </rPr>
          <t xml:space="preserve">
The amount agrees with Audited Financial Statement 06.30.20 YPH 04.09.21</t>
        </r>
      </text>
    </comment>
    <comment ref="C266" authorId="1" shapeId="0">
      <text>
        <r>
          <rPr>
            <b/>
            <sz val="9"/>
            <color indexed="81"/>
            <rFont val="Tahoma"/>
            <charset val="1"/>
          </rPr>
          <t>Hart, Yolanda:</t>
        </r>
        <r>
          <rPr>
            <sz val="9"/>
            <color indexed="81"/>
            <rFont val="Tahoma"/>
            <charset val="1"/>
          </rPr>
          <t xml:space="preserve">
</t>
        </r>
      </text>
    </comment>
    <comment ref="D266" authorId="1" shapeId="0">
      <text>
        <r>
          <rPr>
            <b/>
            <sz val="9"/>
            <color indexed="81"/>
            <rFont val="Tahoma"/>
            <charset val="1"/>
          </rPr>
          <t>Hart, Yolanda:</t>
        </r>
        <r>
          <rPr>
            <sz val="9"/>
            <color indexed="81"/>
            <rFont val="Tahoma"/>
            <charset val="1"/>
          </rPr>
          <t xml:space="preserve">
The amount agrees with Audited Financial Statement 06.30.20 YPH 04.09.21
</t>
        </r>
      </text>
    </comment>
    <comment ref="F266" authorId="1" shapeId="0">
      <text>
        <r>
          <rPr>
            <b/>
            <sz val="9"/>
            <color indexed="81"/>
            <rFont val="Tahoma"/>
            <charset val="1"/>
          </rPr>
          <t>Hart, Yolanda:</t>
        </r>
        <r>
          <rPr>
            <sz val="9"/>
            <color indexed="81"/>
            <rFont val="Tahoma"/>
            <charset val="1"/>
          </rPr>
          <t xml:space="preserve">
The amount agrees with Audited Financial Statement 06.30.20 YPH 04.09.21
</t>
        </r>
      </text>
    </comment>
    <comment ref="G266" authorId="1" shapeId="0">
      <text>
        <r>
          <rPr>
            <b/>
            <sz val="9"/>
            <color indexed="81"/>
            <rFont val="Tahoma"/>
            <charset val="1"/>
          </rPr>
          <t>Hart, Yolanda:</t>
        </r>
        <r>
          <rPr>
            <sz val="9"/>
            <color indexed="81"/>
            <rFont val="Tahoma"/>
            <charset val="1"/>
          </rPr>
          <t xml:space="preserve">
The amount agrees with Audited Financial Statement 06.30.20 YPH 04.09.21</t>
        </r>
      </text>
    </comment>
    <comment ref="B267" authorId="1" shapeId="0">
      <text>
        <r>
          <rPr>
            <b/>
            <sz val="9"/>
            <color indexed="81"/>
            <rFont val="Tahoma"/>
            <family val="2"/>
          </rPr>
          <t>Hart, Yolanda:</t>
        </r>
        <r>
          <rPr>
            <sz val="9"/>
            <color indexed="81"/>
            <rFont val="Tahoma"/>
            <family val="2"/>
          </rPr>
          <t xml:space="preserve">
The amount agree with Audited Financial Statement 06.30.20 YPH 04.09.21
</t>
        </r>
      </text>
    </comment>
    <comment ref="B269" authorId="1" shapeId="0">
      <text>
        <r>
          <rPr>
            <b/>
            <sz val="9"/>
            <color indexed="81"/>
            <rFont val="Tahoma"/>
            <charset val="1"/>
          </rPr>
          <t>Hart, Yolanda:</t>
        </r>
        <r>
          <rPr>
            <sz val="9"/>
            <color indexed="81"/>
            <rFont val="Tahoma"/>
            <charset val="1"/>
          </rPr>
          <t xml:space="preserve">
The amount agrees with Audited Financial Statement 06.30.20 YPH 04.09.21</t>
        </r>
      </text>
    </comment>
    <comment ref="C274" authorId="1" shapeId="0">
      <text>
        <r>
          <rPr>
            <b/>
            <sz val="9"/>
            <color indexed="81"/>
            <rFont val="Tahoma"/>
            <family val="2"/>
          </rPr>
          <t>Hart, Yolanda:</t>
        </r>
        <r>
          <rPr>
            <sz val="9"/>
            <color indexed="81"/>
            <rFont val="Tahoma"/>
            <family val="2"/>
          </rPr>
          <t xml:space="preserve">
The amount agrees with Audited Financial Statement 06.30.20 YPH 04.09.21</t>
        </r>
      </text>
    </comment>
    <comment ref="G274" authorId="1" shapeId="0">
      <text>
        <r>
          <rPr>
            <b/>
            <sz val="9"/>
            <color indexed="81"/>
            <rFont val="Tahoma"/>
            <family val="2"/>
          </rPr>
          <t>Hart, Yolanda:</t>
        </r>
        <r>
          <rPr>
            <sz val="9"/>
            <color indexed="81"/>
            <rFont val="Tahoma"/>
            <family val="2"/>
          </rPr>
          <t xml:space="preserve">
The amount agrees with Audited Financial Statement 06.30.20 YPH 04.09.21
</t>
        </r>
      </text>
    </comment>
    <comment ref="C277" authorId="1" shapeId="0">
      <text>
        <r>
          <rPr>
            <b/>
            <sz val="9"/>
            <color indexed="81"/>
            <rFont val="Tahoma"/>
            <family val="2"/>
          </rPr>
          <t>Hart, Yolanda:</t>
        </r>
        <r>
          <rPr>
            <sz val="9"/>
            <color indexed="81"/>
            <rFont val="Tahoma"/>
            <family val="2"/>
          </rPr>
          <t xml:space="preserve">
The amount agrees with Audited Financial Statement 06.30.20 YPH 04.09.21
</t>
        </r>
      </text>
    </comment>
    <comment ref="B279" authorId="1" shapeId="0">
      <text>
        <r>
          <rPr>
            <b/>
            <sz val="9"/>
            <color indexed="81"/>
            <rFont val="Tahoma"/>
            <family val="2"/>
          </rPr>
          <t>Hart, Yolanda:</t>
        </r>
        <r>
          <rPr>
            <sz val="9"/>
            <color indexed="81"/>
            <rFont val="Tahoma"/>
            <family val="2"/>
          </rPr>
          <t xml:space="preserve">
The amount agree with Audited Financial Statement 06.30.20 YPH 04.09.21</t>
        </r>
      </text>
    </comment>
    <comment ref="D280" authorId="1" shapeId="0">
      <text>
        <r>
          <rPr>
            <b/>
            <sz val="9"/>
            <color indexed="81"/>
            <rFont val="Tahoma"/>
            <family val="2"/>
          </rPr>
          <t>Hart, Yolanda:</t>
        </r>
        <r>
          <rPr>
            <sz val="9"/>
            <color indexed="81"/>
            <rFont val="Tahoma"/>
            <family val="2"/>
          </rPr>
          <t xml:space="preserve">
The amount agrees with Audited Financial Statement 06.30.20 YPH 04.09.21</t>
        </r>
      </text>
    </comment>
    <comment ref="F280" authorId="1" shapeId="0">
      <text>
        <r>
          <rPr>
            <b/>
            <sz val="9"/>
            <color indexed="81"/>
            <rFont val="Tahoma"/>
            <family val="2"/>
          </rPr>
          <t>Hart, Yolanda:</t>
        </r>
        <r>
          <rPr>
            <sz val="9"/>
            <color indexed="81"/>
            <rFont val="Tahoma"/>
            <family val="2"/>
          </rPr>
          <t xml:space="preserve">
The amount agrees with Audited Financial Statement 06.30.20 YPH 04.09.21
</t>
        </r>
      </text>
    </comment>
    <comment ref="B287" authorId="1" shapeId="0">
      <text>
        <r>
          <rPr>
            <b/>
            <sz val="9"/>
            <color indexed="81"/>
            <rFont val="Tahoma"/>
            <charset val="1"/>
          </rPr>
          <t>Hart, Yolanda:</t>
        </r>
        <r>
          <rPr>
            <sz val="9"/>
            <color indexed="81"/>
            <rFont val="Tahoma"/>
            <charset val="1"/>
          </rPr>
          <t xml:space="preserve">
The amount agrees with Audited Financial Statement 06.30.20 YPH 04.09.21</t>
        </r>
      </text>
    </comment>
    <comment ref="A365" authorId="2" shapeId="0">
      <text>
        <r>
          <rPr>
            <b/>
            <sz val="9"/>
            <color indexed="81"/>
            <rFont val="Tahoma"/>
            <family val="2"/>
          </rPr>
          <t>FCSBO:</t>
        </r>
        <r>
          <rPr>
            <sz val="9"/>
            <color indexed="81"/>
            <rFont val="Tahoma"/>
            <family val="2"/>
          </rPr>
          <t xml:space="preserve">
Request from DFS if have not received by February</t>
        </r>
      </text>
    </comment>
    <comment ref="BG402" authorId="3" shapeId="0">
      <text>
        <r>
          <rPr>
            <b/>
            <sz val="9"/>
            <color indexed="81"/>
            <rFont val="Tahoma"/>
            <family val="2"/>
          </rPr>
          <t>Tracy Rose:</t>
        </r>
        <r>
          <rPr>
            <sz val="9"/>
            <color indexed="81"/>
            <rFont val="Tahoma"/>
            <family val="2"/>
          </rPr>
          <t xml:space="preserve">
Retrieved from DFS Trial Balance for each college GLC 49400</t>
        </r>
      </text>
    </comment>
    <comment ref="BH402" authorId="3" shapeId="0">
      <text>
        <r>
          <rPr>
            <b/>
            <sz val="9"/>
            <color indexed="81"/>
            <rFont val="Tahoma"/>
            <family val="2"/>
          </rPr>
          <t>Tracy Rose:</t>
        </r>
        <r>
          <rPr>
            <sz val="9"/>
            <color indexed="81"/>
            <rFont val="Tahoma"/>
            <family val="2"/>
          </rPr>
          <t xml:space="preserve">
Retrieved from DFS Trial Balance for each college GLC 49500</t>
        </r>
      </text>
    </comment>
    <comment ref="AX403" authorId="4" shapeId="0">
      <text>
        <r>
          <rPr>
            <b/>
            <sz val="9"/>
            <color indexed="81"/>
            <rFont val="Tahoma"/>
            <family val="2"/>
          </rPr>
          <t>Rose, Tracy:</t>
        </r>
        <r>
          <rPr>
            <sz val="9"/>
            <color indexed="81"/>
            <rFont val="Tahoma"/>
            <family val="2"/>
          </rPr>
          <t xml:space="preserve">
Added LTL-Curr Port of unearned revenue &amp; unearned lease revenue together from Fin Audit</t>
        </r>
      </text>
    </comment>
    <comment ref="CW415" authorId="0" shapeId="0">
      <text>
        <r>
          <rPr>
            <b/>
            <sz val="9"/>
            <color indexed="81"/>
            <rFont val="Tahoma"/>
            <family val="2"/>
          </rPr>
          <t>Sisley, Dottie:</t>
        </r>
        <r>
          <rPr>
            <sz val="9"/>
            <color indexed="81"/>
            <rFont val="Tahoma"/>
            <family val="2"/>
          </rPr>
          <t xml:space="preserve">
Irrevocable Split Interest Agreement</t>
        </r>
      </text>
    </comment>
    <comment ref="M416" authorId="0" shapeId="0">
      <text>
        <r>
          <rPr>
            <b/>
            <sz val="9"/>
            <color indexed="81"/>
            <rFont val="Tahoma"/>
            <family val="2"/>
          </rPr>
          <t>Hart, Yolanda:</t>
        </r>
        <r>
          <rPr>
            <sz val="9"/>
            <color indexed="81"/>
            <rFont val="Tahoma"/>
            <family val="2"/>
          </rPr>
          <t xml:space="preserve">
Cash Collateral Securities Lending
</t>
        </r>
      </text>
    </comment>
    <comment ref="CO416" authorId="1" shapeId="0">
      <text>
        <r>
          <rPr>
            <b/>
            <sz val="9"/>
            <color indexed="81"/>
            <rFont val="Tahoma"/>
            <family val="2"/>
          </rPr>
          <t>Hart, Yolanda:</t>
        </r>
        <r>
          <rPr>
            <sz val="9"/>
            <color indexed="81"/>
            <rFont val="Tahoma"/>
            <family val="2"/>
          </rPr>
          <t xml:space="preserve">
Cash Collateral Securities Lending
</t>
        </r>
      </text>
    </comment>
    <comment ref="U421" authorId="4" shapeId="0">
      <text>
        <r>
          <rPr>
            <b/>
            <sz val="9"/>
            <color indexed="81"/>
            <rFont val="Tahoma"/>
            <family val="2"/>
          </rPr>
          <t>Hart, Yolanda:</t>
        </r>
        <r>
          <rPr>
            <sz val="9"/>
            <color indexed="81"/>
            <rFont val="Tahoma"/>
            <family val="2"/>
          </rPr>
          <t xml:space="preserve">
Includes other non-current assets and prepaid expenses</t>
        </r>
      </text>
    </comment>
    <comment ref="CW421" authorId="5" shapeId="0">
      <text>
        <r>
          <rPr>
            <b/>
            <sz val="9"/>
            <color indexed="81"/>
            <rFont val="Tahoma"/>
            <family val="2"/>
          </rPr>
          <t>Yolanda Hart:</t>
        </r>
        <r>
          <rPr>
            <sz val="9"/>
            <color indexed="81"/>
            <rFont val="Tahoma"/>
            <family val="2"/>
          </rPr>
          <t xml:space="preserve">
Other Noncurrent Asset
</t>
        </r>
      </text>
    </comment>
    <comment ref="M422" authorId="1" shapeId="0">
      <text>
        <r>
          <rPr>
            <b/>
            <sz val="9"/>
            <color indexed="81"/>
            <rFont val="Tahoma"/>
            <family val="2"/>
          </rPr>
          <t>Hart, Yolanda:</t>
        </r>
        <r>
          <rPr>
            <sz val="9"/>
            <color indexed="81"/>
            <rFont val="Tahoma"/>
            <family val="2"/>
          </rPr>
          <t xml:space="preserve">
Other Current Assets
</t>
        </r>
      </text>
    </comment>
    <comment ref="CH422" authorId="5" shapeId="0">
      <text>
        <r>
          <rPr>
            <b/>
            <sz val="9"/>
            <color indexed="81"/>
            <rFont val="Tahoma"/>
            <family val="2"/>
          </rPr>
          <t>Yolanda Hart:</t>
        </r>
        <r>
          <rPr>
            <sz val="9"/>
            <color indexed="81"/>
            <rFont val="Tahoma"/>
            <family val="2"/>
          </rPr>
          <t xml:space="preserve">
CU -Contributions Receivable &amp; Accounts Receivable per audit. 04.014.21
  YPH</t>
        </r>
      </text>
    </comment>
    <comment ref="CT422" authorId="5" shapeId="0">
      <text>
        <r>
          <rPr>
            <b/>
            <sz val="9"/>
            <color indexed="81"/>
            <rFont val="Tahoma"/>
            <family val="2"/>
          </rPr>
          <t>Yolanda Hart:</t>
        </r>
        <r>
          <rPr>
            <sz val="9"/>
            <color indexed="81"/>
            <rFont val="Tahoma"/>
            <family val="2"/>
          </rPr>
          <t xml:space="preserve">
CU: Contributions Receivable &amp; Notes Receivable  per audit. 04.14.21 -YPH</t>
        </r>
      </text>
    </comment>
    <comment ref="CW422" authorId="1" shapeId="0">
      <text>
        <r>
          <rPr>
            <b/>
            <sz val="9"/>
            <color indexed="81"/>
            <rFont val="Tahoma"/>
            <family val="2"/>
          </rPr>
          <t>Hart, Yolanda:</t>
        </r>
        <r>
          <rPr>
            <sz val="9"/>
            <color indexed="81"/>
            <rFont val="Tahoma"/>
            <family val="2"/>
          </rPr>
          <t xml:space="preserve">
Ohte Noncurrent Assets
04.14.21 
</t>
        </r>
      </text>
    </comment>
    <comment ref="Q423" authorId="4" shapeId="0">
      <text>
        <r>
          <rPr>
            <b/>
            <sz val="9"/>
            <color indexed="81"/>
            <rFont val="Tahoma"/>
            <family val="2"/>
          </rPr>
          <t>Hart, Yolanda:</t>
        </r>
        <r>
          <rPr>
            <sz val="9"/>
            <color indexed="81"/>
            <rFont val="Tahoma"/>
            <family val="2"/>
          </rPr>
          <t xml:space="preserve">
This cell includes Risk Management Consortium investments </t>
        </r>
      </text>
    </comment>
    <comment ref="U423" authorId="1" shapeId="0">
      <text>
        <r>
          <rPr>
            <b/>
            <sz val="9"/>
            <color indexed="81"/>
            <rFont val="Tahoma"/>
            <family val="2"/>
          </rPr>
          <t>Hart, Yolanda:</t>
        </r>
        <r>
          <rPr>
            <sz val="9"/>
            <color indexed="81"/>
            <rFont val="Tahoma"/>
            <family val="2"/>
          </rPr>
          <t xml:space="preserve">
This cell includes Risk Management Consortium investments </t>
        </r>
      </text>
    </comment>
    <comment ref="AM423" authorId="1" shapeId="0">
      <text>
        <r>
          <rPr>
            <b/>
            <sz val="9"/>
            <color indexed="81"/>
            <rFont val="Tahoma"/>
            <family val="2"/>
          </rPr>
          <t>Hart, Yolanda:</t>
        </r>
        <r>
          <rPr>
            <sz val="9"/>
            <color indexed="81"/>
            <rFont val="Tahoma"/>
            <family val="2"/>
          </rPr>
          <t xml:space="preserve">
Include Risk Management Consortium
</t>
        </r>
      </text>
    </comment>
    <comment ref="BJ423" authorId="1" shapeId="0">
      <text>
        <r>
          <rPr>
            <b/>
            <sz val="9"/>
            <color indexed="81"/>
            <rFont val="Tahoma"/>
            <family val="2"/>
          </rPr>
          <t>Hart, Yolanda:</t>
        </r>
        <r>
          <rPr>
            <sz val="9"/>
            <color indexed="81"/>
            <rFont val="Tahoma"/>
            <family val="2"/>
          </rPr>
          <t xml:space="preserve">
Included Risk Management Consortium
</t>
        </r>
      </text>
    </comment>
    <comment ref="CT425" authorId="5" shapeId="0">
      <text>
        <r>
          <rPr>
            <b/>
            <sz val="9"/>
            <color indexed="81"/>
            <rFont val="Tahoma"/>
            <family val="2"/>
          </rPr>
          <t>Yolanda Hart:</t>
        </r>
        <r>
          <rPr>
            <sz val="9"/>
            <color indexed="81"/>
            <rFont val="Tahoma"/>
            <family val="2"/>
          </rPr>
          <t xml:space="preserve">
CU: Restricted Accounts Receivable per audited.  04.14.21 - YPH</t>
        </r>
      </text>
    </comment>
    <comment ref="CW426" authorId="0" shapeId="0">
      <text>
        <r>
          <rPr>
            <b/>
            <sz val="9"/>
            <color indexed="81"/>
            <rFont val="Tahoma"/>
            <family val="2"/>
          </rPr>
          <t>Sisley, Dottie:</t>
        </r>
        <r>
          <rPr>
            <sz val="9"/>
            <color indexed="81"/>
            <rFont val="Tahoma"/>
            <family val="2"/>
          </rPr>
          <t xml:space="preserve">
Irrevocable Split interest Agreement Receivable </t>
        </r>
      </text>
    </comment>
    <comment ref="DZ426" authorId="0" shapeId="0">
      <text>
        <r>
          <rPr>
            <b/>
            <sz val="9"/>
            <color indexed="81"/>
            <rFont val="Tahoma"/>
            <family val="2"/>
          </rPr>
          <t>Hart, Yolanda:</t>
        </r>
        <r>
          <rPr>
            <sz val="9"/>
            <color indexed="81"/>
            <rFont val="Tahoma"/>
            <family val="2"/>
          </rPr>
          <t xml:space="preserve">
Irrevocable Spilt Interest Agreement Payable 
04.14.21
</t>
        </r>
      </text>
    </comment>
    <comment ref="EL426" authorId="1" shapeId="0">
      <text>
        <r>
          <rPr>
            <b/>
            <sz val="9"/>
            <color indexed="81"/>
            <rFont val="Tahoma"/>
            <family val="2"/>
          </rPr>
          <t>Hart, Yolanda:</t>
        </r>
        <r>
          <rPr>
            <sz val="9"/>
            <color indexed="81"/>
            <rFont val="Tahoma"/>
            <family val="2"/>
          </rPr>
          <t xml:space="preserve">
Irrevocable Spilit - Interest Agreement Payable 04.14.21
</t>
        </r>
      </text>
    </comment>
    <comment ref="CT427" authorId="5" shapeId="0">
      <text>
        <r>
          <rPr>
            <b/>
            <sz val="9"/>
            <color indexed="81"/>
            <rFont val="Tahoma"/>
            <family val="2"/>
          </rPr>
          <t>Yolanda Hart:</t>
        </r>
        <r>
          <rPr>
            <sz val="9"/>
            <color indexed="81"/>
            <rFont val="Tahoma"/>
            <family val="2"/>
          </rPr>
          <t xml:space="preserve">
CU: Due from College &amp; Loans and Notes Receivable per audit. 04.14.21
</t>
        </r>
      </text>
    </comment>
  </commentList>
</comments>
</file>

<file path=xl/comments3.xml><?xml version="1.0" encoding="utf-8"?>
<comments xmlns="http://schemas.openxmlformats.org/spreadsheetml/2006/main">
  <authors>
    <author>roger.strickland</author>
  </authors>
  <commentList>
    <comment ref="C5" authorId="0" shapeId="0">
      <text>
        <r>
          <rPr>
            <sz val="10"/>
            <color indexed="81"/>
            <rFont val="Tahoma"/>
            <family val="2"/>
          </rPr>
          <t>Please select your institution to enable formulas throughout workbook to function properly.</t>
        </r>
      </text>
    </comment>
  </commentList>
</comments>
</file>

<file path=xl/comments4.xml><?xml version="1.0" encoding="utf-8"?>
<comments xmlns="http://schemas.openxmlformats.org/spreadsheetml/2006/main">
  <authors>
    <author>Dickens, Jamaal</author>
    <author>Jackie Lasch</author>
    <author>Rose, Tracy</author>
    <author>roger.strickland</author>
    <author>claire.cotton-watkins</author>
    <author>Anita</author>
  </authors>
  <commentList>
    <comment ref="N4" authorId="0" shapeId="0">
      <text>
        <r>
          <rPr>
            <b/>
            <sz val="9"/>
            <color indexed="81"/>
            <rFont val="Tahoma"/>
            <family val="2"/>
          </rPr>
          <t>College Reporting:</t>
        </r>
        <r>
          <rPr>
            <sz val="9"/>
            <color indexed="81"/>
            <rFont val="Tahoma"/>
            <family val="2"/>
          </rPr>
          <t xml:space="preserve">
Appropriate Adjustments (if needed) can be found in Section 14 of the Accounting Manual.</t>
        </r>
      </text>
    </comment>
    <comment ref="P5" authorId="1" shapeId="0">
      <text>
        <r>
          <rPr>
            <b/>
            <sz val="9"/>
            <color indexed="81"/>
            <rFont val="Tahoma"/>
            <family val="2"/>
          </rPr>
          <t>College Reporting:</t>
        </r>
        <r>
          <rPr>
            <sz val="9"/>
            <color indexed="81"/>
            <rFont val="Tahoma"/>
            <family val="2"/>
          </rPr>
          <t xml:space="preserve">
This cell checks the adjusted fund totals that are supposed to net to zero to help identify errors.</t>
        </r>
      </text>
    </comment>
    <comment ref="N6" authorId="1" shapeId="0">
      <text>
        <r>
          <rPr>
            <b/>
            <sz val="9"/>
            <color indexed="81"/>
            <rFont val="Tahoma"/>
            <family val="2"/>
          </rPr>
          <t>College Reporting:</t>
        </r>
        <r>
          <rPr>
            <sz val="9"/>
            <color indexed="81"/>
            <rFont val="Tahoma"/>
            <family val="2"/>
          </rPr>
          <t xml:space="preserve">
Use this column to increase (decrease) Current CCE, SNP.  Cells N8 + N9 + N10 must = $0</t>
        </r>
      </text>
    </comment>
    <comment ref="Q6" authorId="2" shapeId="0">
      <text>
        <r>
          <rPr>
            <b/>
            <sz val="9"/>
            <color indexed="81"/>
            <rFont val="Tahoma"/>
            <family val="2"/>
          </rPr>
          <t>Rose, Tracy:</t>
        </r>
        <r>
          <rPr>
            <sz val="9"/>
            <color indexed="81"/>
            <rFont val="Tahoma"/>
            <family val="2"/>
          </rPr>
          <t xml:space="preserve">
This area is unlocked to use as a quick-check work area.</t>
        </r>
      </text>
    </comment>
    <comment ref="N7" authorId="2" shapeId="0">
      <text>
        <r>
          <rPr>
            <b/>
            <sz val="9"/>
            <color indexed="81"/>
            <rFont val="Tahoma"/>
            <family val="2"/>
          </rPr>
          <t>College Reporting:</t>
        </r>
        <r>
          <rPr>
            <sz val="9"/>
            <color indexed="81"/>
            <rFont val="Tahoma"/>
            <family val="2"/>
          </rPr>
          <t xml:space="preserve">
Use this column to increase (decrease) Current Restricted CCE, SNP.  Cells N8 + N9 + N10 must = $0</t>
        </r>
      </text>
    </comment>
    <comment ref="Q7" authorId="2" shapeId="0">
      <text>
        <r>
          <rPr>
            <b/>
            <sz val="9"/>
            <color indexed="81"/>
            <rFont val="Tahoma"/>
            <family val="2"/>
          </rPr>
          <t>College Reporting:</t>
        </r>
        <r>
          <rPr>
            <sz val="9"/>
            <color indexed="81"/>
            <rFont val="Tahoma"/>
            <family val="2"/>
          </rPr>
          <t xml:space="preserve">
This cell checks adjustments to cash which should net to $0 to help identify errors.</t>
        </r>
      </text>
    </comment>
    <comment ref="N8" authorId="2" shapeId="0">
      <text>
        <r>
          <rPr>
            <b/>
            <sz val="9"/>
            <color indexed="81"/>
            <rFont val="Tahoma"/>
            <family val="2"/>
          </rPr>
          <t>College Reporting:</t>
        </r>
        <r>
          <rPr>
            <sz val="9"/>
            <color indexed="81"/>
            <rFont val="Tahoma"/>
            <family val="2"/>
          </rPr>
          <t xml:space="preserve">
Use this column to increase (decrease) NonCurrent Restricted CCE, SNP.  Cells N8 + N9 + N10 must = $0</t>
        </r>
      </text>
    </comment>
    <comment ref="Q8" authorId="2" shapeId="0">
      <text>
        <r>
          <rPr>
            <b/>
            <sz val="9"/>
            <color indexed="81"/>
            <rFont val="Tahoma"/>
            <family val="2"/>
          </rPr>
          <t>Rose, Tracy:</t>
        </r>
        <r>
          <rPr>
            <sz val="9"/>
            <color indexed="81"/>
            <rFont val="Tahoma"/>
            <family val="2"/>
          </rPr>
          <t xml:space="preserve">
This area is unlocked to use as a quick-check work area.</t>
        </r>
      </text>
    </comment>
    <comment ref="Q9" authorId="2" shapeId="0">
      <text>
        <r>
          <rPr>
            <b/>
            <sz val="9"/>
            <color indexed="81"/>
            <rFont val="Tahoma"/>
            <family val="2"/>
          </rPr>
          <t>Rose, Tracy:</t>
        </r>
        <r>
          <rPr>
            <sz val="9"/>
            <color indexed="81"/>
            <rFont val="Tahoma"/>
            <family val="2"/>
          </rPr>
          <t xml:space="preserve">
This area is unlocked to use as a quick-check work area.</t>
        </r>
      </text>
    </comment>
    <comment ref="Q10" authorId="2" shapeId="0">
      <text>
        <r>
          <rPr>
            <b/>
            <sz val="9"/>
            <color indexed="81"/>
            <rFont val="Tahoma"/>
            <family val="2"/>
          </rPr>
          <t>Rose, Tracy:</t>
        </r>
        <r>
          <rPr>
            <sz val="9"/>
            <color indexed="81"/>
            <rFont val="Tahoma"/>
            <family val="2"/>
          </rPr>
          <t xml:space="preserve">
This area is unlocked to use as a quick-check work area.</t>
        </r>
      </text>
    </comment>
    <comment ref="Q11" authorId="2" shapeId="0">
      <text>
        <r>
          <rPr>
            <b/>
            <sz val="9"/>
            <color indexed="81"/>
            <rFont val="Tahoma"/>
            <family val="2"/>
          </rPr>
          <t>Rose, Tracy:</t>
        </r>
        <r>
          <rPr>
            <sz val="9"/>
            <color indexed="81"/>
            <rFont val="Tahoma"/>
            <family val="2"/>
          </rPr>
          <t xml:space="preserve">
This area is unlocked to use as a quick-check work area.</t>
        </r>
      </text>
    </comment>
    <comment ref="Q12" authorId="2" shapeId="0">
      <text>
        <r>
          <rPr>
            <b/>
            <sz val="9"/>
            <color indexed="81"/>
            <rFont val="Tahoma"/>
            <family val="2"/>
          </rPr>
          <t>Rose, Tracy:</t>
        </r>
        <r>
          <rPr>
            <sz val="9"/>
            <color indexed="81"/>
            <rFont val="Tahoma"/>
            <family val="2"/>
          </rPr>
          <t xml:space="preserve">
This area is unlocked to use as a quick-check work area.</t>
        </r>
      </text>
    </comment>
    <comment ref="Q13" authorId="2" shapeId="0">
      <text>
        <r>
          <rPr>
            <b/>
            <sz val="9"/>
            <color indexed="81"/>
            <rFont val="Tahoma"/>
            <family val="2"/>
          </rPr>
          <t>Rose, Tracy:</t>
        </r>
        <r>
          <rPr>
            <sz val="9"/>
            <color indexed="81"/>
            <rFont val="Tahoma"/>
            <family val="2"/>
          </rPr>
          <t xml:space="preserve">
This area is unlocked to use as a quick-check work area.</t>
        </r>
      </text>
    </comment>
    <comment ref="Q14" authorId="2" shapeId="0">
      <text>
        <r>
          <rPr>
            <b/>
            <sz val="9"/>
            <color indexed="81"/>
            <rFont val="Tahoma"/>
            <family val="2"/>
          </rPr>
          <t>Rose, Tracy:</t>
        </r>
        <r>
          <rPr>
            <sz val="9"/>
            <color indexed="81"/>
            <rFont val="Tahoma"/>
            <family val="2"/>
          </rPr>
          <t xml:space="preserve">
This area is unlocked to use as a quick-check work area.</t>
        </r>
      </text>
    </comment>
    <comment ref="Q15" authorId="2" shapeId="0">
      <text>
        <r>
          <rPr>
            <b/>
            <sz val="9"/>
            <color indexed="81"/>
            <rFont val="Tahoma"/>
            <family val="2"/>
          </rPr>
          <t>Rose, Tracy:</t>
        </r>
        <r>
          <rPr>
            <sz val="9"/>
            <color indexed="81"/>
            <rFont val="Tahoma"/>
            <family val="2"/>
          </rPr>
          <t xml:space="preserve">
This area is unlocked to use as a quick-check work area.</t>
        </r>
      </text>
    </comment>
    <comment ref="Q16" authorId="2" shapeId="0">
      <text>
        <r>
          <rPr>
            <b/>
            <sz val="9"/>
            <color indexed="81"/>
            <rFont val="Tahoma"/>
            <family val="2"/>
          </rPr>
          <t>Rose, Tracy:</t>
        </r>
        <r>
          <rPr>
            <sz val="9"/>
            <color indexed="81"/>
            <rFont val="Tahoma"/>
            <family val="2"/>
          </rPr>
          <t xml:space="preserve">
This area is unlocked to use as a quick-check work area.</t>
        </r>
      </text>
    </comment>
    <comment ref="Q17" authorId="2" shapeId="0">
      <text>
        <r>
          <rPr>
            <b/>
            <sz val="9"/>
            <color indexed="81"/>
            <rFont val="Tahoma"/>
            <family val="2"/>
          </rPr>
          <t>Rose, Tracy:</t>
        </r>
        <r>
          <rPr>
            <sz val="9"/>
            <color indexed="81"/>
            <rFont val="Tahoma"/>
            <family val="2"/>
          </rPr>
          <t xml:space="preserve">
This area is unlocked to use as a quick-check work area.</t>
        </r>
      </text>
    </comment>
    <comment ref="Q18" authorId="3" shapeId="0">
      <text>
        <r>
          <rPr>
            <b/>
            <sz val="10"/>
            <color indexed="81"/>
            <rFont val="Tahoma"/>
            <family val="2"/>
          </rPr>
          <t>This area is unlocked to use as a quick-check work area.</t>
        </r>
      </text>
    </comment>
    <comment ref="Q19" authorId="3" shapeId="0">
      <text>
        <r>
          <rPr>
            <b/>
            <sz val="10"/>
            <color indexed="81"/>
            <rFont val="Tahoma"/>
            <family val="2"/>
          </rPr>
          <t>This area is unlocked to use as a quick-check work area.</t>
        </r>
      </text>
    </comment>
    <comment ref="Q20" authorId="3" shapeId="0">
      <text>
        <r>
          <rPr>
            <b/>
            <sz val="10"/>
            <color indexed="81"/>
            <rFont val="Tahoma"/>
            <family val="2"/>
          </rPr>
          <t>This area is unlocked to use as a quick-check work area.</t>
        </r>
      </text>
    </comment>
    <comment ref="Q21" authorId="3" shapeId="0">
      <text>
        <r>
          <rPr>
            <b/>
            <sz val="10"/>
            <color indexed="81"/>
            <rFont val="Tahoma"/>
            <family val="2"/>
          </rPr>
          <t>This area is unlocked to use as a quick-check work area.</t>
        </r>
      </text>
    </comment>
    <comment ref="Q22" authorId="3" shapeId="0">
      <text>
        <r>
          <rPr>
            <b/>
            <sz val="10"/>
            <color indexed="81"/>
            <rFont val="Tahoma"/>
            <family val="2"/>
          </rPr>
          <t>This area is unlocked to use as a quick-check work area.</t>
        </r>
      </text>
    </comment>
    <comment ref="Q23" authorId="3" shapeId="0">
      <text>
        <r>
          <rPr>
            <b/>
            <sz val="10"/>
            <color indexed="81"/>
            <rFont val="Tahoma"/>
            <family val="2"/>
          </rPr>
          <t>This area is unlocked to use as a quick-check work area.</t>
        </r>
      </text>
    </comment>
    <comment ref="Q24" authorId="3" shapeId="0">
      <text>
        <r>
          <rPr>
            <b/>
            <sz val="10"/>
            <color indexed="81"/>
            <rFont val="Tahoma"/>
            <family val="2"/>
          </rPr>
          <t>This area is unlocked to use as a quick-check work area.</t>
        </r>
      </text>
    </comment>
    <comment ref="Q25" authorId="3" shapeId="0">
      <text>
        <r>
          <rPr>
            <b/>
            <sz val="10"/>
            <color indexed="81"/>
            <rFont val="Tahoma"/>
            <family val="2"/>
          </rPr>
          <t>This area is unlocked to use as a quick-check work area.</t>
        </r>
      </text>
    </comment>
    <comment ref="Q27" authorId="3" shapeId="0">
      <text>
        <r>
          <rPr>
            <b/>
            <sz val="10"/>
            <color indexed="81"/>
            <rFont val="Tahoma"/>
            <family val="2"/>
          </rPr>
          <t>This area is unlocked to use as a quick-check work area.</t>
        </r>
      </text>
    </comment>
    <comment ref="B28" authorId="2" shapeId="0">
      <text>
        <r>
          <rPr>
            <b/>
            <sz val="9"/>
            <color indexed="81"/>
            <rFont val="Tahoma"/>
            <family val="2"/>
          </rPr>
          <t>College Reporting:</t>
        </r>
        <r>
          <rPr>
            <sz val="9"/>
            <color indexed="81"/>
            <rFont val="Tahoma"/>
            <family val="2"/>
          </rPr>
          <t xml:space="preserve">
Wording changed from "Deposits Receivable - Other" to "Current"</t>
        </r>
      </text>
    </comment>
    <comment ref="Q28" authorId="3" shapeId="0">
      <text>
        <r>
          <rPr>
            <b/>
            <sz val="10"/>
            <color indexed="81"/>
            <rFont val="Tahoma"/>
            <family val="2"/>
          </rPr>
          <t>This area is unlocked to use as a quick-check work area.</t>
        </r>
      </text>
    </comment>
    <comment ref="B29" authorId="2" shapeId="0">
      <text>
        <r>
          <rPr>
            <b/>
            <sz val="9"/>
            <color indexed="81"/>
            <rFont val="Tahoma"/>
            <family val="2"/>
          </rPr>
          <t>College Reporting:</t>
        </r>
        <r>
          <rPr>
            <sz val="9"/>
            <color indexed="81"/>
            <rFont val="Tahoma"/>
            <family val="2"/>
          </rPr>
          <t xml:space="preserve">
Wording changed from "Deposits Receivable - Energy Consortium" to "Non-Current"</t>
        </r>
      </text>
    </comment>
    <comment ref="Q29" authorId="3" shapeId="0">
      <text>
        <r>
          <rPr>
            <b/>
            <sz val="10"/>
            <color indexed="81"/>
            <rFont val="Tahoma"/>
            <family val="2"/>
          </rPr>
          <t>This area is unlocked to use as a quick-check work area.</t>
        </r>
      </text>
    </comment>
    <comment ref="Q30" authorId="3" shapeId="0">
      <text>
        <r>
          <rPr>
            <b/>
            <sz val="10"/>
            <color indexed="81"/>
            <rFont val="Tahoma"/>
            <family val="2"/>
          </rPr>
          <t>This area is unlocked to use as a quick-check work area.</t>
        </r>
      </text>
    </comment>
    <comment ref="N31" authorId="1" shapeId="0">
      <text>
        <r>
          <rPr>
            <b/>
            <sz val="9"/>
            <color indexed="81"/>
            <rFont val="Tahoma"/>
            <family val="2"/>
          </rPr>
          <t>College Reporting:</t>
        </r>
        <r>
          <rPr>
            <sz val="9"/>
            <color indexed="81"/>
            <rFont val="Tahoma"/>
            <family val="2"/>
          </rPr>
          <t xml:space="preserve">
Use this column to make adjustments to SNP Investments Current </t>
        </r>
      </text>
    </comment>
    <comment ref="Q31" authorId="3" shapeId="0">
      <text>
        <r>
          <rPr>
            <b/>
            <sz val="10"/>
            <color indexed="81"/>
            <rFont val="Tahoma"/>
            <family val="2"/>
          </rPr>
          <t>This area is unlocked to use as a quick-check work area.</t>
        </r>
      </text>
    </comment>
    <comment ref="B32" authorId="2" shapeId="0">
      <text>
        <r>
          <rPr>
            <b/>
            <sz val="9"/>
            <color indexed="81"/>
            <rFont val="Tahoma"/>
            <family val="2"/>
          </rPr>
          <t>Rose, Tracy:</t>
        </r>
        <r>
          <rPr>
            <sz val="9"/>
            <color indexed="81"/>
            <rFont val="Tahoma"/>
            <family val="2"/>
          </rPr>
          <t xml:space="preserve">
Wording changed from "SBA Debt Service" to "Current restricted"</t>
        </r>
      </text>
    </comment>
    <comment ref="N32" authorId="2" shapeId="0">
      <text>
        <r>
          <rPr>
            <b/>
            <sz val="9"/>
            <color indexed="81"/>
            <rFont val="Tahoma"/>
            <family val="2"/>
          </rPr>
          <t>College Reporting:</t>
        </r>
        <r>
          <rPr>
            <sz val="9"/>
            <color indexed="81"/>
            <rFont val="Tahoma"/>
            <family val="2"/>
          </rPr>
          <t xml:space="preserve">
Use this cell to make adjustments to SNP Restricted Investments - Current</t>
        </r>
      </text>
    </comment>
    <comment ref="Q32" authorId="3" shapeId="0">
      <text>
        <r>
          <rPr>
            <b/>
            <sz val="10"/>
            <color indexed="81"/>
            <rFont val="Tahoma"/>
            <family val="2"/>
          </rPr>
          <t>This area is unlocked to use as a quick-check work area.</t>
        </r>
      </text>
    </comment>
    <comment ref="N33" authorId="1" shapeId="0">
      <text>
        <r>
          <rPr>
            <b/>
            <sz val="9"/>
            <color indexed="81"/>
            <rFont val="Tahoma"/>
            <family val="2"/>
          </rPr>
          <t>College Reporting:</t>
        </r>
        <r>
          <rPr>
            <sz val="9"/>
            <color indexed="81"/>
            <rFont val="Tahoma"/>
            <family val="2"/>
          </rPr>
          <t xml:space="preserve">
Use this cell to make adjustments to SNP Investments Non-Current</t>
        </r>
      </text>
    </comment>
    <comment ref="Q33" authorId="3" shapeId="0">
      <text>
        <r>
          <rPr>
            <b/>
            <sz val="10"/>
            <color indexed="81"/>
            <rFont val="Tahoma"/>
            <family val="2"/>
          </rPr>
          <t>This area is unlocked to use as a quick-check work area.</t>
        </r>
      </text>
    </comment>
    <comment ref="B34" authorId="2" shapeId="0">
      <text>
        <r>
          <rPr>
            <b/>
            <sz val="9"/>
            <color indexed="81"/>
            <rFont val="Tahoma"/>
            <family val="2"/>
          </rPr>
          <t>College Reporting:</t>
        </r>
        <r>
          <rPr>
            <sz val="9"/>
            <color indexed="81"/>
            <rFont val="Tahoma"/>
            <family val="2"/>
          </rPr>
          <t xml:space="preserve">
Wording changed from "Investments - Non-current SBA Fund B"</t>
        </r>
      </text>
    </comment>
    <comment ref="N34" authorId="1" shapeId="0">
      <text>
        <r>
          <rPr>
            <b/>
            <sz val="9"/>
            <color indexed="81"/>
            <rFont val="Tahoma"/>
            <family val="2"/>
          </rPr>
          <t>College Reporting:</t>
        </r>
        <r>
          <rPr>
            <sz val="9"/>
            <color indexed="81"/>
            <rFont val="Tahoma"/>
            <family val="2"/>
          </rPr>
          <t xml:space="preserve">
Use this cell to make adjustments to SNP Restricted Investments Non-Current</t>
        </r>
      </text>
    </comment>
    <comment ref="Q34" authorId="3" shapeId="0">
      <text>
        <r>
          <rPr>
            <b/>
            <sz val="10"/>
            <color indexed="81"/>
            <rFont val="Tahoma"/>
            <family val="2"/>
          </rPr>
          <t>This area is unlocked to use as a quick-check work area.</t>
        </r>
      </text>
    </comment>
    <comment ref="Q35" authorId="3" shapeId="0">
      <text>
        <r>
          <rPr>
            <b/>
            <sz val="10"/>
            <color indexed="81"/>
            <rFont val="Tahoma"/>
            <family val="2"/>
          </rPr>
          <t>This area is unlocked to use as a quick-check work area.</t>
        </r>
      </text>
    </comment>
    <comment ref="Q36" authorId="3" shapeId="0">
      <text>
        <r>
          <rPr>
            <b/>
            <sz val="10"/>
            <color indexed="81"/>
            <rFont val="Tahoma"/>
            <family val="2"/>
          </rPr>
          <t>This area is unlocked to use as a quick-check work area.</t>
        </r>
      </text>
    </comment>
    <comment ref="Q37" authorId="3" shapeId="0">
      <text>
        <r>
          <rPr>
            <b/>
            <sz val="10"/>
            <color indexed="81"/>
            <rFont val="Tahoma"/>
            <family val="2"/>
          </rPr>
          <t>This area is unlocked to use as a quick-check work area.</t>
        </r>
      </text>
    </comment>
    <comment ref="Q38" authorId="3" shapeId="0">
      <text>
        <r>
          <rPr>
            <b/>
            <sz val="10"/>
            <color indexed="81"/>
            <rFont val="Tahoma"/>
            <family val="2"/>
          </rPr>
          <t>This area is unlocked to use as a quick-check work area.</t>
        </r>
      </text>
    </comment>
    <comment ref="N39" authorId="4" shapeId="0">
      <text>
        <r>
          <rPr>
            <sz val="8"/>
            <color indexed="81"/>
            <rFont val="Tahoma"/>
            <family val="2"/>
          </rPr>
          <t>As a convenience, formula entered to automatically adjust balance to $0.  Cell is unlocked.</t>
        </r>
      </text>
    </comment>
    <comment ref="Q39" authorId="3" shapeId="0">
      <text>
        <r>
          <rPr>
            <b/>
            <sz val="10"/>
            <color indexed="81"/>
            <rFont val="Tahoma"/>
            <family val="2"/>
          </rPr>
          <t>This area is unlocked to use as a quick-check work area.</t>
        </r>
      </text>
    </comment>
    <comment ref="N40" authorId="4" shapeId="0">
      <text>
        <r>
          <rPr>
            <sz val="8"/>
            <color indexed="81"/>
            <rFont val="Tahoma"/>
            <family val="2"/>
          </rPr>
          <t>As a convenience, formula entered to automatically adjust balance to $0.  Cell is unlocked.</t>
        </r>
      </text>
    </comment>
    <comment ref="Q40" authorId="3" shapeId="0">
      <text>
        <r>
          <rPr>
            <b/>
            <sz val="10"/>
            <color indexed="81"/>
            <rFont val="Tahoma"/>
            <family val="2"/>
          </rPr>
          <t>This area is unlocked to use as a quick-check work area.</t>
        </r>
      </text>
    </comment>
    <comment ref="N41" authorId="4" shapeId="0">
      <text>
        <r>
          <rPr>
            <sz val="8"/>
            <color indexed="81"/>
            <rFont val="Tahoma"/>
            <family val="2"/>
          </rPr>
          <t>As a convenience, formula entered to automatically adjust balance to $0.  Cell is unlocked.</t>
        </r>
      </text>
    </comment>
    <comment ref="Q41" authorId="3" shapeId="0">
      <text>
        <r>
          <rPr>
            <b/>
            <sz val="10"/>
            <color indexed="81"/>
            <rFont val="Tahoma"/>
            <family val="2"/>
          </rPr>
          <t>This area is unlocked to use as a quick-check work area.</t>
        </r>
      </text>
    </comment>
    <comment ref="N42" authorId="4" shapeId="0">
      <text>
        <r>
          <rPr>
            <sz val="8"/>
            <color indexed="81"/>
            <rFont val="Tahoma"/>
            <family val="2"/>
          </rPr>
          <t>As a convenience, formula entered to automatically adjust balance to $0.  Cell is unlocked.</t>
        </r>
      </text>
    </comment>
    <comment ref="Q42" authorId="3" shapeId="0">
      <text>
        <r>
          <rPr>
            <b/>
            <sz val="10"/>
            <color indexed="81"/>
            <rFont val="Tahoma"/>
            <family val="2"/>
          </rPr>
          <t>This area is unlocked to use as a quick-check work area.</t>
        </r>
      </text>
    </comment>
    <comment ref="N43" authorId="4" shapeId="0">
      <text>
        <r>
          <rPr>
            <sz val="8"/>
            <color indexed="81"/>
            <rFont val="Tahoma"/>
            <family val="2"/>
          </rPr>
          <t>As a convenience, formula entered to automatically adjust balance to $0.  Cell is unlocked.</t>
        </r>
      </text>
    </comment>
    <comment ref="Q43" authorId="3" shapeId="0">
      <text>
        <r>
          <rPr>
            <b/>
            <sz val="10"/>
            <color indexed="81"/>
            <rFont val="Tahoma"/>
            <family val="2"/>
          </rPr>
          <t>This area is unlocked to use as a quick-check work area.</t>
        </r>
      </text>
    </comment>
    <comment ref="N44" authorId="4" shapeId="0">
      <text>
        <r>
          <rPr>
            <sz val="8"/>
            <color indexed="81"/>
            <rFont val="Tahoma"/>
            <family val="2"/>
          </rPr>
          <t>As a convenience, formula entered to automatically adjust balance to $0.  Cell is unlocked.</t>
        </r>
      </text>
    </comment>
    <comment ref="Q44" authorId="3" shapeId="0">
      <text>
        <r>
          <rPr>
            <b/>
            <sz val="10"/>
            <color indexed="81"/>
            <rFont val="Tahoma"/>
            <family val="2"/>
          </rPr>
          <t>This area is unlocked to use as a quick-check work area.</t>
        </r>
      </text>
    </comment>
    <comment ref="N45" authorId="4" shapeId="0">
      <text>
        <r>
          <rPr>
            <sz val="8"/>
            <color indexed="81"/>
            <rFont val="Tahoma"/>
            <family val="2"/>
          </rPr>
          <t>As a convenience, formula entered to automatically adjust balance to $0.  Cell is unlocked.</t>
        </r>
      </text>
    </comment>
    <comment ref="Q45" authorId="3" shapeId="0">
      <text>
        <r>
          <rPr>
            <b/>
            <sz val="10"/>
            <color indexed="81"/>
            <rFont val="Tahoma"/>
            <family val="2"/>
          </rPr>
          <t>This area is unlocked to use as a quick-check work area.</t>
        </r>
      </text>
    </comment>
    <comment ref="N46" authorId="4" shapeId="0">
      <text>
        <r>
          <rPr>
            <sz val="8"/>
            <color indexed="81"/>
            <rFont val="Tahoma"/>
            <family val="2"/>
          </rPr>
          <t>As a convenience, formula entered to automatically adjust balance to $0.  Cell is unlocked.</t>
        </r>
      </text>
    </comment>
    <comment ref="Q46" authorId="3" shapeId="0">
      <text>
        <r>
          <rPr>
            <b/>
            <sz val="10"/>
            <color indexed="81"/>
            <rFont val="Tahoma"/>
            <family val="2"/>
          </rPr>
          <t>This area is unlocked to use as a quick-check work area.</t>
        </r>
      </text>
    </comment>
    <comment ref="Q47" authorId="3" shapeId="0">
      <text>
        <r>
          <rPr>
            <b/>
            <sz val="10"/>
            <color indexed="81"/>
            <rFont val="Tahoma"/>
            <family val="2"/>
          </rPr>
          <t>This area is unlocked to use as a quick-check work area.</t>
        </r>
      </text>
    </comment>
    <comment ref="Q48" authorId="3" shapeId="0">
      <text>
        <r>
          <rPr>
            <b/>
            <sz val="10"/>
            <color indexed="81"/>
            <rFont val="Tahoma"/>
            <family val="2"/>
          </rPr>
          <t>This area is unlocked to use as a quick-check work area.</t>
        </r>
      </text>
    </comment>
    <comment ref="Q49" authorId="3" shapeId="0">
      <text>
        <r>
          <rPr>
            <b/>
            <sz val="10"/>
            <color indexed="81"/>
            <rFont val="Tahoma"/>
            <family val="2"/>
          </rPr>
          <t>This area is unlocked to use as a quick-check work area.</t>
        </r>
      </text>
    </comment>
    <comment ref="Q50" authorId="3" shapeId="0">
      <text>
        <r>
          <rPr>
            <b/>
            <sz val="10"/>
            <color indexed="81"/>
            <rFont val="Tahoma"/>
            <family val="2"/>
          </rPr>
          <t>This area is unlocked to use as a quick-check work area.</t>
        </r>
      </text>
    </comment>
    <comment ref="Q51" authorId="3" shapeId="0">
      <text>
        <r>
          <rPr>
            <b/>
            <sz val="10"/>
            <color indexed="81"/>
            <rFont val="Tahoma"/>
            <family val="2"/>
          </rPr>
          <t>This area is unlocked to use as a quick-check work area.</t>
        </r>
      </text>
    </comment>
    <comment ref="Q52" authorId="3" shapeId="0">
      <text>
        <r>
          <rPr>
            <b/>
            <sz val="10"/>
            <color indexed="81"/>
            <rFont val="Tahoma"/>
            <family val="2"/>
          </rPr>
          <t>This area is unlocked to use as a quick-check work area.</t>
        </r>
      </text>
    </comment>
    <comment ref="Q53" authorId="3" shapeId="0">
      <text>
        <r>
          <rPr>
            <b/>
            <sz val="10"/>
            <color indexed="81"/>
            <rFont val="Tahoma"/>
            <family val="2"/>
          </rPr>
          <t>This area is unlocked to use as a quick-check work area.</t>
        </r>
      </text>
    </comment>
    <comment ref="Q54" authorId="3" shapeId="0">
      <text>
        <r>
          <rPr>
            <b/>
            <sz val="10"/>
            <color indexed="81"/>
            <rFont val="Tahoma"/>
            <family val="2"/>
          </rPr>
          <t>This area is unlocked to use as a quick-check work area.</t>
        </r>
      </text>
    </comment>
    <comment ref="Q55" authorId="3" shapeId="0">
      <text>
        <r>
          <rPr>
            <b/>
            <sz val="10"/>
            <color indexed="81"/>
            <rFont val="Tahoma"/>
            <family val="2"/>
          </rPr>
          <t>This area is unlocked to use as a quick-check work area.</t>
        </r>
      </text>
    </comment>
    <comment ref="Q56" authorId="3" shapeId="0">
      <text>
        <r>
          <rPr>
            <b/>
            <sz val="10"/>
            <color indexed="81"/>
            <rFont val="Tahoma"/>
            <family val="2"/>
          </rPr>
          <t>This area is unlocked to use as a quick-check work area.</t>
        </r>
      </text>
    </comment>
    <comment ref="Q57" authorId="3" shapeId="0">
      <text>
        <r>
          <rPr>
            <b/>
            <sz val="10"/>
            <color indexed="81"/>
            <rFont val="Tahoma"/>
            <family val="2"/>
          </rPr>
          <t>This area is unlocked to use as a quick-check work area.</t>
        </r>
      </text>
    </comment>
    <comment ref="Q58" authorId="3" shapeId="0">
      <text>
        <r>
          <rPr>
            <b/>
            <sz val="10"/>
            <color indexed="81"/>
            <rFont val="Tahoma"/>
            <family val="2"/>
          </rPr>
          <t>This area is unlocked to use as a quick-check work area.</t>
        </r>
      </text>
    </comment>
    <comment ref="Q59" authorId="3" shapeId="0">
      <text>
        <r>
          <rPr>
            <b/>
            <sz val="10"/>
            <color indexed="81"/>
            <rFont val="Tahoma"/>
            <family val="2"/>
          </rPr>
          <t>This area is unlocked to use as a quick-check work area.</t>
        </r>
      </text>
    </comment>
    <comment ref="Q60" authorId="3" shapeId="0">
      <text>
        <r>
          <rPr>
            <b/>
            <sz val="10"/>
            <color indexed="81"/>
            <rFont val="Tahoma"/>
            <family val="2"/>
          </rPr>
          <t>This area is unlocked to use as a quick-check work area.</t>
        </r>
      </text>
    </comment>
    <comment ref="Q61" authorId="3" shapeId="0">
      <text>
        <r>
          <rPr>
            <b/>
            <sz val="10"/>
            <color indexed="81"/>
            <rFont val="Tahoma"/>
            <family val="2"/>
          </rPr>
          <t>This area is unlocked to use as a quick-check work area.</t>
        </r>
      </text>
    </comment>
    <comment ref="Q62" authorId="3" shapeId="0">
      <text>
        <r>
          <rPr>
            <b/>
            <sz val="10"/>
            <color indexed="81"/>
            <rFont val="Tahoma"/>
            <family val="2"/>
          </rPr>
          <t>This area is unlocked to use as a quick-check work area.</t>
        </r>
      </text>
    </comment>
    <comment ref="Q63" authorId="3" shapeId="0">
      <text>
        <r>
          <rPr>
            <b/>
            <sz val="10"/>
            <color indexed="81"/>
            <rFont val="Tahoma"/>
            <family val="2"/>
          </rPr>
          <t>This area is unlocked to use as a quick-check work area.</t>
        </r>
      </text>
    </comment>
    <comment ref="Q64" authorId="3" shapeId="0">
      <text>
        <r>
          <rPr>
            <b/>
            <sz val="10"/>
            <color indexed="81"/>
            <rFont val="Tahoma"/>
            <family val="2"/>
          </rPr>
          <t>This area is unlocked to use as a quick-check work area.</t>
        </r>
      </text>
    </comment>
    <comment ref="Q65" authorId="3" shapeId="0">
      <text>
        <r>
          <rPr>
            <b/>
            <sz val="10"/>
            <color indexed="81"/>
            <rFont val="Tahoma"/>
            <family val="2"/>
          </rPr>
          <t>This area is unlocked to use as a quick-check work area.</t>
        </r>
      </text>
    </comment>
    <comment ref="Q66" authorId="3" shapeId="0">
      <text>
        <r>
          <rPr>
            <b/>
            <sz val="10"/>
            <color indexed="81"/>
            <rFont val="Tahoma"/>
            <family val="2"/>
          </rPr>
          <t>This area is unlocked to use as a quick-check work area.</t>
        </r>
      </text>
    </comment>
    <comment ref="Q67" authorId="3" shapeId="0">
      <text>
        <r>
          <rPr>
            <b/>
            <sz val="10"/>
            <color indexed="81"/>
            <rFont val="Tahoma"/>
            <family val="2"/>
          </rPr>
          <t>This area is unlocked to use as a quick-check work area.</t>
        </r>
      </text>
    </comment>
    <comment ref="Q68" authorId="3" shapeId="0">
      <text>
        <r>
          <rPr>
            <b/>
            <sz val="10"/>
            <color indexed="81"/>
            <rFont val="Tahoma"/>
            <family val="2"/>
          </rPr>
          <t>This area is unlocked to use as a quick-check work area.</t>
        </r>
      </text>
    </comment>
    <comment ref="Q69" authorId="3" shapeId="0">
      <text>
        <r>
          <rPr>
            <b/>
            <sz val="10"/>
            <color indexed="81"/>
            <rFont val="Tahoma"/>
            <family val="2"/>
          </rPr>
          <t>This area is unlocked to use as a quick-check work area.</t>
        </r>
      </text>
    </comment>
    <comment ref="Q70" authorId="3" shapeId="0">
      <text>
        <r>
          <rPr>
            <b/>
            <sz val="10"/>
            <color indexed="81"/>
            <rFont val="Tahoma"/>
            <family val="2"/>
          </rPr>
          <t>This area is unlocked to use as a quick-check work area.</t>
        </r>
      </text>
    </comment>
    <comment ref="Q71" authorId="3" shapeId="0">
      <text>
        <r>
          <rPr>
            <b/>
            <sz val="10"/>
            <color indexed="81"/>
            <rFont val="Tahoma"/>
            <family val="2"/>
          </rPr>
          <t>This area is unlocked to use as a quick-check work area.</t>
        </r>
      </text>
    </comment>
    <comment ref="Q72" authorId="3" shapeId="0">
      <text>
        <r>
          <rPr>
            <b/>
            <sz val="10"/>
            <color indexed="81"/>
            <rFont val="Tahoma"/>
            <family val="2"/>
          </rPr>
          <t>This area is unlocked to use as a quick-check work area.</t>
        </r>
      </text>
    </comment>
    <comment ref="Q73" authorId="3" shapeId="0">
      <text>
        <r>
          <rPr>
            <b/>
            <sz val="10"/>
            <color indexed="81"/>
            <rFont val="Tahoma"/>
            <family val="2"/>
          </rPr>
          <t>This area is unlocked to use as a quick-check work area.</t>
        </r>
      </text>
    </comment>
    <comment ref="Q74" authorId="3" shapeId="0">
      <text>
        <r>
          <rPr>
            <b/>
            <sz val="10"/>
            <color indexed="81"/>
            <rFont val="Tahoma"/>
            <family val="2"/>
          </rPr>
          <t>This area is unlocked to use as a quick-check work area.</t>
        </r>
      </text>
    </comment>
    <comment ref="Q75" authorId="3" shapeId="0">
      <text>
        <r>
          <rPr>
            <b/>
            <sz val="10"/>
            <color indexed="81"/>
            <rFont val="Tahoma"/>
            <family val="2"/>
          </rPr>
          <t>This area is unlocked to use as a quick-check work area.</t>
        </r>
      </text>
    </comment>
    <comment ref="Q76" authorId="3" shapeId="0">
      <text>
        <r>
          <rPr>
            <b/>
            <sz val="10"/>
            <color indexed="81"/>
            <rFont val="Tahoma"/>
            <family val="2"/>
          </rPr>
          <t>This area is unlocked to use as a quick-check work area.</t>
        </r>
      </text>
    </comment>
    <comment ref="Q77" authorId="3" shapeId="0">
      <text>
        <r>
          <rPr>
            <b/>
            <sz val="10"/>
            <color indexed="81"/>
            <rFont val="Tahoma"/>
            <family val="2"/>
          </rPr>
          <t>This area is unlocked to use as a quick-check work area.</t>
        </r>
      </text>
    </comment>
    <comment ref="Q78" authorId="3" shapeId="0">
      <text>
        <r>
          <rPr>
            <b/>
            <sz val="10"/>
            <color indexed="81"/>
            <rFont val="Tahoma"/>
            <family val="2"/>
          </rPr>
          <t>This area is unlocked to use as a quick-check work area.</t>
        </r>
      </text>
    </comment>
    <comment ref="Q79" authorId="3" shapeId="0">
      <text>
        <r>
          <rPr>
            <b/>
            <sz val="10"/>
            <color indexed="81"/>
            <rFont val="Tahoma"/>
            <family val="2"/>
          </rPr>
          <t>This area is unlocked to use as a quick-check work area.</t>
        </r>
      </text>
    </comment>
    <comment ref="Q80" authorId="3" shapeId="0">
      <text>
        <r>
          <rPr>
            <b/>
            <sz val="10"/>
            <color indexed="81"/>
            <rFont val="Tahoma"/>
            <family val="2"/>
          </rPr>
          <t>This area is unlocked to use as a quick-check work area.</t>
        </r>
      </text>
    </comment>
    <comment ref="Q81" authorId="3" shapeId="0">
      <text>
        <r>
          <rPr>
            <b/>
            <sz val="10"/>
            <color indexed="81"/>
            <rFont val="Tahoma"/>
            <family val="2"/>
          </rPr>
          <t>This area is unlocked to use as a quick-check work area.</t>
        </r>
      </text>
    </comment>
    <comment ref="Q88" authorId="3" shapeId="0">
      <text>
        <r>
          <rPr>
            <b/>
            <sz val="10"/>
            <color indexed="81"/>
            <rFont val="Tahoma"/>
            <family val="2"/>
          </rPr>
          <t>This area is unlocked to use as a quick-check work area.</t>
        </r>
      </text>
    </comment>
    <comment ref="Q89" authorId="3" shapeId="0">
      <text>
        <r>
          <rPr>
            <b/>
            <sz val="10"/>
            <color indexed="81"/>
            <rFont val="Tahoma"/>
            <family val="2"/>
          </rPr>
          <t>This area is unlocked to use as a quick-check work area.</t>
        </r>
      </text>
    </comment>
    <comment ref="Q90" authorId="3" shapeId="0">
      <text>
        <r>
          <rPr>
            <b/>
            <sz val="10"/>
            <color indexed="81"/>
            <rFont val="Tahoma"/>
            <family val="2"/>
          </rPr>
          <t>This area is unlocked to use as a quick-check work area.</t>
        </r>
      </text>
    </comment>
    <comment ref="Q91" authorId="3" shapeId="0">
      <text>
        <r>
          <rPr>
            <b/>
            <sz val="10"/>
            <color indexed="81"/>
            <rFont val="Tahoma"/>
            <family val="2"/>
          </rPr>
          <t>This area is unlocked to use as a quick-check work area.</t>
        </r>
      </text>
    </comment>
    <comment ref="Q92" authorId="3" shapeId="0">
      <text>
        <r>
          <rPr>
            <b/>
            <sz val="10"/>
            <color indexed="81"/>
            <rFont val="Tahoma"/>
            <family val="2"/>
          </rPr>
          <t>This area is unlocked to use as a quick-check work area.</t>
        </r>
      </text>
    </comment>
    <comment ref="B93" authorId="2" shapeId="0">
      <text>
        <r>
          <rPr>
            <b/>
            <sz val="9"/>
            <color indexed="81"/>
            <rFont val="Tahoma"/>
            <family val="2"/>
          </rPr>
          <t>College Reporting:</t>
        </r>
        <r>
          <rPr>
            <sz val="9"/>
            <color indexed="81"/>
            <rFont val="Tahoma"/>
            <family val="2"/>
          </rPr>
          <t xml:space="preserve">
Wording changed from "Deposits Held In Custody for Others". Also split into current and non-current</t>
        </r>
      </text>
    </comment>
    <comment ref="Q93" authorId="3" shapeId="0">
      <text>
        <r>
          <rPr>
            <b/>
            <sz val="10"/>
            <color indexed="81"/>
            <rFont val="Tahoma"/>
            <family val="2"/>
          </rPr>
          <t>This area is unlocked to use as a quick-check work area.</t>
        </r>
      </text>
    </comment>
    <comment ref="Q95" authorId="3" shapeId="0">
      <text>
        <r>
          <rPr>
            <b/>
            <sz val="10"/>
            <color indexed="81"/>
            <rFont val="Tahoma"/>
            <family val="2"/>
          </rPr>
          <t>This area is unlocked to use as a quick-check work area.</t>
        </r>
      </text>
    </comment>
    <comment ref="Q96" authorId="3" shapeId="0">
      <text>
        <r>
          <rPr>
            <b/>
            <sz val="10"/>
            <color indexed="81"/>
            <rFont val="Tahoma"/>
            <family val="2"/>
          </rPr>
          <t>This area is unlocked to use as a quick-check work area.</t>
        </r>
      </text>
    </comment>
    <comment ref="Q97" authorId="3" shapeId="0">
      <text>
        <r>
          <rPr>
            <b/>
            <sz val="10"/>
            <color indexed="81"/>
            <rFont val="Tahoma"/>
            <family val="2"/>
          </rPr>
          <t>This area is unlocked to use as a quick-check work area.</t>
        </r>
      </text>
    </comment>
    <comment ref="Q98" authorId="3" shapeId="0">
      <text>
        <r>
          <rPr>
            <b/>
            <sz val="10"/>
            <color indexed="81"/>
            <rFont val="Tahoma"/>
            <family val="2"/>
          </rPr>
          <t>This area is unlocked to use as a quick-check work area.</t>
        </r>
      </text>
    </comment>
    <comment ref="Q99" authorId="3" shapeId="0">
      <text>
        <r>
          <rPr>
            <b/>
            <sz val="10"/>
            <color indexed="81"/>
            <rFont val="Tahoma"/>
            <family val="2"/>
          </rPr>
          <t>This area is unlocked to use as a quick-check work area.</t>
        </r>
      </text>
    </comment>
    <comment ref="Q100" authorId="3" shapeId="0">
      <text>
        <r>
          <rPr>
            <b/>
            <sz val="10"/>
            <color indexed="81"/>
            <rFont val="Tahoma"/>
            <family val="2"/>
          </rPr>
          <t>This area is unlocked to use as a quick-check work area.</t>
        </r>
      </text>
    </comment>
    <comment ref="Q101" authorId="3" shapeId="0">
      <text>
        <r>
          <rPr>
            <b/>
            <sz val="10"/>
            <color indexed="81"/>
            <rFont val="Tahoma"/>
            <family val="2"/>
          </rPr>
          <t>This area is unlocked to use as a quick-check work area.</t>
        </r>
      </text>
    </comment>
    <comment ref="Q102" authorId="3" shapeId="0">
      <text>
        <r>
          <rPr>
            <b/>
            <sz val="10"/>
            <color indexed="81"/>
            <rFont val="Tahoma"/>
            <family val="2"/>
          </rPr>
          <t>This area is unlocked to use as a quick-check work area.</t>
        </r>
      </text>
    </comment>
    <comment ref="Q103" authorId="3" shapeId="0">
      <text>
        <r>
          <rPr>
            <b/>
            <sz val="10"/>
            <color indexed="81"/>
            <rFont val="Tahoma"/>
            <family val="2"/>
          </rPr>
          <t>This area is unlocked to use as a quick-check work area.</t>
        </r>
      </text>
    </comment>
    <comment ref="Q104" authorId="3" shapeId="0">
      <text>
        <r>
          <rPr>
            <b/>
            <sz val="10"/>
            <color indexed="81"/>
            <rFont val="Tahoma"/>
            <family val="2"/>
          </rPr>
          <t>This area is unlocked to use as a quick-check work area.</t>
        </r>
      </text>
    </comment>
    <comment ref="Q105" authorId="3" shapeId="0">
      <text>
        <r>
          <rPr>
            <b/>
            <sz val="10"/>
            <color indexed="81"/>
            <rFont val="Tahoma"/>
            <family val="2"/>
          </rPr>
          <t>This area is unlocked to use as a quick-check work area.</t>
        </r>
      </text>
    </comment>
    <comment ref="Q106" authorId="3" shapeId="0">
      <text>
        <r>
          <rPr>
            <b/>
            <sz val="10"/>
            <color indexed="81"/>
            <rFont val="Tahoma"/>
            <family val="2"/>
          </rPr>
          <t>This area is unlocked to use as a quick-check work area.</t>
        </r>
      </text>
    </comment>
    <comment ref="Q108" authorId="3" shapeId="0">
      <text>
        <r>
          <rPr>
            <b/>
            <sz val="10"/>
            <color indexed="81"/>
            <rFont val="Tahoma"/>
            <family val="2"/>
          </rPr>
          <t>This area is unlocked to use as a quick-check work area.</t>
        </r>
      </text>
    </comment>
    <comment ref="Q113" authorId="3" shapeId="0">
      <text>
        <r>
          <rPr>
            <b/>
            <sz val="10"/>
            <color indexed="81"/>
            <rFont val="Tahoma"/>
            <family val="2"/>
          </rPr>
          <t>This area is unlocked to use as a quick-check work area.</t>
        </r>
      </text>
    </comment>
    <comment ref="Q114" authorId="3" shapeId="0">
      <text>
        <r>
          <rPr>
            <b/>
            <sz val="10"/>
            <color indexed="81"/>
            <rFont val="Tahoma"/>
            <family val="2"/>
          </rPr>
          <t>This area is unlocked to use as a quick-check work area.</t>
        </r>
      </text>
    </comment>
    <comment ref="Q115" authorId="3" shapeId="0">
      <text>
        <r>
          <rPr>
            <b/>
            <sz val="10"/>
            <color indexed="81"/>
            <rFont val="Tahoma"/>
            <family val="2"/>
          </rPr>
          <t>This area is unlocked to use as a quick-check work area.</t>
        </r>
      </text>
    </comment>
    <comment ref="Q116" authorId="3" shapeId="0">
      <text>
        <r>
          <rPr>
            <b/>
            <sz val="10"/>
            <color indexed="81"/>
            <rFont val="Tahoma"/>
            <family val="2"/>
          </rPr>
          <t>This area is unlocked to use as a quick-check work area.</t>
        </r>
      </text>
    </comment>
    <comment ref="Q117" authorId="3" shapeId="0">
      <text>
        <r>
          <rPr>
            <b/>
            <sz val="10"/>
            <color indexed="81"/>
            <rFont val="Tahoma"/>
            <family val="2"/>
          </rPr>
          <t>This area is unlocked to use as a quick-check work area.</t>
        </r>
      </text>
    </comment>
    <comment ref="Q118" authorId="3" shapeId="0">
      <text>
        <r>
          <rPr>
            <b/>
            <sz val="10"/>
            <color indexed="81"/>
            <rFont val="Tahoma"/>
            <family val="2"/>
          </rPr>
          <t>This area is unlocked to use as a quick-check work area.</t>
        </r>
      </text>
    </comment>
    <comment ref="Q119" authorId="3" shapeId="0">
      <text>
        <r>
          <rPr>
            <b/>
            <sz val="10"/>
            <color indexed="81"/>
            <rFont val="Tahoma"/>
            <family val="2"/>
          </rPr>
          <t>This area is unlocked to use as a quick-check work area.</t>
        </r>
      </text>
    </comment>
    <comment ref="Q120" authorId="3" shapeId="0">
      <text>
        <r>
          <rPr>
            <b/>
            <sz val="10"/>
            <color indexed="81"/>
            <rFont val="Tahoma"/>
            <family val="2"/>
          </rPr>
          <t>This area is unlocked to use as a quick-check work area.</t>
        </r>
      </text>
    </comment>
    <comment ref="Q121" authorId="3" shapeId="0">
      <text>
        <r>
          <rPr>
            <b/>
            <sz val="10"/>
            <color indexed="81"/>
            <rFont val="Tahoma"/>
            <family val="2"/>
          </rPr>
          <t>This area is unlocked to use as a quick-check work area.</t>
        </r>
      </text>
    </comment>
    <comment ref="Q122" authorId="3" shapeId="0">
      <text>
        <r>
          <rPr>
            <b/>
            <sz val="10"/>
            <color indexed="81"/>
            <rFont val="Tahoma"/>
            <family val="2"/>
          </rPr>
          <t>This area is unlocked to use as a quick-check work area.</t>
        </r>
      </text>
    </comment>
    <comment ref="Q123" authorId="3" shapeId="0">
      <text>
        <r>
          <rPr>
            <b/>
            <sz val="10"/>
            <color indexed="81"/>
            <rFont val="Tahoma"/>
            <family val="2"/>
          </rPr>
          <t>This area is unlocked to use as a quick-check work area.</t>
        </r>
      </text>
    </comment>
    <comment ref="Q124" authorId="3" shapeId="0">
      <text>
        <r>
          <rPr>
            <b/>
            <sz val="10"/>
            <color indexed="81"/>
            <rFont val="Tahoma"/>
            <family val="2"/>
          </rPr>
          <t>This area is unlocked to use as a quick-check work area.</t>
        </r>
      </text>
    </comment>
    <comment ref="Q125" authorId="3" shapeId="0">
      <text>
        <r>
          <rPr>
            <b/>
            <sz val="10"/>
            <color indexed="81"/>
            <rFont val="Tahoma"/>
            <family val="2"/>
          </rPr>
          <t>This area is unlocked to use as a quick-check work area.</t>
        </r>
      </text>
    </comment>
    <comment ref="Q126" authorId="3" shapeId="0">
      <text>
        <r>
          <rPr>
            <b/>
            <sz val="10"/>
            <color indexed="81"/>
            <rFont val="Tahoma"/>
            <family val="2"/>
          </rPr>
          <t>This area is unlocked to use as a quick-check work area.</t>
        </r>
      </text>
    </comment>
    <comment ref="Q127" authorId="3" shapeId="0">
      <text>
        <r>
          <rPr>
            <b/>
            <sz val="10"/>
            <color indexed="81"/>
            <rFont val="Tahoma"/>
            <family val="2"/>
          </rPr>
          <t>This area is unlocked to use as a quick-check work area.</t>
        </r>
      </text>
    </comment>
    <comment ref="Q128" authorId="3" shapeId="0">
      <text>
        <r>
          <rPr>
            <b/>
            <sz val="10"/>
            <color indexed="81"/>
            <rFont val="Tahoma"/>
            <family val="2"/>
          </rPr>
          <t>This area is unlocked to use as a quick-check work area.</t>
        </r>
      </text>
    </comment>
    <comment ref="Q129" authorId="3" shapeId="0">
      <text>
        <r>
          <rPr>
            <b/>
            <sz val="10"/>
            <color indexed="81"/>
            <rFont val="Tahoma"/>
            <family val="2"/>
          </rPr>
          <t>This area is unlocked to use as a quick-check work area.</t>
        </r>
      </text>
    </comment>
    <comment ref="Q130" authorId="3" shapeId="0">
      <text>
        <r>
          <rPr>
            <b/>
            <sz val="10"/>
            <color indexed="81"/>
            <rFont val="Tahoma"/>
            <family val="2"/>
          </rPr>
          <t>This area is unlocked to use as a quick-check work area.</t>
        </r>
      </text>
    </comment>
    <comment ref="Q131" authorId="3" shapeId="0">
      <text>
        <r>
          <rPr>
            <b/>
            <sz val="10"/>
            <color indexed="81"/>
            <rFont val="Tahoma"/>
            <family val="2"/>
          </rPr>
          <t>This area is unlocked to use as a quick-check work area.</t>
        </r>
      </text>
    </comment>
    <comment ref="Q132" authorId="3" shapeId="0">
      <text>
        <r>
          <rPr>
            <b/>
            <sz val="10"/>
            <color indexed="81"/>
            <rFont val="Tahoma"/>
            <family val="2"/>
          </rPr>
          <t>This area is unlocked to use as a quick-check work area.</t>
        </r>
      </text>
    </comment>
    <comment ref="Q133" authorId="3" shapeId="0">
      <text>
        <r>
          <rPr>
            <b/>
            <sz val="10"/>
            <color indexed="81"/>
            <rFont val="Tahoma"/>
            <family val="2"/>
          </rPr>
          <t>This area is unlocked to use as a quick-check work area.</t>
        </r>
      </text>
    </comment>
    <comment ref="Q136" authorId="3" shapeId="0">
      <text>
        <r>
          <rPr>
            <b/>
            <sz val="10"/>
            <color indexed="81"/>
            <rFont val="Tahoma"/>
            <family val="2"/>
          </rPr>
          <t>This area is unlocked to use as a quick-check work area.</t>
        </r>
      </text>
    </comment>
    <comment ref="Q137" authorId="3" shapeId="0">
      <text>
        <r>
          <rPr>
            <b/>
            <sz val="10"/>
            <color indexed="81"/>
            <rFont val="Tahoma"/>
            <family val="2"/>
          </rPr>
          <t>This area is unlocked to use as a quick-check work area.</t>
        </r>
      </text>
    </comment>
    <comment ref="Q138" authorId="3" shapeId="0">
      <text>
        <r>
          <rPr>
            <b/>
            <sz val="10"/>
            <color indexed="81"/>
            <rFont val="Tahoma"/>
            <family val="2"/>
          </rPr>
          <t>This area is unlocked to use as a quick-check work area.</t>
        </r>
      </text>
    </comment>
    <comment ref="Q139" authorId="3" shapeId="0">
      <text>
        <r>
          <rPr>
            <b/>
            <sz val="10"/>
            <color indexed="81"/>
            <rFont val="Tahoma"/>
            <family val="2"/>
          </rPr>
          <t>This area is unlocked to use as a quick-check work area.</t>
        </r>
      </text>
    </comment>
    <comment ref="N140" authorId="4" shapeId="0">
      <text>
        <r>
          <rPr>
            <sz val="8"/>
            <color indexed="81"/>
            <rFont val="Tahoma"/>
            <family val="2"/>
          </rPr>
          <t>As a convenience, formula entered to automatically adjust balance to $0.  Cell is unlocked.</t>
        </r>
      </text>
    </comment>
    <comment ref="Q140" authorId="3" shapeId="0">
      <text>
        <r>
          <rPr>
            <b/>
            <sz val="10"/>
            <color indexed="81"/>
            <rFont val="Tahoma"/>
            <family val="2"/>
          </rPr>
          <t>This area is unlocked to use as a quick-check work area.</t>
        </r>
      </text>
    </comment>
    <comment ref="N141" authorId="4" shapeId="0">
      <text>
        <r>
          <rPr>
            <sz val="8"/>
            <color indexed="81"/>
            <rFont val="Tahoma"/>
            <family val="2"/>
          </rPr>
          <t>As a convenience, formula entered to automatically adjust balance to $0.  Cell is unlocked.</t>
        </r>
      </text>
    </comment>
    <comment ref="Q141" authorId="3" shapeId="0">
      <text>
        <r>
          <rPr>
            <b/>
            <sz val="10"/>
            <color indexed="81"/>
            <rFont val="Tahoma"/>
            <family val="2"/>
          </rPr>
          <t>This area is unlocked to use as a quick-check work area.</t>
        </r>
      </text>
    </comment>
    <comment ref="N142" authorId="4" shapeId="0">
      <text>
        <r>
          <rPr>
            <sz val="8"/>
            <color indexed="81"/>
            <rFont val="Tahoma"/>
            <family val="2"/>
          </rPr>
          <t>As a convenience, formula entered to automatically adjust balance to $0.  Cell is unlocked.</t>
        </r>
      </text>
    </comment>
    <comment ref="Q142" authorId="3" shapeId="0">
      <text>
        <r>
          <rPr>
            <b/>
            <sz val="10"/>
            <color indexed="81"/>
            <rFont val="Tahoma"/>
            <family val="2"/>
          </rPr>
          <t>This area is unlocked to use as a quick-check work area.</t>
        </r>
      </text>
    </comment>
    <comment ref="N143" authorId="4" shapeId="0">
      <text>
        <r>
          <rPr>
            <sz val="8"/>
            <color indexed="81"/>
            <rFont val="Tahoma"/>
            <family val="2"/>
          </rPr>
          <t>As a convenience, formula entered to automatically adjust balance to $0.  Cell is unlocked.</t>
        </r>
      </text>
    </comment>
    <comment ref="Q143" authorId="3" shapeId="0">
      <text>
        <r>
          <rPr>
            <b/>
            <sz val="10"/>
            <color indexed="81"/>
            <rFont val="Tahoma"/>
            <family val="2"/>
          </rPr>
          <t>This area is unlocked to use as a quick-check work area.</t>
        </r>
      </text>
    </comment>
    <comment ref="N144" authorId="4" shapeId="0">
      <text>
        <r>
          <rPr>
            <sz val="8"/>
            <color indexed="81"/>
            <rFont val="Tahoma"/>
            <family val="2"/>
          </rPr>
          <t>As a convenience, formula entered to automatically adjust balance to $0.  Cell is unlocked.</t>
        </r>
      </text>
    </comment>
    <comment ref="Q144" authorId="3" shapeId="0">
      <text>
        <r>
          <rPr>
            <b/>
            <sz val="10"/>
            <color indexed="81"/>
            <rFont val="Tahoma"/>
            <family val="2"/>
          </rPr>
          <t>This area is unlocked to use as a quick-check work area.</t>
        </r>
      </text>
    </comment>
    <comment ref="N145" authorId="4" shapeId="0">
      <text>
        <r>
          <rPr>
            <sz val="8"/>
            <color indexed="81"/>
            <rFont val="Tahoma"/>
            <family val="2"/>
          </rPr>
          <t>As a convenience, formula entered to automatically adjust balance to $0.  Cell is unlocked.</t>
        </r>
      </text>
    </comment>
    <comment ref="Q145" authorId="3" shapeId="0">
      <text>
        <r>
          <rPr>
            <b/>
            <sz val="10"/>
            <color indexed="81"/>
            <rFont val="Tahoma"/>
            <family val="2"/>
          </rPr>
          <t>This area is unlocked to use as a quick-check work area.</t>
        </r>
      </text>
    </comment>
    <comment ref="N146" authorId="4" shapeId="0">
      <text>
        <r>
          <rPr>
            <sz val="8"/>
            <color indexed="81"/>
            <rFont val="Tahoma"/>
            <family val="2"/>
          </rPr>
          <t>As a convenience, formula entered to automatically adjust balance to $0.  Cell is unlocked.</t>
        </r>
      </text>
    </comment>
    <comment ref="Q146" authorId="3" shapeId="0">
      <text>
        <r>
          <rPr>
            <b/>
            <sz val="10"/>
            <color indexed="81"/>
            <rFont val="Tahoma"/>
            <family val="2"/>
          </rPr>
          <t>This area is unlocked to use as a quick-check work area.</t>
        </r>
      </text>
    </comment>
    <comment ref="N147" authorId="4" shapeId="0">
      <text>
        <r>
          <rPr>
            <sz val="8"/>
            <color indexed="81"/>
            <rFont val="Tahoma"/>
            <family val="2"/>
          </rPr>
          <t>As a convenience, formula entered to automatically adjust balance to $0.  Cell is unlocked.</t>
        </r>
      </text>
    </comment>
    <comment ref="Q147" authorId="3" shapeId="0">
      <text>
        <r>
          <rPr>
            <b/>
            <sz val="10"/>
            <color indexed="81"/>
            <rFont val="Tahoma"/>
            <family val="2"/>
          </rPr>
          <t>This area is unlocked to use as a quick-check work area.</t>
        </r>
      </text>
    </comment>
    <comment ref="Q149" authorId="3" shapeId="0">
      <text>
        <r>
          <rPr>
            <b/>
            <sz val="10"/>
            <color indexed="81"/>
            <rFont val="Tahoma"/>
            <family val="2"/>
          </rPr>
          <t>This area is unlocked to use as a quick-check work area.</t>
        </r>
      </text>
    </comment>
    <comment ref="Q152" authorId="3" shapeId="0">
      <text>
        <r>
          <rPr>
            <b/>
            <sz val="10"/>
            <color indexed="81"/>
            <rFont val="Tahoma"/>
            <family val="2"/>
          </rPr>
          <t>This area is unlocked to use as a quick-check work area.</t>
        </r>
      </text>
    </comment>
    <comment ref="Q156" authorId="3" shapeId="0">
      <text>
        <r>
          <rPr>
            <b/>
            <sz val="10"/>
            <color indexed="81"/>
            <rFont val="Tahoma"/>
            <family val="2"/>
          </rPr>
          <t>This area is unlocked to use as a quick-check work area.</t>
        </r>
      </text>
    </comment>
    <comment ref="Q157" authorId="3" shapeId="0">
      <text>
        <r>
          <rPr>
            <b/>
            <sz val="10"/>
            <color indexed="81"/>
            <rFont val="Tahoma"/>
            <family val="2"/>
          </rPr>
          <t>This area is unlocked to use as a quick-check work area.</t>
        </r>
      </text>
    </comment>
    <comment ref="Q158" authorId="3" shapeId="0">
      <text>
        <r>
          <rPr>
            <b/>
            <sz val="10"/>
            <color indexed="81"/>
            <rFont val="Tahoma"/>
            <family val="2"/>
          </rPr>
          <t>This area is unlocked to use as a quick-check work area.</t>
        </r>
      </text>
    </comment>
    <comment ref="Q159" authorId="3" shapeId="0">
      <text>
        <r>
          <rPr>
            <b/>
            <sz val="10"/>
            <color indexed="81"/>
            <rFont val="Tahoma"/>
            <family val="2"/>
          </rPr>
          <t>This area is unlocked to use as a quick-check work area.</t>
        </r>
      </text>
    </comment>
    <comment ref="Q160" authorId="3" shapeId="0">
      <text>
        <r>
          <rPr>
            <b/>
            <sz val="10"/>
            <color indexed="81"/>
            <rFont val="Tahoma"/>
            <family val="2"/>
          </rPr>
          <t>This area is unlocked to use as a quick-check work area.</t>
        </r>
      </text>
    </comment>
    <comment ref="Q161" authorId="3" shapeId="0">
      <text>
        <r>
          <rPr>
            <b/>
            <sz val="10"/>
            <color indexed="81"/>
            <rFont val="Tahoma"/>
            <family val="2"/>
          </rPr>
          <t>This area is unlocked to use as a quick-check work area.</t>
        </r>
      </text>
    </comment>
    <comment ref="Q162" authorId="3" shapeId="0">
      <text>
        <r>
          <rPr>
            <b/>
            <sz val="10"/>
            <color indexed="81"/>
            <rFont val="Tahoma"/>
            <family val="2"/>
          </rPr>
          <t>This area is unlocked to use as a quick-check work area.</t>
        </r>
      </text>
    </comment>
    <comment ref="Q163" authorId="3" shapeId="0">
      <text>
        <r>
          <rPr>
            <b/>
            <sz val="10"/>
            <color indexed="81"/>
            <rFont val="Tahoma"/>
            <family val="2"/>
          </rPr>
          <t>This area is unlocked to use as a quick-check work area.</t>
        </r>
      </text>
    </comment>
    <comment ref="Q164" authorId="3" shapeId="0">
      <text>
        <r>
          <rPr>
            <b/>
            <sz val="10"/>
            <color indexed="81"/>
            <rFont val="Tahoma"/>
            <family val="2"/>
          </rPr>
          <t>This area is unlocked to use as a quick-check work area.</t>
        </r>
      </text>
    </comment>
    <comment ref="Q165" authorId="3" shapeId="0">
      <text>
        <r>
          <rPr>
            <b/>
            <sz val="10"/>
            <color indexed="81"/>
            <rFont val="Tahoma"/>
            <family val="2"/>
          </rPr>
          <t>This area is unlocked to use as a quick-check work area.</t>
        </r>
      </text>
    </comment>
    <comment ref="Q166" authorId="3" shapeId="0">
      <text>
        <r>
          <rPr>
            <b/>
            <sz val="10"/>
            <color indexed="81"/>
            <rFont val="Tahoma"/>
            <family val="2"/>
          </rPr>
          <t>This area is unlocked to use as a quick-check work area.</t>
        </r>
      </text>
    </comment>
    <comment ref="Q167" authorId="3" shapeId="0">
      <text>
        <r>
          <rPr>
            <b/>
            <sz val="10"/>
            <color indexed="81"/>
            <rFont val="Tahoma"/>
            <family val="2"/>
          </rPr>
          <t>This area is unlocked to use as a quick-check work area.</t>
        </r>
      </text>
    </comment>
    <comment ref="Q168" authorId="3" shapeId="0">
      <text>
        <r>
          <rPr>
            <b/>
            <sz val="10"/>
            <color indexed="81"/>
            <rFont val="Tahoma"/>
            <family val="2"/>
          </rPr>
          <t>This area is unlocked to use as a quick-check work area.</t>
        </r>
      </text>
    </comment>
    <comment ref="Q169" authorId="3" shapeId="0">
      <text>
        <r>
          <rPr>
            <b/>
            <sz val="10"/>
            <color indexed="81"/>
            <rFont val="Tahoma"/>
            <family val="2"/>
          </rPr>
          <t>This area is unlocked to use as a quick-check work area.</t>
        </r>
      </text>
    </comment>
    <comment ref="Q170" authorId="3" shapeId="0">
      <text>
        <r>
          <rPr>
            <b/>
            <sz val="10"/>
            <color indexed="81"/>
            <rFont val="Tahoma"/>
            <family val="2"/>
          </rPr>
          <t>This area is unlocked to use as a quick-check work area.</t>
        </r>
      </text>
    </comment>
    <comment ref="Q171" authorId="3" shapeId="0">
      <text>
        <r>
          <rPr>
            <b/>
            <sz val="10"/>
            <color indexed="81"/>
            <rFont val="Tahoma"/>
            <family val="2"/>
          </rPr>
          <t>This area is unlocked to use as a quick-check work area.</t>
        </r>
      </text>
    </comment>
    <comment ref="Q172" authorId="3" shapeId="0">
      <text>
        <r>
          <rPr>
            <b/>
            <sz val="10"/>
            <color indexed="81"/>
            <rFont val="Tahoma"/>
            <family val="2"/>
          </rPr>
          <t>This area is unlocked to use as a quick-check work area.</t>
        </r>
      </text>
    </comment>
    <comment ref="Q173" authorId="3" shapeId="0">
      <text>
        <r>
          <rPr>
            <b/>
            <sz val="10"/>
            <color indexed="81"/>
            <rFont val="Tahoma"/>
            <family val="2"/>
          </rPr>
          <t>This area is unlocked to use as a quick-check work area.</t>
        </r>
      </text>
    </comment>
    <comment ref="Q174" authorId="3" shapeId="0">
      <text>
        <r>
          <rPr>
            <b/>
            <sz val="10"/>
            <color indexed="81"/>
            <rFont val="Tahoma"/>
            <family val="2"/>
          </rPr>
          <t>This area is unlocked to use as a quick-check work area.</t>
        </r>
      </text>
    </comment>
    <comment ref="Q175" authorId="3" shapeId="0">
      <text>
        <r>
          <rPr>
            <b/>
            <sz val="10"/>
            <color indexed="81"/>
            <rFont val="Tahoma"/>
            <family val="2"/>
          </rPr>
          <t>This area is unlocked to use as a quick-check work area.</t>
        </r>
      </text>
    </comment>
    <comment ref="Q176" authorId="3" shapeId="0">
      <text>
        <r>
          <rPr>
            <b/>
            <sz val="10"/>
            <color indexed="81"/>
            <rFont val="Tahoma"/>
            <family val="2"/>
          </rPr>
          <t>This area is unlocked to use as a quick-check work area.</t>
        </r>
      </text>
    </comment>
    <comment ref="Q177" authorId="3" shapeId="0">
      <text>
        <r>
          <rPr>
            <b/>
            <sz val="10"/>
            <color indexed="81"/>
            <rFont val="Tahoma"/>
            <family val="2"/>
          </rPr>
          <t>This area is unlocked to use as a quick-check work area.</t>
        </r>
      </text>
    </comment>
    <comment ref="Q178" authorId="3" shapeId="0">
      <text>
        <r>
          <rPr>
            <b/>
            <sz val="10"/>
            <color indexed="81"/>
            <rFont val="Tahoma"/>
            <family val="2"/>
          </rPr>
          <t>This area is unlocked to use as a quick-check work area.</t>
        </r>
      </text>
    </comment>
    <comment ref="Q179" authorId="3" shapeId="0">
      <text>
        <r>
          <rPr>
            <b/>
            <sz val="10"/>
            <color indexed="81"/>
            <rFont val="Tahoma"/>
            <family val="2"/>
          </rPr>
          <t>This area is unlocked to use as a quick-check work area.</t>
        </r>
      </text>
    </comment>
    <comment ref="Q180" authorId="3" shapeId="0">
      <text>
        <r>
          <rPr>
            <b/>
            <sz val="10"/>
            <color indexed="81"/>
            <rFont val="Tahoma"/>
            <family val="2"/>
          </rPr>
          <t>This area is unlocked to use as a quick-check work area.</t>
        </r>
      </text>
    </comment>
    <comment ref="Q181" authorId="3" shapeId="0">
      <text>
        <r>
          <rPr>
            <b/>
            <sz val="10"/>
            <color indexed="81"/>
            <rFont val="Tahoma"/>
            <family val="2"/>
          </rPr>
          <t>This area is unlocked to use as a quick-check work area.</t>
        </r>
      </text>
    </comment>
    <comment ref="Q182" authorId="3" shapeId="0">
      <text>
        <r>
          <rPr>
            <b/>
            <sz val="10"/>
            <color indexed="81"/>
            <rFont val="Tahoma"/>
            <family val="2"/>
          </rPr>
          <t>This area is unlocked to use as a quick-check work area.</t>
        </r>
      </text>
    </comment>
    <comment ref="Q183" authorId="3" shapeId="0">
      <text>
        <r>
          <rPr>
            <b/>
            <sz val="10"/>
            <color indexed="81"/>
            <rFont val="Tahoma"/>
            <family val="2"/>
          </rPr>
          <t>This area is unlocked to use as a quick-check work area.</t>
        </r>
      </text>
    </comment>
    <comment ref="Q184" authorId="3" shapeId="0">
      <text>
        <r>
          <rPr>
            <b/>
            <sz val="10"/>
            <color indexed="81"/>
            <rFont val="Tahoma"/>
            <family val="2"/>
          </rPr>
          <t>This area is unlocked to use as a quick-check work area.</t>
        </r>
      </text>
    </comment>
    <comment ref="Q185" authorId="3" shapeId="0">
      <text>
        <r>
          <rPr>
            <b/>
            <sz val="10"/>
            <color indexed="81"/>
            <rFont val="Tahoma"/>
            <family val="2"/>
          </rPr>
          <t>This area is unlocked to use as a quick-check work area.</t>
        </r>
      </text>
    </comment>
    <comment ref="N186" authorId="5" shapeId="0">
      <text>
        <r>
          <rPr>
            <sz val="9"/>
            <color indexed="81"/>
            <rFont val="Tahoma"/>
            <family val="2"/>
          </rPr>
          <t>The amount of Scholarship Allowance to reduce Tuition and Scholarships will flow from the SRECNP.</t>
        </r>
      </text>
    </comment>
    <comment ref="Q186" authorId="3" shapeId="0">
      <text>
        <r>
          <rPr>
            <b/>
            <sz val="10"/>
            <color indexed="81"/>
            <rFont val="Tahoma"/>
            <family val="2"/>
          </rPr>
          <t>This area is unlocked to use as a quick-check work area.</t>
        </r>
      </text>
    </comment>
    <comment ref="Q187" authorId="3" shapeId="0">
      <text>
        <r>
          <rPr>
            <b/>
            <sz val="10"/>
            <color indexed="81"/>
            <rFont val="Tahoma"/>
            <family val="2"/>
          </rPr>
          <t>This area is unlocked to use as a quick-check work area.</t>
        </r>
      </text>
    </comment>
    <comment ref="Q188" authorId="3" shapeId="0">
      <text>
        <r>
          <rPr>
            <b/>
            <sz val="10"/>
            <color indexed="81"/>
            <rFont val="Tahoma"/>
            <family val="2"/>
          </rPr>
          <t>This area is unlocked to use as a quick-check work area.</t>
        </r>
      </text>
    </comment>
    <comment ref="Q189" authorId="3" shapeId="0">
      <text>
        <r>
          <rPr>
            <b/>
            <sz val="10"/>
            <color indexed="81"/>
            <rFont val="Tahoma"/>
            <family val="2"/>
          </rPr>
          <t>This area is unlocked to use as a quick-check work area.</t>
        </r>
      </text>
    </comment>
    <comment ref="Q190" authorId="3" shapeId="0">
      <text>
        <r>
          <rPr>
            <b/>
            <sz val="10"/>
            <color indexed="81"/>
            <rFont val="Tahoma"/>
            <family val="2"/>
          </rPr>
          <t>This area is unlocked to use as a quick-check work area.</t>
        </r>
      </text>
    </comment>
    <comment ref="Q191" authorId="3" shapeId="0">
      <text>
        <r>
          <rPr>
            <b/>
            <sz val="10"/>
            <color indexed="81"/>
            <rFont val="Tahoma"/>
            <family val="2"/>
          </rPr>
          <t>This area is unlocked to use as a quick-check work area.</t>
        </r>
      </text>
    </comment>
    <comment ref="Q192" authorId="3" shapeId="0">
      <text>
        <r>
          <rPr>
            <b/>
            <sz val="10"/>
            <color indexed="81"/>
            <rFont val="Tahoma"/>
            <family val="2"/>
          </rPr>
          <t>This area is unlocked to use as a quick-check work area.</t>
        </r>
      </text>
    </comment>
    <comment ref="Q193" authorId="3" shapeId="0">
      <text>
        <r>
          <rPr>
            <b/>
            <sz val="10"/>
            <color indexed="81"/>
            <rFont val="Tahoma"/>
            <family val="2"/>
          </rPr>
          <t>This area is unlocked to use as a quick-check work area.</t>
        </r>
      </text>
    </comment>
    <comment ref="Q194" authorId="3" shapeId="0">
      <text>
        <r>
          <rPr>
            <b/>
            <sz val="10"/>
            <color indexed="81"/>
            <rFont val="Tahoma"/>
            <family val="2"/>
          </rPr>
          <t>This area is unlocked to use as a quick-check work area.</t>
        </r>
      </text>
    </comment>
    <comment ref="Q195" authorId="3" shapeId="0">
      <text>
        <r>
          <rPr>
            <b/>
            <sz val="10"/>
            <color indexed="81"/>
            <rFont val="Tahoma"/>
            <family val="2"/>
          </rPr>
          <t>This area is unlocked to use as a quick-check work area.</t>
        </r>
      </text>
    </comment>
    <comment ref="Q196" authorId="3" shapeId="0">
      <text>
        <r>
          <rPr>
            <b/>
            <sz val="10"/>
            <color indexed="81"/>
            <rFont val="Tahoma"/>
            <family val="2"/>
          </rPr>
          <t>This area is unlocked to use as a quick-check work area.</t>
        </r>
      </text>
    </comment>
    <comment ref="Q197" authorId="3" shapeId="0">
      <text>
        <r>
          <rPr>
            <b/>
            <sz val="10"/>
            <color indexed="81"/>
            <rFont val="Tahoma"/>
            <family val="2"/>
          </rPr>
          <t>This area is unlocked to use as a quick-check work area.</t>
        </r>
      </text>
    </comment>
    <comment ref="Q198" authorId="3" shapeId="0">
      <text>
        <r>
          <rPr>
            <b/>
            <sz val="10"/>
            <color indexed="81"/>
            <rFont val="Tahoma"/>
            <family val="2"/>
          </rPr>
          <t>This area is unlocked to use as a quick-check work area.</t>
        </r>
      </text>
    </comment>
    <comment ref="Q199" authorId="3" shapeId="0">
      <text>
        <r>
          <rPr>
            <b/>
            <sz val="10"/>
            <color indexed="81"/>
            <rFont val="Tahoma"/>
            <family val="2"/>
          </rPr>
          <t>This area is unlocked to use as a quick-check work area.</t>
        </r>
      </text>
    </comment>
    <comment ref="Q200" authorId="3" shapeId="0">
      <text>
        <r>
          <rPr>
            <b/>
            <sz val="10"/>
            <color indexed="81"/>
            <rFont val="Tahoma"/>
            <family val="2"/>
          </rPr>
          <t>This area is unlocked to use as a quick-check work area.</t>
        </r>
      </text>
    </comment>
    <comment ref="Q201" authorId="3" shapeId="0">
      <text>
        <r>
          <rPr>
            <b/>
            <sz val="10"/>
            <color indexed="81"/>
            <rFont val="Tahoma"/>
            <family val="2"/>
          </rPr>
          <t>This area is unlocked to use as a quick-check work area.</t>
        </r>
      </text>
    </comment>
    <comment ref="Q202" authorId="3" shapeId="0">
      <text>
        <r>
          <rPr>
            <b/>
            <sz val="10"/>
            <color indexed="81"/>
            <rFont val="Tahoma"/>
            <family val="2"/>
          </rPr>
          <t>This area is unlocked to use as a quick-check work area.</t>
        </r>
      </text>
    </comment>
    <comment ref="Q203" authorId="3" shapeId="0">
      <text>
        <r>
          <rPr>
            <b/>
            <sz val="10"/>
            <color indexed="81"/>
            <rFont val="Tahoma"/>
            <family val="2"/>
          </rPr>
          <t>This area is unlocked to use as a quick-check work area.</t>
        </r>
      </text>
    </comment>
    <comment ref="Q204" authorId="3" shapeId="0">
      <text>
        <r>
          <rPr>
            <b/>
            <sz val="10"/>
            <color indexed="81"/>
            <rFont val="Tahoma"/>
            <family val="2"/>
          </rPr>
          <t>This area is unlocked to use as a quick-check work area.</t>
        </r>
      </text>
    </comment>
    <comment ref="Q205" authorId="3" shapeId="0">
      <text>
        <r>
          <rPr>
            <b/>
            <sz val="10"/>
            <color indexed="81"/>
            <rFont val="Tahoma"/>
            <family val="2"/>
          </rPr>
          <t>This area is unlocked to use as a quick-check work area.</t>
        </r>
      </text>
    </comment>
    <comment ref="Q206" authorId="3" shapeId="0">
      <text>
        <r>
          <rPr>
            <b/>
            <sz val="10"/>
            <color indexed="81"/>
            <rFont val="Tahoma"/>
            <family val="2"/>
          </rPr>
          <t>This area is unlocked to use as a quick-check work area.</t>
        </r>
      </text>
    </comment>
    <comment ref="Q207" authorId="3" shapeId="0">
      <text>
        <r>
          <rPr>
            <b/>
            <sz val="10"/>
            <color indexed="81"/>
            <rFont val="Tahoma"/>
            <family val="2"/>
          </rPr>
          <t>This area is unlocked to use as a quick-check work area.</t>
        </r>
      </text>
    </comment>
    <comment ref="Q208" authorId="3" shapeId="0">
      <text>
        <r>
          <rPr>
            <b/>
            <sz val="10"/>
            <color indexed="81"/>
            <rFont val="Tahoma"/>
            <family val="2"/>
          </rPr>
          <t>This area is unlocked to use as a quick-check work area.</t>
        </r>
      </text>
    </comment>
    <comment ref="Q209" authorId="3" shapeId="0">
      <text>
        <r>
          <rPr>
            <b/>
            <sz val="10"/>
            <color indexed="81"/>
            <rFont val="Tahoma"/>
            <family val="2"/>
          </rPr>
          <t>This area is unlocked to use as a quick-check work area.</t>
        </r>
      </text>
    </comment>
    <comment ref="Q210" authorId="3" shapeId="0">
      <text>
        <r>
          <rPr>
            <b/>
            <sz val="10"/>
            <color indexed="81"/>
            <rFont val="Tahoma"/>
            <family val="2"/>
          </rPr>
          <t>This area is unlocked to use as a quick-check work area.</t>
        </r>
      </text>
    </comment>
    <comment ref="Q213" authorId="3" shapeId="0">
      <text>
        <r>
          <rPr>
            <b/>
            <sz val="10"/>
            <color indexed="81"/>
            <rFont val="Tahoma"/>
            <family val="2"/>
          </rPr>
          <t>This area is unlocked to use as a quick-check work area.</t>
        </r>
      </text>
    </comment>
    <comment ref="Q215" authorId="3" shapeId="0">
      <text>
        <r>
          <rPr>
            <b/>
            <sz val="10"/>
            <color indexed="81"/>
            <rFont val="Tahoma"/>
            <family val="2"/>
          </rPr>
          <t>This area is unlocked to use as a quick-check work area.</t>
        </r>
      </text>
    </comment>
    <comment ref="Q216" authorId="3" shapeId="0">
      <text>
        <r>
          <rPr>
            <b/>
            <sz val="10"/>
            <color indexed="81"/>
            <rFont val="Tahoma"/>
            <family val="2"/>
          </rPr>
          <t>This area is unlocked to use as a quick-check work area.</t>
        </r>
      </text>
    </comment>
    <comment ref="Q217" authorId="3" shapeId="0">
      <text>
        <r>
          <rPr>
            <b/>
            <sz val="10"/>
            <color indexed="81"/>
            <rFont val="Tahoma"/>
            <family val="2"/>
          </rPr>
          <t>This area is unlocked to use as a quick-check work area.</t>
        </r>
      </text>
    </comment>
    <comment ref="Q218" authorId="3" shapeId="0">
      <text>
        <r>
          <rPr>
            <b/>
            <sz val="10"/>
            <color indexed="81"/>
            <rFont val="Tahoma"/>
            <family val="2"/>
          </rPr>
          <t>This area is unlocked to use as a quick-check work area.</t>
        </r>
      </text>
    </comment>
    <comment ref="Q219" authorId="3" shapeId="0">
      <text>
        <r>
          <rPr>
            <b/>
            <sz val="10"/>
            <color indexed="81"/>
            <rFont val="Tahoma"/>
            <family val="2"/>
          </rPr>
          <t>This area is unlocked to use as a quick-check work area.</t>
        </r>
      </text>
    </comment>
    <comment ref="Q220" authorId="3" shapeId="0">
      <text>
        <r>
          <rPr>
            <b/>
            <sz val="10"/>
            <color indexed="81"/>
            <rFont val="Tahoma"/>
            <family val="2"/>
          </rPr>
          <t>This area is unlocked to use as a quick-check work area.</t>
        </r>
      </text>
    </comment>
    <comment ref="Q221" authorId="3" shapeId="0">
      <text>
        <r>
          <rPr>
            <b/>
            <sz val="10"/>
            <color indexed="81"/>
            <rFont val="Tahoma"/>
            <family val="2"/>
          </rPr>
          <t>This area is unlocked to use as a quick-check work area.</t>
        </r>
      </text>
    </comment>
    <comment ref="Q222" authorId="3" shapeId="0">
      <text>
        <r>
          <rPr>
            <b/>
            <sz val="10"/>
            <color indexed="81"/>
            <rFont val="Tahoma"/>
            <family val="2"/>
          </rPr>
          <t>This area is unlocked to use as a quick-check work area.</t>
        </r>
      </text>
    </comment>
    <comment ref="Q223" authorId="3" shapeId="0">
      <text>
        <r>
          <rPr>
            <b/>
            <sz val="10"/>
            <color indexed="81"/>
            <rFont val="Tahoma"/>
            <family val="2"/>
          </rPr>
          <t>This area is unlocked to use as a quick-check work area.</t>
        </r>
      </text>
    </comment>
    <comment ref="Q225" authorId="3" shapeId="0">
      <text>
        <r>
          <rPr>
            <b/>
            <sz val="10"/>
            <color indexed="81"/>
            <rFont val="Tahoma"/>
            <family val="2"/>
          </rPr>
          <t>This area is unlocked to use as a quick-check work area.</t>
        </r>
      </text>
    </comment>
    <comment ref="Q226" authorId="3" shapeId="0">
      <text>
        <r>
          <rPr>
            <b/>
            <sz val="10"/>
            <color indexed="81"/>
            <rFont val="Tahoma"/>
            <family val="2"/>
          </rPr>
          <t>This area is unlocked to use as a quick-check work area.</t>
        </r>
      </text>
    </comment>
    <comment ref="Q227" authorId="3" shapeId="0">
      <text>
        <r>
          <rPr>
            <b/>
            <sz val="10"/>
            <color indexed="81"/>
            <rFont val="Tahoma"/>
            <family val="2"/>
          </rPr>
          <t>This area is unlocked to use as a quick-check work area.</t>
        </r>
      </text>
    </comment>
    <comment ref="Q228" authorId="3" shapeId="0">
      <text>
        <r>
          <rPr>
            <b/>
            <sz val="10"/>
            <color indexed="81"/>
            <rFont val="Tahoma"/>
            <family val="2"/>
          </rPr>
          <t>This area is unlocked to use as a quick-check work area.</t>
        </r>
      </text>
    </comment>
    <comment ref="Q229" authorId="3" shapeId="0">
      <text>
        <r>
          <rPr>
            <b/>
            <sz val="10"/>
            <color indexed="81"/>
            <rFont val="Tahoma"/>
            <family val="2"/>
          </rPr>
          <t>This area is unlocked to use as a quick-check work area.</t>
        </r>
      </text>
    </comment>
    <comment ref="Q230" authorId="3" shapeId="0">
      <text>
        <r>
          <rPr>
            <b/>
            <sz val="10"/>
            <color indexed="81"/>
            <rFont val="Tahoma"/>
            <family val="2"/>
          </rPr>
          <t>This area is unlocked to use as a quick-check work area.</t>
        </r>
      </text>
    </comment>
    <comment ref="Q231" authorId="3" shapeId="0">
      <text>
        <r>
          <rPr>
            <b/>
            <sz val="10"/>
            <color indexed="81"/>
            <rFont val="Tahoma"/>
            <family val="2"/>
          </rPr>
          <t>This area is unlocked to use as a quick-check work area.</t>
        </r>
      </text>
    </comment>
    <comment ref="Q232" authorId="3" shapeId="0">
      <text>
        <r>
          <rPr>
            <b/>
            <sz val="10"/>
            <color indexed="81"/>
            <rFont val="Tahoma"/>
            <family val="2"/>
          </rPr>
          <t>This area is unlocked to use as a quick-check work area.</t>
        </r>
      </text>
    </comment>
    <comment ref="Q233" authorId="3" shapeId="0">
      <text>
        <r>
          <rPr>
            <b/>
            <sz val="10"/>
            <color indexed="81"/>
            <rFont val="Tahoma"/>
            <family val="2"/>
          </rPr>
          <t>This area is unlocked to use as a quick-check work area.</t>
        </r>
      </text>
    </comment>
    <comment ref="Q234" authorId="3" shapeId="0">
      <text>
        <r>
          <rPr>
            <b/>
            <sz val="10"/>
            <color indexed="81"/>
            <rFont val="Tahoma"/>
            <family val="2"/>
          </rPr>
          <t>This area is unlocked to use as a quick-check work area.</t>
        </r>
      </text>
    </comment>
    <comment ref="Q235" authorId="3" shapeId="0">
      <text>
        <r>
          <rPr>
            <b/>
            <sz val="10"/>
            <color indexed="81"/>
            <rFont val="Tahoma"/>
            <family val="2"/>
          </rPr>
          <t>This area is unlocked to use as a quick-check work area.</t>
        </r>
      </text>
    </comment>
    <comment ref="Q236" authorId="3" shapeId="0">
      <text>
        <r>
          <rPr>
            <b/>
            <sz val="10"/>
            <color indexed="81"/>
            <rFont val="Tahoma"/>
            <family val="2"/>
          </rPr>
          <t>This area is unlocked to use as a quick-check work area.</t>
        </r>
      </text>
    </comment>
    <comment ref="Q237" authorId="3" shapeId="0">
      <text>
        <r>
          <rPr>
            <b/>
            <sz val="10"/>
            <color indexed="81"/>
            <rFont val="Tahoma"/>
            <family val="2"/>
          </rPr>
          <t>This area is unlocked to use as a quick-check work area.</t>
        </r>
      </text>
    </comment>
    <comment ref="Q238" authorId="3" shapeId="0">
      <text>
        <r>
          <rPr>
            <b/>
            <sz val="10"/>
            <color indexed="81"/>
            <rFont val="Tahoma"/>
            <family val="2"/>
          </rPr>
          <t>This area is unlocked to use as a quick-check work area.</t>
        </r>
      </text>
    </comment>
    <comment ref="Q239" authorId="3" shapeId="0">
      <text>
        <r>
          <rPr>
            <b/>
            <sz val="10"/>
            <color indexed="81"/>
            <rFont val="Tahoma"/>
            <family val="2"/>
          </rPr>
          <t>This area is unlocked to use as a quick-check work area.</t>
        </r>
      </text>
    </comment>
    <comment ref="Q240" authorId="3" shapeId="0">
      <text>
        <r>
          <rPr>
            <b/>
            <sz val="10"/>
            <color indexed="81"/>
            <rFont val="Tahoma"/>
            <family val="2"/>
          </rPr>
          <t>This area is unlocked to use as a quick-check work area.</t>
        </r>
      </text>
    </comment>
    <comment ref="Q241" authorId="3" shapeId="0">
      <text>
        <r>
          <rPr>
            <b/>
            <sz val="10"/>
            <color indexed="81"/>
            <rFont val="Tahoma"/>
            <family val="2"/>
          </rPr>
          <t>This area is unlocked to use as a quick-check work area.</t>
        </r>
      </text>
    </comment>
    <comment ref="Q242" authorId="3" shapeId="0">
      <text>
        <r>
          <rPr>
            <b/>
            <sz val="10"/>
            <color indexed="81"/>
            <rFont val="Tahoma"/>
            <family val="2"/>
          </rPr>
          <t>This area is unlocked to use as a quick-check work area.</t>
        </r>
      </text>
    </comment>
    <comment ref="Q243" authorId="3" shapeId="0">
      <text>
        <r>
          <rPr>
            <b/>
            <sz val="10"/>
            <color indexed="81"/>
            <rFont val="Tahoma"/>
            <family val="2"/>
          </rPr>
          <t>This area is unlocked to use as a quick-check work area.</t>
        </r>
      </text>
    </comment>
    <comment ref="Q244" authorId="3" shapeId="0">
      <text>
        <r>
          <rPr>
            <b/>
            <sz val="10"/>
            <color indexed="81"/>
            <rFont val="Tahoma"/>
            <family val="2"/>
          </rPr>
          <t>This area is unlocked to use as a quick-check work area.</t>
        </r>
      </text>
    </comment>
    <comment ref="Q245" authorId="3" shapeId="0">
      <text>
        <r>
          <rPr>
            <b/>
            <sz val="10"/>
            <color indexed="81"/>
            <rFont val="Tahoma"/>
            <family val="2"/>
          </rPr>
          <t>This area is unlocked to use as a quick-check work area.</t>
        </r>
      </text>
    </comment>
    <comment ref="Q246" authorId="3" shapeId="0">
      <text>
        <r>
          <rPr>
            <b/>
            <sz val="10"/>
            <color indexed="81"/>
            <rFont val="Tahoma"/>
            <family val="2"/>
          </rPr>
          <t>This area is unlocked to use as a quick-check work area.</t>
        </r>
      </text>
    </comment>
    <comment ref="Q247" authorId="3" shapeId="0">
      <text>
        <r>
          <rPr>
            <b/>
            <sz val="10"/>
            <color indexed="81"/>
            <rFont val="Tahoma"/>
            <family val="2"/>
          </rPr>
          <t>This area is unlocked to use as a quick-check work area.</t>
        </r>
      </text>
    </comment>
    <comment ref="Q248" authorId="3" shapeId="0">
      <text>
        <r>
          <rPr>
            <b/>
            <sz val="10"/>
            <color indexed="81"/>
            <rFont val="Tahoma"/>
            <family val="2"/>
          </rPr>
          <t>This area is unlocked to use as a quick-check work area.</t>
        </r>
      </text>
    </comment>
    <comment ref="Q249" authorId="3" shapeId="0">
      <text>
        <r>
          <rPr>
            <b/>
            <sz val="10"/>
            <color indexed="81"/>
            <rFont val="Tahoma"/>
            <family val="2"/>
          </rPr>
          <t>This area is unlocked to use as a quick-check work area.</t>
        </r>
      </text>
    </comment>
    <comment ref="Q250" authorId="3" shapeId="0">
      <text>
        <r>
          <rPr>
            <b/>
            <sz val="10"/>
            <color indexed="81"/>
            <rFont val="Tahoma"/>
            <family val="2"/>
          </rPr>
          <t>This area is unlocked to use as a quick-check work area.</t>
        </r>
      </text>
    </comment>
    <comment ref="Q251" authorId="3" shapeId="0">
      <text>
        <r>
          <rPr>
            <b/>
            <sz val="10"/>
            <color indexed="81"/>
            <rFont val="Tahoma"/>
            <family val="2"/>
          </rPr>
          <t>This area is unlocked to use as a quick-check work area.</t>
        </r>
      </text>
    </comment>
    <comment ref="Q252" authorId="3" shapeId="0">
      <text>
        <r>
          <rPr>
            <b/>
            <sz val="10"/>
            <color indexed="81"/>
            <rFont val="Tahoma"/>
            <family val="2"/>
          </rPr>
          <t>This area is unlocked to use as a quick-check work area.</t>
        </r>
      </text>
    </comment>
    <comment ref="Q253" authorId="3" shapeId="0">
      <text>
        <r>
          <rPr>
            <b/>
            <sz val="10"/>
            <color indexed="81"/>
            <rFont val="Tahoma"/>
            <family val="2"/>
          </rPr>
          <t>This area is unlocked to use as a quick-check work area.</t>
        </r>
      </text>
    </comment>
    <comment ref="Q254" authorId="3" shapeId="0">
      <text>
        <r>
          <rPr>
            <b/>
            <sz val="10"/>
            <color indexed="81"/>
            <rFont val="Tahoma"/>
            <family val="2"/>
          </rPr>
          <t>This area is unlocked to use as a quick-check work area.</t>
        </r>
      </text>
    </comment>
    <comment ref="Q255" authorId="3" shapeId="0">
      <text>
        <r>
          <rPr>
            <b/>
            <sz val="10"/>
            <color indexed="81"/>
            <rFont val="Tahoma"/>
            <family val="2"/>
          </rPr>
          <t>This area is unlocked to use as a quick-check work area.</t>
        </r>
      </text>
    </comment>
    <comment ref="Q256" authorId="3" shapeId="0">
      <text>
        <r>
          <rPr>
            <b/>
            <sz val="10"/>
            <color indexed="81"/>
            <rFont val="Tahoma"/>
            <family val="2"/>
          </rPr>
          <t>This area is unlocked to use as a quick-check work area.</t>
        </r>
      </text>
    </comment>
    <comment ref="Q257" authorId="3" shapeId="0">
      <text>
        <r>
          <rPr>
            <b/>
            <sz val="10"/>
            <color indexed="81"/>
            <rFont val="Tahoma"/>
            <family val="2"/>
          </rPr>
          <t>This area is unlocked to use as a quick-check work area.</t>
        </r>
      </text>
    </comment>
    <comment ref="Q258" authorId="3" shapeId="0">
      <text>
        <r>
          <rPr>
            <b/>
            <sz val="10"/>
            <color indexed="81"/>
            <rFont val="Tahoma"/>
            <family val="2"/>
          </rPr>
          <t>This area is unlocked to use as a quick-check work area.</t>
        </r>
      </text>
    </comment>
    <comment ref="Q259" authorId="3" shapeId="0">
      <text>
        <r>
          <rPr>
            <b/>
            <sz val="10"/>
            <color indexed="81"/>
            <rFont val="Tahoma"/>
            <family val="2"/>
          </rPr>
          <t>This area is unlocked to use as a quick-check work area.</t>
        </r>
      </text>
    </comment>
    <comment ref="Q260" authorId="3" shapeId="0">
      <text>
        <r>
          <rPr>
            <b/>
            <sz val="10"/>
            <color indexed="81"/>
            <rFont val="Tahoma"/>
            <family val="2"/>
          </rPr>
          <t>This area is unlocked to use as a quick-check work area.</t>
        </r>
      </text>
    </comment>
    <comment ref="Q261" authorId="3" shapeId="0">
      <text>
        <r>
          <rPr>
            <b/>
            <sz val="10"/>
            <color indexed="81"/>
            <rFont val="Tahoma"/>
            <family val="2"/>
          </rPr>
          <t>This area is unlocked to use as a quick-check work area.</t>
        </r>
      </text>
    </comment>
    <comment ref="Q262" authorId="3" shapeId="0">
      <text>
        <r>
          <rPr>
            <b/>
            <sz val="10"/>
            <color indexed="81"/>
            <rFont val="Tahoma"/>
            <family val="2"/>
          </rPr>
          <t>This area is unlocked to use as a quick-check work area.</t>
        </r>
      </text>
    </comment>
    <comment ref="Q263" authorId="3" shapeId="0">
      <text>
        <r>
          <rPr>
            <b/>
            <sz val="10"/>
            <color indexed="81"/>
            <rFont val="Tahoma"/>
            <family val="2"/>
          </rPr>
          <t>This area is unlocked to use as a quick-check work area.</t>
        </r>
      </text>
    </comment>
    <comment ref="Q264" authorId="3" shapeId="0">
      <text>
        <r>
          <rPr>
            <b/>
            <sz val="10"/>
            <color indexed="81"/>
            <rFont val="Tahoma"/>
            <family val="2"/>
          </rPr>
          <t>This area is unlocked to use as a quick-check work area.</t>
        </r>
      </text>
    </comment>
    <comment ref="Q265" authorId="3" shapeId="0">
      <text>
        <r>
          <rPr>
            <b/>
            <sz val="10"/>
            <color indexed="81"/>
            <rFont val="Tahoma"/>
            <family val="2"/>
          </rPr>
          <t>This area is unlocked to use as a quick-check work area.</t>
        </r>
      </text>
    </comment>
    <comment ref="Q266" authorId="3" shapeId="0">
      <text>
        <r>
          <rPr>
            <b/>
            <sz val="10"/>
            <color indexed="81"/>
            <rFont val="Tahoma"/>
            <family val="2"/>
          </rPr>
          <t>This area is unlocked to use as a quick-check work area.</t>
        </r>
      </text>
    </comment>
    <comment ref="Q267" authorId="3" shapeId="0">
      <text>
        <r>
          <rPr>
            <b/>
            <sz val="10"/>
            <color indexed="81"/>
            <rFont val="Tahoma"/>
            <family val="2"/>
          </rPr>
          <t>This area is unlocked to use as a quick-check work area.</t>
        </r>
      </text>
    </comment>
    <comment ref="Q268" authorId="3" shapeId="0">
      <text>
        <r>
          <rPr>
            <b/>
            <sz val="10"/>
            <color indexed="81"/>
            <rFont val="Tahoma"/>
            <family val="2"/>
          </rPr>
          <t>This area is unlocked to use as a quick-check work area.</t>
        </r>
      </text>
    </comment>
    <comment ref="Q269" authorId="3" shapeId="0">
      <text>
        <r>
          <rPr>
            <b/>
            <sz val="10"/>
            <color indexed="81"/>
            <rFont val="Tahoma"/>
            <family val="2"/>
          </rPr>
          <t>This area is unlocked to use as a quick-check work area.</t>
        </r>
      </text>
    </comment>
    <comment ref="Q270" authorId="3" shapeId="0">
      <text>
        <r>
          <rPr>
            <b/>
            <sz val="10"/>
            <color indexed="81"/>
            <rFont val="Tahoma"/>
            <family val="2"/>
          </rPr>
          <t>This area is unlocked to use as a quick-check work area.</t>
        </r>
      </text>
    </comment>
    <comment ref="Q271" authorId="3" shapeId="0">
      <text>
        <r>
          <rPr>
            <b/>
            <sz val="10"/>
            <color indexed="81"/>
            <rFont val="Tahoma"/>
            <family val="2"/>
          </rPr>
          <t>This area is unlocked to use as a quick-check work area.</t>
        </r>
      </text>
    </comment>
    <comment ref="Q272" authorId="3" shapeId="0">
      <text>
        <r>
          <rPr>
            <b/>
            <sz val="10"/>
            <color indexed="81"/>
            <rFont val="Tahoma"/>
            <family val="2"/>
          </rPr>
          <t>This area is unlocked to use as a quick-check work area.</t>
        </r>
      </text>
    </comment>
    <comment ref="Q273" authorId="3" shapeId="0">
      <text>
        <r>
          <rPr>
            <b/>
            <sz val="10"/>
            <color indexed="81"/>
            <rFont val="Tahoma"/>
            <family val="2"/>
          </rPr>
          <t>This area is unlocked to use as a quick-check work area.</t>
        </r>
      </text>
    </comment>
    <comment ref="Q274" authorId="3" shapeId="0">
      <text>
        <r>
          <rPr>
            <b/>
            <sz val="10"/>
            <color indexed="81"/>
            <rFont val="Tahoma"/>
            <family val="2"/>
          </rPr>
          <t>This area is unlocked to use as a quick-check work area.</t>
        </r>
      </text>
    </comment>
    <comment ref="Q275" authorId="3" shapeId="0">
      <text>
        <r>
          <rPr>
            <b/>
            <sz val="10"/>
            <color indexed="81"/>
            <rFont val="Tahoma"/>
            <family val="2"/>
          </rPr>
          <t>This area is unlocked to use as a quick-check work area.</t>
        </r>
      </text>
    </comment>
    <comment ref="Q276" authorId="3" shapeId="0">
      <text>
        <r>
          <rPr>
            <b/>
            <sz val="10"/>
            <color indexed="81"/>
            <rFont val="Tahoma"/>
            <family val="2"/>
          </rPr>
          <t>This area is unlocked to use as a quick-check work area.</t>
        </r>
      </text>
    </comment>
    <comment ref="Q277" authorId="3" shapeId="0">
      <text>
        <r>
          <rPr>
            <b/>
            <sz val="10"/>
            <color indexed="81"/>
            <rFont val="Tahoma"/>
            <family val="2"/>
          </rPr>
          <t>This area is unlocked to use as a quick-check work area.</t>
        </r>
      </text>
    </comment>
    <comment ref="Q278" authorId="3" shapeId="0">
      <text>
        <r>
          <rPr>
            <b/>
            <sz val="10"/>
            <color indexed="81"/>
            <rFont val="Tahoma"/>
            <family val="2"/>
          </rPr>
          <t>This area is unlocked to use as a quick-check work area.</t>
        </r>
      </text>
    </comment>
    <comment ref="Q279" authorId="3" shapeId="0">
      <text>
        <r>
          <rPr>
            <b/>
            <sz val="10"/>
            <color indexed="81"/>
            <rFont val="Tahoma"/>
            <family val="2"/>
          </rPr>
          <t>This area is unlocked to use as a quick-check work area.</t>
        </r>
      </text>
    </comment>
    <comment ref="Q280" authorId="3" shapeId="0">
      <text>
        <r>
          <rPr>
            <b/>
            <sz val="10"/>
            <color indexed="81"/>
            <rFont val="Tahoma"/>
            <family val="2"/>
          </rPr>
          <t>This area is unlocked to use as a quick-check work area.</t>
        </r>
      </text>
    </comment>
    <comment ref="Q282" authorId="3" shapeId="0">
      <text>
        <r>
          <rPr>
            <b/>
            <sz val="10"/>
            <color indexed="81"/>
            <rFont val="Tahoma"/>
            <family val="2"/>
          </rPr>
          <t>This area is unlocked to use as a quick-check work area.</t>
        </r>
      </text>
    </comment>
    <comment ref="Q283" authorId="3" shapeId="0">
      <text>
        <r>
          <rPr>
            <b/>
            <sz val="10"/>
            <color indexed="81"/>
            <rFont val="Tahoma"/>
            <family val="2"/>
          </rPr>
          <t>This area is unlocked to use as a quick-check work area.</t>
        </r>
      </text>
    </comment>
    <comment ref="Q284" authorId="3" shapeId="0">
      <text>
        <r>
          <rPr>
            <b/>
            <sz val="10"/>
            <color indexed="81"/>
            <rFont val="Tahoma"/>
            <family val="2"/>
          </rPr>
          <t>This area is unlocked to use as a quick-check work area.</t>
        </r>
      </text>
    </comment>
    <comment ref="Q285" authorId="3" shapeId="0">
      <text>
        <r>
          <rPr>
            <b/>
            <sz val="10"/>
            <color indexed="81"/>
            <rFont val="Tahoma"/>
            <family val="2"/>
          </rPr>
          <t>This area is unlocked to use as a quick-check work area.</t>
        </r>
      </text>
    </comment>
    <comment ref="Q286" authorId="3" shapeId="0">
      <text>
        <r>
          <rPr>
            <b/>
            <sz val="10"/>
            <color indexed="81"/>
            <rFont val="Tahoma"/>
            <family val="2"/>
          </rPr>
          <t>This area is unlocked to use as a quick-check work area.</t>
        </r>
      </text>
    </comment>
    <comment ref="Q287" authorId="3" shapeId="0">
      <text>
        <r>
          <rPr>
            <b/>
            <sz val="10"/>
            <color indexed="81"/>
            <rFont val="Tahoma"/>
            <family val="2"/>
          </rPr>
          <t>This area is unlocked to use as a quick-check work area.</t>
        </r>
      </text>
    </comment>
    <comment ref="Q288" authorId="3" shapeId="0">
      <text>
        <r>
          <rPr>
            <b/>
            <sz val="10"/>
            <color indexed="81"/>
            <rFont val="Tahoma"/>
            <family val="2"/>
          </rPr>
          <t>This area is unlocked to use as a quick-check work area.</t>
        </r>
      </text>
    </comment>
    <comment ref="Q289" authorId="3" shapeId="0">
      <text>
        <r>
          <rPr>
            <b/>
            <sz val="10"/>
            <color indexed="81"/>
            <rFont val="Tahoma"/>
            <family val="2"/>
          </rPr>
          <t>This area is unlocked to use as a quick-check work area.</t>
        </r>
      </text>
    </comment>
    <comment ref="Q290" authorId="3" shapeId="0">
      <text>
        <r>
          <rPr>
            <b/>
            <sz val="10"/>
            <color indexed="81"/>
            <rFont val="Tahoma"/>
            <family val="2"/>
          </rPr>
          <t>This area is unlocked to use as a quick-check work area.</t>
        </r>
      </text>
    </comment>
    <comment ref="Q291" authorId="3" shapeId="0">
      <text>
        <r>
          <rPr>
            <b/>
            <sz val="10"/>
            <color indexed="81"/>
            <rFont val="Tahoma"/>
            <family val="2"/>
          </rPr>
          <t>This area is unlocked to use as a quick-check work area.</t>
        </r>
      </text>
    </comment>
    <comment ref="Q292" authorId="3" shapeId="0">
      <text>
        <r>
          <rPr>
            <b/>
            <sz val="10"/>
            <color indexed="81"/>
            <rFont val="Tahoma"/>
            <family val="2"/>
          </rPr>
          <t>This area is unlocked to use as a quick-check work area.</t>
        </r>
      </text>
    </comment>
    <comment ref="Q293" authorId="3" shapeId="0">
      <text>
        <r>
          <rPr>
            <b/>
            <sz val="10"/>
            <color indexed="81"/>
            <rFont val="Tahoma"/>
            <family val="2"/>
          </rPr>
          <t>This area is unlocked to use as a quick-check work area.</t>
        </r>
      </text>
    </comment>
    <comment ref="Q294" authorId="3" shapeId="0">
      <text>
        <r>
          <rPr>
            <b/>
            <sz val="10"/>
            <color indexed="81"/>
            <rFont val="Tahoma"/>
            <family val="2"/>
          </rPr>
          <t>This area is unlocked to use as a quick-check work area.</t>
        </r>
      </text>
    </comment>
    <comment ref="Q295" authorId="3" shapeId="0">
      <text>
        <r>
          <rPr>
            <b/>
            <sz val="10"/>
            <color indexed="81"/>
            <rFont val="Tahoma"/>
            <family val="2"/>
          </rPr>
          <t>This area is unlocked to use as a quick-check work area.</t>
        </r>
      </text>
    </comment>
    <comment ref="Q296" authorId="3" shapeId="0">
      <text>
        <r>
          <rPr>
            <b/>
            <sz val="10"/>
            <color indexed="81"/>
            <rFont val="Tahoma"/>
            <family val="2"/>
          </rPr>
          <t>This area is unlocked to use as a quick-check work area.</t>
        </r>
      </text>
    </comment>
    <comment ref="Q297" authorId="3" shapeId="0">
      <text>
        <r>
          <rPr>
            <b/>
            <sz val="10"/>
            <color indexed="81"/>
            <rFont val="Tahoma"/>
            <family val="2"/>
          </rPr>
          <t>This area is unlocked to use as a quick-check work area.</t>
        </r>
      </text>
    </comment>
    <comment ref="Q298" authorId="3" shapeId="0">
      <text>
        <r>
          <rPr>
            <b/>
            <sz val="10"/>
            <color indexed="81"/>
            <rFont val="Tahoma"/>
            <family val="2"/>
          </rPr>
          <t>This area is unlocked to use as a quick-check work area.</t>
        </r>
      </text>
    </comment>
    <comment ref="Q302" authorId="3" shapeId="0">
      <text>
        <r>
          <rPr>
            <b/>
            <sz val="10"/>
            <color indexed="81"/>
            <rFont val="Tahoma"/>
            <family val="2"/>
          </rPr>
          <t>This area is unlocked to use as a quick-check work area.</t>
        </r>
      </text>
    </comment>
    <comment ref="Q303" authorId="3" shapeId="0">
      <text>
        <r>
          <rPr>
            <b/>
            <sz val="10"/>
            <color indexed="81"/>
            <rFont val="Tahoma"/>
            <family val="2"/>
          </rPr>
          <t>This area is unlocked to use as a quick-check work area.</t>
        </r>
      </text>
    </comment>
    <comment ref="Q304" authorId="3" shapeId="0">
      <text>
        <r>
          <rPr>
            <b/>
            <sz val="10"/>
            <color indexed="81"/>
            <rFont val="Tahoma"/>
            <family val="2"/>
          </rPr>
          <t>This area is unlocked to use as a quick-check work area.</t>
        </r>
      </text>
    </comment>
    <comment ref="Q305" authorId="3" shapeId="0">
      <text>
        <r>
          <rPr>
            <b/>
            <sz val="10"/>
            <color indexed="81"/>
            <rFont val="Tahoma"/>
            <family val="2"/>
          </rPr>
          <t>This area is unlocked to use as a quick-check work area.</t>
        </r>
      </text>
    </comment>
    <comment ref="Q306" authorId="3" shapeId="0">
      <text>
        <r>
          <rPr>
            <b/>
            <sz val="10"/>
            <color indexed="81"/>
            <rFont val="Tahoma"/>
            <family val="2"/>
          </rPr>
          <t>This area is unlocked to use as a quick-check work area.</t>
        </r>
      </text>
    </comment>
    <comment ref="Q307" authorId="3" shapeId="0">
      <text>
        <r>
          <rPr>
            <b/>
            <sz val="10"/>
            <color indexed="81"/>
            <rFont val="Tahoma"/>
            <family val="2"/>
          </rPr>
          <t>This area is unlocked to use as a quick-check work area.</t>
        </r>
      </text>
    </comment>
    <comment ref="Q308" authorId="3" shapeId="0">
      <text>
        <r>
          <rPr>
            <b/>
            <sz val="10"/>
            <color indexed="81"/>
            <rFont val="Tahoma"/>
            <family val="2"/>
          </rPr>
          <t>This area is unlocked to use as a quick-check work area.</t>
        </r>
      </text>
    </comment>
    <comment ref="Q309" authorId="3" shapeId="0">
      <text>
        <r>
          <rPr>
            <b/>
            <sz val="10"/>
            <color indexed="81"/>
            <rFont val="Tahoma"/>
            <family val="2"/>
          </rPr>
          <t>This area is unlocked to use as a quick-check work area.</t>
        </r>
      </text>
    </comment>
    <comment ref="Q310" authorId="3" shapeId="0">
      <text>
        <r>
          <rPr>
            <b/>
            <sz val="10"/>
            <color indexed="81"/>
            <rFont val="Tahoma"/>
            <family val="2"/>
          </rPr>
          <t>This area is unlocked to use as a quick-check work area.</t>
        </r>
      </text>
    </comment>
    <comment ref="Q311" authorId="3" shapeId="0">
      <text>
        <r>
          <rPr>
            <b/>
            <sz val="10"/>
            <color indexed="81"/>
            <rFont val="Tahoma"/>
            <family val="2"/>
          </rPr>
          <t>This area is unlocked to use as a quick-check work area.</t>
        </r>
      </text>
    </comment>
    <comment ref="Q312" authorId="3" shapeId="0">
      <text>
        <r>
          <rPr>
            <b/>
            <sz val="10"/>
            <color indexed="81"/>
            <rFont val="Tahoma"/>
            <family val="2"/>
          </rPr>
          <t>This area is unlocked to use as a quick-check work area.</t>
        </r>
      </text>
    </comment>
    <comment ref="P313" authorId="5" shapeId="0">
      <text>
        <r>
          <rPr>
            <b/>
            <sz val="9"/>
            <color indexed="81"/>
            <rFont val="Tahoma"/>
            <family val="2"/>
          </rPr>
          <t>Anita:</t>
        </r>
        <r>
          <rPr>
            <sz val="9"/>
            <color indexed="81"/>
            <rFont val="Tahoma"/>
            <family val="2"/>
          </rPr>
          <t xml:space="preserve">
A non cash, non capitalized contribution should be recorded with an equal revenue and expense in the current year using the regular Cash Contribution GLC.  
</t>
        </r>
      </text>
    </comment>
    <comment ref="Q313" authorId="3" shapeId="0">
      <text>
        <r>
          <rPr>
            <b/>
            <sz val="10"/>
            <color indexed="81"/>
            <rFont val="Tahoma"/>
            <family val="2"/>
          </rPr>
          <t>This area is unlocked to use as a quick-check work area.</t>
        </r>
      </text>
    </comment>
    <comment ref="Q314" authorId="3" shapeId="0">
      <text>
        <r>
          <rPr>
            <b/>
            <sz val="10"/>
            <color indexed="81"/>
            <rFont val="Tahoma"/>
            <family val="2"/>
          </rPr>
          <t>This area is unlocked to use as a quick-check work area.</t>
        </r>
      </text>
    </comment>
    <comment ref="Q317" authorId="3" shapeId="0">
      <text>
        <r>
          <rPr>
            <b/>
            <sz val="10"/>
            <color indexed="81"/>
            <rFont val="Tahoma"/>
            <family val="2"/>
          </rPr>
          <t>This area is unlocked to use as a quick-check work area.</t>
        </r>
      </text>
    </comment>
    <comment ref="Q318" authorId="3" shapeId="0">
      <text>
        <r>
          <rPr>
            <b/>
            <sz val="10"/>
            <color indexed="81"/>
            <rFont val="Tahoma"/>
            <family val="2"/>
          </rPr>
          <t>This area is unlocked to use as a quick-check work area.</t>
        </r>
      </text>
    </comment>
    <comment ref="Q319" authorId="3" shapeId="0">
      <text>
        <r>
          <rPr>
            <b/>
            <sz val="10"/>
            <color indexed="81"/>
            <rFont val="Tahoma"/>
            <family val="2"/>
          </rPr>
          <t>This area is unlocked to use as a quick-check work area.</t>
        </r>
      </text>
    </comment>
    <comment ref="Q320" authorId="3" shapeId="0">
      <text>
        <r>
          <rPr>
            <b/>
            <sz val="10"/>
            <color indexed="81"/>
            <rFont val="Tahoma"/>
            <family val="2"/>
          </rPr>
          <t>This area is unlocked to use as a quick-check work area.</t>
        </r>
      </text>
    </comment>
    <comment ref="Q321" authorId="3" shapeId="0">
      <text>
        <r>
          <rPr>
            <b/>
            <sz val="10"/>
            <color indexed="81"/>
            <rFont val="Tahoma"/>
            <family val="2"/>
          </rPr>
          <t>This area is unlocked to use as a quick-check work area.</t>
        </r>
      </text>
    </comment>
    <comment ref="Q322" authorId="3" shapeId="0">
      <text>
        <r>
          <rPr>
            <b/>
            <sz val="10"/>
            <color indexed="81"/>
            <rFont val="Tahoma"/>
            <family val="2"/>
          </rPr>
          <t>This area is unlocked to use as a quick-check work area.</t>
        </r>
      </text>
    </comment>
    <comment ref="Q323" authorId="3" shapeId="0">
      <text>
        <r>
          <rPr>
            <b/>
            <sz val="10"/>
            <color indexed="81"/>
            <rFont val="Tahoma"/>
            <family val="2"/>
          </rPr>
          <t>This area is unlocked to use as a quick-check work area.</t>
        </r>
      </text>
    </comment>
    <comment ref="Q324" authorId="3" shapeId="0">
      <text>
        <r>
          <rPr>
            <b/>
            <sz val="10"/>
            <color indexed="81"/>
            <rFont val="Tahoma"/>
            <family val="2"/>
          </rPr>
          <t>This area is unlocked to use as a quick-check work area.</t>
        </r>
      </text>
    </comment>
    <comment ref="Q325" authorId="3" shapeId="0">
      <text>
        <r>
          <rPr>
            <b/>
            <sz val="10"/>
            <color indexed="81"/>
            <rFont val="Tahoma"/>
            <family val="2"/>
          </rPr>
          <t>This area is unlocked to use as a quick-check work area.</t>
        </r>
      </text>
    </comment>
    <comment ref="N326" authorId="5" shapeId="0">
      <text>
        <r>
          <rPr>
            <sz val="9"/>
            <color indexed="81"/>
            <rFont val="Tahoma"/>
            <family val="2"/>
          </rPr>
          <t>Scholarship Allowances for Auxiliary Enterprises
Feeds directly from SRECNP</t>
        </r>
      </text>
    </comment>
    <comment ref="Q326" authorId="3" shapeId="0">
      <text>
        <r>
          <rPr>
            <b/>
            <sz val="10"/>
            <color indexed="81"/>
            <rFont val="Tahoma"/>
            <family val="2"/>
          </rPr>
          <t>This area is unlocked to use as a quick-check work area.</t>
        </r>
      </text>
    </comment>
    <comment ref="Q327" authorId="3" shapeId="0">
      <text>
        <r>
          <rPr>
            <b/>
            <sz val="10"/>
            <color indexed="81"/>
            <rFont val="Tahoma"/>
            <family val="2"/>
          </rPr>
          <t>This area is unlocked to use as a quick-check work area.</t>
        </r>
      </text>
    </comment>
    <comment ref="Q328" authorId="3" shapeId="0">
      <text>
        <r>
          <rPr>
            <b/>
            <sz val="10"/>
            <color indexed="81"/>
            <rFont val="Tahoma"/>
            <family val="2"/>
          </rPr>
          <t>This area is unlocked to use as a quick-check work area.</t>
        </r>
      </text>
    </comment>
    <comment ref="Q329" authorId="3" shapeId="0">
      <text>
        <r>
          <rPr>
            <b/>
            <sz val="10"/>
            <color indexed="81"/>
            <rFont val="Tahoma"/>
            <family val="2"/>
          </rPr>
          <t>This area is unlocked to use as a quick-check work area.</t>
        </r>
      </text>
    </comment>
    <comment ref="Q330" authorId="3" shapeId="0">
      <text>
        <r>
          <rPr>
            <b/>
            <sz val="10"/>
            <color indexed="81"/>
            <rFont val="Tahoma"/>
            <family val="2"/>
          </rPr>
          <t>This area is unlocked to use as a quick-check work area.</t>
        </r>
      </text>
    </comment>
    <comment ref="Q331" authorId="3" shapeId="0">
      <text>
        <r>
          <rPr>
            <b/>
            <sz val="10"/>
            <color indexed="81"/>
            <rFont val="Tahoma"/>
            <family val="2"/>
          </rPr>
          <t>This area is unlocked to use as a quick-check work area.</t>
        </r>
      </text>
    </comment>
    <comment ref="Q333" authorId="3" shapeId="0">
      <text>
        <r>
          <rPr>
            <b/>
            <sz val="10"/>
            <color indexed="81"/>
            <rFont val="Tahoma"/>
            <family val="2"/>
          </rPr>
          <t>This area is unlocked to use as a quick-check work area.</t>
        </r>
      </text>
    </comment>
    <comment ref="Q334" authorId="3" shapeId="0">
      <text>
        <r>
          <rPr>
            <b/>
            <sz val="10"/>
            <color indexed="81"/>
            <rFont val="Tahoma"/>
            <family val="2"/>
          </rPr>
          <t>This area is unlocked to use as a quick-check work area.</t>
        </r>
      </text>
    </comment>
    <comment ref="Q335" authorId="3" shapeId="0">
      <text>
        <r>
          <rPr>
            <b/>
            <sz val="10"/>
            <color indexed="81"/>
            <rFont val="Tahoma"/>
            <family val="2"/>
          </rPr>
          <t>This area is unlocked to use as a quick-check work area.</t>
        </r>
      </text>
    </comment>
    <comment ref="N336" authorId="4" shapeId="0">
      <text>
        <r>
          <rPr>
            <sz val="8"/>
            <color indexed="81"/>
            <rFont val="Tahoma"/>
            <family val="2"/>
          </rPr>
          <t>As a convenience, formula entered to automatically adjust balance to $0.  Cell is unlocked.</t>
        </r>
      </text>
    </comment>
    <comment ref="Q336" authorId="3" shapeId="0">
      <text>
        <r>
          <rPr>
            <b/>
            <sz val="10"/>
            <color indexed="81"/>
            <rFont val="Tahoma"/>
            <family val="2"/>
          </rPr>
          <t>This area is unlocked to use as a quick-check work area.</t>
        </r>
      </text>
    </comment>
    <comment ref="N337" authorId="4" shapeId="0">
      <text>
        <r>
          <rPr>
            <sz val="8"/>
            <color indexed="81"/>
            <rFont val="Tahoma"/>
            <family val="2"/>
          </rPr>
          <t>As a convenience, formula entered to automatically adjust balance to $0.  Cell is unlocked.</t>
        </r>
      </text>
    </comment>
    <comment ref="Q337" authorId="3" shapeId="0">
      <text>
        <r>
          <rPr>
            <b/>
            <sz val="10"/>
            <color indexed="81"/>
            <rFont val="Tahoma"/>
            <family val="2"/>
          </rPr>
          <t>This area is unlocked to use as a quick-check work area.</t>
        </r>
      </text>
    </comment>
    <comment ref="N338" authorId="4" shapeId="0">
      <text>
        <r>
          <rPr>
            <sz val="8"/>
            <color indexed="81"/>
            <rFont val="Tahoma"/>
            <family val="2"/>
          </rPr>
          <t>As a convenience, formula entered to automatically adjust balance to $0.  Cell is unlocked.</t>
        </r>
      </text>
    </comment>
    <comment ref="Q338" authorId="3" shapeId="0">
      <text>
        <r>
          <rPr>
            <b/>
            <sz val="10"/>
            <color indexed="81"/>
            <rFont val="Tahoma"/>
            <family val="2"/>
          </rPr>
          <t>This area is unlocked to use as a quick-check work area.</t>
        </r>
      </text>
    </comment>
    <comment ref="N339" authorId="2" shapeId="0">
      <text>
        <r>
          <rPr>
            <sz val="9"/>
            <color indexed="81"/>
            <rFont val="Tahoma"/>
            <family val="2"/>
          </rPr>
          <t>As a convenience, formula entered to automatically adjust balance to $0.  Cell is unlocked.</t>
        </r>
      </text>
    </comment>
    <comment ref="Q339" authorId="3" shapeId="0">
      <text>
        <r>
          <rPr>
            <b/>
            <sz val="10"/>
            <color indexed="81"/>
            <rFont val="Tahoma"/>
            <family val="2"/>
          </rPr>
          <t>This area is unlocked to use as a quick-check work area.</t>
        </r>
      </text>
    </comment>
    <comment ref="Q340" authorId="3" shapeId="0">
      <text>
        <r>
          <rPr>
            <b/>
            <sz val="10"/>
            <color indexed="81"/>
            <rFont val="Tahoma"/>
            <family val="2"/>
          </rPr>
          <t>This area is unlocked to use as a quick-check work area.</t>
        </r>
      </text>
    </comment>
    <comment ref="Q341" authorId="3" shapeId="0">
      <text>
        <r>
          <rPr>
            <b/>
            <sz val="10"/>
            <color indexed="81"/>
            <rFont val="Tahoma"/>
            <family val="2"/>
          </rPr>
          <t>This area is unlocked to use as a quick-check work area.</t>
        </r>
      </text>
    </comment>
    <comment ref="Q342" authorId="3" shapeId="0">
      <text>
        <r>
          <rPr>
            <b/>
            <sz val="10"/>
            <color indexed="81"/>
            <rFont val="Tahoma"/>
            <family val="2"/>
          </rPr>
          <t>This area is unlocked to use as a quick-check work area.</t>
        </r>
      </text>
    </comment>
    <comment ref="Q343" authorId="3" shapeId="0">
      <text>
        <r>
          <rPr>
            <b/>
            <sz val="10"/>
            <color indexed="81"/>
            <rFont val="Tahoma"/>
            <family val="2"/>
          </rPr>
          <t>This area is unlocked to use as a quick-check work area.</t>
        </r>
      </text>
    </comment>
    <comment ref="Q344" authorId="3" shapeId="0">
      <text>
        <r>
          <rPr>
            <b/>
            <sz val="10"/>
            <color indexed="81"/>
            <rFont val="Tahoma"/>
            <family val="2"/>
          </rPr>
          <t>This area is unlocked to use as a quick-check work area.</t>
        </r>
      </text>
    </comment>
    <comment ref="Q345" authorId="3" shapeId="0">
      <text>
        <r>
          <rPr>
            <b/>
            <sz val="10"/>
            <color indexed="81"/>
            <rFont val="Tahoma"/>
            <family val="2"/>
          </rPr>
          <t>This area is unlocked to use as a quick-check work area.</t>
        </r>
      </text>
    </comment>
    <comment ref="Q346" authorId="3" shapeId="0">
      <text>
        <r>
          <rPr>
            <b/>
            <sz val="10"/>
            <color indexed="81"/>
            <rFont val="Tahoma"/>
            <family val="2"/>
          </rPr>
          <t>This area is unlocked to use as a quick-check work area.</t>
        </r>
      </text>
    </comment>
    <comment ref="Q347" authorId="3" shapeId="0">
      <text>
        <r>
          <rPr>
            <b/>
            <sz val="10"/>
            <color indexed="81"/>
            <rFont val="Tahoma"/>
            <family val="2"/>
          </rPr>
          <t>This area is unlocked to use as a quick-check work area.</t>
        </r>
      </text>
    </comment>
    <comment ref="Q348" authorId="3" shapeId="0">
      <text>
        <r>
          <rPr>
            <b/>
            <sz val="10"/>
            <color indexed="81"/>
            <rFont val="Tahoma"/>
            <family val="2"/>
          </rPr>
          <t>This area is unlocked to use as a quick-check work area.</t>
        </r>
      </text>
    </comment>
    <comment ref="Q349" authorId="3" shapeId="0">
      <text>
        <r>
          <rPr>
            <b/>
            <sz val="10"/>
            <color indexed="81"/>
            <rFont val="Tahoma"/>
            <family val="2"/>
          </rPr>
          <t>This area is unlocked to use as a quick-check work area.</t>
        </r>
      </text>
    </comment>
    <comment ref="B350" authorId="5" shapeId="0">
      <text>
        <r>
          <rPr>
            <b/>
            <sz val="9"/>
            <color indexed="81"/>
            <rFont val="Tahoma"/>
            <family val="2"/>
          </rPr>
          <t>College Reporting:</t>
        </r>
        <r>
          <rPr>
            <sz val="9"/>
            <color indexed="81"/>
            <rFont val="Tahoma"/>
            <family val="2"/>
          </rPr>
          <t xml:space="preserve">
Losses Should be entered as a negative number</t>
        </r>
      </text>
    </comment>
    <comment ref="Q350" authorId="3" shapeId="0">
      <text>
        <r>
          <rPr>
            <b/>
            <sz val="10"/>
            <color indexed="81"/>
            <rFont val="Tahoma"/>
            <family val="2"/>
          </rPr>
          <t>This area is unlocked to use as a quick-check work area.</t>
        </r>
      </text>
    </comment>
    <comment ref="Q351" authorId="3" shapeId="0">
      <text>
        <r>
          <rPr>
            <b/>
            <sz val="10"/>
            <color indexed="81"/>
            <rFont val="Tahoma"/>
            <family val="2"/>
          </rPr>
          <t>This area is unlocked to use as a quick-check work area.</t>
        </r>
      </text>
    </comment>
    <comment ref="Q352" authorId="3" shapeId="0">
      <text>
        <r>
          <rPr>
            <b/>
            <sz val="10"/>
            <color indexed="81"/>
            <rFont val="Tahoma"/>
            <family val="2"/>
          </rPr>
          <t>This area is unlocked to use as a quick-check work area.</t>
        </r>
      </text>
    </comment>
    <comment ref="Q353" authorId="3" shapeId="0">
      <text>
        <r>
          <rPr>
            <b/>
            <sz val="10"/>
            <color indexed="81"/>
            <rFont val="Tahoma"/>
            <family val="2"/>
          </rPr>
          <t>This area is unlocked to use as a quick-check work area.</t>
        </r>
      </text>
    </comment>
    <comment ref="Q354" authorId="3" shapeId="0">
      <text>
        <r>
          <rPr>
            <b/>
            <sz val="10"/>
            <color indexed="81"/>
            <rFont val="Tahoma"/>
            <family val="2"/>
          </rPr>
          <t>This area is unlocked to use as a quick-check work area.</t>
        </r>
      </text>
    </comment>
    <comment ref="Q355" authorId="3" shapeId="0">
      <text>
        <r>
          <rPr>
            <b/>
            <sz val="10"/>
            <color indexed="81"/>
            <rFont val="Tahoma"/>
            <family val="2"/>
          </rPr>
          <t>This area is unlocked to use as a quick-check work area.</t>
        </r>
      </text>
    </comment>
    <comment ref="Q356" authorId="3" shapeId="0">
      <text>
        <r>
          <rPr>
            <b/>
            <sz val="10"/>
            <color indexed="81"/>
            <rFont val="Tahoma"/>
            <family val="2"/>
          </rPr>
          <t>This area is unlocked to use as a quick-check work area.</t>
        </r>
      </text>
    </comment>
    <comment ref="Q357" authorId="3" shapeId="0">
      <text>
        <r>
          <rPr>
            <b/>
            <sz val="10"/>
            <color indexed="81"/>
            <rFont val="Tahoma"/>
            <family val="2"/>
          </rPr>
          <t>This area is unlocked to use as a quick-check work area.</t>
        </r>
      </text>
    </comment>
    <comment ref="N358" authorId="4" shapeId="0">
      <text>
        <r>
          <rPr>
            <sz val="8"/>
            <color indexed="81"/>
            <rFont val="Tahoma"/>
            <family val="2"/>
          </rPr>
          <t>As a convenience, formula entered to automatically adjust balance to $0.  Cell is unlocked.</t>
        </r>
      </text>
    </comment>
    <comment ref="Q358" authorId="3" shapeId="0">
      <text>
        <r>
          <rPr>
            <b/>
            <sz val="10"/>
            <color indexed="81"/>
            <rFont val="Tahoma"/>
            <family val="2"/>
          </rPr>
          <t>This area is unlocked to use as a quick-check work area.</t>
        </r>
      </text>
    </comment>
    <comment ref="N359" authorId="4" shapeId="0">
      <text>
        <r>
          <rPr>
            <sz val="8"/>
            <color indexed="81"/>
            <rFont val="Tahoma"/>
            <family val="2"/>
          </rPr>
          <t>As a convenience, formula entered to automatically adjust balance to $0.  Cell is unlocked.</t>
        </r>
      </text>
    </comment>
    <comment ref="Q359" authorId="3" shapeId="0">
      <text>
        <r>
          <rPr>
            <b/>
            <sz val="10"/>
            <color indexed="81"/>
            <rFont val="Tahoma"/>
            <family val="2"/>
          </rPr>
          <t>This area is unlocked to use as a quick-check work area.</t>
        </r>
      </text>
    </comment>
    <comment ref="N360" authorId="4" shapeId="0">
      <text>
        <r>
          <rPr>
            <sz val="8"/>
            <color indexed="81"/>
            <rFont val="Tahoma"/>
            <family val="2"/>
          </rPr>
          <t>As a convenience, formula entered to automatically adjust balance to $0.  Cell is unlocked.</t>
        </r>
      </text>
    </comment>
    <comment ref="Q360" authorId="3" shapeId="0">
      <text>
        <r>
          <rPr>
            <b/>
            <sz val="10"/>
            <color indexed="81"/>
            <rFont val="Tahoma"/>
            <family val="2"/>
          </rPr>
          <t>This area is unlocked to use as a quick-check work area.</t>
        </r>
      </text>
    </comment>
    <comment ref="N361" authorId="4" shapeId="0">
      <text>
        <r>
          <rPr>
            <sz val="8"/>
            <color indexed="81"/>
            <rFont val="Tahoma"/>
            <family val="2"/>
          </rPr>
          <t>As a convenience, formula entered to automatically adjust balance to $0.  Cell is unlocked.</t>
        </r>
      </text>
    </comment>
    <comment ref="Q361" authorId="3" shapeId="0">
      <text>
        <r>
          <rPr>
            <b/>
            <sz val="10"/>
            <color indexed="81"/>
            <rFont val="Tahoma"/>
            <family val="2"/>
          </rPr>
          <t>This area is unlocked to use as a quick-check work area.</t>
        </r>
      </text>
    </comment>
    <comment ref="N362" authorId="4" shapeId="0">
      <text>
        <r>
          <rPr>
            <sz val="8"/>
            <color indexed="81"/>
            <rFont val="Tahoma"/>
            <family val="2"/>
          </rPr>
          <t>As a convenience, formula entered to automatically adjust balance to $0.  Cell is unlocked.</t>
        </r>
      </text>
    </comment>
    <comment ref="Q362" authorId="3" shapeId="0">
      <text>
        <r>
          <rPr>
            <b/>
            <sz val="10"/>
            <color indexed="81"/>
            <rFont val="Tahoma"/>
            <family val="2"/>
          </rPr>
          <t>This area is unlocked to use as a quick-check work area.</t>
        </r>
      </text>
    </comment>
    <comment ref="N363" authorId="4" shapeId="0">
      <text>
        <r>
          <rPr>
            <sz val="8"/>
            <color indexed="81"/>
            <rFont val="Tahoma"/>
            <family val="2"/>
          </rPr>
          <t>As a convenience, formula entered to automatically adjust balance to $0.  Cell is unlocked.</t>
        </r>
      </text>
    </comment>
    <comment ref="Q363" authorId="3" shapeId="0">
      <text>
        <r>
          <rPr>
            <b/>
            <sz val="10"/>
            <color indexed="81"/>
            <rFont val="Tahoma"/>
            <family val="2"/>
          </rPr>
          <t>This area is unlocked to use as a quick-check work area.</t>
        </r>
      </text>
    </comment>
    <comment ref="N364" authorId="4" shapeId="0">
      <text>
        <r>
          <rPr>
            <sz val="8"/>
            <color indexed="81"/>
            <rFont val="Tahoma"/>
            <family val="2"/>
          </rPr>
          <t>As a convenience, formula entered to automatically adjust balance to $0.  Cell is unlocked.</t>
        </r>
      </text>
    </comment>
    <comment ref="Q364" authorId="3" shapeId="0">
      <text>
        <r>
          <rPr>
            <b/>
            <sz val="10"/>
            <color indexed="81"/>
            <rFont val="Tahoma"/>
            <family val="2"/>
          </rPr>
          <t>This area is unlocked to use as a quick-check work area.</t>
        </r>
      </text>
    </comment>
    <comment ref="N365" authorId="4" shapeId="0">
      <text>
        <r>
          <rPr>
            <sz val="8"/>
            <color indexed="81"/>
            <rFont val="Tahoma"/>
            <family val="2"/>
          </rPr>
          <t>As a convenience, formula entered to automatically adjust balance to $0.  Cell is unlocked.</t>
        </r>
      </text>
    </comment>
    <comment ref="Q365" authorId="3" shapeId="0">
      <text>
        <r>
          <rPr>
            <b/>
            <sz val="10"/>
            <color indexed="81"/>
            <rFont val="Tahoma"/>
            <family val="2"/>
          </rPr>
          <t>This area is unlocked to use as a quick-check work area.</t>
        </r>
      </text>
    </comment>
    <comment ref="N366" authorId="4" shapeId="0">
      <text>
        <r>
          <rPr>
            <sz val="8"/>
            <color indexed="81"/>
            <rFont val="Tahoma"/>
            <family val="2"/>
          </rPr>
          <t>As a convenience, formula entered to automatically adjust balance to $0.  Cell is unlocked.</t>
        </r>
      </text>
    </comment>
    <comment ref="Q366" authorId="3" shapeId="0">
      <text>
        <r>
          <rPr>
            <b/>
            <sz val="10"/>
            <color indexed="81"/>
            <rFont val="Tahoma"/>
            <family val="2"/>
          </rPr>
          <t>This area is unlocked to use as a quick-check work area.</t>
        </r>
      </text>
    </comment>
    <comment ref="N367" authorId="4" shapeId="0">
      <text>
        <r>
          <rPr>
            <sz val="8"/>
            <color indexed="81"/>
            <rFont val="Tahoma"/>
            <family val="2"/>
          </rPr>
          <t>As a convenience, formula entered to automatically adjust balance to $0.  Cell is unlocked.</t>
        </r>
      </text>
    </comment>
    <comment ref="Q367" authorId="3" shapeId="0">
      <text>
        <r>
          <rPr>
            <b/>
            <sz val="10"/>
            <color indexed="81"/>
            <rFont val="Tahoma"/>
            <family val="2"/>
          </rPr>
          <t>This area is unlocked to use as a quick-check work area.</t>
        </r>
      </text>
    </comment>
    <comment ref="N368" authorId="4" shapeId="0">
      <text>
        <r>
          <rPr>
            <sz val="8"/>
            <color indexed="81"/>
            <rFont val="Tahoma"/>
            <family val="2"/>
          </rPr>
          <t>As a convenience, formula entered to automatically adjust balance to $0.  Cell is unlocked.</t>
        </r>
      </text>
    </comment>
    <comment ref="Q368" authorId="3" shapeId="0">
      <text>
        <r>
          <rPr>
            <b/>
            <sz val="10"/>
            <color indexed="81"/>
            <rFont val="Tahoma"/>
            <family val="2"/>
          </rPr>
          <t>This area is unlocked to use as a quick-check work area.</t>
        </r>
      </text>
    </comment>
    <comment ref="N369" authorId="4" shapeId="0">
      <text>
        <r>
          <rPr>
            <sz val="8"/>
            <color indexed="81"/>
            <rFont val="Tahoma"/>
            <family val="2"/>
          </rPr>
          <t>As a convenience, formula entered to automatically adjust balance to $0.  Cell is unlocked.</t>
        </r>
      </text>
    </comment>
    <comment ref="Q369" authorId="3" shapeId="0">
      <text>
        <r>
          <rPr>
            <b/>
            <sz val="10"/>
            <color indexed="81"/>
            <rFont val="Tahoma"/>
            <family val="2"/>
          </rPr>
          <t>This area is unlocked to use as a quick-check work area.</t>
        </r>
      </text>
    </comment>
    <comment ref="N370" authorId="4" shapeId="0">
      <text>
        <r>
          <rPr>
            <sz val="8"/>
            <color indexed="81"/>
            <rFont val="Tahoma"/>
            <family val="2"/>
          </rPr>
          <t>As a convenience, formula entered to automatically adjust balance to $0.  Cell is unlocked.</t>
        </r>
      </text>
    </comment>
    <comment ref="Q370" authorId="3" shapeId="0">
      <text>
        <r>
          <rPr>
            <b/>
            <sz val="10"/>
            <color indexed="81"/>
            <rFont val="Tahoma"/>
            <family val="2"/>
          </rPr>
          <t>This area is unlocked to use as a quick-check work area.</t>
        </r>
      </text>
    </comment>
    <comment ref="N371" authorId="2" shapeId="0">
      <text>
        <r>
          <rPr>
            <b/>
            <sz val="9"/>
            <color indexed="81"/>
            <rFont val="Tahoma"/>
            <family val="2"/>
          </rPr>
          <t>Rose, Tracy:</t>
        </r>
        <r>
          <rPr>
            <sz val="9"/>
            <color indexed="81"/>
            <rFont val="Tahoma"/>
            <family val="2"/>
          </rPr>
          <t xml:space="preserve">
As a convenience, formula entered to automatically adjust balance to $0.  Cell is unlocked.</t>
        </r>
      </text>
    </comment>
    <comment ref="Q371" authorId="3" shapeId="0">
      <text>
        <r>
          <rPr>
            <b/>
            <sz val="10"/>
            <color indexed="81"/>
            <rFont val="Tahoma"/>
            <family val="2"/>
          </rPr>
          <t>This area is unlocked to use as a quick-check work area.</t>
        </r>
      </text>
    </comment>
    <comment ref="Q372" authorId="3" shapeId="0">
      <text>
        <r>
          <rPr>
            <b/>
            <sz val="10"/>
            <color indexed="81"/>
            <rFont val="Tahoma"/>
            <family val="2"/>
          </rPr>
          <t>This area is unlocked to use as a quick-check work area.</t>
        </r>
      </text>
    </comment>
    <comment ref="Q374" authorId="3" shapeId="0">
      <text>
        <r>
          <rPr>
            <b/>
            <sz val="10"/>
            <color indexed="81"/>
            <rFont val="Tahoma"/>
            <family val="2"/>
          </rPr>
          <t>This area is unlocked to use as a quick-check work area.</t>
        </r>
      </text>
    </comment>
    <comment ref="Q375" authorId="3" shapeId="0">
      <text>
        <r>
          <rPr>
            <b/>
            <sz val="10"/>
            <color indexed="81"/>
            <rFont val="Tahoma"/>
            <family val="2"/>
          </rPr>
          <t>This area is unlocked to use as a quick-check work area.</t>
        </r>
      </text>
    </comment>
    <comment ref="N376" authorId="2" shapeId="0">
      <text>
        <r>
          <rPr>
            <b/>
            <sz val="9"/>
            <color indexed="81"/>
            <rFont val="Tahoma"/>
            <family val="2"/>
          </rPr>
          <t>Hart, Yolanda:</t>
        </r>
        <r>
          <rPr>
            <sz val="9"/>
            <color indexed="81"/>
            <rFont val="Tahoma"/>
            <family val="2"/>
          </rPr>
          <t xml:space="preserve">
As a convenience, formula entered to automatically adjust balance to $0.  Cell is unlocked.</t>
        </r>
      </text>
    </comment>
    <comment ref="Q377" authorId="3" shapeId="0">
      <text>
        <r>
          <rPr>
            <b/>
            <sz val="10"/>
            <color indexed="81"/>
            <rFont val="Tahoma"/>
            <family val="2"/>
          </rPr>
          <t>This area is unlocked to use as a quick-check work area.</t>
        </r>
      </text>
    </comment>
    <comment ref="Q378" authorId="3" shapeId="0">
      <text>
        <r>
          <rPr>
            <b/>
            <sz val="10"/>
            <color indexed="81"/>
            <rFont val="Tahoma"/>
            <family val="2"/>
          </rPr>
          <t>This area is unlocked to use as a quick-check work area.</t>
        </r>
      </text>
    </comment>
    <comment ref="Q379" authorId="3" shapeId="0">
      <text>
        <r>
          <rPr>
            <b/>
            <sz val="10"/>
            <color indexed="81"/>
            <rFont val="Tahoma"/>
            <family val="2"/>
          </rPr>
          <t>This area is unlocked to use as a quick-check work area.</t>
        </r>
      </text>
    </comment>
    <comment ref="Q380" authorId="3" shapeId="0">
      <text>
        <r>
          <rPr>
            <b/>
            <sz val="10"/>
            <color indexed="81"/>
            <rFont val="Tahoma"/>
            <family val="2"/>
          </rPr>
          <t>This area is unlocked to use as a quick-check work area.</t>
        </r>
      </text>
    </comment>
    <comment ref="Q381" authorId="3" shapeId="0">
      <text>
        <r>
          <rPr>
            <b/>
            <sz val="10"/>
            <color indexed="81"/>
            <rFont val="Tahoma"/>
            <family val="2"/>
          </rPr>
          <t>This area is unlocked to use as a quick-check work area.</t>
        </r>
      </text>
    </comment>
    <comment ref="Q382" authorId="3" shapeId="0">
      <text>
        <r>
          <rPr>
            <b/>
            <sz val="10"/>
            <color indexed="81"/>
            <rFont val="Tahoma"/>
            <family val="2"/>
          </rPr>
          <t>This area is unlocked to use as a quick-check work area.</t>
        </r>
      </text>
    </comment>
    <comment ref="Q383" authorId="3" shapeId="0">
      <text>
        <r>
          <rPr>
            <b/>
            <sz val="10"/>
            <color indexed="81"/>
            <rFont val="Tahoma"/>
            <family val="2"/>
          </rPr>
          <t>This area is unlocked to use as a quick-check work area.</t>
        </r>
      </text>
    </comment>
    <comment ref="Q384" authorId="3" shapeId="0">
      <text>
        <r>
          <rPr>
            <b/>
            <sz val="10"/>
            <color indexed="81"/>
            <rFont val="Tahoma"/>
            <family val="2"/>
          </rPr>
          <t>This area is unlocked to use as a quick-check work area.</t>
        </r>
      </text>
    </comment>
    <comment ref="Q385" authorId="3" shapeId="0">
      <text>
        <r>
          <rPr>
            <b/>
            <sz val="10"/>
            <color indexed="81"/>
            <rFont val="Tahoma"/>
            <family val="2"/>
          </rPr>
          <t>This area is unlocked to use as a quick-check work area.</t>
        </r>
      </text>
    </comment>
    <comment ref="Q386" authorId="3" shapeId="0">
      <text>
        <r>
          <rPr>
            <b/>
            <sz val="10"/>
            <color indexed="81"/>
            <rFont val="Tahoma"/>
            <family val="2"/>
          </rPr>
          <t>This area is unlocked to use as a quick-check work area.</t>
        </r>
      </text>
    </comment>
    <comment ref="Q387" authorId="3" shapeId="0">
      <text>
        <r>
          <rPr>
            <b/>
            <sz val="10"/>
            <color indexed="81"/>
            <rFont val="Tahoma"/>
            <family val="2"/>
          </rPr>
          <t>This area is unlocked to use as a quick-check work area.</t>
        </r>
      </text>
    </comment>
    <comment ref="Q388" authorId="3" shapeId="0">
      <text>
        <r>
          <rPr>
            <b/>
            <sz val="10"/>
            <color indexed="81"/>
            <rFont val="Tahoma"/>
            <family val="2"/>
          </rPr>
          <t>This area is unlocked to use as a quick-check work area.</t>
        </r>
      </text>
    </comment>
    <comment ref="Q389" authorId="3" shapeId="0">
      <text>
        <r>
          <rPr>
            <b/>
            <sz val="10"/>
            <color indexed="81"/>
            <rFont val="Tahoma"/>
            <family val="2"/>
          </rPr>
          <t>This area is unlocked to use as a quick-check work area.</t>
        </r>
      </text>
    </comment>
    <comment ref="Q390" authorId="3" shapeId="0">
      <text>
        <r>
          <rPr>
            <b/>
            <sz val="10"/>
            <color indexed="81"/>
            <rFont val="Tahoma"/>
            <family val="2"/>
          </rPr>
          <t>This area is unlocked to use as a quick-check work area.</t>
        </r>
      </text>
    </comment>
    <comment ref="Q391" authorId="3" shapeId="0">
      <text>
        <r>
          <rPr>
            <b/>
            <sz val="10"/>
            <color indexed="81"/>
            <rFont val="Tahoma"/>
            <family val="2"/>
          </rPr>
          <t>This area is unlocked to use as a quick-check work area.</t>
        </r>
      </text>
    </comment>
    <comment ref="Q392" authorId="3" shapeId="0">
      <text>
        <r>
          <rPr>
            <b/>
            <sz val="10"/>
            <color indexed="81"/>
            <rFont val="Tahoma"/>
            <family val="2"/>
          </rPr>
          <t>This area is unlocked to use as a quick-check work area.</t>
        </r>
      </text>
    </comment>
    <comment ref="Q393" authorId="3" shapeId="0">
      <text>
        <r>
          <rPr>
            <b/>
            <sz val="10"/>
            <color indexed="81"/>
            <rFont val="Tahoma"/>
            <family val="2"/>
          </rPr>
          <t>This area is unlocked to use as a quick-check work area.</t>
        </r>
      </text>
    </comment>
    <comment ref="Q394" authorId="3" shapeId="0">
      <text>
        <r>
          <rPr>
            <b/>
            <sz val="10"/>
            <color indexed="81"/>
            <rFont val="Tahoma"/>
            <family val="2"/>
          </rPr>
          <t>This area is unlocked to use as a quick-check work area.</t>
        </r>
      </text>
    </comment>
    <comment ref="Q395" authorId="3" shapeId="0">
      <text>
        <r>
          <rPr>
            <b/>
            <sz val="10"/>
            <color indexed="81"/>
            <rFont val="Tahoma"/>
            <family val="2"/>
          </rPr>
          <t>This area is unlocked to use as a quick-check work area.</t>
        </r>
      </text>
    </comment>
    <comment ref="Q396" authorId="3" shapeId="0">
      <text>
        <r>
          <rPr>
            <b/>
            <sz val="10"/>
            <color indexed="81"/>
            <rFont val="Tahoma"/>
            <family val="2"/>
          </rPr>
          <t>This area is unlocked to use as a quick-check work area.</t>
        </r>
      </text>
    </comment>
    <comment ref="Q397" authorId="3" shapeId="0">
      <text>
        <r>
          <rPr>
            <b/>
            <sz val="10"/>
            <color indexed="81"/>
            <rFont val="Tahoma"/>
            <family val="2"/>
          </rPr>
          <t>This area is unlocked to use as a quick-check work area.</t>
        </r>
      </text>
    </comment>
    <comment ref="Q398" authorId="3" shapeId="0">
      <text>
        <r>
          <rPr>
            <b/>
            <sz val="10"/>
            <color indexed="81"/>
            <rFont val="Tahoma"/>
            <family val="2"/>
          </rPr>
          <t>This area is unlocked to use as a quick-check work area.</t>
        </r>
      </text>
    </comment>
    <comment ref="Q399" authorId="3" shapeId="0">
      <text>
        <r>
          <rPr>
            <b/>
            <sz val="10"/>
            <color indexed="81"/>
            <rFont val="Tahoma"/>
            <family val="2"/>
          </rPr>
          <t>This area is unlocked to use as a quick-check work area.</t>
        </r>
      </text>
    </comment>
    <comment ref="Q400" authorId="3" shapeId="0">
      <text>
        <r>
          <rPr>
            <b/>
            <sz val="10"/>
            <color indexed="81"/>
            <rFont val="Tahoma"/>
            <family val="2"/>
          </rPr>
          <t>This area is unlocked to use as a quick-check work area.</t>
        </r>
      </text>
    </comment>
    <comment ref="Q401" authorId="3" shapeId="0">
      <text>
        <r>
          <rPr>
            <b/>
            <sz val="10"/>
            <color indexed="81"/>
            <rFont val="Tahoma"/>
            <family val="2"/>
          </rPr>
          <t>This area is unlocked to use as a quick-check work area.</t>
        </r>
      </text>
    </comment>
    <comment ref="Q402" authorId="3" shapeId="0">
      <text>
        <r>
          <rPr>
            <b/>
            <sz val="10"/>
            <color indexed="81"/>
            <rFont val="Tahoma"/>
            <family val="2"/>
          </rPr>
          <t>This area is unlocked to use as a quick-check work area.</t>
        </r>
      </text>
    </comment>
    <comment ref="Q403" authorId="3" shapeId="0">
      <text>
        <r>
          <rPr>
            <b/>
            <sz val="10"/>
            <color indexed="81"/>
            <rFont val="Tahoma"/>
            <family val="2"/>
          </rPr>
          <t>This area is unlocked to use as a quick-check work area.</t>
        </r>
      </text>
    </comment>
    <comment ref="Q404" authorId="3" shapeId="0">
      <text>
        <r>
          <rPr>
            <b/>
            <sz val="10"/>
            <color indexed="81"/>
            <rFont val="Tahoma"/>
            <family val="2"/>
          </rPr>
          <t>This area is unlocked to use as a quick-check work area.</t>
        </r>
      </text>
    </comment>
    <comment ref="Q405" authorId="3" shapeId="0">
      <text>
        <r>
          <rPr>
            <b/>
            <sz val="10"/>
            <color indexed="81"/>
            <rFont val="Tahoma"/>
            <family val="2"/>
          </rPr>
          <t>This area is unlocked to use as a quick-check work area.</t>
        </r>
      </text>
    </comment>
    <comment ref="Q406" authorId="3" shapeId="0">
      <text>
        <r>
          <rPr>
            <b/>
            <sz val="10"/>
            <color indexed="81"/>
            <rFont val="Tahoma"/>
            <family val="2"/>
          </rPr>
          <t>This area is unlocked to use as a quick-check work area.</t>
        </r>
      </text>
    </comment>
    <comment ref="Q407" authorId="3" shapeId="0">
      <text>
        <r>
          <rPr>
            <b/>
            <sz val="10"/>
            <color indexed="81"/>
            <rFont val="Tahoma"/>
            <family val="2"/>
          </rPr>
          <t>This area is unlocked to use as a quick-check work area.</t>
        </r>
      </text>
    </comment>
    <comment ref="Q408" authorId="3" shapeId="0">
      <text>
        <r>
          <rPr>
            <b/>
            <sz val="10"/>
            <color indexed="81"/>
            <rFont val="Tahoma"/>
            <family val="2"/>
          </rPr>
          <t>This area is unlocked to use as a quick-check work area.</t>
        </r>
      </text>
    </comment>
    <comment ref="Q409" authorId="3" shapeId="0">
      <text>
        <r>
          <rPr>
            <b/>
            <sz val="10"/>
            <color indexed="81"/>
            <rFont val="Tahoma"/>
            <family val="2"/>
          </rPr>
          <t>This area is unlocked to use as a quick-check work area.</t>
        </r>
      </text>
    </comment>
    <comment ref="Q410" authorId="3" shapeId="0">
      <text>
        <r>
          <rPr>
            <b/>
            <sz val="10"/>
            <color indexed="81"/>
            <rFont val="Tahoma"/>
            <family val="2"/>
          </rPr>
          <t>This area is unlocked to use as a quick-check work area.</t>
        </r>
      </text>
    </comment>
    <comment ref="Q411" authorId="3" shapeId="0">
      <text>
        <r>
          <rPr>
            <b/>
            <sz val="10"/>
            <color indexed="81"/>
            <rFont val="Tahoma"/>
            <family val="2"/>
          </rPr>
          <t>This area is unlocked to use as a quick-check work area.</t>
        </r>
      </text>
    </comment>
    <comment ref="Q412" authorId="3" shapeId="0">
      <text>
        <r>
          <rPr>
            <b/>
            <sz val="10"/>
            <color indexed="81"/>
            <rFont val="Tahoma"/>
            <family val="2"/>
          </rPr>
          <t>This area is unlocked to use as a quick-check work area.</t>
        </r>
      </text>
    </comment>
    <comment ref="Q413" authorId="3" shapeId="0">
      <text>
        <r>
          <rPr>
            <b/>
            <sz val="10"/>
            <color indexed="81"/>
            <rFont val="Tahoma"/>
            <family val="2"/>
          </rPr>
          <t>This area is unlocked to use as a quick-check work area.</t>
        </r>
      </text>
    </comment>
    <comment ref="Q414" authorId="3" shapeId="0">
      <text>
        <r>
          <rPr>
            <b/>
            <sz val="10"/>
            <color indexed="81"/>
            <rFont val="Tahoma"/>
            <family val="2"/>
          </rPr>
          <t>This area is unlocked to use as a quick-check work area.</t>
        </r>
      </text>
    </comment>
    <comment ref="Q415" authorId="3" shapeId="0">
      <text>
        <r>
          <rPr>
            <b/>
            <sz val="10"/>
            <color indexed="81"/>
            <rFont val="Tahoma"/>
            <family val="2"/>
          </rPr>
          <t>This area is unlocked to use as a quick-check work area.</t>
        </r>
      </text>
    </comment>
    <comment ref="Q416" authorId="3" shapeId="0">
      <text>
        <r>
          <rPr>
            <b/>
            <sz val="10"/>
            <color indexed="81"/>
            <rFont val="Tahoma"/>
            <family val="2"/>
          </rPr>
          <t>This area is unlocked to use as a quick-check work area.</t>
        </r>
      </text>
    </comment>
    <comment ref="Q417" authorId="3" shapeId="0">
      <text>
        <r>
          <rPr>
            <b/>
            <sz val="10"/>
            <color indexed="81"/>
            <rFont val="Tahoma"/>
            <family val="2"/>
          </rPr>
          <t>This area is unlocked to use as a quick-check work area.</t>
        </r>
      </text>
    </comment>
    <comment ref="Q418" authorId="3" shapeId="0">
      <text>
        <r>
          <rPr>
            <b/>
            <sz val="10"/>
            <color indexed="81"/>
            <rFont val="Tahoma"/>
            <family val="2"/>
          </rPr>
          <t>This area is unlocked to use as a quick-check work area.</t>
        </r>
      </text>
    </comment>
    <comment ref="Q419" authorId="3" shapeId="0">
      <text>
        <r>
          <rPr>
            <b/>
            <sz val="10"/>
            <color indexed="81"/>
            <rFont val="Tahoma"/>
            <family val="2"/>
          </rPr>
          <t>This area is unlocked to use as a quick-check work area.</t>
        </r>
      </text>
    </comment>
    <comment ref="Q421" authorId="3" shapeId="0">
      <text>
        <r>
          <rPr>
            <b/>
            <sz val="10"/>
            <color indexed="81"/>
            <rFont val="Tahoma"/>
            <family val="2"/>
          </rPr>
          <t>This area is unlocked to use as a quick-check work area.</t>
        </r>
      </text>
    </comment>
    <comment ref="Q422" authorId="3" shapeId="0">
      <text>
        <r>
          <rPr>
            <b/>
            <sz val="10"/>
            <color indexed="81"/>
            <rFont val="Tahoma"/>
            <family val="2"/>
          </rPr>
          <t>This area is unlocked to use as a quick-check work area.</t>
        </r>
      </text>
    </comment>
    <comment ref="Q423" authorId="3" shapeId="0">
      <text>
        <r>
          <rPr>
            <b/>
            <sz val="10"/>
            <color indexed="81"/>
            <rFont val="Tahoma"/>
            <family val="2"/>
          </rPr>
          <t>This area is unlocked to use as a quick-check work area.</t>
        </r>
      </text>
    </comment>
    <comment ref="Q424" authorId="3" shapeId="0">
      <text>
        <r>
          <rPr>
            <b/>
            <sz val="10"/>
            <color indexed="81"/>
            <rFont val="Tahoma"/>
            <family val="2"/>
          </rPr>
          <t>This area is unlocked to use as a quick-check work area.</t>
        </r>
      </text>
    </comment>
    <comment ref="Q426" authorId="3" shapeId="0">
      <text>
        <r>
          <rPr>
            <b/>
            <sz val="10"/>
            <color indexed="81"/>
            <rFont val="Tahoma"/>
            <family val="2"/>
          </rPr>
          <t>This area is unlocked to use as a quick-check work area.</t>
        </r>
      </text>
    </comment>
    <comment ref="Q427" authorId="3" shapeId="0">
      <text>
        <r>
          <rPr>
            <b/>
            <sz val="10"/>
            <color indexed="81"/>
            <rFont val="Tahoma"/>
            <family val="2"/>
          </rPr>
          <t>This area is unlocked to use as a quick-check work area.</t>
        </r>
      </text>
    </comment>
    <comment ref="Q428" authorId="3" shapeId="0">
      <text>
        <r>
          <rPr>
            <b/>
            <sz val="10"/>
            <color indexed="81"/>
            <rFont val="Tahoma"/>
            <family val="2"/>
          </rPr>
          <t>This area is unlocked to use as a quick-check work area.</t>
        </r>
      </text>
    </comment>
    <comment ref="Q429" authorId="3" shapeId="0">
      <text>
        <r>
          <rPr>
            <b/>
            <sz val="10"/>
            <color indexed="81"/>
            <rFont val="Tahoma"/>
            <family val="2"/>
          </rPr>
          <t>This area is unlocked to use as a quick-check work area.</t>
        </r>
      </text>
    </comment>
    <comment ref="Q430" authorId="3" shapeId="0">
      <text>
        <r>
          <rPr>
            <b/>
            <sz val="10"/>
            <color indexed="81"/>
            <rFont val="Tahoma"/>
            <family val="2"/>
          </rPr>
          <t>This area is unlocked to use as a quick-check work area.</t>
        </r>
      </text>
    </comment>
    <comment ref="Q431" authorId="3" shapeId="0">
      <text>
        <r>
          <rPr>
            <b/>
            <sz val="10"/>
            <color indexed="81"/>
            <rFont val="Tahoma"/>
            <family val="2"/>
          </rPr>
          <t>This area is unlocked to use as a quick-check work area.</t>
        </r>
      </text>
    </comment>
    <comment ref="Q432" authorId="3" shapeId="0">
      <text>
        <r>
          <rPr>
            <b/>
            <sz val="10"/>
            <color indexed="81"/>
            <rFont val="Tahoma"/>
            <family val="2"/>
          </rPr>
          <t>This area is unlocked to use as a quick-check work area.</t>
        </r>
      </text>
    </comment>
    <comment ref="Q433" authorId="3" shapeId="0">
      <text>
        <r>
          <rPr>
            <b/>
            <sz val="10"/>
            <color indexed="81"/>
            <rFont val="Tahoma"/>
            <family val="2"/>
          </rPr>
          <t>This area is unlocked to use as a quick-check work area.</t>
        </r>
      </text>
    </comment>
    <comment ref="Q434" authorId="3" shapeId="0">
      <text>
        <r>
          <rPr>
            <b/>
            <sz val="10"/>
            <color indexed="81"/>
            <rFont val="Tahoma"/>
            <family val="2"/>
          </rPr>
          <t>This area is unlocked to use as a quick-check work area.</t>
        </r>
      </text>
    </comment>
    <comment ref="Q435" authorId="3" shapeId="0">
      <text>
        <r>
          <rPr>
            <b/>
            <sz val="10"/>
            <color indexed="81"/>
            <rFont val="Tahoma"/>
            <family val="2"/>
          </rPr>
          <t>This area is unlocked to use as a quick-check work area.</t>
        </r>
      </text>
    </comment>
    <comment ref="Q436" authorId="3" shapeId="0">
      <text>
        <r>
          <rPr>
            <b/>
            <sz val="10"/>
            <color indexed="81"/>
            <rFont val="Tahoma"/>
            <family val="2"/>
          </rPr>
          <t>This area is unlocked to use as a quick-check work area.</t>
        </r>
      </text>
    </comment>
    <comment ref="Q437" authorId="3" shapeId="0">
      <text>
        <r>
          <rPr>
            <b/>
            <sz val="10"/>
            <color indexed="81"/>
            <rFont val="Tahoma"/>
            <family val="2"/>
          </rPr>
          <t>This area is unlocked to use as a quick-check work area.</t>
        </r>
      </text>
    </comment>
    <comment ref="Q438" authorId="3" shapeId="0">
      <text>
        <r>
          <rPr>
            <b/>
            <sz val="10"/>
            <color indexed="81"/>
            <rFont val="Tahoma"/>
            <family val="2"/>
          </rPr>
          <t>This area is unlocked to use as a quick-check work area.</t>
        </r>
      </text>
    </comment>
    <comment ref="Q439" authorId="3" shapeId="0">
      <text>
        <r>
          <rPr>
            <b/>
            <sz val="10"/>
            <color indexed="81"/>
            <rFont val="Tahoma"/>
            <family val="2"/>
          </rPr>
          <t>This area is unlocked to use as a quick-check work area.</t>
        </r>
      </text>
    </comment>
    <comment ref="Q440" authorId="3" shapeId="0">
      <text>
        <r>
          <rPr>
            <b/>
            <sz val="10"/>
            <color indexed="81"/>
            <rFont val="Tahoma"/>
            <family val="2"/>
          </rPr>
          <t>This area is unlocked to use as a quick-check work area.</t>
        </r>
      </text>
    </comment>
    <comment ref="Q441" authorId="3" shapeId="0">
      <text>
        <r>
          <rPr>
            <b/>
            <sz val="10"/>
            <color indexed="81"/>
            <rFont val="Tahoma"/>
            <family val="2"/>
          </rPr>
          <t>This area is unlocked to use as a quick-check work area.</t>
        </r>
      </text>
    </comment>
    <comment ref="Q442" authorId="3" shapeId="0">
      <text>
        <r>
          <rPr>
            <b/>
            <sz val="10"/>
            <color indexed="81"/>
            <rFont val="Tahoma"/>
            <family val="2"/>
          </rPr>
          <t>This area is unlocked to use as a quick-check work area.</t>
        </r>
      </text>
    </comment>
    <comment ref="Q443" authorId="3" shapeId="0">
      <text>
        <r>
          <rPr>
            <b/>
            <sz val="10"/>
            <color indexed="81"/>
            <rFont val="Tahoma"/>
            <family val="2"/>
          </rPr>
          <t>This area is unlocked to use as a quick-check work area.</t>
        </r>
      </text>
    </comment>
    <comment ref="Q444" authorId="3" shapeId="0">
      <text>
        <r>
          <rPr>
            <b/>
            <sz val="10"/>
            <color indexed="81"/>
            <rFont val="Tahoma"/>
            <family val="2"/>
          </rPr>
          <t>This area is unlocked to use as a quick-check work area.</t>
        </r>
      </text>
    </comment>
    <comment ref="Q445" authorId="3" shapeId="0">
      <text>
        <r>
          <rPr>
            <b/>
            <sz val="10"/>
            <color indexed="81"/>
            <rFont val="Tahoma"/>
            <family val="2"/>
          </rPr>
          <t>This area is unlocked to use as a quick-check work area.</t>
        </r>
      </text>
    </comment>
    <comment ref="Q446" authorId="3" shapeId="0">
      <text>
        <r>
          <rPr>
            <b/>
            <sz val="10"/>
            <color indexed="81"/>
            <rFont val="Tahoma"/>
            <family val="2"/>
          </rPr>
          <t>This area is unlocked to use as a quick-check work area.</t>
        </r>
      </text>
    </comment>
    <comment ref="Q447" authorId="3" shapeId="0">
      <text>
        <r>
          <rPr>
            <b/>
            <sz val="10"/>
            <color indexed="81"/>
            <rFont val="Tahoma"/>
            <family val="2"/>
          </rPr>
          <t>This area is unlocked to use as a quick-check work area.</t>
        </r>
      </text>
    </comment>
    <comment ref="Q449" authorId="3" shapeId="0">
      <text>
        <r>
          <rPr>
            <b/>
            <sz val="10"/>
            <color indexed="81"/>
            <rFont val="Tahoma"/>
            <family val="2"/>
          </rPr>
          <t>This area is unlocked to use as a quick-check work area.</t>
        </r>
      </text>
    </comment>
    <comment ref="Q450" authorId="3" shapeId="0">
      <text>
        <r>
          <rPr>
            <b/>
            <sz val="10"/>
            <color indexed="81"/>
            <rFont val="Tahoma"/>
            <family val="2"/>
          </rPr>
          <t>This area is unlocked to use as a quick-check work area.</t>
        </r>
      </text>
    </comment>
    <comment ref="Q451" authorId="3" shapeId="0">
      <text>
        <r>
          <rPr>
            <b/>
            <sz val="10"/>
            <color indexed="81"/>
            <rFont val="Tahoma"/>
            <family val="2"/>
          </rPr>
          <t>This area is unlocked to use as a quick-check work area.</t>
        </r>
      </text>
    </comment>
    <comment ref="Q452" authorId="3" shapeId="0">
      <text>
        <r>
          <rPr>
            <b/>
            <sz val="10"/>
            <color indexed="81"/>
            <rFont val="Tahoma"/>
            <family val="2"/>
          </rPr>
          <t>This area is unlocked to use as a quick-check work area.</t>
        </r>
      </text>
    </comment>
    <comment ref="Q453" authorId="3" shapeId="0">
      <text>
        <r>
          <rPr>
            <b/>
            <sz val="10"/>
            <color indexed="81"/>
            <rFont val="Tahoma"/>
            <family val="2"/>
          </rPr>
          <t>This area is unlocked to use as a quick-check work area.</t>
        </r>
      </text>
    </comment>
    <comment ref="Q454" authorId="3" shapeId="0">
      <text>
        <r>
          <rPr>
            <b/>
            <sz val="10"/>
            <color indexed="81"/>
            <rFont val="Tahoma"/>
            <family val="2"/>
          </rPr>
          <t>This area is unlocked to use as a quick-check work area.</t>
        </r>
      </text>
    </comment>
    <comment ref="Q456" authorId="3" shapeId="0">
      <text>
        <r>
          <rPr>
            <b/>
            <sz val="10"/>
            <color indexed="81"/>
            <rFont val="Tahoma"/>
            <family val="2"/>
          </rPr>
          <t>This area is unlocked to use as a quick-check work area.</t>
        </r>
      </text>
    </comment>
    <comment ref="Q457" authorId="3" shapeId="0">
      <text>
        <r>
          <rPr>
            <b/>
            <sz val="10"/>
            <color indexed="81"/>
            <rFont val="Tahoma"/>
            <family val="2"/>
          </rPr>
          <t>This area is unlocked to use as a quick-check work area.</t>
        </r>
      </text>
    </comment>
    <comment ref="Q458" authorId="3" shapeId="0">
      <text>
        <r>
          <rPr>
            <b/>
            <sz val="10"/>
            <color indexed="81"/>
            <rFont val="Tahoma"/>
            <family val="2"/>
          </rPr>
          <t>This area is unlocked to use as a quick-check work area.</t>
        </r>
      </text>
    </comment>
    <comment ref="Q459" authorId="3" shapeId="0">
      <text>
        <r>
          <rPr>
            <b/>
            <sz val="10"/>
            <color indexed="81"/>
            <rFont val="Tahoma"/>
            <family val="2"/>
          </rPr>
          <t>This area is unlocked to use as a quick-check work area.</t>
        </r>
      </text>
    </comment>
    <comment ref="Q460" authorId="3" shapeId="0">
      <text>
        <r>
          <rPr>
            <b/>
            <sz val="10"/>
            <color indexed="81"/>
            <rFont val="Tahoma"/>
            <family val="2"/>
          </rPr>
          <t>This area is unlocked to use as a quick-check work area.</t>
        </r>
      </text>
    </comment>
    <comment ref="Q461" authorId="3" shapeId="0">
      <text>
        <r>
          <rPr>
            <b/>
            <sz val="10"/>
            <color indexed="81"/>
            <rFont val="Tahoma"/>
            <family val="2"/>
          </rPr>
          <t>This area is unlocked to use as a quick-check work area.</t>
        </r>
      </text>
    </comment>
    <comment ref="Q462" authorId="3" shapeId="0">
      <text>
        <r>
          <rPr>
            <b/>
            <sz val="10"/>
            <color indexed="81"/>
            <rFont val="Tahoma"/>
            <family val="2"/>
          </rPr>
          <t>This area is unlocked to use as a quick-check work area.</t>
        </r>
      </text>
    </comment>
    <comment ref="Q463" authorId="3" shapeId="0">
      <text>
        <r>
          <rPr>
            <b/>
            <sz val="10"/>
            <color indexed="81"/>
            <rFont val="Tahoma"/>
            <family val="2"/>
          </rPr>
          <t>This area is unlocked to use as a quick-check work area.</t>
        </r>
      </text>
    </comment>
    <comment ref="Q464" authorId="3" shapeId="0">
      <text>
        <r>
          <rPr>
            <b/>
            <sz val="10"/>
            <color indexed="81"/>
            <rFont val="Tahoma"/>
            <family val="2"/>
          </rPr>
          <t>This area is unlocked to use as a quick-check work area.</t>
        </r>
      </text>
    </comment>
    <comment ref="Q465" authorId="3" shapeId="0">
      <text>
        <r>
          <rPr>
            <b/>
            <sz val="10"/>
            <color indexed="81"/>
            <rFont val="Tahoma"/>
            <family val="2"/>
          </rPr>
          <t>This area is unlocked to use as a quick-check work area.</t>
        </r>
      </text>
    </comment>
    <comment ref="Q466" authorId="3" shapeId="0">
      <text>
        <r>
          <rPr>
            <b/>
            <sz val="10"/>
            <color indexed="81"/>
            <rFont val="Tahoma"/>
            <family val="2"/>
          </rPr>
          <t>This area is unlocked to use as a quick-check work area.</t>
        </r>
      </text>
    </comment>
    <comment ref="Q467" authorId="3" shapeId="0">
      <text>
        <r>
          <rPr>
            <b/>
            <sz val="10"/>
            <color indexed="81"/>
            <rFont val="Tahoma"/>
            <family val="2"/>
          </rPr>
          <t>This area is unlocked to use as a quick-check work area.</t>
        </r>
      </text>
    </comment>
    <comment ref="Q468" authorId="3" shapeId="0">
      <text>
        <r>
          <rPr>
            <b/>
            <sz val="10"/>
            <color indexed="81"/>
            <rFont val="Tahoma"/>
            <family val="2"/>
          </rPr>
          <t>This area is unlocked to use as a quick-check work area.</t>
        </r>
      </text>
    </comment>
    <comment ref="Q469" authorId="3" shapeId="0">
      <text>
        <r>
          <rPr>
            <b/>
            <sz val="10"/>
            <color indexed="81"/>
            <rFont val="Tahoma"/>
            <family val="2"/>
          </rPr>
          <t>This area is unlocked to use as a quick-check work area.</t>
        </r>
      </text>
    </comment>
    <comment ref="Q470" authorId="3" shapeId="0">
      <text>
        <r>
          <rPr>
            <b/>
            <sz val="10"/>
            <color indexed="81"/>
            <rFont val="Tahoma"/>
            <family val="2"/>
          </rPr>
          <t>This area is unlocked to use as a quick-check work area.</t>
        </r>
      </text>
    </comment>
    <comment ref="Q471" authorId="3" shapeId="0">
      <text>
        <r>
          <rPr>
            <b/>
            <sz val="10"/>
            <color indexed="81"/>
            <rFont val="Tahoma"/>
            <family val="2"/>
          </rPr>
          <t>This area is unlocked to use as a quick-check work area.</t>
        </r>
      </text>
    </comment>
    <comment ref="Q472" authorId="3" shapeId="0">
      <text>
        <r>
          <rPr>
            <b/>
            <sz val="10"/>
            <color indexed="81"/>
            <rFont val="Tahoma"/>
            <family val="2"/>
          </rPr>
          <t>This area is unlocked to use as a quick-check work area.</t>
        </r>
      </text>
    </comment>
    <comment ref="Q473" authorId="3" shapeId="0">
      <text>
        <r>
          <rPr>
            <b/>
            <sz val="10"/>
            <color indexed="81"/>
            <rFont val="Tahoma"/>
            <family val="2"/>
          </rPr>
          <t>This area is unlocked to use as a quick-check work area.</t>
        </r>
      </text>
    </comment>
    <comment ref="Q474" authorId="3" shapeId="0">
      <text>
        <r>
          <rPr>
            <b/>
            <sz val="10"/>
            <color indexed="81"/>
            <rFont val="Tahoma"/>
            <family val="2"/>
          </rPr>
          <t>This area is unlocked to use as a quick-check work area.</t>
        </r>
      </text>
    </comment>
    <comment ref="Q475" authorId="3" shapeId="0">
      <text>
        <r>
          <rPr>
            <b/>
            <sz val="10"/>
            <color indexed="81"/>
            <rFont val="Tahoma"/>
            <family val="2"/>
          </rPr>
          <t>This area is unlocked to use as a quick-check work area.</t>
        </r>
      </text>
    </comment>
    <comment ref="Q476" authorId="3" shapeId="0">
      <text>
        <r>
          <rPr>
            <b/>
            <sz val="10"/>
            <color indexed="81"/>
            <rFont val="Tahoma"/>
            <family val="2"/>
          </rPr>
          <t>This area is unlocked to use as a quick-check work area.</t>
        </r>
      </text>
    </comment>
    <comment ref="Q477" authorId="3" shapeId="0">
      <text>
        <r>
          <rPr>
            <b/>
            <sz val="10"/>
            <color indexed="81"/>
            <rFont val="Tahoma"/>
            <family val="2"/>
          </rPr>
          <t>This area is unlocked to use as a quick-check work area.</t>
        </r>
      </text>
    </comment>
    <comment ref="Q478" authorId="3" shapeId="0">
      <text>
        <r>
          <rPr>
            <b/>
            <sz val="10"/>
            <color indexed="81"/>
            <rFont val="Tahoma"/>
            <family val="2"/>
          </rPr>
          <t>This area is unlocked to use as a quick-check work area.</t>
        </r>
      </text>
    </comment>
    <comment ref="Q479" authorId="3" shapeId="0">
      <text>
        <r>
          <rPr>
            <b/>
            <sz val="10"/>
            <color indexed="81"/>
            <rFont val="Tahoma"/>
            <family val="2"/>
          </rPr>
          <t>This area is unlocked to use as a quick-check work area.</t>
        </r>
      </text>
    </comment>
    <comment ref="Q480" authorId="3" shapeId="0">
      <text>
        <r>
          <rPr>
            <b/>
            <sz val="10"/>
            <color indexed="81"/>
            <rFont val="Tahoma"/>
            <family val="2"/>
          </rPr>
          <t>This area is unlocked to use as a quick-check work area.</t>
        </r>
      </text>
    </comment>
    <comment ref="Q481" authorId="3" shapeId="0">
      <text>
        <r>
          <rPr>
            <b/>
            <sz val="10"/>
            <color indexed="81"/>
            <rFont val="Tahoma"/>
            <family val="2"/>
          </rPr>
          <t>This area is unlocked to use as a quick-check work area.</t>
        </r>
      </text>
    </comment>
    <comment ref="Q482" authorId="3" shapeId="0">
      <text>
        <r>
          <rPr>
            <b/>
            <sz val="10"/>
            <color indexed="81"/>
            <rFont val="Tahoma"/>
            <family val="2"/>
          </rPr>
          <t>This area is unlocked to use as a quick-check work area.</t>
        </r>
      </text>
    </comment>
    <comment ref="Q483" authorId="3" shapeId="0">
      <text>
        <r>
          <rPr>
            <b/>
            <sz val="10"/>
            <color indexed="81"/>
            <rFont val="Tahoma"/>
            <family val="2"/>
          </rPr>
          <t>This area is unlocked to use as a quick-check work area.</t>
        </r>
      </text>
    </comment>
    <comment ref="N484" authorId="5" shapeId="0">
      <text>
        <r>
          <rPr>
            <sz val="9"/>
            <color indexed="81"/>
            <rFont val="Tahoma"/>
            <family val="2"/>
          </rPr>
          <t xml:space="preserve">Scholarship Allowances coming from inputs into SRECNP.
</t>
        </r>
      </text>
    </comment>
    <comment ref="Q484" authorId="3" shapeId="0">
      <text>
        <r>
          <rPr>
            <b/>
            <sz val="10"/>
            <color indexed="81"/>
            <rFont val="Tahoma"/>
            <family val="2"/>
          </rPr>
          <t>This area is unlocked to use as a quick-check work area.</t>
        </r>
      </text>
    </comment>
    <comment ref="Q485" authorId="3" shapeId="0">
      <text>
        <r>
          <rPr>
            <b/>
            <sz val="10"/>
            <color indexed="81"/>
            <rFont val="Tahoma"/>
            <family val="2"/>
          </rPr>
          <t>This area is unlocked to use as a quick-check work area.</t>
        </r>
      </text>
    </comment>
    <comment ref="Q486" authorId="3" shapeId="0">
      <text>
        <r>
          <rPr>
            <b/>
            <sz val="10"/>
            <color indexed="81"/>
            <rFont val="Tahoma"/>
            <family val="2"/>
          </rPr>
          <t>This area is unlocked to use as a quick-check work area.</t>
        </r>
      </text>
    </comment>
    <comment ref="Q487" authorId="3" shapeId="0">
      <text>
        <r>
          <rPr>
            <b/>
            <sz val="10"/>
            <color indexed="81"/>
            <rFont val="Tahoma"/>
            <family val="2"/>
          </rPr>
          <t>This area is unlocked to use as a quick-check work area.</t>
        </r>
      </text>
    </comment>
    <comment ref="N488" authorId="4" shapeId="0">
      <text>
        <r>
          <rPr>
            <sz val="8"/>
            <color indexed="81"/>
            <rFont val="Tahoma"/>
            <family val="2"/>
          </rPr>
          <t>As a convenience, formula entered to automatically adjust balance to $0.  Cell is unlocked.</t>
        </r>
      </text>
    </comment>
    <comment ref="Q488" authorId="3" shapeId="0">
      <text>
        <r>
          <rPr>
            <b/>
            <sz val="10"/>
            <color indexed="81"/>
            <rFont val="Tahoma"/>
            <family val="2"/>
          </rPr>
          <t>This area is unlocked to use as a quick-check work area.</t>
        </r>
      </text>
    </comment>
    <comment ref="N489" authorId="4" shapeId="0">
      <text>
        <r>
          <rPr>
            <sz val="8"/>
            <color indexed="81"/>
            <rFont val="Tahoma"/>
            <family val="2"/>
          </rPr>
          <t>As a convenience, formula entered to automatically adjust balance to $0.  Cell is unlocked.</t>
        </r>
      </text>
    </comment>
    <comment ref="Q489" authorId="3" shapeId="0">
      <text>
        <r>
          <rPr>
            <b/>
            <sz val="10"/>
            <color indexed="81"/>
            <rFont val="Tahoma"/>
            <family val="2"/>
          </rPr>
          <t>This area is unlocked to use as a quick-check work area.</t>
        </r>
      </text>
    </comment>
    <comment ref="N490" authorId="4" shapeId="0">
      <text>
        <r>
          <rPr>
            <sz val="8"/>
            <color indexed="81"/>
            <rFont val="Tahoma"/>
            <family val="2"/>
          </rPr>
          <t>As a convenience, formula entered to automatically adjust balance to $0.  Cell is unlocked.</t>
        </r>
      </text>
    </comment>
    <comment ref="Q490" authorId="3" shapeId="0">
      <text>
        <r>
          <rPr>
            <b/>
            <sz val="10"/>
            <color indexed="81"/>
            <rFont val="Tahoma"/>
            <family val="2"/>
          </rPr>
          <t>This area is unlocked to use as a quick-check work area.</t>
        </r>
      </text>
    </comment>
    <comment ref="N491" authorId="4" shapeId="0">
      <text>
        <r>
          <rPr>
            <sz val="8"/>
            <color indexed="81"/>
            <rFont val="Tahoma"/>
            <family val="2"/>
          </rPr>
          <t>As a convenience, formula entered to automatically adjust balance to $0.  Cell is unlocked.</t>
        </r>
      </text>
    </comment>
    <comment ref="Q491" authorId="3" shapeId="0">
      <text>
        <r>
          <rPr>
            <b/>
            <sz val="10"/>
            <color indexed="81"/>
            <rFont val="Tahoma"/>
            <family val="2"/>
          </rPr>
          <t>This area is unlocked to use as a quick-check work area.</t>
        </r>
      </text>
    </comment>
    <comment ref="N492" authorId="4" shapeId="0">
      <text>
        <r>
          <rPr>
            <sz val="8"/>
            <color indexed="81"/>
            <rFont val="Tahoma"/>
            <family val="2"/>
          </rPr>
          <t>As a convenience, formula entered to automatically adjust balance to $0.  Cell is unlocked.</t>
        </r>
      </text>
    </comment>
    <comment ref="Q492" authorId="3" shapeId="0">
      <text>
        <r>
          <rPr>
            <b/>
            <sz val="10"/>
            <color indexed="81"/>
            <rFont val="Tahoma"/>
            <family val="2"/>
          </rPr>
          <t>This area is unlocked to use as a quick-check work area.</t>
        </r>
      </text>
    </comment>
    <comment ref="N493" authorId="4" shapeId="0">
      <text>
        <r>
          <rPr>
            <sz val="8"/>
            <color indexed="81"/>
            <rFont val="Tahoma"/>
            <family val="2"/>
          </rPr>
          <t>As a convenience, formula entered to automatically adjust balance to $0.  Cell is unlocked.</t>
        </r>
      </text>
    </comment>
    <comment ref="Q493" authorId="3" shapeId="0">
      <text>
        <r>
          <rPr>
            <b/>
            <sz val="10"/>
            <color indexed="81"/>
            <rFont val="Tahoma"/>
            <family val="2"/>
          </rPr>
          <t>This area is unlocked to use as a quick-check work area.</t>
        </r>
      </text>
    </comment>
    <comment ref="N494" authorId="4" shapeId="0">
      <text>
        <r>
          <rPr>
            <sz val="8"/>
            <color indexed="81"/>
            <rFont val="Tahoma"/>
            <family val="2"/>
          </rPr>
          <t>As a convenience, formula entered to automatically adjust balance to $0.  Cell is unlocked.</t>
        </r>
      </text>
    </comment>
    <comment ref="Q494" authorId="3" shapeId="0">
      <text>
        <r>
          <rPr>
            <b/>
            <sz val="10"/>
            <color indexed="81"/>
            <rFont val="Tahoma"/>
            <family val="2"/>
          </rPr>
          <t>This area is unlocked to use as a quick-check work area.</t>
        </r>
      </text>
    </comment>
    <comment ref="N495" authorId="4" shapeId="0">
      <text>
        <r>
          <rPr>
            <sz val="8"/>
            <color indexed="81"/>
            <rFont val="Tahoma"/>
            <family val="2"/>
          </rPr>
          <t>As a convenience, formula entered to automatically adjust balance to $0.  Cell is unlocked.</t>
        </r>
      </text>
    </comment>
    <comment ref="Q495" authorId="3" shapeId="0">
      <text>
        <r>
          <rPr>
            <b/>
            <sz val="10"/>
            <color indexed="81"/>
            <rFont val="Tahoma"/>
            <family val="2"/>
          </rPr>
          <t>This area is unlocked to use as a quick-check work area.</t>
        </r>
      </text>
    </comment>
    <comment ref="N496" authorId="4" shapeId="0">
      <text>
        <r>
          <rPr>
            <sz val="8"/>
            <color indexed="81"/>
            <rFont val="Tahoma"/>
            <family val="2"/>
          </rPr>
          <t>As a convenience, formula entered to automatically adjust balance to $0.  Cell is unlocked.</t>
        </r>
      </text>
    </comment>
    <comment ref="Q496" authorId="3" shapeId="0">
      <text>
        <r>
          <rPr>
            <b/>
            <sz val="10"/>
            <color indexed="81"/>
            <rFont val="Tahoma"/>
            <family val="2"/>
          </rPr>
          <t>This area is unlocked to use as a quick-check work area.</t>
        </r>
      </text>
    </comment>
    <comment ref="N497" authorId="4" shapeId="0">
      <text>
        <r>
          <rPr>
            <sz val="8"/>
            <color indexed="81"/>
            <rFont val="Tahoma"/>
            <family val="2"/>
          </rPr>
          <t>As a convenience, formula entered to automatically adjust balance to $0.  Cell is unlocked.</t>
        </r>
      </text>
    </comment>
    <comment ref="Q497" authorId="3" shapeId="0">
      <text>
        <r>
          <rPr>
            <b/>
            <sz val="10"/>
            <color indexed="81"/>
            <rFont val="Tahoma"/>
            <family val="2"/>
          </rPr>
          <t>This area is unlocked to use as a quick-check work area.</t>
        </r>
      </text>
    </comment>
    <comment ref="N498" authorId="4" shapeId="0">
      <text>
        <r>
          <rPr>
            <sz val="8"/>
            <color indexed="81"/>
            <rFont val="Tahoma"/>
            <family val="2"/>
          </rPr>
          <t>As a convenience, formula entered to automatically adjust balance to $0.  Cell is unlocked.</t>
        </r>
      </text>
    </comment>
    <comment ref="Q498" authorId="3" shapeId="0">
      <text>
        <r>
          <rPr>
            <b/>
            <sz val="10"/>
            <color indexed="81"/>
            <rFont val="Tahoma"/>
            <family val="2"/>
          </rPr>
          <t>This area is unlocked to use as a quick-check work area.</t>
        </r>
      </text>
    </comment>
    <comment ref="N499" authorId="4" shapeId="0">
      <text>
        <r>
          <rPr>
            <sz val="8"/>
            <color indexed="81"/>
            <rFont val="Tahoma"/>
            <family val="2"/>
          </rPr>
          <t>As a convenience, formula entered to automatically adjust balance to $0.  Cell is unlocked.</t>
        </r>
      </text>
    </comment>
    <comment ref="Q499" authorId="3" shapeId="0">
      <text>
        <r>
          <rPr>
            <b/>
            <sz val="10"/>
            <color indexed="81"/>
            <rFont val="Tahoma"/>
            <family val="2"/>
          </rPr>
          <t>This area is unlocked to use as a quick-check work area.</t>
        </r>
      </text>
    </comment>
    <comment ref="N500" authorId="4" shapeId="0">
      <text>
        <r>
          <rPr>
            <sz val="8"/>
            <color indexed="81"/>
            <rFont val="Tahoma"/>
            <family val="2"/>
          </rPr>
          <t>As a convenience, formula entered to automatically adjust balance to $0.  Cell is unlocked.</t>
        </r>
      </text>
    </comment>
    <comment ref="Q500" authorId="3" shapeId="0">
      <text>
        <r>
          <rPr>
            <b/>
            <sz val="10"/>
            <color indexed="81"/>
            <rFont val="Tahoma"/>
            <family val="2"/>
          </rPr>
          <t>This area is unlocked to use as a quick-check work area.</t>
        </r>
      </text>
    </comment>
    <comment ref="N501" authorId="2" shapeId="0">
      <text>
        <r>
          <rPr>
            <b/>
            <sz val="9"/>
            <color indexed="81"/>
            <rFont val="Tahoma"/>
            <family val="2"/>
          </rPr>
          <t>Rose, Tracy:</t>
        </r>
        <r>
          <rPr>
            <sz val="9"/>
            <color indexed="81"/>
            <rFont val="Tahoma"/>
            <family val="2"/>
          </rPr>
          <t xml:space="preserve">
As a convenience, formula entered to automatically adjust balance to $0.  Cell is unlocked.</t>
        </r>
      </text>
    </comment>
    <comment ref="Q501" authorId="3" shapeId="0">
      <text>
        <r>
          <rPr>
            <b/>
            <sz val="10"/>
            <color indexed="81"/>
            <rFont val="Tahoma"/>
            <family val="2"/>
          </rPr>
          <t>This area is unlocked to use as a quick-check work area.</t>
        </r>
      </text>
    </comment>
    <comment ref="Q502" authorId="3" shapeId="0">
      <text>
        <r>
          <rPr>
            <b/>
            <sz val="10"/>
            <color indexed="81"/>
            <rFont val="Tahoma"/>
            <family val="2"/>
          </rPr>
          <t>This area is unlocked to use as a quick-check work area.</t>
        </r>
      </text>
    </comment>
    <comment ref="Q503" authorId="3" shapeId="0">
      <text>
        <r>
          <rPr>
            <b/>
            <sz val="10"/>
            <color indexed="81"/>
            <rFont val="Tahoma"/>
            <family val="2"/>
          </rPr>
          <t>This area is unlocked to use as a quick-check work area.</t>
        </r>
      </text>
    </comment>
    <comment ref="N504" authorId="2" shapeId="0">
      <text>
        <r>
          <rPr>
            <b/>
            <sz val="9"/>
            <color indexed="81"/>
            <rFont val="Tahoma"/>
            <family val="2"/>
          </rPr>
          <t>Hart, Yolanda:</t>
        </r>
        <r>
          <rPr>
            <sz val="9"/>
            <color indexed="81"/>
            <rFont val="Tahoma"/>
            <family val="2"/>
          </rPr>
          <t xml:space="preserve">
As a convenience, formula entered to automatically adjust balance to $0.  Cell is unlocked.</t>
        </r>
      </text>
    </comment>
    <comment ref="Q505" authorId="3" shapeId="0">
      <text>
        <r>
          <rPr>
            <b/>
            <sz val="10"/>
            <color indexed="81"/>
            <rFont val="Tahoma"/>
            <family val="2"/>
          </rPr>
          <t>This area is unlocked to use as a quick-check work area.</t>
        </r>
      </text>
    </comment>
    <comment ref="Q506" authorId="3" shapeId="0">
      <text>
        <r>
          <rPr>
            <b/>
            <sz val="10"/>
            <color indexed="81"/>
            <rFont val="Tahoma"/>
            <family val="2"/>
          </rPr>
          <t>This area is unlocked to use as a quick-check work area.</t>
        </r>
      </text>
    </comment>
    <comment ref="Q507" authorId="3" shapeId="0">
      <text>
        <r>
          <rPr>
            <b/>
            <sz val="10"/>
            <color indexed="81"/>
            <rFont val="Tahoma"/>
            <family val="2"/>
          </rPr>
          <t>This area is unlocked to use as a quick-check work area.</t>
        </r>
      </text>
    </comment>
    <comment ref="Q508" authorId="3" shapeId="0">
      <text>
        <r>
          <rPr>
            <b/>
            <sz val="10"/>
            <color indexed="81"/>
            <rFont val="Tahoma"/>
            <family val="2"/>
          </rPr>
          <t>This area is unlocked to use as a quick-check work area.</t>
        </r>
      </text>
    </comment>
    <comment ref="Q509" authorId="3" shapeId="0">
      <text>
        <r>
          <rPr>
            <b/>
            <sz val="10"/>
            <color indexed="81"/>
            <rFont val="Tahoma"/>
            <family val="2"/>
          </rPr>
          <t>This area is unlocked to use as a quick-check work area.</t>
        </r>
      </text>
    </comment>
    <comment ref="Q510" authorId="3" shapeId="0">
      <text>
        <r>
          <rPr>
            <b/>
            <sz val="10"/>
            <color indexed="81"/>
            <rFont val="Tahoma"/>
            <family val="2"/>
          </rPr>
          <t>This area is unlocked to use as a quick-check work area.</t>
        </r>
      </text>
    </comment>
    <comment ref="Q511" authorId="3" shapeId="0">
      <text>
        <r>
          <rPr>
            <b/>
            <sz val="10"/>
            <color indexed="81"/>
            <rFont val="Tahoma"/>
            <family val="2"/>
          </rPr>
          <t>This area is unlocked to use as a quick-check work area.</t>
        </r>
      </text>
    </comment>
    <comment ref="Q512" authorId="3" shapeId="0">
      <text>
        <r>
          <rPr>
            <b/>
            <sz val="10"/>
            <color indexed="81"/>
            <rFont val="Tahoma"/>
            <family val="2"/>
          </rPr>
          <t>This area is unlocked to use as a quick-check work area.</t>
        </r>
      </text>
    </comment>
    <comment ref="Q513" authorId="3" shapeId="0">
      <text>
        <r>
          <rPr>
            <b/>
            <sz val="10"/>
            <color indexed="81"/>
            <rFont val="Tahoma"/>
            <family val="2"/>
          </rPr>
          <t>This area is unlocked to use as a quick-check work area.</t>
        </r>
      </text>
    </comment>
    <comment ref="Q514" authorId="3" shapeId="0">
      <text>
        <r>
          <rPr>
            <b/>
            <sz val="10"/>
            <color indexed="81"/>
            <rFont val="Tahoma"/>
            <family val="2"/>
          </rPr>
          <t>This area is unlocked to use as a quick-check work area.</t>
        </r>
      </text>
    </comment>
    <comment ref="Q515" authorId="3" shapeId="0">
      <text>
        <r>
          <rPr>
            <b/>
            <sz val="10"/>
            <color indexed="81"/>
            <rFont val="Tahoma"/>
            <family val="2"/>
          </rPr>
          <t>This area is unlocked to use as a quick-check work area.</t>
        </r>
      </text>
    </comment>
    <comment ref="Q516" authorId="3" shapeId="0">
      <text>
        <r>
          <rPr>
            <b/>
            <sz val="10"/>
            <color indexed="81"/>
            <rFont val="Tahoma"/>
            <family val="2"/>
          </rPr>
          <t>This area is unlocked to use as a quick-check work area.</t>
        </r>
      </text>
    </comment>
    <comment ref="Q517" authorId="3" shapeId="0">
      <text>
        <r>
          <rPr>
            <b/>
            <sz val="10"/>
            <color indexed="81"/>
            <rFont val="Tahoma"/>
            <family val="2"/>
          </rPr>
          <t>This area is unlocked to use as a quick-check work area.</t>
        </r>
      </text>
    </comment>
    <comment ref="Q518" authorId="3" shapeId="0">
      <text>
        <r>
          <rPr>
            <b/>
            <sz val="10"/>
            <color indexed="81"/>
            <rFont val="Tahoma"/>
            <family val="2"/>
          </rPr>
          <t>This area is unlocked to use as a quick-check work area.</t>
        </r>
      </text>
    </comment>
    <comment ref="Q519" authorId="3" shapeId="0">
      <text>
        <r>
          <rPr>
            <b/>
            <sz val="10"/>
            <color indexed="81"/>
            <rFont val="Tahoma"/>
            <family val="2"/>
          </rPr>
          <t>This area is unlocked to use as a quick-check work area.</t>
        </r>
      </text>
    </comment>
    <comment ref="Q520" authorId="3" shapeId="0">
      <text>
        <r>
          <rPr>
            <b/>
            <sz val="10"/>
            <color indexed="81"/>
            <rFont val="Tahoma"/>
            <family val="2"/>
          </rPr>
          <t>This area is unlocked to use as a quick-check work area.</t>
        </r>
      </text>
    </comment>
    <comment ref="Q521" authorId="3" shapeId="0">
      <text>
        <r>
          <rPr>
            <b/>
            <sz val="10"/>
            <color indexed="81"/>
            <rFont val="Tahoma"/>
            <family val="2"/>
          </rPr>
          <t>This area is unlocked to use as a quick-check work area.</t>
        </r>
      </text>
    </comment>
    <comment ref="Q522" authorId="3" shapeId="0">
      <text>
        <r>
          <rPr>
            <b/>
            <sz val="10"/>
            <color indexed="81"/>
            <rFont val="Tahoma"/>
            <family val="2"/>
          </rPr>
          <t>This area is unlocked to use as a quick-check work area.</t>
        </r>
      </text>
    </comment>
    <comment ref="Q524" authorId="3" shapeId="0">
      <text>
        <r>
          <rPr>
            <b/>
            <sz val="10"/>
            <color indexed="81"/>
            <rFont val="Tahoma"/>
            <family val="2"/>
          </rPr>
          <t>This area is unlocked to use as a quick-check work area.</t>
        </r>
      </text>
    </comment>
    <comment ref="Q525" authorId="3" shapeId="0">
      <text>
        <r>
          <rPr>
            <b/>
            <sz val="10"/>
            <color indexed="81"/>
            <rFont val="Tahoma"/>
            <family val="2"/>
          </rPr>
          <t>This area is unlocked to use as a quick-check work area.</t>
        </r>
      </text>
    </comment>
    <comment ref="Q526" authorId="3" shapeId="0">
      <text>
        <r>
          <rPr>
            <b/>
            <sz val="10"/>
            <color indexed="81"/>
            <rFont val="Tahoma"/>
            <family val="2"/>
          </rPr>
          <t>This area is unlocked to use as a quick-check work area.</t>
        </r>
      </text>
    </comment>
    <comment ref="Q527" authorId="3" shapeId="0">
      <text>
        <r>
          <rPr>
            <b/>
            <sz val="10"/>
            <color indexed="81"/>
            <rFont val="Tahoma"/>
            <family val="2"/>
          </rPr>
          <t>This area is unlocked to use as a quick-check work area.</t>
        </r>
      </text>
    </comment>
    <comment ref="Q528" authorId="3" shapeId="0">
      <text>
        <r>
          <rPr>
            <b/>
            <sz val="10"/>
            <color indexed="81"/>
            <rFont val="Tahoma"/>
            <family val="2"/>
          </rPr>
          <t>This area is unlocked to use as a quick-check work area.</t>
        </r>
      </text>
    </comment>
    <comment ref="Q529" authorId="3" shapeId="0">
      <text>
        <r>
          <rPr>
            <b/>
            <sz val="10"/>
            <color indexed="81"/>
            <rFont val="Tahoma"/>
            <family val="2"/>
          </rPr>
          <t>This area is unlocked to use as a quick-check work area.</t>
        </r>
      </text>
    </comment>
    <comment ref="Q530" authorId="3" shapeId="0">
      <text>
        <r>
          <rPr>
            <b/>
            <sz val="10"/>
            <color indexed="81"/>
            <rFont val="Tahoma"/>
            <family val="2"/>
          </rPr>
          <t>This area is unlocked to use as a quick-check work area.</t>
        </r>
      </text>
    </comment>
    <comment ref="Q531" authorId="3" shapeId="0">
      <text>
        <r>
          <rPr>
            <b/>
            <sz val="10"/>
            <color indexed="81"/>
            <rFont val="Tahoma"/>
            <family val="2"/>
          </rPr>
          <t>This area is unlocked to use as a quick-check work area.</t>
        </r>
      </text>
    </comment>
    <comment ref="Q532" authorId="3" shapeId="0">
      <text>
        <r>
          <rPr>
            <b/>
            <sz val="10"/>
            <color indexed="81"/>
            <rFont val="Tahoma"/>
            <family val="2"/>
          </rPr>
          <t>This area is unlocked to use as a quick-check work area.</t>
        </r>
      </text>
    </comment>
    <comment ref="N533" authorId="1" shapeId="0">
      <text>
        <r>
          <rPr>
            <b/>
            <sz val="9"/>
            <color indexed="81"/>
            <rFont val="Tahoma"/>
            <family val="2"/>
          </rPr>
          <t>College Reporting:</t>
        </r>
        <r>
          <rPr>
            <sz val="9"/>
            <color indexed="81"/>
            <rFont val="Tahoma"/>
            <family val="2"/>
          </rPr>
          <t xml:space="preserve">
Change in formula to include change in PY balance necessary to agree to beginning balance.
</t>
        </r>
      </text>
    </comment>
    <comment ref="Q533" authorId="3" shapeId="0">
      <text>
        <r>
          <rPr>
            <b/>
            <sz val="10"/>
            <color indexed="81"/>
            <rFont val="Tahoma"/>
            <family val="2"/>
          </rPr>
          <t>This area is unlocked to use as a quick-check work area.</t>
        </r>
      </text>
    </comment>
    <comment ref="Q534" authorId="3" shapeId="0">
      <text>
        <r>
          <rPr>
            <b/>
            <sz val="10"/>
            <color indexed="81"/>
            <rFont val="Tahoma"/>
            <family val="2"/>
          </rPr>
          <t>This area is unlocked to use as a quick-check work area.</t>
        </r>
      </text>
    </comment>
    <comment ref="Q535" authorId="3" shapeId="0">
      <text>
        <r>
          <rPr>
            <b/>
            <sz val="10"/>
            <color indexed="81"/>
            <rFont val="Tahoma"/>
            <family val="2"/>
          </rPr>
          <t>This area is unlocked to use as a quick-check work area.</t>
        </r>
      </text>
    </comment>
    <comment ref="Q536" authorId="3" shapeId="0">
      <text>
        <r>
          <rPr>
            <b/>
            <sz val="10"/>
            <color indexed="81"/>
            <rFont val="Tahoma"/>
            <family val="2"/>
          </rPr>
          <t>This area is unlocked to use as a quick-check work area.</t>
        </r>
      </text>
    </comment>
    <comment ref="Q537" authorId="3" shapeId="0">
      <text>
        <r>
          <rPr>
            <b/>
            <sz val="10"/>
            <color indexed="81"/>
            <rFont val="Tahoma"/>
            <family val="2"/>
          </rPr>
          <t>This area is unlocked to use as a quick-check work area.</t>
        </r>
      </text>
    </comment>
    <comment ref="Q538" authorId="3" shapeId="0">
      <text>
        <r>
          <rPr>
            <b/>
            <sz val="10"/>
            <color indexed="81"/>
            <rFont val="Tahoma"/>
            <family val="2"/>
          </rPr>
          <t>This area is unlocked to use as a quick-check work area.</t>
        </r>
      </text>
    </comment>
    <comment ref="Q539" authorId="3" shapeId="0">
      <text>
        <r>
          <rPr>
            <b/>
            <sz val="10"/>
            <color indexed="81"/>
            <rFont val="Tahoma"/>
            <family val="2"/>
          </rPr>
          <t>This area is unlocked to use as a quick-check work area.</t>
        </r>
      </text>
    </comment>
    <comment ref="Q540" authorId="3" shapeId="0">
      <text>
        <r>
          <rPr>
            <b/>
            <sz val="10"/>
            <color indexed="81"/>
            <rFont val="Tahoma"/>
            <family val="2"/>
          </rPr>
          <t>This area is unlocked to use as a quick-check work area.</t>
        </r>
      </text>
    </comment>
    <comment ref="Q541" authorId="3" shapeId="0">
      <text>
        <r>
          <rPr>
            <b/>
            <sz val="10"/>
            <color indexed="81"/>
            <rFont val="Tahoma"/>
            <family val="2"/>
          </rPr>
          <t>This area is unlocked to use as a quick-check work area.</t>
        </r>
      </text>
    </comment>
    <comment ref="Q542" authorId="3" shapeId="0">
      <text>
        <r>
          <rPr>
            <b/>
            <sz val="10"/>
            <color indexed="81"/>
            <rFont val="Tahoma"/>
            <family val="2"/>
          </rPr>
          <t>This area is unlocked to use as a quick-check work area.</t>
        </r>
      </text>
    </comment>
    <comment ref="Q543" authorId="3" shapeId="0">
      <text>
        <r>
          <rPr>
            <b/>
            <sz val="10"/>
            <color indexed="81"/>
            <rFont val="Tahoma"/>
            <family val="2"/>
          </rPr>
          <t>This area is unlocked to use as a quick-check work area.</t>
        </r>
      </text>
    </comment>
    <comment ref="Q544" authorId="3" shapeId="0">
      <text>
        <r>
          <rPr>
            <b/>
            <sz val="10"/>
            <color indexed="81"/>
            <rFont val="Tahoma"/>
            <family val="2"/>
          </rPr>
          <t>This area is unlocked to use as a quick-check work area.</t>
        </r>
      </text>
    </comment>
    <comment ref="Q545" authorId="3" shapeId="0">
      <text>
        <r>
          <rPr>
            <b/>
            <sz val="10"/>
            <color indexed="81"/>
            <rFont val="Tahoma"/>
            <family val="2"/>
          </rPr>
          <t>This area is unlocked to use as a quick-check work area.</t>
        </r>
      </text>
    </comment>
    <comment ref="Q546" authorId="3" shapeId="0">
      <text>
        <r>
          <rPr>
            <b/>
            <sz val="10"/>
            <color indexed="81"/>
            <rFont val="Tahoma"/>
            <family val="2"/>
          </rPr>
          <t>This area is unlocked to use as a quick-check work area.</t>
        </r>
      </text>
    </comment>
    <comment ref="Q547" authorId="3" shapeId="0">
      <text>
        <r>
          <rPr>
            <b/>
            <sz val="10"/>
            <color indexed="81"/>
            <rFont val="Tahoma"/>
            <family val="2"/>
          </rPr>
          <t>This area is unlocked to use as a quick-check work area.</t>
        </r>
      </text>
    </comment>
    <comment ref="Q548" authorId="3" shapeId="0">
      <text>
        <r>
          <rPr>
            <b/>
            <sz val="10"/>
            <color indexed="81"/>
            <rFont val="Tahoma"/>
            <family val="2"/>
          </rPr>
          <t>This area is unlocked to use as a quick-check work area.</t>
        </r>
      </text>
    </comment>
    <comment ref="Q549" authorId="3" shapeId="0">
      <text>
        <r>
          <rPr>
            <b/>
            <sz val="10"/>
            <color indexed="81"/>
            <rFont val="Tahoma"/>
            <family val="2"/>
          </rPr>
          <t>This area is unlocked to use as a quick-check work area.</t>
        </r>
      </text>
    </comment>
    <comment ref="Q550" authorId="3" shapeId="0">
      <text>
        <r>
          <rPr>
            <b/>
            <sz val="10"/>
            <color indexed="81"/>
            <rFont val="Tahoma"/>
            <family val="2"/>
          </rPr>
          <t>This area is unlocked to use as a quick-check work area.</t>
        </r>
      </text>
    </comment>
    <comment ref="Q551" authorId="3" shapeId="0">
      <text>
        <r>
          <rPr>
            <b/>
            <sz val="10"/>
            <color indexed="81"/>
            <rFont val="Tahoma"/>
            <family val="2"/>
          </rPr>
          <t>This area is unlocked to use as a quick-check work area.</t>
        </r>
      </text>
    </comment>
    <comment ref="Q552" authorId="3" shapeId="0">
      <text>
        <r>
          <rPr>
            <b/>
            <sz val="10"/>
            <color indexed="81"/>
            <rFont val="Tahoma"/>
            <family val="2"/>
          </rPr>
          <t>This area is unlocked to use as a quick-check work area.</t>
        </r>
      </text>
    </comment>
    <comment ref="Q553" authorId="3" shapeId="0">
      <text>
        <r>
          <rPr>
            <b/>
            <sz val="10"/>
            <color indexed="81"/>
            <rFont val="Tahoma"/>
            <family val="2"/>
          </rPr>
          <t>This area is unlocked to use as a quick-check work area.</t>
        </r>
      </text>
    </comment>
    <comment ref="Q554" authorId="3" shapeId="0">
      <text>
        <r>
          <rPr>
            <b/>
            <sz val="10"/>
            <color indexed="81"/>
            <rFont val="Tahoma"/>
            <family val="2"/>
          </rPr>
          <t>This area is unlocked to use as a quick-check work area.</t>
        </r>
      </text>
    </comment>
    <comment ref="E557" authorId="3" shapeId="0">
      <text>
        <r>
          <rPr>
            <b/>
            <sz val="10"/>
            <color indexed="81"/>
            <rFont val="Tahoma"/>
            <family val="2"/>
          </rPr>
          <t>This area is unlocked to use as a quick-check work area.</t>
        </r>
      </text>
    </comment>
    <comment ref="E558" authorId="3" shapeId="0">
      <text>
        <r>
          <rPr>
            <b/>
            <sz val="10"/>
            <color indexed="81"/>
            <rFont val="Tahoma"/>
            <family val="2"/>
          </rPr>
          <t>This area is unlocked to use as a quick-check work area.</t>
        </r>
      </text>
    </comment>
    <comment ref="E559" authorId="3" shapeId="0">
      <text>
        <r>
          <rPr>
            <b/>
            <sz val="10"/>
            <color indexed="81"/>
            <rFont val="Tahoma"/>
            <family val="2"/>
          </rPr>
          <t>This area is unlocked to use as a quick-check work area.</t>
        </r>
      </text>
    </comment>
    <comment ref="E560" authorId="3" shapeId="0">
      <text>
        <r>
          <rPr>
            <b/>
            <sz val="10"/>
            <color indexed="81"/>
            <rFont val="Tahoma"/>
            <family val="2"/>
          </rPr>
          <t>This area is unlocked to use as a quick-check work area.</t>
        </r>
      </text>
    </comment>
    <comment ref="E561" authorId="3" shapeId="0">
      <text>
        <r>
          <rPr>
            <b/>
            <sz val="10"/>
            <color indexed="81"/>
            <rFont val="Tahoma"/>
            <family val="2"/>
          </rPr>
          <t>This area is unlocked to use as a quick-check work area.</t>
        </r>
      </text>
    </comment>
    <comment ref="E562" authorId="3" shapeId="0">
      <text>
        <r>
          <rPr>
            <b/>
            <sz val="10"/>
            <color indexed="81"/>
            <rFont val="Tahoma"/>
            <family val="2"/>
          </rPr>
          <t>This area is unlocked to use as a quick-check work area.</t>
        </r>
      </text>
    </comment>
    <comment ref="E563" authorId="3" shapeId="0">
      <text>
        <r>
          <rPr>
            <b/>
            <sz val="10"/>
            <color indexed="81"/>
            <rFont val="Tahoma"/>
            <family val="2"/>
          </rPr>
          <t>This area is unlocked to use as a quick-check work area.</t>
        </r>
      </text>
    </comment>
  </commentList>
</comments>
</file>

<file path=xl/comments5.xml><?xml version="1.0" encoding="utf-8"?>
<comments xmlns="http://schemas.openxmlformats.org/spreadsheetml/2006/main">
  <authors>
    <author>Dickens, Jamaal</author>
    <author>Anita</author>
    <author>claire.cotton-watkins</author>
  </authors>
  <commentList>
    <comment ref="U1" authorId="0" shapeId="0">
      <text>
        <r>
          <rPr>
            <b/>
            <sz val="9"/>
            <color indexed="81"/>
            <rFont val="Tahoma"/>
            <family val="2"/>
          </rPr>
          <t>College Reporting:</t>
        </r>
        <r>
          <rPr>
            <sz val="9"/>
            <color indexed="81"/>
            <rFont val="Tahoma"/>
            <family val="2"/>
          </rPr>
          <t xml:space="preserve">
Just another Checks and Balances Screen which rounds values from Columns K &amp; M.</t>
        </r>
      </text>
    </comment>
    <comment ref="K28" authorId="1" shapeId="0">
      <text>
        <r>
          <rPr>
            <b/>
            <sz val="9"/>
            <color indexed="81"/>
            <rFont val="Tahoma"/>
            <family val="2"/>
          </rPr>
          <t>College Reporting:</t>
        </r>
        <r>
          <rPr>
            <sz val="9"/>
            <color indexed="81"/>
            <rFont val="Tahoma"/>
            <family val="2"/>
          </rPr>
          <t xml:space="preserve">
The amount of NonCurrent Restricted Cash and Cash Equaivalents is equal to the difference between cash and cash equivalents in Fund 7 less the current liabilities in Fund 7.  
This essentially restricts any non-committed funds while allowing cash and cash equivalents in fund 7 to offset current liabilities so there is matching current assets to pay current liabilities.</t>
        </r>
      </text>
    </comment>
    <comment ref="B93" authorId="2" shapeId="0">
      <text>
        <r>
          <rPr>
            <b/>
            <sz val="8"/>
            <color indexed="81"/>
            <rFont val="Tahoma"/>
            <family val="2"/>
          </rPr>
          <t>claire.cotton-watkins:</t>
        </r>
        <r>
          <rPr>
            <sz val="8"/>
            <color indexed="81"/>
            <rFont val="Tahoma"/>
            <family val="2"/>
          </rPr>
          <t xml:space="preserve">
Should this really be compensated absences? Maybe 49900 - Other??</t>
        </r>
      </text>
    </comment>
    <comment ref="K127" authorId="2" shapeId="0">
      <text>
        <r>
          <rPr>
            <sz val="8"/>
            <color indexed="81"/>
            <rFont val="Tahoma"/>
            <family val="2"/>
          </rPr>
          <t>Formula will cause column to balance.</t>
        </r>
        <r>
          <rPr>
            <b/>
            <sz val="8"/>
            <color indexed="81"/>
            <rFont val="Tahoma"/>
            <family val="2"/>
          </rPr>
          <t xml:space="preserve"> </t>
        </r>
      </text>
    </comment>
    <comment ref="O127" authorId="2" shapeId="0">
      <text>
        <r>
          <rPr>
            <sz val="8"/>
            <color indexed="81"/>
            <rFont val="Tahoma"/>
            <family val="2"/>
          </rPr>
          <t>Formula will cause column to balance.</t>
        </r>
        <r>
          <rPr>
            <b/>
            <sz val="8"/>
            <color indexed="81"/>
            <rFont val="Tahoma"/>
            <family val="2"/>
          </rPr>
          <t xml:space="preserve"> Enter actual amount in column Q</t>
        </r>
        <r>
          <rPr>
            <sz val="8"/>
            <color indexed="81"/>
            <rFont val="Tahoma"/>
            <family val="2"/>
          </rPr>
          <t>. Amounts should only differ by rounding errors.</t>
        </r>
      </text>
    </comment>
    <comment ref="P127" authorId="2" shapeId="0">
      <text>
        <r>
          <rPr>
            <sz val="8"/>
            <color indexed="81"/>
            <rFont val="Tahoma"/>
            <family val="2"/>
          </rPr>
          <t>Formula will cause column to balance.</t>
        </r>
        <r>
          <rPr>
            <b/>
            <sz val="8"/>
            <color indexed="81"/>
            <rFont val="Tahoma"/>
            <family val="2"/>
          </rPr>
          <t xml:space="preserve"> Enter actual amount in column Q</t>
        </r>
        <r>
          <rPr>
            <sz val="8"/>
            <color indexed="81"/>
            <rFont val="Tahoma"/>
            <family val="2"/>
          </rPr>
          <t>. Amounts should only differ by rounding errors.</t>
        </r>
      </text>
    </comment>
  </commentList>
</comments>
</file>

<file path=xl/comments6.xml><?xml version="1.0" encoding="utf-8"?>
<comments xmlns="http://schemas.openxmlformats.org/spreadsheetml/2006/main">
  <authors>
    <author>Anita</author>
    <author>Rose, Tracy</author>
  </authors>
  <commentList>
    <comment ref="F11" authorId="0" shapeId="0">
      <text>
        <r>
          <rPr>
            <b/>
            <sz val="9"/>
            <color indexed="81"/>
            <rFont val="Tahoma"/>
            <family val="2"/>
          </rPr>
          <t>Anita:</t>
        </r>
        <r>
          <rPr>
            <sz val="9"/>
            <color indexed="81"/>
            <rFont val="Tahoma"/>
            <family val="2"/>
          </rPr>
          <t xml:space="preserve">
Enter the Scholarship Allowance related to Tuition and Fees here.  This will flow to the Accounts by GL in the adjustment column.</t>
        </r>
      </text>
    </comment>
    <comment ref="F17" authorId="1" shapeId="0">
      <text>
        <r>
          <rPr>
            <b/>
            <sz val="9"/>
            <color indexed="81"/>
            <rFont val="Tahoma"/>
            <family val="2"/>
          </rPr>
          <t xml:space="preserve">College Reporting:
</t>
        </r>
        <r>
          <rPr>
            <sz val="9"/>
            <color indexed="81"/>
            <rFont val="Tahoma"/>
            <family val="2"/>
          </rPr>
          <t>Enter the Scholarship Allowance related to Auxiliary Enterprises here.  This will flow to the Accounts by GL in the adjustment column.</t>
        </r>
      </text>
    </comment>
  </commentList>
</comments>
</file>

<file path=xl/comments7.xml><?xml version="1.0" encoding="utf-8"?>
<comments xmlns="http://schemas.openxmlformats.org/spreadsheetml/2006/main">
  <authors>
    <author>Anita</author>
    <author>Jurney, Christy</author>
    <author>Hart, Yolanda</author>
  </authors>
  <commentList>
    <comment ref="K25" authorId="0" shapeId="0">
      <text>
        <r>
          <rPr>
            <b/>
            <sz val="9"/>
            <color indexed="81"/>
            <rFont val="Tahoma"/>
            <family val="2"/>
          </rPr>
          <t>Anita:</t>
        </r>
        <r>
          <rPr>
            <sz val="9"/>
            <color indexed="81"/>
            <rFont val="Tahoma"/>
            <family val="2"/>
          </rPr>
          <t xml:space="preserve">
Linked to SRECNP</t>
        </r>
      </text>
    </comment>
    <comment ref="M69" authorId="1" shapeId="0">
      <text>
        <r>
          <rPr>
            <sz val="8"/>
            <color indexed="81"/>
            <rFont val="Tahoma"/>
            <family val="2"/>
          </rPr>
          <t>Linked to SRECNP</t>
        </r>
      </text>
    </comment>
    <comment ref="M72" authorId="1" shapeId="0">
      <text>
        <r>
          <rPr>
            <sz val="8"/>
            <color indexed="81"/>
            <rFont val="Tahoma"/>
            <family val="2"/>
          </rPr>
          <t>Linked to SRECNP</t>
        </r>
      </text>
    </comment>
    <comment ref="B101" authorId="2" shapeId="0">
      <text>
        <r>
          <rPr>
            <b/>
            <sz val="9"/>
            <color indexed="81"/>
            <rFont val="Tahoma"/>
            <family val="2"/>
          </rPr>
          <t xml:space="preserve">Modify as appropriate
</t>
        </r>
      </text>
    </comment>
    <comment ref="B105" authorId="2" shapeId="0">
      <text>
        <r>
          <rPr>
            <b/>
            <sz val="9"/>
            <color indexed="81"/>
            <rFont val="Tahoma"/>
            <family val="2"/>
          </rPr>
          <t xml:space="preserve">Modify as appropriate
</t>
        </r>
      </text>
    </comment>
  </commentList>
</comments>
</file>

<file path=xl/comments8.xml><?xml version="1.0" encoding="utf-8"?>
<comments xmlns="http://schemas.openxmlformats.org/spreadsheetml/2006/main">
  <authors>
    <author>Anita</author>
    <author>Sisley, Dottie</author>
    <author>Rose, Tracy</author>
    <author>Jurney, Christy</author>
  </authors>
  <commentList>
    <comment ref="C7" authorId="0" shapeId="0">
      <text>
        <r>
          <rPr>
            <b/>
            <sz val="9"/>
            <color indexed="81"/>
            <rFont val="Tahoma"/>
            <family val="2"/>
          </rPr>
          <t>Anita:</t>
        </r>
        <r>
          <rPr>
            <sz val="9"/>
            <color indexed="81"/>
            <rFont val="Tahoma"/>
            <family val="2"/>
          </rPr>
          <t xml:space="preserve">
Amount from SRECNP
Student Tuition and Fees</t>
        </r>
      </text>
    </comment>
    <comment ref="D7" authorId="0" shapeId="0">
      <text>
        <r>
          <rPr>
            <b/>
            <sz val="9"/>
            <color indexed="81"/>
            <rFont val="Tahoma"/>
            <family val="2"/>
          </rPr>
          <t>Anita:</t>
        </r>
        <r>
          <rPr>
            <sz val="9"/>
            <color indexed="81"/>
            <rFont val="Tahoma"/>
            <family val="2"/>
          </rPr>
          <t xml:space="preserve">
Balance Difference
Accounts Receivable: Tuition and Fees</t>
        </r>
      </text>
    </comment>
    <comment ref="E7" authorId="0" shapeId="0">
      <text>
        <r>
          <rPr>
            <b/>
            <sz val="9"/>
            <color indexed="81"/>
            <rFont val="Tahoma"/>
            <family val="2"/>
          </rPr>
          <t>Anita:</t>
        </r>
        <r>
          <rPr>
            <sz val="9"/>
            <color indexed="81"/>
            <rFont val="Tahoma"/>
            <family val="2"/>
          </rPr>
          <t xml:space="preserve">
Balance Difference
Unearned Revenues Fd 1</t>
        </r>
      </text>
    </comment>
    <comment ref="C8" authorId="0" shapeId="0">
      <text>
        <r>
          <rPr>
            <b/>
            <sz val="9"/>
            <color indexed="81"/>
            <rFont val="Tahoma"/>
            <family val="2"/>
          </rPr>
          <t>Anita:</t>
        </r>
        <r>
          <rPr>
            <sz val="9"/>
            <color indexed="81"/>
            <rFont val="Tahoma"/>
            <family val="2"/>
          </rPr>
          <t xml:space="preserve">
Amount from SRECNP
Operating:Federal Grants and Contracts</t>
        </r>
      </text>
    </comment>
    <comment ref="D8" authorId="0" shapeId="0">
      <text>
        <r>
          <rPr>
            <b/>
            <sz val="9"/>
            <color indexed="81"/>
            <rFont val="Tahoma"/>
            <family val="2"/>
          </rPr>
          <t>Anita:</t>
        </r>
        <r>
          <rPr>
            <sz val="9"/>
            <color indexed="81"/>
            <rFont val="Tahoma"/>
            <family val="2"/>
          </rPr>
          <t xml:space="preserve">
Amount from SRECNP
State and Local Grants and Contracts</t>
        </r>
      </text>
    </comment>
    <comment ref="E8" authorId="0" shapeId="0">
      <text>
        <r>
          <rPr>
            <b/>
            <sz val="9"/>
            <color indexed="81"/>
            <rFont val="Tahoma"/>
            <family val="2"/>
          </rPr>
          <t>Anita:</t>
        </r>
        <r>
          <rPr>
            <sz val="9"/>
            <color indexed="81"/>
            <rFont val="Tahoma"/>
            <family val="2"/>
          </rPr>
          <t xml:space="preserve">
Amount from SRECNP
Nongovernmental Grants and Contracts</t>
        </r>
      </text>
    </comment>
    <comment ref="F8" authorId="0" shapeId="0">
      <text>
        <r>
          <rPr>
            <b/>
            <sz val="9"/>
            <color indexed="81"/>
            <rFont val="Tahoma"/>
            <family val="2"/>
          </rPr>
          <t>Anita:</t>
        </r>
        <r>
          <rPr>
            <sz val="9"/>
            <color indexed="81"/>
            <rFont val="Tahoma"/>
            <family val="2"/>
          </rPr>
          <t xml:space="preserve">
Balance Difference
Accounts Receivable: Due from Comp unit-DSO</t>
        </r>
      </text>
    </comment>
    <comment ref="G8" authorId="0" shapeId="0">
      <text>
        <r>
          <rPr>
            <b/>
            <sz val="9"/>
            <color indexed="81"/>
            <rFont val="Tahoma"/>
            <family val="2"/>
          </rPr>
          <t>Anita:</t>
        </r>
        <r>
          <rPr>
            <sz val="9"/>
            <color indexed="81"/>
            <rFont val="Tahoma"/>
            <family val="2"/>
          </rPr>
          <t xml:space="preserve">
Balance Difference
Accounts Receivable:  Due from Other Governments
</t>
        </r>
      </text>
    </comment>
    <comment ref="C9" authorId="0" shapeId="0">
      <text>
        <r>
          <rPr>
            <b/>
            <sz val="9"/>
            <color indexed="81"/>
            <rFont val="Tahoma"/>
            <family val="2"/>
          </rPr>
          <t>Anita:</t>
        </r>
        <r>
          <rPr>
            <sz val="9"/>
            <color indexed="81"/>
            <rFont val="Tahoma"/>
            <family val="2"/>
          </rPr>
          <t xml:space="preserve">
Balance Difference
Unearned Revenues Fd 2
</t>
        </r>
      </text>
    </comment>
    <comment ref="D9" authorId="0" shapeId="0">
      <text>
        <r>
          <rPr>
            <b/>
            <sz val="9"/>
            <color indexed="81"/>
            <rFont val="Tahoma"/>
            <family val="2"/>
          </rPr>
          <t>Anita:</t>
        </r>
        <r>
          <rPr>
            <sz val="9"/>
            <color indexed="81"/>
            <rFont val="Tahoma"/>
            <family val="2"/>
          </rPr>
          <t xml:space="preserve">
Balance Difference
Accounts Payable: Due to DSO</t>
        </r>
      </text>
    </comment>
    <comment ref="E9" authorId="0" shapeId="0">
      <text>
        <r>
          <rPr>
            <b/>
            <sz val="9"/>
            <color indexed="81"/>
            <rFont val="Tahoma"/>
            <family val="2"/>
          </rPr>
          <t>Anita:</t>
        </r>
        <r>
          <rPr>
            <sz val="9"/>
            <color indexed="81"/>
            <rFont val="Tahoma"/>
            <family val="2"/>
          </rPr>
          <t xml:space="preserve">
Balance Difference
Accounts Payable:  Fund 2</t>
        </r>
      </text>
    </comment>
    <comment ref="C10" authorId="0" shapeId="0">
      <text>
        <r>
          <rPr>
            <b/>
            <sz val="9"/>
            <color indexed="81"/>
            <rFont val="Tahoma"/>
            <family val="2"/>
          </rPr>
          <t>Anita:</t>
        </r>
        <r>
          <rPr>
            <sz val="9"/>
            <color indexed="81"/>
            <rFont val="Tahoma"/>
            <family val="2"/>
          </rPr>
          <t xml:space="preserve">
Amount from SRECNP
Expenses: Contractual Services</t>
        </r>
      </text>
    </comment>
    <comment ref="D10" authorId="0" shapeId="0">
      <text>
        <r>
          <rPr>
            <b/>
            <sz val="9"/>
            <color indexed="81"/>
            <rFont val="Tahoma"/>
            <family val="2"/>
          </rPr>
          <t>Anita:</t>
        </r>
        <r>
          <rPr>
            <sz val="9"/>
            <color indexed="81"/>
            <rFont val="Tahoma"/>
            <family val="2"/>
          </rPr>
          <t xml:space="preserve">
Amount from SRECNP
Expenses: Other Services and Expenses
</t>
        </r>
      </text>
    </comment>
    <comment ref="E10" authorId="0" shapeId="0">
      <text>
        <r>
          <rPr>
            <b/>
            <sz val="9"/>
            <color indexed="81"/>
            <rFont val="Tahoma"/>
            <family val="2"/>
          </rPr>
          <t>Anita:</t>
        </r>
        <r>
          <rPr>
            <sz val="9"/>
            <color indexed="81"/>
            <rFont val="Tahoma"/>
            <family val="2"/>
          </rPr>
          <t xml:space="preserve">
Amount from SRECNP
Expenses:Materials and Supplies</t>
        </r>
      </text>
    </comment>
    <comment ref="F10" authorId="0" shapeId="0">
      <text>
        <r>
          <rPr>
            <b/>
            <sz val="9"/>
            <color indexed="81"/>
            <rFont val="Tahoma"/>
            <family val="2"/>
          </rPr>
          <t>Anita:</t>
        </r>
        <r>
          <rPr>
            <sz val="9"/>
            <color indexed="81"/>
            <rFont val="Tahoma"/>
            <family val="2"/>
          </rPr>
          <t xml:space="preserve">
Balance Difference
Prepaids</t>
        </r>
      </text>
    </comment>
    <comment ref="G10" authorId="0" shapeId="0">
      <text>
        <r>
          <rPr>
            <b/>
            <sz val="9"/>
            <color indexed="81"/>
            <rFont val="Tahoma"/>
            <family val="2"/>
          </rPr>
          <t>Anita:</t>
        </r>
        <r>
          <rPr>
            <sz val="9"/>
            <color indexed="81"/>
            <rFont val="Tahoma"/>
            <family val="2"/>
          </rPr>
          <t xml:space="preserve">
Balance Difference 
Inventories
</t>
        </r>
      </text>
    </comment>
    <comment ref="C11" authorId="0" shapeId="0">
      <text>
        <r>
          <rPr>
            <b/>
            <sz val="9"/>
            <color indexed="81"/>
            <rFont val="Tahoma"/>
            <family val="2"/>
          </rPr>
          <t>Anita:</t>
        </r>
        <r>
          <rPr>
            <sz val="9"/>
            <color indexed="81"/>
            <rFont val="Tahoma"/>
            <family val="2"/>
          </rPr>
          <t xml:space="preserve">
Balance Difference
Accounts Payable: Accounts Payable (Suppliers)</t>
        </r>
      </text>
    </comment>
    <comment ref="C12" authorId="0" shapeId="0">
      <text>
        <r>
          <rPr>
            <b/>
            <sz val="9"/>
            <color indexed="81"/>
            <rFont val="Tahoma"/>
            <family val="2"/>
          </rPr>
          <t>Anita:</t>
        </r>
        <r>
          <rPr>
            <sz val="9"/>
            <color indexed="81"/>
            <rFont val="Tahoma"/>
            <family val="2"/>
          </rPr>
          <t xml:space="preserve">
Amount from SRECNA
Expenses: Utilities and Communications
</t>
        </r>
      </text>
    </comment>
    <comment ref="C13" authorId="0" shapeId="0">
      <text>
        <r>
          <rPr>
            <b/>
            <sz val="9"/>
            <color indexed="81"/>
            <rFont val="Tahoma"/>
            <family val="2"/>
          </rPr>
          <t>Anita:</t>
        </r>
        <r>
          <rPr>
            <sz val="9"/>
            <color indexed="81"/>
            <rFont val="Tahoma"/>
            <family val="2"/>
          </rPr>
          <t xml:space="preserve">
Amount from SRECNP
Expenses: Personnel Services - Salaries Only
(Amt pulled from AGL as this is more detailed than SRECNP)</t>
        </r>
      </text>
    </comment>
    <comment ref="D13" authorId="0" shapeId="0">
      <text>
        <r>
          <rPr>
            <b/>
            <sz val="9"/>
            <color indexed="81"/>
            <rFont val="Tahoma"/>
            <family val="2"/>
          </rPr>
          <t>Anita:</t>
        </r>
        <r>
          <rPr>
            <sz val="9"/>
            <color indexed="81"/>
            <rFont val="Tahoma"/>
            <family val="2"/>
          </rPr>
          <t xml:space="preserve">
Balance Difference
Accounts Receivable: Salaries and Wages</t>
        </r>
      </text>
    </comment>
    <comment ref="E13" authorId="0" shapeId="0">
      <text>
        <r>
          <rPr>
            <b/>
            <sz val="9"/>
            <color indexed="81"/>
            <rFont val="Tahoma"/>
            <family val="2"/>
          </rPr>
          <t>Anita:</t>
        </r>
        <r>
          <rPr>
            <sz val="9"/>
            <color indexed="81"/>
            <rFont val="Tahoma"/>
            <family val="2"/>
          </rPr>
          <t xml:space="preserve">
Balance Difference
Accounts Payable:  Salaries and Wages</t>
        </r>
      </text>
    </comment>
    <comment ref="C14" authorId="0" shapeId="0">
      <text>
        <r>
          <rPr>
            <b/>
            <sz val="9"/>
            <color indexed="81"/>
            <rFont val="Tahoma"/>
            <family val="2"/>
          </rPr>
          <t>Anita:</t>
        </r>
        <r>
          <rPr>
            <sz val="9"/>
            <color indexed="81"/>
            <rFont val="Tahoma"/>
            <family val="2"/>
          </rPr>
          <t xml:space="preserve">
Amount from SRECNP
Expenses: Personnel Services - Benefits Only
(Amt pulled from AGL as this is more detailed than SRECNP)</t>
        </r>
      </text>
    </comment>
    <comment ref="D14" authorId="0" shapeId="0">
      <text>
        <r>
          <rPr>
            <b/>
            <sz val="9"/>
            <color indexed="81"/>
            <rFont val="Tahoma"/>
            <family val="2"/>
          </rPr>
          <t>Anita:</t>
        </r>
        <r>
          <rPr>
            <sz val="9"/>
            <color indexed="81"/>
            <rFont val="Tahoma"/>
            <family val="2"/>
          </rPr>
          <t xml:space="preserve">
Balance Difference
Accounts Payable: Benefits</t>
        </r>
      </text>
    </comment>
    <comment ref="E14" authorId="0" shapeId="0">
      <text>
        <r>
          <rPr>
            <b/>
            <sz val="9"/>
            <color indexed="81"/>
            <rFont val="Tahoma"/>
            <family val="2"/>
          </rPr>
          <t>Anita:</t>
        </r>
        <r>
          <rPr>
            <sz val="9"/>
            <color indexed="81"/>
            <rFont val="Tahoma"/>
            <family val="2"/>
          </rPr>
          <t xml:space="preserve">
Balance Difference
Accounts Payable: Estimated Claims Payable</t>
        </r>
      </text>
    </comment>
    <comment ref="F14" authorId="0" shapeId="0">
      <text>
        <r>
          <rPr>
            <b/>
            <sz val="9"/>
            <color indexed="81"/>
            <rFont val="Tahoma"/>
            <family val="2"/>
          </rPr>
          <t>Anita:</t>
        </r>
        <r>
          <rPr>
            <sz val="9"/>
            <color indexed="81"/>
            <rFont val="Tahoma"/>
            <family val="2"/>
          </rPr>
          <t xml:space="preserve">
Balance Difference
OPEB</t>
        </r>
      </text>
    </comment>
    <comment ref="G14" authorId="1" shapeId="0">
      <text>
        <r>
          <rPr>
            <b/>
            <sz val="9"/>
            <color indexed="81"/>
            <rFont val="Tahoma"/>
            <family val="2"/>
          </rPr>
          <t>Sisley, Dottie:</t>
        </r>
        <r>
          <rPr>
            <sz val="9"/>
            <color indexed="81"/>
            <rFont val="Tahoma"/>
            <family val="2"/>
          </rPr>
          <t xml:space="preserve">
Balance Difference: DO - OPEB and DI - OPEB</t>
        </r>
      </text>
    </comment>
    <comment ref="C15" authorId="0" shapeId="0">
      <text>
        <r>
          <rPr>
            <b/>
            <sz val="9"/>
            <color indexed="81"/>
            <rFont val="Tahoma"/>
            <family val="2"/>
          </rPr>
          <t>Anita:</t>
        </r>
        <r>
          <rPr>
            <sz val="9"/>
            <color indexed="81"/>
            <rFont val="Tahoma"/>
            <family val="2"/>
          </rPr>
          <t xml:space="preserve">
Balance Difference
Compensated Absences</t>
        </r>
      </text>
    </comment>
    <comment ref="D15" authorId="0" shapeId="0">
      <text>
        <r>
          <rPr>
            <b/>
            <sz val="9"/>
            <color indexed="81"/>
            <rFont val="Tahoma"/>
            <family val="2"/>
          </rPr>
          <t>Anita:</t>
        </r>
        <r>
          <rPr>
            <sz val="9"/>
            <color indexed="81"/>
            <rFont val="Tahoma"/>
            <family val="2"/>
          </rPr>
          <t xml:space="preserve">
Balance Difference
Deferred Outflows</t>
        </r>
      </text>
    </comment>
    <comment ref="E15" authorId="0" shapeId="0">
      <text>
        <r>
          <rPr>
            <b/>
            <sz val="9"/>
            <color indexed="81"/>
            <rFont val="Tahoma"/>
            <family val="2"/>
          </rPr>
          <t>Anita:</t>
        </r>
        <r>
          <rPr>
            <sz val="9"/>
            <color indexed="81"/>
            <rFont val="Tahoma"/>
            <family val="2"/>
          </rPr>
          <t xml:space="preserve">
Balance Difference
Deferred Inflows
</t>
        </r>
      </text>
    </comment>
    <comment ref="F15" authorId="0" shapeId="0">
      <text>
        <r>
          <rPr>
            <b/>
            <sz val="9"/>
            <color indexed="81"/>
            <rFont val="Tahoma"/>
            <family val="2"/>
          </rPr>
          <t>Anita:</t>
        </r>
        <r>
          <rPr>
            <sz val="9"/>
            <color indexed="81"/>
            <rFont val="Tahoma"/>
            <family val="2"/>
          </rPr>
          <t xml:space="preserve">
Balance Difference
Net Pension Liabilities
</t>
        </r>
      </text>
    </comment>
    <comment ref="G15" authorId="0" shapeId="0">
      <text>
        <r>
          <rPr>
            <b/>
            <sz val="9"/>
            <color indexed="81"/>
            <rFont val="Tahoma"/>
            <family val="2"/>
          </rPr>
          <t>Anita:</t>
        </r>
        <r>
          <rPr>
            <sz val="9"/>
            <color indexed="81"/>
            <rFont val="Tahoma"/>
            <family val="2"/>
          </rPr>
          <t xml:space="preserve">
Balance Difference
Special Termination Benefits Payable</t>
        </r>
      </text>
    </comment>
    <comment ref="C16" authorId="0" shapeId="0">
      <text>
        <r>
          <rPr>
            <b/>
            <sz val="9"/>
            <color indexed="81"/>
            <rFont val="Tahoma"/>
            <family val="2"/>
          </rPr>
          <t>Anita:</t>
        </r>
        <r>
          <rPr>
            <sz val="9"/>
            <color indexed="81"/>
            <rFont val="Tahoma"/>
            <family val="2"/>
          </rPr>
          <t xml:space="preserve">
Amount from SRECNP
Expenses: Scholarships </t>
        </r>
      </text>
    </comment>
    <comment ref="D16" authorId="0" shapeId="0">
      <text>
        <r>
          <rPr>
            <b/>
            <sz val="9"/>
            <color indexed="81"/>
            <rFont val="Tahoma"/>
            <family val="2"/>
          </rPr>
          <t>Anita:</t>
        </r>
        <r>
          <rPr>
            <sz val="9"/>
            <color indexed="81"/>
            <rFont val="Tahoma"/>
            <family val="2"/>
          </rPr>
          <t xml:space="preserve">
Balance Difference
Unearned Revenues Fd 5</t>
        </r>
      </text>
    </comment>
    <comment ref="H17" authorId="0" shapeId="0">
      <text>
        <r>
          <rPr>
            <b/>
            <sz val="9"/>
            <color indexed="81"/>
            <rFont val="Tahoma"/>
            <family val="2"/>
          </rPr>
          <t>Anita:</t>
        </r>
        <r>
          <rPr>
            <sz val="9"/>
            <color indexed="81"/>
            <rFont val="Tahoma"/>
            <family val="2"/>
          </rPr>
          <t xml:space="preserve">
Hand Enter Amount of Loans Issued to Students</t>
        </r>
      </text>
    </comment>
    <comment ref="H18" authorId="0" shapeId="0">
      <text>
        <r>
          <rPr>
            <b/>
            <sz val="9"/>
            <color indexed="81"/>
            <rFont val="Tahoma"/>
            <family val="2"/>
          </rPr>
          <t>Anita:</t>
        </r>
        <r>
          <rPr>
            <sz val="9"/>
            <color indexed="81"/>
            <rFont val="Tahoma"/>
            <family val="2"/>
          </rPr>
          <t xml:space="preserve">
Hand Enter the Amount of Loans Collected from Students</t>
        </r>
      </text>
    </comment>
    <comment ref="C19" authorId="0" shapeId="0">
      <text>
        <r>
          <rPr>
            <b/>
            <sz val="9"/>
            <color indexed="81"/>
            <rFont val="Tahoma"/>
            <family val="2"/>
          </rPr>
          <t>Anita:</t>
        </r>
        <r>
          <rPr>
            <sz val="9"/>
            <color indexed="81"/>
            <rFont val="Tahoma"/>
            <family val="2"/>
          </rPr>
          <t xml:space="preserve">
Amount from SRECNA
Operating Revenues: Auxiliary Enterprises</t>
        </r>
      </text>
    </comment>
    <comment ref="D19" authorId="0" shapeId="0">
      <text>
        <r>
          <rPr>
            <b/>
            <sz val="9"/>
            <color indexed="81"/>
            <rFont val="Tahoma"/>
            <family val="2"/>
          </rPr>
          <t>Anita:</t>
        </r>
        <r>
          <rPr>
            <sz val="9"/>
            <color indexed="81"/>
            <rFont val="Tahoma"/>
            <family val="2"/>
          </rPr>
          <t xml:space="preserve">
Balance Difference
Accounts Receivable: Auxiliary Services</t>
        </r>
      </text>
    </comment>
    <comment ref="E19" authorId="0" shapeId="0">
      <text>
        <r>
          <rPr>
            <b/>
            <sz val="9"/>
            <color indexed="81"/>
            <rFont val="Tahoma"/>
            <family val="2"/>
          </rPr>
          <t>Anita:</t>
        </r>
        <r>
          <rPr>
            <sz val="9"/>
            <color indexed="81"/>
            <rFont val="Tahoma"/>
            <family val="2"/>
          </rPr>
          <t xml:space="preserve">
Balance Difference
Unearned Revenue: Auxiliary</t>
        </r>
      </text>
    </comment>
    <comment ref="F19" authorId="0" shapeId="0">
      <text>
        <r>
          <rPr>
            <b/>
            <sz val="9"/>
            <color indexed="81"/>
            <rFont val="Tahoma"/>
            <family val="2"/>
          </rPr>
          <t>Anita:</t>
        </r>
        <r>
          <rPr>
            <sz val="9"/>
            <color indexed="81"/>
            <rFont val="Tahoma"/>
            <family val="2"/>
          </rPr>
          <t xml:space="preserve">
Balance Difference
Deferred Outflows - Service Concession Arrangement</t>
        </r>
      </text>
    </comment>
    <comment ref="G19" authorId="0" shapeId="0">
      <text>
        <r>
          <rPr>
            <b/>
            <sz val="9"/>
            <color indexed="81"/>
            <rFont val="Tahoma"/>
            <family val="2"/>
          </rPr>
          <t>Anita:</t>
        </r>
        <r>
          <rPr>
            <sz val="9"/>
            <color indexed="81"/>
            <rFont val="Tahoma"/>
            <family val="2"/>
          </rPr>
          <t xml:space="preserve">
Balance Difference
Deferred Inflows - Service Concession Arrangement</t>
        </r>
      </text>
    </comment>
    <comment ref="C20" authorId="0" shapeId="0">
      <text>
        <r>
          <rPr>
            <b/>
            <sz val="9"/>
            <color indexed="81"/>
            <rFont val="Tahoma"/>
            <family val="2"/>
          </rPr>
          <t>Anita:</t>
        </r>
        <r>
          <rPr>
            <sz val="9"/>
            <color indexed="81"/>
            <rFont val="Tahoma"/>
            <family val="2"/>
          </rPr>
          <t xml:space="preserve">
Balance Difference
Accounts payable:  Auxiliaries</t>
        </r>
      </text>
    </comment>
    <comment ref="D20" authorId="1" shapeId="0">
      <text>
        <r>
          <rPr>
            <b/>
            <sz val="9"/>
            <color indexed="81"/>
            <rFont val="Tahoma"/>
            <family val="2"/>
          </rPr>
          <t>Sisley, Dottie:</t>
        </r>
        <r>
          <rPr>
            <sz val="9"/>
            <color indexed="81"/>
            <rFont val="Tahoma"/>
            <family val="2"/>
          </rPr>
          <t xml:space="preserve">
Balance Difference
DO - Lease Agreement
</t>
        </r>
      </text>
    </comment>
    <comment ref="E20" authorId="1" shapeId="0">
      <text>
        <r>
          <rPr>
            <b/>
            <sz val="9"/>
            <color indexed="81"/>
            <rFont val="Tahoma"/>
            <family val="2"/>
          </rPr>
          <t>Sisley, Dottie:</t>
        </r>
        <r>
          <rPr>
            <sz val="9"/>
            <color indexed="81"/>
            <rFont val="Tahoma"/>
            <family val="2"/>
          </rPr>
          <t xml:space="preserve">
Balance Difference 
DI - Lease Agreements</t>
        </r>
      </text>
    </comment>
    <comment ref="F20" authorId="1" shapeId="0">
      <text>
        <r>
          <rPr>
            <b/>
            <sz val="9"/>
            <color indexed="81"/>
            <rFont val="Tahoma"/>
            <family val="2"/>
          </rPr>
          <t>Sisley, Dottie:</t>
        </r>
        <r>
          <rPr>
            <sz val="9"/>
            <color indexed="81"/>
            <rFont val="Tahoma"/>
            <family val="2"/>
          </rPr>
          <t xml:space="preserve">
Balance Difference
DO Asset Retirement Obligations</t>
        </r>
      </text>
    </comment>
    <comment ref="C21" authorId="0" shapeId="0">
      <text>
        <r>
          <rPr>
            <b/>
            <sz val="9"/>
            <color indexed="81"/>
            <rFont val="Tahoma"/>
            <family val="2"/>
          </rPr>
          <t>Anita:</t>
        </r>
        <r>
          <rPr>
            <sz val="9"/>
            <color indexed="81"/>
            <rFont val="Tahoma"/>
            <family val="2"/>
          </rPr>
          <t xml:space="preserve">
Amount from SRECNP
Operating Revenues: Sales and Services</t>
        </r>
      </text>
    </comment>
    <comment ref="C22" authorId="0" shapeId="0">
      <text>
        <r>
          <rPr>
            <b/>
            <sz val="9"/>
            <color indexed="81"/>
            <rFont val="Tahoma"/>
            <family val="2"/>
          </rPr>
          <t>Anita:</t>
        </r>
        <r>
          <rPr>
            <sz val="9"/>
            <color indexed="81"/>
            <rFont val="Tahoma"/>
            <family val="2"/>
          </rPr>
          <t xml:space="preserve">
Amount from SRECNA
Operating Revenues:  Other Operating Revenues</t>
        </r>
      </text>
    </comment>
    <comment ref="D22" authorId="0" shapeId="0">
      <text>
        <r>
          <rPr>
            <b/>
            <sz val="9"/>
            <color indexed="81"/>
            <rFont val="Tahoma"/>
            <family val="2"/>
          </rPr>
          <t>Anita:</t>
        </r>
        <r>
          <rPr>
            <sz val="9"/>
            <color indexed="81"/>
            <rFont val="Tahoma"/>
            <family val="2"/>
          </rPr>
          <t xml:space="preserve">
Balance Difference
Deposits Receivable
</t>
        </r>
      </text>
    </comment>
    <comment ref="E22" authorId="0" shapeId="0">
      <text>
        <r>
          <rPr>
            <b/>
            <sz val="9"/>
            <color indexed="81"/>
            <rFont val="Tahoma"/>
            <family val="2"/>
          </rPr>
          <t>Anita:</t>
        </r>
        <r>
          <rPr>
            <sz val="9"/>
            <color indexed="81"/>
            <rFont val="Tahoma"/>
            <family val="2"/>
          </rPr>
          <t xml:space="preserve">
Balance Difference
Deposits Held in Custody</t>
        </r>
      </text>
    </comment>
    <comment ref="F22" authorId="0" shapeId="0">
      <text>
        <r>
          <rPr>
            <b/>
            <sz val="9"/>
            <color indexed="81"/>
            <rFont val="Tahoma"/>
            <family val="2"/>
          </rPr>
          <t>Anita:</t>
        </r>
        <r>
          <rPr>
            <sz val="9"/>
            <color indexed="81"/>
            <rFont val="Tahoma"/>
            <family val="2"/>
          </rPr>
          <t xml:space="preserve">
Balance Difference
Due To Other Governments</t>
        </r>
      </text>
    </comment>
    <comment ref="G22" authorId="2" shapeId="0">
      <text>
        <r>
          <rPr>
            <b/>
            <sz val="9"/>
            <color indexed="81"/>
            <rFont val="Tahoma"/>
            <family val="2"/>
          </rPr>
          <t>Rose, Tracy:</t>
        </r>
        <r>
          <rPr>
            <sz val="9"/>
            <color indexed="81"/>
            <rFont val="Tahoma"/>
            <family val="2"/>
          </rPr>
          <t xml:space="preserve">
Balance difference:
Deposits receivable</t>
        </r>
      </text>
    </comment>
    <comment ref="C27" authorId="0" shapeId="0">
      <text>
        <r>
          <rPr>
            <b/>
            <sz val="9"/>
            <color indexed="81"/>
            <rFont val="Tahoma"/>
            <family val="2"/>
          </rPr>
          <t>Anita:</t>
        </r>
        <r>
          <rPr>
            <sz val="9"/>
            <color indexed="81"/>
            <rFont val="Tahoma"/>
            <family val="2"/>
          </rPr>
          <t xml:space="preserve">
Amount from SRECNP
NonOperating Revenues: State Appropriations</t>
        </r>
      </text>
    </comment>
    <comment ref="C28" authorId="0" shapeId="0">
      <text>
        <r>
          <rPr>
            <b/>
            <sz val="9"/>
            <color indexed="81"/>
            <rFont val="Tahoma"/>
            <family val="2"/>
          </rPr>
          <t>Anita:</t>
        </r>
        <r>
          <rPr>
            <sz val="9"/>
            <color indexed="81"/>
            <rFont val="Tahoma"/>
            <family val="2"/>
          </rPr>
          <t xml:space="preserve">
Amount from SRECNP
NonOperating Revenues: Federal and State Student Financial Aid
</t>
        </r>
      </text>
    </comment>
    <comment ref="D28" authorId="0" shapeId="0">
      <text>
        <r>
          <rPr>
            <b/>
            <sz val="9"/>
            <color indexed="81"/>
            <rFont val="Tahoma"/>
            <family val="2"/>
          </rPr>
          <t>Anita:</t>
        </r>
        <r>
          <rPr>
            <sz val="9"/>
            <color indexed="81"/>
            <rFont val="Tahoma"/>
            <family val="2"/>
          </rPr>
          <t xml:space="preserve">
Balance Difference
Accts Receivable: Due from Other Governments</t>
        </r>
      </text>
    </comment>
    <comment ref="H29" authorId="0" shapeId="0">
      <text>
        <r>
          <rPr>
            <b/>
            <sz val="9"/>
            <color indexed="81"/>
            <rFont val="Tahoma"/>
            <family val="2"/>
          </rPr>
          <t>Anita:</t>
        </r>
        <r>
          <rPr>
            <sz val="9"/>
            <color indexed="81"/>
            <rFont val="Tahoma"/>
            <family val="2"/>
          </rPr>
          <t xml:space="preserve">
Hand Enter the Amount of Federal Direct Program Receipts
The Net Difference between the Federal Direct Loan Program Receipts and Disbursements should be equal to the account balance of the diffference between what would have been the revenues and expenditures if tracked in any fund other than Fund 6.
Federal Loans should be recorded in Fund 6 without any revenues and expenditures being recorded as they are agency transactions and should not be captured within your College's reported activity.</t>
        </r>
      </text>
    </comment>
    <comment ref="H30" authorId="0" shapeId="0">
      <text>
        <r>
          <rPr>
            <b/>
            <sz val="9"/>
            <color indexed="81"/>
            <rFont val="Tahoma"/>
            <family val="2"/>
          </rPr>
          <t>Anita:</t>
        </r>
        <r>
          <rPr>
            <sz val="9"/>
            <color indexed="81"/>
            <rFont val="Tahoma"/>
            <family val="2"/>
          </rPr>
          <t xml:space="preserve">
Hand Enter the Federal Direct Program Disbursements
The Net Difference between the Federal Direct Loan Program Receipts and Disbursements should be equal to the account balance of the diffference between what would have been the revenues and expenditures if tracked in any fund other than Fund 6.
Federal Loans should be recorded in Fund 6 without any revenues and expenditures being recorded as they are agency transactions and should not be captured within your College's reported activity.</t>
        </r>
      </text>
    </comment>
    <comment ref="C31" authorId="0" shapeId="0">
      <text>
        <r>
          <rPr>
            <b/>
            <sz val="9"/>
            <color indexed="81"/>
            <rFont val="Tahoma"/>
            <family val="2"/>
          </rPr>
          <t>Anita:</t>
        </r>
        <r>
          <rPr>
            <sz val="9"/>
            <color indexed="81"/>
            <rFont val="Tahoma"/>
            <family val="2"/>
          </rPr>
          <t xml:space="preserve">
Amount from SRECNP
NonOperating Revenues: Gifts and Grants</t>
        </r>
      </text>
    </comment>
    <comment ref="C32" authorId="0" shapeId="0">
      <text>
        <r>
          <rPr>
            <b/>
            <sz val="9"/>
            <color indexed="81"/>
            <rFont val="Tahoma"/>
            <family val="2"/>
          </rPr>
          <t>Anita:</t>
        </r>
        <r>
          <rPr>
            <sz val="9"/>
            <color indexed="81"/>
            <rFont val="Tahoma"/>
            <family val="2"/>
          </rPr>
          <t xml:space="preserve">
Amount from SRECNP
Addition to Endowment</t>
        </r>
      </text>
    </comment>
    <comment ref="C38" authorId="1" shapeId="0">
      <text>
        <r>
          <rPr>
            <b/>
            <sz val="9"/>
            <color indexed="81"/>
            <rFont val="Tahoma"/>
            <family val="2"/>
          </rPr>
          <t>Sisley, Dottie:</t>
        </r>
        <r>
          <rPr>
            <sz val="9"/>
            <color indexed="81"/>
            <rFont val="Tahoma"/>
            <family val="2"/>
          </rPr>
          <t xml:space="preserve">
Links to AGL - Fund 7 Proceeds from Capital Debt</t>
        </r>
      </text>
    </comment>
    <comment ref="C39" authorId="0" shapeId="0">
      <text>
        <r>
          <rPr>
            <b/>
            <sz val="9"/>
            <color indexed="81"/>
            <rFont val="Tahoma"/>
            <family val="2"/>
          </rPr>
          <t>Anita:</t>
        </r>
        <r>
          <rPr>
            <sz val="9"/>
            <color indexed="81"/>
            <rFont val="Tahoma"/>
            <family val="2"/>
          </rPr>
          <t xml:space="preserve">
Amount from SRECNP
Cap Financing Activities: Capital Appropriations</t>
        </r>
      </text>
    </comment>
    <comment ref="D39" authorId="0" shapeId="0">
      <text>
        <r>
          <rPr>
            <b/>
            <sz val="9"/>
            <color indexed="81"/>
            <rFont val="Tahoma"/>
            <family val="2"/>
          </rPr>
          <t>Anita:</t>
        </r>
        <r>
          <rPr>
            <sz val="9"/>
            <color indexed="81"/>
            <rFont val="Tahoma"/>
            <family val="2"/>
          </rPr>
          <t xml:space="preserve">
Balance Difference
Accounts Receivable: Due from Other Govt Fd 7</t>
        </r>
      </text>
    </comment>
    <comment ref="E39" authorId="0" shapeId="0">
      <text>
        <r>
          <rPr>
            <b/>
            <sz val="9"/>
            <color indexed="81"/>
            <rFont val="Tahoma"/>
            <family val="2"/>
          </rPr>
          <t>Anita:</t>
        </r>
        <r>
          <rPr>
            <sz val="9"/>
            <color indexed="81"/>
            <rFont val="Tahoma"/>
            <family val="2"/>
          </rPr>
          <t xml:space="preserve">
Balance Difference
Restricted Investments - Current Fd 7</t>
        </r>
      </text>
    </comment>
    <comment ref="C40" authorId="0" shapeId="0">
      <text>
        <r>
          <rPr>
            <b/>
            <sz val="9"/>
            <color indexed="81"/>
            <rFont val="Tahoma"/>
            <family val="2"/>
          </rPr>
          <t>Anita:</t>
        </r>
        <r>
          <rPr>
            <sz val="9"/>
            <color indexed="81"/>
            <rFont val="Tahoma"/>
            <family val="2"/>
          </rPr>
          <t xml:space="preserve">
Amount from SRECNP
Cap Financing Activities: Cap Grants, Gifts, and Fees</t>
        </r>
      </text>
    </comment>
    <comment ref="G40" authorId="0" shapeId="0">
      <text>
        <r>
          <rPr>
            <b/>
            <sz val="9"/>
            <color indexed="81"/>
            <rFont val="Tahoma"/>
            <family val="2"/>
          </rPr>
          <t>Anita:</t>
        </r>
        <r>
          <rPr>
            <sz val="9"/>
            <color indexed="81"/>
            <rFont val="Tahoma"/>
            <family val="2"/>
          </rPr>
          <t xml:space="preserve">
Property Donations</t>
        </r>
      </text>
    </comment>
    <comment ref="C42" authorId="0" shapeId="0">
      <text>
        <r>
          <rPr>
            <b/>
            <sz val="9"/>
            <color indexed="81"/>
            <rFont val="Tahoma"/>
            <family val="2"/>
          </rPr>
          <t>Anita:</t>
        </r>
        <r>
          <rPr>
            <sz val="9"/>
            <color indexed="81"/>
            <rFont val="Tahoma"/>
            <family val="2"/>
          </rPr>
          <t xml:space="preserve">
Amount from SRECNP
Cap Financing Activities:  Proceeds from the Sale of Capital Assets</t>
        </r>
      </text>
    </comment>
    <comment ref="C43" authorId="0" shapeId="0">
      <text>
        <r>
          <rPr>
            <b/>
            <sz val="9"/>
            <color indexed="81"/>
            <rFont val="Tahoma"/>
            <family val="2"/>
          </rPr>
          <t>Anita:</t>
        </r>
        <r>
          <rPr>
            <sz val="9"/>
            <color indexed="81"/>
            <rFont val="Tahoma"/>
            <family val="2"/>
          </rPr>
          <t xml:space="preserve">
Balance Difference 
Retainage Payable</t>
        </r>
      </text>
    </comment>
    <comment ref="D43" authorId="0" shapeId="0">
      <text>
        <r>
          <rPr>
            <b/>
            <sz val="9"/>
            <color indexed="81"/>
            <rFont val="Tahoma"/>
            <family val="2"/>
          </rPr>
          <t>Anita:</t>
        </r>
        <r>
          <rPr>
            <sz val="9"/>
            <color indexed="81"/>
            <rFont val="Tahoma"/>
            <family val="2"/>
          </rPr>
          <t xml:space="preserve">
SRECNA
Depreciation</t>
        </r>
      </text>
    </comment>
    <comment ref="E43" authorId="0" shapeId="0">
      <text>
        <r>
          <rPr>
            <b/>
            <sz val="9"/>
            <color indexed="81"/>
            <rFont val="Tahoma"/>
            <family val="2"/>
          </rPr>
          <t>Anita:</t>
        </r>
        <r>
          <rPr>
            <sz val="9"/>
            <color indexed="81"/>
            <rFont val="Tahoma"/>
            <family val="2"/>
          </rPr>
          <t xml:space="preserve">
Balance Difference
Depreciable Capital Assets</t>
        </r>
      </text>
    </comment>
    <comment ref="F43" authorId="0" shapeId="0">
      <text>
        <r>
          <rPr>
            <b/>
            <sz val="9"/>
            <color indexed="81"/>
            <rFont val="Tahoma"/>
            <family val="2"/>
          </rPr>
          <t>Anita:</t>
        </r>
        <r>
          <rPr>
            <sz val="9"/>
            <color indexed="81"/>
            <rFont val="Tahoma"/>
            <family val="2"/>
          </rPr>
          <t xml:space="preserve">
Balance Difference 
Depreciable Capital Assets - Accum Depr
</t>
        </r>
      </text>
    </comment>
    <comment ref="C44" authorId="0" shapeId="0">
      <text>
        <r>
          <rPr>
            <b/>
            <sz val="9"/>
            <color indexed="81"/>
            <rFont val="Tahoma"/>
            <family val="2"/>
          </rPr>
          <t>Anita:</t>
        </r>
        <r>
          <rPr>
            <sz val="9"/>
            <color indexed="81"/>
            <rFont val="Tahoma"/>
            <family val="2"/>
          </rPr>
          <t xml:space="preserve">
Balance Difference
Unearned Revenue Fd 7</t>
        </r>
      </text>
    </comment>
    <comment ref="D44" authorId="0" shapeId="0">
      <text>
        <r>
          <rPr>
            <b/>
            <sz val="9"/>
            <color indexed="81"/>
            <rFont val="Tahoma"/>
            <family val="2"/>
          </rPr>
          <t>Anita:</t>
        </r>
        <r>
          <rPr>
            <sz val="9"/>
            <color indexed="81"/>
            <rFont val="Tahoma"/>
            <family val="2"/>
          </rPr>
          <t xml:space="preserve">
Balance Difference
Accounts Payable: Capital</t>
        </r>
      </text>
    </comment>
    <comment ref="E44" authorId="0" shapeId="0">
      <text>
        <r>
          <rPr>
            <b/>
            <sz val="9"/>
            <color indexed="81"/>
            <rFont val="Tahoma"/>
            <family val="2"/>
          </rPr>
          <t>Anita:</t>
        </r>
        <r>
          <rPr>
            <sz val="9"/>
            <color indexed="81"/>
            <rFont val="Tahoma"/>
            <family val="2"/>
          </rPr>
          <t xml:space="preserve">
Balance Difference
Non Depreciable Capital Assets</t>
        </r>
      </text>
    </comment>
    <comment ref="G44" authorId="0" shapeId="0">
      <text>
        <r>
          <rPr>
            <b/>
            <sz val="9"/>
            <color indexed="81"/>
            <rFont val="Tahoma"/>
            <family val="2"/>
          </rPr>
          <t>Anita:</t>
        </r>
        <r>
          <rPr>
            <sz val="9"/>
            <color indexed="81"/>
            <rFont val="Tahoma"/>
            <family val="2"/>
          </rPr>
          <t xml:space="preserve">
Amount from SRECNA
Loss/Gain on Disposal of Assets
Non Cash Item for SRECNP - See below</t>
        </r>
      </text>
    </comment>
    <comment ref="C45" authorId="0" shapeId="0">
      <text>
        <r>
          <rPr>
            <b/>
            <sz val="9"/>
            <color indexed="81"/>
            <rFont val="Tahoma"/>
            <family val="2"/>
          </rPr>
          <t>Anita:</t>
        </r>
        <r>
          <rPr>
            <sz val="9"/>
            <color indexed="81"/>
            <rFont val="Tahoma"/>
            <family val="2"/>
          </rPr>
          <t xml:space="preserve">
Balance Difference
Principal Paid on Capital  Debt and Leases</t>
        </r>
      </text>
    </comment>
    <comment ref="C46" authorId="0" shapeId="0">
      <text>
        <r>
          <rPr>
            <b/>
            <sz val="9"/>
            <color indexed="81"/>
            <rFont val="Tahoma"/>
            <family val="2"/>
          </rPr>
          <t>Anita:</t>
        </r>
        <r>
          <rPr>
            <sz val="9"/>
            <color indexed="81"/>
            <rFont val="Tahoma"/>
            <family val="2"/>
          </rPr>
          <t xml:space="preserve">
Amount from SRECNP
Interest on Capital Debt and Leases</t>
        </r>
      </text>
    </comment>
    <comment ref="H52" authorId="0" shapeId="0">
      <text>
        <r>
          <rPr>
            <b/>
            <sz val="9"/>
            <color indexed="81"/>
            <rFont val="Tahoma"/>
            <family val="2"/>
          </rPr>
          <t>Anita:</t>
        </r>
        <r>
          <rPr>
            <sz val="9"/>
            <color indexed="81"/>
            <rFont val="Tahoma"/>
            <family val="2"/>
          </rPr>
          <t xml:space="preserve">
Hard Enter the Proceeds from Sales and Maturities of Investments
The Net Difference from the Proceeds and Purchase of Securities needs to equal the balance difference for Investments in Balance Difference Summary
</t>
        </r>
      </text>
    </comment>
    <comment ref="H53" authorId="0" shapeId="0">
      <text>
        <r>
          <rPr>
            <b/>
            <sz val="9"/>
            <color indexed="81"/>
            <rFont val="Tahoma"/>
            <family val="2"/>
          </rPr>
          <t>Anita:</t>
        </r>
        <r>
          <rPr>
            <sz val="9"/>
            <color indexed="81"/>
            <rFont val="Tahoma"/>
            <family val="2"/>
          </rPr>
          <t xml:space="preserve">
Hand Enter the amount of Investments Purchased
The Net Difference from the Proceeds and Purchase of Securities needs to equal the balance difference for Investments in Balance Difference Summary</t>
        </r>
      </text>
    </comment>
    <comment ref="C54" authorId="0" shapeId="0">
      <text>
        <r>
          <rPr>
            <b/>
            <sz val="9"/>
            <color indexed="81"/>
            <rFont val="Tahoma"/>
            <family val="2"/>
          </rPr>
          <t>Anita:</t>
        </r>
        <r>
          <rPr>
            <sz val="9"/>
            <color indexed="81"/>
            <rFont val="Tahoma"/>
            <family val="2"/>
          </rPr>
          <t xml:space="preserve">
Amount from SRECNA
Investment Income</t>
        </r>
      </text>
    </comment>
    <comment ref="D54" authorId="0" shapeId="0">
      <text>
        <r>
          <rPr>
            <b/>
            <sz val="9"/>
            <color indexed="81"/>
            <rFont val="Tahoma"/>
            <family val="2"/>
          </rPr>
          <t>Anita:</t>
        </r>
        <r>
          <rPr>
            <sz val="9"/>
            <color indexed="81"/>
            <rFont val="Tahoma"/>
            <family val="2"/>
          </rPr>
          <t xml:space="preserve">
Amount from SRECNP
Net Gain/Loss on Investments</t>
        </r>
      </text>
    </comment>
    <comment ref="E54" authorId="2" shapeId="0">
      <text>
        <r>
          <rPr>
            <b/>
            <sz val="9"/>
            <color indexed="81"/>
            <rFont val="Tahoma"/>
            <family val="2"/>
          </rPr>
          <t>Rose, Tracy:</t>
        </r>
        <r>
          <rPr>
            <sz val="9"/>
            <color indexed="81"/>
            <rFont val="Tahoma"/>
            <family val="2"/>
          </rPr>
          <t xml:space="preserve">
Balance difference:
Change in interest on investments</t>
        </r>
      </text>
    </comment>
    <comment ref="G54" authorId="0" shapeId="0">
      <text>
        <r>
          <rPr>
            <b/>
            <sz val="9"/>
            <color indexed="81"/>
            <rFont val="Tahoma"/>
            <family val="2"/>
          </rPr>
          <t>Anita:</t>
        </r>
        <r>
          <rPr>
            <sz val="9"/>
            <color indexed="81"/>
            <rFont val="Tahoma"/>
            <family val="2"/>
          </rPr>
          <t xml:space="preserve">
Unrealized gains on investments - non cash.  See below.</t>
        </r>
      </text>
    </comment>
    <comment ref="H59" authorId="0" shapeId="0">
      <text>
        <r>
          <rPr>
            <b/>
            <sz val="9"/>
            <color indexed="81"/>
            <rFont val="Tahoma"/>
            <family val="2"/>
          </rPr>
          <t>Anita:</t>
        </r>
        <r>
          <rPr>
            <sz val="9"/>
            <color indexed="81"/>
            <rFont val="Tahoma"/>
            <family val="2"/>
          </rPr>
          <t xml:space="preserve">
Need to enter your beginning balance for cash and cash equivalents</t>
        </r>
      </text>
    </comment>
    <comment ref="B65" authorId="3" shapeId="0">
      <text>
        <r>
          <rPr>
            <sz val="8"/>
            <color indexed="81"/>
            <rFont val="Tahoma"/>
            <family val="2"/>
          </rPr>
          <t>Linked to SRECNP</t>
        </r>
      </text>
    </comment>
    <comment ref="B68" authorId="3" shapeId="0">
      <text>
        <r>
          <rPr>
            <sz val="8"/>
            <color indexed="81"/>
            <rFont val="Tahoma"/>
            <family val="2"/>
          </rPr>
          <t>Linked to SRECNP</t>
        </r>
      </text>
    </comment>
    <comment ref="C72" authorId="0" shapeId="0">
      <text>
        <r>
          <rPr>
            <b/>
            <sz val="9"/>
            <color indexed="81"/>
            <rFont val="Tahoma"/>
            <family val="2"/>
          </rPr>
          <t>Anita:</t>
        </r>
        <r>
          <rPr>
            <sz val="9"/>
            <color indexed="81"/>
            <rFont val="Tahoma"/>
            <family val="2"/>
          </rPr>
          <t xml:space="preserve">
Balance Difference
Accounts Receivable: Total</t>
        </r>
      </text>
    </comment>
    <comment ref="E72" authorId="0" shapeId="0">
      <text>
        <r>
          <rPr>
            <b/>
            <sz val="9"/>
            <color indexed="81"/>
            <rFont val="Tahoma"/>
            <family val="2"/>
          </rPr>
          <t>Anita:</t>
        </r>
        <r>
          <rPr>
            <sz val="9"/>
            <color indexed="81"/>
            <rFont val="Tahoma"/>
            <family val="2"/>
          </rPr>
          <t xml:space="preserve">
Balance Diference
Due from Other Governments: Total less items that do not relate to operating activities
</t>
        </r>
      </text>
    </comment>
    <comment ref="B73" authorId="2" shapeId="0">
      <text>
        <r>
          <rPr>
            <b/>
            <sz val="9"/>
            <color indexed="81"/>
            <rFont val="Tahoma"/>
            <family val="2"/>
          </rPr>
          <t>Rose, Tracy:</t>
        </r>
        <r>
          <rPr>
            <sz val="9"/>
            <color indexed="81"/>
            <rFont val="Tahoma"/>
            <family val="2"/>
          </rPr>
          <t xml:space="preserve">
FYI: Loans to Students pulls into SCF with Receivables, Net</t>
        </r>
      </text>
    </comment>
    <comment ref="C73" authorId="0" shapeId="0">
      <text>
        <r>
          <rPr>
            <b/>
            <sz val="9"/>
            <color indexed="81"/>
            <rFont val="Tahoma"/>
            <family val="2"/>
          </rPr>
          <t>Anita:</t>
        </r>
        <r>
          <rPr>
            <sz val="9"/>
            <color indexed="81"/>
            <rFont val="Tahoma"/>
            <family val="2"/>
          </rPr>
          <t xml:space="preserve">
Loans Issued to Students</t>
        </r>
      </text>
    </comment>
    <comment ref="C74" authorId="2" shapeId="0">
      <text>
        <r>
          <rPr>
            <b/>
            <sz val="8"/>
            <color indexed="81"/>
            <rFont val="Tahoma"/>
            <family val="2"/>
          </rPr>
          <t xml:space="preserve">Anita:
</t>
        </r>
        <r>
          <rPr>
            <sz val="8"/>
            <color indexed="81"/>
            <rFont val="Tahoma"/>
            <family val="2"/>
          </rPr>
          <t>Balance Diference
Due from Other Governments: Total less items that do not relate to operating activities</t>
        </r>
      </text>
    </comment>
    <comment ref="C75" authorId="0" shapeId="0">
      <text>
        <r>
          <rPr>
            <b/>
            <sz val="9"/>
            <color indexed="81"/>
            <rFont val="Tahoma"/>
            <family val="2"/>
          </rPr>
          <t>Anita:</t>
        </r>
        <r>
          <rPr>
            <sz val="9"/>
            <color indexed="81"/>
            <rFont val="Tahoma"/>
            <family val="2"/>
          </rPr>
          <t xml:space="preserve">
Balance Difference
Accounts Receivable: Due from Comp unit-DSO</t>
        </r>
      </text>
    </comment>
    <comment ref="C76" authorId="2" shapeId="0">
      <text>
        <r>
          <rPr>
            <b/>
            <sz val="9"/>
            <color indexed="81"/>
            <rFont val="Tahoma"/>
            <family val="2"/>
          </rPr>
          <t>Rose, Tracy:</t>
        </r>
        <r>
          <rPr>
            <sz val="9"/>
            <color indexed="81"/>
            <rFont val="Tahoma"/>
            <family val="2"/>
          </rPr>
          <t xml:space="preserve">
Due to other governments</t>
        </r>
      </text>
    </comment>
    <comment ref="C77" authorId="0" shapeId="0">
      <text>
        <r>
          <rPr>
            <b/>
            <sz val="9"/>
            <color indexed="81"/>
            <rFont val="Tahoma"/>
            <family val="2"/>
          </rPr>
          <t>Anita:</t>
        </r>
        <r>
          <rPr>
            <sz val="9"/>
            <color indexed="81"/>
            <rFont val="Tahoma"/>
            <family val="2"/>
          </rPr>
          <t xml:space="preserve">
Balance Difference
Inventories</t>
        </r>
      </text>
    </comment>
    <comment ref="C78" authorId="0" shapeId="0">
      <text>
        <r>
          <rPr>
            <b/>
            <sz val="9"/>
            <color indexed="81"/>
            <rFont val="Tahoma"/>
            <family val="2"/>
          </rPr>
          <t>Anita:</t>
        </r>
        <r>
          <rPr>
            <sz val="9"/>
            <color indexed="81"/>
            <rFont val="Tahoma"/>
            <family val="2"/>
          </rPr>
          <t xml:space="preserve">
Balance Difference
Prepaid Expenses</t>
        </r>
      </text>
    </comment>
    <comment ref="C79" authorId="0" shapeId="0">
      <text>
        <r>
          <rPr>
            <b/>
            <sz val="9"/>
            <color indexed="81"/>
            <rFont val="Tahoma"/>
            <family val="2"/>
          </rPr>
          <t>Anita:</t>
        </r>
        <r>
          <rPr>
            <sz val="9"/>
            <color indexed="81"/>
            <rFont val="Tahoma"/>
            <family val="2"/>
          </rPr>
          <t xml:space="preserve">
Balance Difference
Other NonCurrent Asset</t>
        </r>
      </text>
    </comment>
    <comment ref="D79" authorId="1" shapeId="0">
      <text>
        <r>
          <rPr>
            <b/>
            <sz val="9"/>
            <color indexed="81"/>
            <rFont val="Tahoma"/>
            <family val="2"/>
          </rPr>
          <t>Sisley, Dottie:</t>
        </r>
        <r>
          <rPr>
            <sz val="9"/>
            <color indexed="81"/>
            <rFont val="Tahoma"/>
            <family val="2"/>
          </rPr>
          <t xml:space="preserve">
Other Receipts</t>
        </r>
      </text>
    </comment>
    <comment ref="C80" authorId="0" shapeId="0">
      <text>
        <r>
          <rPr>
            <b/>
            <sz val="9"/>
            <color indexed="81"/>
            <rFont val="Tahoma"/>
            <family val="2"/>
          </rPr>
          <t>Anita:</t>
        </r>
        <r>
          <rPr>
            <sz val="9"/>
            <color indexed="81"/>
            <rFont val="Tahoma"/>
            <family val="2"/>
          </rPr>
          <t xml:space="preserve">
Balance Difference
Accounts Payable</t>
        </r>
      </text>
    </comment>
    <comment ref="D80" authorId="0" shapeId="0">
      <text>
        <r>
          <rPr>
            <b/>
            <sz val="9"/>
            <color indexed="81"/>
            <rFont val="Tahoma"/>
            <family val="2"/>
          </rPr>
          <t>Anita:</t>
        </r>
        <r>
          <rPr>
            <sz val="9"/>
            <color indexed="81"/>
            <rFont val="Tahoma"/>
            <family val="2"/>
          </rPr>
          <t xml:space="preserve">
Balance Difference
Due to DSO</t>
        </r>
      </text>
    </comment>
    <comment ref="E80" authorId="0" shapeId="0">
      <text>
        <r>
          <rPr>
            <b/>
            <sz val="9"/>
            <color indexed="81"/>
            <rFont val="Tahoma"/>
            <family val="2"/>
          </rPr>
          <t>Anita:</t>
        </r>
        <r>
          <rPr>
            <sz val="9"/>
            <color indexed="81"/>
            <rFont val="Tahoma"/>
            <family val="2"/>
          </rPr>
          <t xml:space="preserve">
Balance Difference
Accounts Payable:  Grants and Contracts</t>
        </r>
      </text>
    </comment>
    <comment ref="F80" authorId="0" shapeId="0">
      <text>
        <r>
          <rPr>
            <b/>
            <sz val="9"/>
            <color indexed="81"/>
            <rFont val="Tahoma"/>
            <family val="2"/>
          </rPr>
          <t>Anita:</t>
        </r>
        <r>
          <rPr>
            <sz val="9"/>
            <color indexed="81"/>
            <rFont val="Tahoma"/>
            <family val="2"/>
          </rPr>
          <t xml:space="preserve">
Balance Difference
Accounts Payable: Auxiliairies
</t>
        </r>
      </text>
    </comment>
    <comment ref="C82" authorId="0" shapeId="0">
      <text>
        <r>
          <rPr>
            <b/>
            <sz val="9"/>
            <color indexed="81"/>
            <rFont val="Tahoma"/>
            <family val="2"/>
          </rPr>
          <t>Anita:</t>
        </r>
        <r>
          <rPr>
            <sz val="9"/>
            <color indexed="81"/>
            <rFont val="Tahoma"/>
            <family val="2"/>
          </rPr>
          <t xml:space="preserve">
Balance Difference
Salaries and Wages Payable</t>
        </r>
      </text>
    </comment>
    <comment ref="E82" authorId="0" shapeId="0">
      <text>
        <r>
          <rPr>
            <b/>
            <sz val="9"/>
            <color indexed="81"/>
            <rFont val="Tahoma"/>
            <family val="2"/>
          </rPr>
          <t>Anita:</t>
        </r>
        <r>
          <rPr>
            <sz val="9"/>
            <color indexed="81"/>
            <rFont val="Tahoma"/>
            <family val="2"/>
          </rPr>
          <t xml:space="preserve">
Balance Difference
Benefits Payable</t>
        </r>
      </text>
    </comment>
    <comment ref="C83" authorId="0" shapeId="0">
      <text>
        <r>
          <rPr>
            <b/>
            <sz val="9"/>
            <color indexed="81"/>
            <rFont val="Tahoma"/>
            <family val="2"/>
          </rPr>
          <t>Anita:</t>
        </r>
        <r>
          <rPr>
            <sz val="9"/>
            <color indexed="81"/>
            <rFont val="Tahoma"/>
            <family val="2"/>
          </rPr>
          <t xml:space="preserve">
Balance Difference
Unearned Revenues: Total</t>
        </r>
      </text>
    </comment>
    <comment ref="C84" authorId="0" shapeId="0">
      <text>
        <r>
          <rPr>
            <b/>
            <sz val="9"/>
            <color indexed="81"/>
            <rFont val="Tahoma"/>
            <family val="2"/>
          </rPr>
          <t>Anita:</t>
        </r>
        <r>
          <rPr>
            <sz val="9"/>
            <color indexed="81"/>
            <rFont val="Tahoma"/>
            <family val="2"/>
          </rPr>
          <t xml:space="preserve">
Balance Difference
Estimated Claims Payable</t>
        </r>
      </text>
    </comment>
    <comment ref="D85" authorId="2" shapeId="0">
      <text>
        <r>
          <rPr>
            <b/>
            <sz val="9"/>
            <color indexed="81"/>
            <rFont val="Tahoma"/>
            <family val="2"/>
          </rPr>
          <t>Rose, Tracy:</t>
        </r>
        <r>
          <rPr>
            <sz val="9"/>
            <color indexed="81"/>
            <rFont val="Tahoma"/>
            <family val="2"/>
          </rPr>
          <t xml:space="preserve">
Deposits receivable</t>
        </r>
      </text>
    </comment>
    <comment ref="P100" authorId="0" shapeId="0">
      <text>
        <r>
          <rPr>
            <b/>
            <sz val="9"/>
            <color indexed="81"/>
            <rFont val="Tahoma"/>
            <family val="2"/>
          </rPr>
          <t>Anita:</t>
        </r>
        <r>
          <rPr>
            <sz val="9"/>
            <color indexed="81"/>
            <rFont val="Tahoma"/>
            <family val="2"/>
          </rPr>
          <t xml:space="preserve">
This is not linked into SCF - Not sure where it goes</t>
        </r>
      </text>
    </comment>
  </commentList>
</comments>
</file>

<file path=xl/comments9.xml><?xml version="1.0" encoding="utf-8"?>
<comments xmlns="http://schemas.openxmlformats.org/spreadsheetml/2006/main">
  <authors>
    <author>claire.cotton-watkins</author>
    <author>Dickens, Jamaal</author>
  </authors>
  <commentList>
    <comment ref="G11" authorId="0" shapeId="0">
      <text>
        <r>
          <rPr>
            <sz val="8"/>
            <color indexed="81"/>
            <rFont val="Tahoma"/>
            <family val="2"/>
          </rPr>
          <t>Accounts by GL -
GL 16210-Investments, Non-current, SBA Fund B</t>
        </r>
      </text>
    </comment>
    <comment ref="G13" authorId="0" shapeId="0">
      <text>
        <r>
          <rPr>
            <sz val="8"/>
            <color indexed="81"/>
            <rFont val="Tahoma"/>
            <family val="2"/>
          </rPr>
          <t>Account by GL
GL 16110-Investments Current, SBA Debt Service</t>
        </r>
      </text>
    </comment>
    <comment ref="F92" authorId="1" shapeId="0">
      <text>
        <r>
          <rPr>
            <b/>
            <sz val="9"/>
            <color indexed="81"/>
            <rFont val="Tahoma"/>
            <family val="2"/>
          </rPr>
          <t>Dickens, Jamaal:</t>
        </r>
        <r>
          <rPr>
            <sz val="9"/>
            <color indexed="81"/>
            <rFont val="Tahoma"/>
            <family val="2"/>
          </rPr>
          <t xml:space="preserve">
G69+G70</t>
        </r>
      </text>
    </comment>
  </commentList>
</comments>
</file>

<file path=xl/sharedStrings.xml><?xml version="1.0" encoding="utf-8"?>
<sst xmlns="http://schemas.openxmlformats.org/spreadsheetml/2006/main" count="12382" uniqueCount="6497">
  <si>
    <t xml:space="preserve">Department of Financial Services
</t>
  </si>
  <si>
    <t>HIDDEN!</t>
  </si>
  <si>
    <t>Adjustment Form</t>
  </si>
  <si>
    <t>Version:</t>
  </si>
  <si>
    <t>CFO Document:  L-   4895XX</t>
  </si>
  <si>
    <t>College:</t>
  </si>
  <si>
    <t xml:space="preserve">CFO Use </t>
  </si>
  <si>
    <t>OLO</t>
  </si>
  <si>
    <t>GF</t>
  </si>
  <si>
    <t>SF</t>
  </si>
  <si>
    <t>FID</t>
  </si>
  <si>
    <t>G/L Code</t>
  </si>
  <si>
    <t>General Ledger Account Title</t>
  </si>
  <si>
    <t>Debit</t>
  </si>
  <si>
    <t>Credit</t>
  </si>
  <si>
    <t>Cash on Hand</t>
  </si>
  <si>
    <t>Cash in Bank</t>
  </si>
  <si>
    <t>Cash with SBA</t>
  </si>
  <si>
    <t>Cash in State Treasury</t>
  </si>
  <si>
    <t>Investments with SBA</t>
  </si>
  <si>
    <t>Other Investments</t>
  </si>
  <si>
    <t>Accounts Receivables</t>
  </si>
  <si>
    <t>Loans and Notes Receivable</t>
  </si>
  <si>
    <t>Allowance for Uncollectibles</t>
  </si>
  <si>
    <t>Due From Other Governmental Units</t>
  </si>
  <si>
    <t>Due From Component Units / Primary</t>
  </si>
  <si>
    <t>Supply Inventory</t>
  </si>
  <si>
    <t>Current Prepaid Items</t>
  </si>
  <si>
    <t>Deposits</t>
  </si>
  <si>
    <t>Other Current Assets</t>
  </si>
  <si>
    <t>Restricted Cash in Bank</t>
  </si>
  <si>
    <t>Restricted Cash with SBA</t>
  </si>
  <si>
    <t>Restricted Cash in State Treasury</t>
  </si>
  <si>
    <t>Restricted Investments with SBA</t>
  </si>
  <si>
    <t>Restricted Other Investments</t>
  </si>
  <si>
    <t>Deferred Outflows of Resources - Pension FRS</t>
  </si>
  <si>
    <t>Deferred Outflows of Resources - Pension HIS</t>
  </si>
  <si>
    <t xml:space="preserve">Deferred Outflows of Resources - Other Postemployment Benefits </t>
  </si>
  <si>
    <t xml:space="preserve">Deferred Outflows of Resources - Asset Retirement Obligations </t>
  </si>
  <si>
    <t>Non-Current Prepaid Items</t>
  </si>
  <si>
    <t>Works of Art &amp; Historical Treasures - Nondepreciable</t>
  </si>
  <si>
    <t>Leasehold Improvements</t>
  </si>
  <si>
    <t>Accumulated Depreciation Leasehold Improvements</t>
  </si>
  <si>
    <t>Land and Non-amortizable Intangible Assets</t>
  </si>
  <si>
    <t>Buildings and Building Improvements</t>
  </si>
  <si>
    <t>Accumulated Depreciation-Building &amp; Building Improvements</t>
  </si>
  <si>
    <t>Infrastructure and Other Improvements</t>
  </si>
  <si>
    <t>Accumulated Depreciation-Infrastructure and Other Improvements</t>
  </si>
  <si>
    <t>Furniture and Equipment</t>
  </si>
  <si>
    <t>Accumulated Depreciation-Furniture and Equipment</t>
  </si>
  <si>
    <t>Construction Work in Progress</t>
  </si>
  <si>
    <t>Property Under Capital Lease</t>
  </si>
  <si>
    <t>Accumulated Depreciation - Property Under Capital Lease</t>
  </si>
  <si>
    <t>Amortizable Intangible Assets &amp; Other Capital Assets</t>
  </si>
  <si>
    <t>Accumulated Depreciation - Amortizable Intangible Assets &amp; Other Capital Assets</t>
  </si>
  <si>
    <t>Other Noncurrent Assets</t>
  </si>
  <si>
    <t>Accounts Payable</t>
  </si>
  <si>
    <t>Construction Contracts Payable</t>
  </si>
  <si>
    <t>Claims Payable</t>
  </si>
  <si>
    <t>Salaries and Wages</t>
  </si>
  <si>
    <t>Interest Payable</t>
  </si>
  <si>
    <t>Deposits Held for Others</t>
  </si>
  <si>
    <t>Due to Other Governmental Agencies</t>
  </si>
  <si>
    <t>Due to Component Unit / College</t>
  </si>
  <si>
    <t>Bonds Payable - Current</t>
  </si>
  <si>
    <t xml:space="preserve">Asset Retirement Obligations - Current </t>
  </si>
  <si>
    <t xml:space="preserve">Installment Purchases - Current </t>
  </si>
  <si>
    <t>Compensated Absences - Current</t>
  </si>
  <si>
    <t>Other Postemployment Benefits Liability - Current</t>
  </si>
  <si>
    <t>xxx</t>
  </si>
  <si>
    <t>FRS Net Pension Liability - Current</t>
  </si>
  <si>
    <t>HIS Net Pension Liability - Current</t>
  </si>
  <si>
    <t>Capital Leases - Current</t>
  </si>
  <si>
    <t>Unearned Revenue</t>
  </si>
  <si>
    <t>Other Current Liabilities</t>
  </si>
  <si>
    <t>Bonds Payable</t>
  </si>
  <si>
    <t>Deferred Inflow Related to Service Concession Arrangement</t>
  </si>
  <si>
    <t>Deferred Inflows - Accumulated Increase in Fair Value-Hedging Derivatives</t>
  </si>
  <si>
    <t>Deferred Inflows of Resources - Pension FRS</t>
  </si>
  <si>
    <t>Deferred Inflows of Resources - Pension HIS</t>
  </si>
  <si>
    <t>Deferred Inflows - Irrevocable Split-Interest Agreements</t>
  </si>
  <si>
    <t>Deferred Inflows of Resources - Other Postemployment Benefits</t>
  </si>
  <si>
    <t xml:space="preserve">Asset Retirement Obligations - Non Current </t>
  </si>
  <si>
    <t>Installment Purchases Payable</t>
  </si>
  <si>
    <t>Compensated Absences</t>
  </si>
  <si>
    <t>Capital Leases</t>
  </si>
  <si>
    <t>Other Postemployment Benefits Liability - Non-Current</t>
  </si>
  <si>
    <t>FRS Net Pension Liability - Non-Current</t>
  </si>
  <si>
    <t>HIS Net Pension Liability - Non-Current</t>
  </si>
  <si>
    <t>Other Long-Term Liabilities</t>
  </si>
  <si>
    <t>Prior Period Adjustments to Beginning Net Assets</t>
  </si>
  <si>
    <t>will not add in to compare last year's ending equity to this year's</t>
  </si>
  <si>
    <t>Restricted for Debt Service</t>
  </si>
  <si>
    <t>Restricted for Endowment - Expendable</t>
  </si>
  <si>
    <t>Restricted for Endowment - Nonexpendable</t>
  </si>
  <si>
    <t>Net Investment in Capital Assets</t>
  </si>
  <si>
    <t>Restricted for Other</t>
  </si>
  <si>
    <t>Net Assets Unrestricted</t>
  </si>
  <si>
    <t>Operating Grants &amp; Contributions</t>
  </si>
  <si>
    <t>Capital Grants and Contributions</t>
  </si>
  <si>
    <t>Charges for Services</t>
  </si>
  <si>
    <t>Payments from the State of Florida</t>
  </si>
  <si>
    <t>Investment Earnings</t>
  </si>
  <si>
    <t>Miscellaneous Other Revenues</t>
  </si>
  <si>
    <t>Additions to Endowments</t>
  </si>
  <si>
    <t>Gain or Loss on Disposal of Capital Assets</t>
  </si>
  <si>
    <t>Expenses</t>
  </si>
  <si>
    <t>Depreciation and Amortization</t>
  </si>
  <si>
    <t>Total</t>
  </si>
  <si>
    <t>Unlocked working space:</t>
  </si>
  <si>
    <t>CFO Use</t>
  </si>
  <si>
    <t>*********************************************</t>
  </si>
  <si>
    <t>Initials and Date</t>
  </si>
  <si>
    <t>SWGF</t>
  </si>
  <si>
    <t>SWF</t>
  </si>
  <si>
    <t xml:space="preserve">Reviewed by: </t>
  </si>
  <si>
    <t>Keyed by:</t>
  </si>
  <si>
    <t xml:space="preserve">Proofed by: </t>
  </si>
  <si>
    <t>Component Unit Name</t>
  </si>
  <si>
    <t>Component Unit Fund Number</t>
  </si>
  <si>
    <t>BROWARD COLLEGE</t>
  </si>
  <si>
    <t>480000-95-8-000002</t>
  </si>
  <si>
    <t>CHIPOLA COLLEGE</t>
  </si>
  <si>
    <t>480000-95-8-000004</t>
  </si>
  <si>
    <t>COLLEGE OF CENTRAL FLORIDA</t>
  </si>
  <si>
    <t>480000-95-8-000003</t>
  </si>
  <si>
    <t>DAYTONA STATE COLLEGE</t>
  </si>
  <si>
    <t>480000-95-8-000005</t>
  </si>
  <si>
    <t>EASTERN FLORIDA STATE COLLEGE</t>
  </si>
  <si>
    <t>480000-95-8-000001</t>
  </si>
  <si>
    <t>FLORIDA SOUTHWESTERN STATE COLLEGE</t>
  </si>
  <si>
    <t>480000-95-8-000006</t>
  </si>
  <si>
    <t>FLORIDA GATEWAY COLLEGE</t>
  </si>
  <si>
    <t>480000-95-8-000012</t>
  </si>
  <si>
    <t>FLORIDA KEYS COMMUNITY COLLEGE</t>
  </si>
  <si>
    <t>480000-95-8-000008</t>
  </si>
  <si>
    <t>FLORIDA STATE COLLEGE AT JACKSONVILLE</t>
  </si>
  <si>
    <t>480000-95-8-000007</t>
  </si>
  <si>
    <t>GULF COAST STATE COLLEGE</t>
  </si>
  <si>
    <t>480000-95-8-000009</t>
  </si>
  <si>
    <t>HILLSBOROUGH COMMUNITY COLLEGE</t>
  </si>
  <si>
    <t>480000-95-8-000010</t>
  </si>
  <si>
    <t>INDIAN RIVER STATE COLLEGE</t>
  </si>
  <si>
    <t>480000-95-8-000011</t>
  </si>
  <si>
    <t>LAKE-SUMTER STATE COLLEGE</t>
  </si>
  <si>
    <t>480000-95-8-000013</t>
  </si>
  <si>
    <t>MIAMI DADE COLLEGE</t>
  </si>
  <si>
    <t>480000-95-8-000015</t>
  </si>
  <si>
    <t>NORTH FLORIDA COMMUNITY COLLEGE</t>
  </si>
  <si>
    <t>480000-95-8-000016</t>
  </si>
  <si>
    <t>NORTHWEST FLORIDA STATE COLLEGE</t>
  </si>
  <si>
    <t>480000-95-8-000017</t>
  </si>
  <si>
    <t>PALM BEACH STATE COLLEGE</t>
  </si>
  <si>
    <t>480000-95-8-000018</t>
  </si>
  <si>
    <t>PASCO-HERNANDO STATE COLLEGE</t>
  </si>
  <si>
    <t>450000-95-8-000019</t>
  </si>
  <si>
    <t>PENSACOLA STATE COLLEGE</t>
  </si>
  <si>
    <t>480000-95-8-000020</t>
  </si>
  <si>
    <t>POLK STATE COLLEGE</t>
  </si>
  <si>
    <t>480000-95-8-000021</t>
  </si>
  <si>
    <t>SANTA FE COLLEGE</t>
  </si>
  <si>
    <t>480000-95-8-000024</t>
  </si>
  <si>
    <t>SEMINOLE STATE COLLEGE OF FLORIDA</t>
  </si>
  <si>
    <t>480000-95-8-000025</t>
  </si>
  <si>
    <t>SOUTH FLORIDA STATE COLLEGE</t>
  </si>
  <si>
    <t>480000-95-8-000026</t>
  </si>
  <si>
    <t>ST. JOHNS RIVER STATE COLLEGE</t>
  </si>
  <si>
    <t>480000-95-8-000022</t>
  </si>
  <si>
    <t>ST. PETERSBURG COLLEGE</t>
  </si>
  <si>
    <t>480000-95-8-000023</t>
  </si>
  <si>
    <t>STATE COLLEGE OF FLORIDA, MANATEE-SARASOTA</t>
  </si>
  <si>
    <t>480000-95-8-000014</t>
  </si>
  <si>
    <t>TALLAHASSEE COMMUNITY COLLEGE</t>
  </si>
  <si>
    <t>480000-95-8-000027</t>
  </si>
  <si>
    <t>VALENCIA COLLEGE</t>
  </si>
  <si>
    <t>480000-95-8-000028</t>
  </si>
  <si>
    <t>CA0100</t>
  </si>
  <si>
    <t>Cash and Cash Equivalents</t>
  </si>
  <si>
    <t>SNP</t>
  </si>
  <si>
    <t>Test Balance</t>
  </si>
  <si>
    <t>CA0200</t>
  </si>
  <si>
    <t>Restricted Cash and Cash Equivalents</t>
  </si>
  <si>
    <t>Assets SNA</t>
  </si>
  <si>
    <t>CA0300</t>
  </si>
  <si>
    <t>Investments</t>
  </si>
  <si>
    <t>Liab SNA</t>
  </si>
  <si>
    <t>CA0400</t>
  </si>
  <si>
    <t>Restricted Investments</t>
  </si>
  <si>
    <t>NA SNA</t>
  </si>
  <si>
    <t>CA0500</t>
  </si>
  <si>
    <t>Accounts Receivable, Net</t>
  </si>
  <si>
    <t>Diff</t>
  </si>
  <si>
    <t>CA0600</t>
  </si>
  <si>
    <t>Notes Receivable, Net</t>
  </si>
  <si>
    <t>SNP CASH&amp;INV</t>
  </si>
  <si>
    <t>Notes for AJE</t>
  </si>
  <si>
    <t>CA0700</t>
  </si>
  <si>
    <t>Due from Other Governmental Agencies</t>
  </si>
  <si>
    <t>16500</t>
  </si>
  <si>
    <t>NOTES CASH&amp;INV</t>
  </si>
  <si>
    <t>Notes for CU Forms</t>
  </si>
  <si>
    <t>CA0800</t>
  </si>
  <si>
    <t>Due from Component Unit/College</t>
  </si>
  <si>
    <t>16700</t>
  </si>
  <si>
    <t>CA0900</t>
  </si>
  <si>
    <t>Inventories</t>
  </si>
  <si>
    <t>17100</t>
  </si>
  <si>
    <t>SNP CAP ASSETS</t>
  </si>
  <si>
    <t>SNA LTD</t>
  </si>
  <si>
    <t>CA1000</t>
  </si>
  <si>
    <t>Prepaid Expenses</t>
  </si>
  <si>
    <t>19100</t>
  </si>
  <si>
    <t>NOTES CAP ASSETS</t>
  </si>
  <si>
    <t>NOTES LTD</t>
  </si>
  <si>
    <t>CA1100</t>
  </si>
  <si>
    <t>19200</t>
  </si>
  <si>
    <t>CA1200</t>
  </si>
  <si>
    <t>Other Assets</t>
  </si>
  <si>
    <t>19900</t>
  </si>
  <si>
    <t>College Current Assets</t>
  </si>
  <si>
    <t>CU Current Assets</t>
  </si>
  <si>
    <t>CA2000</t>
  </si>
  <si>
    <t>Total Current Assets</t>
  </si>
  <si>
    <t>NCA0100</t>
  </si>
  <si>
    <t>Difference</t>
  </si>
  <si>
    <t>NCA0200</t>
  </si>
  <si>
    <t>NCA0300</t>
  </si>
  <si>
    <t>SAMPLE STATE COLLEGE</t>
  </si>
  <si>
    <t>NCA0325</t>
  </si>
  <si>
    <t>NCA0400</t>
  </si>
  <si>
    <t>Loans and Notes Receivable, Net</t>
  </si>
  <si>
    <t>NCA0500</t>
  </si>
  <si>
    <t>Depreciable Capital Assets, Net</t>
  </si>
  <si>
    <t>NCA0600</t>
  </si>
  <si>
    <t>Nondepreciable Capital Assets</t>
  </si>
  <si>
    <t>NCA0700</t>
  </si>
  <si>
    <t>29900</t>
  </si>
  <si>
    <t>College LT Assets</t>
  </si>
  <si>
    <t>CU LT Assets</t>
  </si>
  <si>
    <t>NCA2000</t>
  </si>
  <si>
    <t>Total Noncurrent Assets</t>
  </si>
  <si>
    <t>NCA0725</t>
  </si>
  <si>
    <t>23500</t>
  </si>
  <si>
    <t>NCA0750</t>
  </si>
  <si>
    <t>23600</t>
  </si>
  <si>
    <t>NCA0760</t>
  </si>
  <si>
    <t>23800</t>
  </si>
  <si>
    <t>NCA0770</t>
  </si>
  <si>
    <t>Deferred Outflows of Resources - Asset Retirement Obligations</t>
  </si>
  <si>
    <t>23900</t>
  </si>
  <si>
    <t>CL0100</t>
  </si>
  <si>
    <t>31100</t>
  </si>
  <si>
    <t>CL0150</t>
  </si>
  <si>
    <t>Accrued Interest Payable</t>
  </si>
  <si>
    <t>32900</t>
  </si>
  <si>
    <t>CL0200</t>
  </si>
  <si>
    <t>Salary and Payroll Taxes Payable</t>
  </si>
  <si>
    <t>32100</t>
  </si>
  <si>
    <t>CL0300</t>
  </si>
  <si>
    <t>Retainage Payable</t>
  </si>
  <si>
    <t>31300</t>
  </si>
  <si>
    <t>CL0400</t>
  </si>
  <si>
    <t>35500</t>
  </si>
  <si>
    <t>CL0500</t>
  </si>
  <si>
    <t>Due to Component Unit/College</t>
  </si>
  <si>
    <t>35700</t>
  </si>
  <si>
    <t>CL0600</t>
  </si>
  <si>
    <t>Deferred Revenue</t>
  </si>
  <si>
    <t>38900</t>
  </si>
  <si>
    <t>CL0700</t>
  </si>
  <si>
    <t>Estimated Insurance Claims Payable</t>
  </si>
  <si>
    <t>31400</t>
  </si>
  <si>
    <t>CL0800</t>
  </si>
  <si>
    <t>33100</t>
  </si>
  <si>
    <t>CL0900</t>
  </si>
  <si>
    <t>37100</t>
  </si>
  <si>
    <t>CL1000</t>
  </si>
  <si>
    <t>Notes and Loans Payable</t>
  </si>
  <si>
    <t>39900</t>
  </si>
  <si>
    <t>CL1100</t>
  </si>
  <si>
    <t>Installment Purchases - Current</t>
  </si>
  <si>
    <t>38500</t>
  </si>
  <si>
    <t>CL1200</t>
  </si>
  <si>
    <t>Capital Leases Payable</t>
  </si>
  <si>
    <t>38700</t>
  </si>
  <si>
    <t>CL1225</t>
  </si>
  <si>
    <t>Asset Retirement Obligations - Current</t>
  </si>
  <si>
    <t>38400</t>
  </si>
  <si>
    <t>CL1300</t>
  </si>
  <si>
    <t>Special Termination Benefits Payable</t>
  </si>
  <si>
    <t>CL1400</t>
  </si>
  <si>
    <t>Compensated Absences Payable</t>
  </si>
  <si>
    <t>38600</t>
  </si>
  <si>
    <t>CL1425</t>
  </si>
  <si>
    <t>xxxxx</t>
  </si>
  <si>
    <t>CL1450</t>
  </si>
  <si>
    <t>HIS Net Pension Liability  - Current</t>
  </si>
  <si>
    <t>39500</t>
  </si>
  <si>
    <t>CL1460</t>
  </si>
  <si>
    <t>39100</t>
  </si>
  <si>
    <t>CL1500</t>
  </si>
  <si>
    <t>College Current Liab</t>
  </si>
  <si>
    <t>CU Current Liab</t>
  </si>
  <si>
    <t>CL2000</t>
  </si>
  <si>
    <t>Total Current Liabilities</t>
  </si>
  <si>
    <t>NCL0100</t>
  </si>
  <si>
    <t>46100</t>
  </si>
  <si>
    <t>NCL0200</t>
  </si>
  <si>
    <t>49900</t>
  </si>
  <si>
    <t>NCL0300</t>
  </si>
  <si>
    <t>48500</t>
  </si>
  <si>
    <t>NCL0400</t>
  </si>
  <si>
    <t>48700</t>
  </si>
  <si>
    <t>NCL0425</t>
  </si>
  <si>
    <t>Asset Retirement Obligations - Non Current</t>
  </si>
  <si>
    <t>48400</t>
  </si>
  <si>
    <t>NCL0500</t>
  </si>
  <si>
    <t>NCL0600</t>
  </si>
  <si>
    <t>48600</t>
  </si>
  <si>
    <t>NCL0625</t>
  </si>
  <si>
    <t>49400</t>
  </si>
  <si>
    <t>NCL0650</t>
  </si>
  <si>
    <t>49500</t>
  </si>
  <si>
    <t>NCL0700</t>
  </si>
  <si>
    <t xml:space="preserve">Other Postemployment Benefits Liability - Non-Current </t>
  </si>
  <si>
    <t>49100</t>
  </si>
  <si>
    <t>NCL0800</t>
  </si>
  <si>
    <t>College TL</t>
  </si>
  <si>
    <t>CU TL</t>
  </si>
  <si>
    <t>NCL2000</t>
  </si>
  <si>
    <t>TOTAL LIABILITIES</t>
  </si>
  <si>
    <t>NA0100</t>
  </si>
  <si>
    <t>Invested in Capital Assets, Net of Related Debt</t>
  </si>
  <si>
    <t>NA0200</t>
  </si>
  <si>
    <t>Endowment</t>
  </si>
  <si>
    <t>NA0300</t>
  </si>
  <si>
    <t>NA0400</t>
  </si>
  <si>
    <t>Grants and Loans</t>
  </si>
  <si>
    <t>NA0500</t>
  </si>
  <si>
    <t>Scholarships</t>
  </si>
  <si>
    <t>NA0600</t>
  </si>
  <si>
    <t>Capital Projects</t>
  </si>
  <si>
    <t>NA0700</t>
  </si>
  <si>
    <t>Debt Service</t>
  </si>
  <si>
    <t>NA0800</t>
  </si>
  <si>
    <t>Other</t>
  </si>
  <si>
    <t>NA0900</t>
  </si>
  <si>
    <t>Unrestricted</t>
  </si>
  <si>
    <t>College NA</t>
  </si>
  <si>
    <t>CU NA</t>
  </si>
  <si>
    <t>NA2000</t>
  </si>
  <si>
    <t>Total Net Assets</t>
  </si>
  <si>
    <t>NCL0710</t>
  </si>
  <si>
    <t>47100</t>
  </si>
  <si>
    <t>NCL0725</t>
  </si>
  <si>
    <t>47700</t>
  </si>
  <si>
    <t>NCL0750</t>
  </si>
  <si>
    <t>47800</t>
  </si>
  <si>
    <t>NCL0765</t>
  </si>
  <si>
    <t xml:space="preserve">Deferred Inflows of Resources - Other Postemployment Benefits </t>
  </si>
  <si>
    <t>48200</t>
  </si>
  <si>
    <t>NCL0755</t>
  </si>
  <si>
    <t>48100</t>
  </si>
  <si>
    <t>NCL0760</t>
  </si>
  <si>
    <t>47200</t>
  </si>
  <si>
    <t>OR0100</t>
  </si>
  <si>
    <t>Student Tuition and Fees</t>
  </si>
  <si>
    <t>SRECNP</t>
  </si>
  <si>
    <t>OR0200</t>
  </si>
  <si>
    <t>Federal Grants and Contracts</t>
  </si>
  <si>
    <t>OR0300</t>
  </si>
  <si>
    <t>State and Local Grants and Contracts</t>
  </si>
  <si>
    <t>OR0400</t>
  </si>
  <si>
    <t>Nongovernmental Grants and Contracts</t>
  </si>
  <si>
    <t>OR0500</t>
  </si>
  <si>
    <t>Sales and Services of Educational Departments</t>
  </si>
  <si>
    <t>OR0600</t>
  </si>
  <si>
    <t>Auxiliary Enterprises</t>
  </si>
  <si>
    <t>OR0700</t>
  </si>
  <si>
    <t>Other Operating Revenues</t>
  </si>
  <si>
    <t>College OR</t>
  </si>
  <si>
    <t>CU OR</t>
  </si>
  <si>
    <t>OR2000</t>
  </si>
  <si>
    <t>Total Operating Revenues</t>
  </si>
  <si>
    <t>OE0100</t>
  </si>
  <si>
    <t>Personnel Services</t>
  </si>
  <si>
    <t>OE0200</t>
  </si>
  <si>
    <t>Scholarships and Waivers</t>
  </si>
  <si>
    <t>OE0300</t>
  </si>
  <si>
    <t>Utilities and Communications</t>
  </si>
  <si>
    <t>OE0400</t>
  </si>
  <si>
    <t>Contractual Services</t>
  </si>
  <si>
    <t>OE0500</t>
  </si>
  <si>
    <t>Other Services and Expenses</t>
  </si>
  <si>
    <t>OE0600</t>
  </si>
  <si>
    <t>Materials and Supplies</t>
  </si>
  <si>
    <t>OE0700</t>
  </si>
  <si>
    <t>Depreciation</t>
  </si>
  <si>
    <t>College Op Exp</t>
  </si>
  <si>
    <t>CU Op Exp</t>
  </si>
  <si>
    <t>OE2000</t>
  </si>
  <si>
    <t>Total Operating Expenses</t>
  </si>
  <si>
    <t>NRE0100</t>
  </si>
  <si>
    <t>State Noncapital Appropriations</t>
  </si>
  <si>
    <t>NRE0200</t>
  </si>
  <si>
    <t>Federal and State Student Financial Aid</t>
  </si>
  <si>
    <t>NRE0300</t>
  </si>
  <si>
    <t>Gifts and Grants</t>
  </si>
  <si>
    <t>NRE0400</t>
  </si>
  <si>
    <t>Investment Income</t>
  </si>
  <si>
    <t>NRE0500</t>
  </si>
  <si>
    <t>Net Gain (Loss) on Investments</t>
  </si>
  <si>
    <t>NRE0600</t>
  </si>
  <si>
    <t>Other Nonoperating Revenues</t>
  </si>
  <si>
    <t>NRE0700</t>
  </si>
  <si>
    <t>Loss on Disposal of Capital Assets</t>
  </si>
  <si>
    <t>NRE0800</t>
  </si>
  <si>
    <t>Interest on Capital Asset-Related Debt</t>
  </si>
  <si>
    <t>NRE0900</t>
  </si>
  <si>
    <t>Other Nonoperating Expenses</t>
  </si>
  <si>
    <t>College Nonop Rev</t>
  </si>
  <si>
    <t>CU Nonop Rev</t>
  </si>
  <si>
    <t>NRE2000</t>
  </si>
  <si>
    <t>Net Nonoperating Revenues (Expenses)</t>
  </si>
  <si>
    <t>ORE0100</t>
  </si>
  <si>
    <t>State Capital Appropriations</t>
  </si>
  <si>
    <t>ORE0200</t>
  </si>
  <si>
    <t>Capital Grants, Contracts, Gifts, and Fees</t>
  </si>
  <si>
    <t>ORE0300</t>
  </si>
  <si>
    <t>ORE0400</t>
  </si>
  <si>
    <t>Other Revenues (Expenses)</t>
  </si>
  <si>
    <t>College Other Rev</t>
  </si>
  <si>
    <t>CU Other Rev</t>
  </si>
  <si>
    <t>ORE2000</t>
  </si>
  <si>
    <t>Total Other Revenues</t>
  </si>
  <si>
    <t>BNA0100</t>
  </si>
  <si>
    <t>Net Assets, Beginning of Year</t>
  </si>
  <si>
    <t>BNA0200</t>
  </si>
  <si>
    <t>Adjustments to Beginning Net Assets</t>
  </si>
  <si>
    <t>CashInv01</t>
  </si>
  <si>
    <t>Cash&amp;Inv</t>
  </si>
  <si>
    <t>CashInv02</t>
  </si>
  <si>
    <t>CashInv03</t>
  </si>
  <si>
    <t>CashInv04</t>
  </si>
  <si>
    <t>CashInv05</t>
  </si>
  <si>
    <t>CashInv06</t>
  </si>
  <si>
    <t>CU Cash in Treasury</t>
  </si>
  <si>
    <t>CashInv07</t>
  </si>
  <si>
    <t>CashInv08</t>
  </si>
  <si>
    <t>CashInv09</t>
  </si>
  <si>
    <t>Restricted Investment with SBA</t>
  </si>
  <si>
    <t>CashInv10</t>
  </si>
  <si>
    <t>CashInv11</t>
  </si>
  <si>
    <t>CapAssets01</t>
  </si>
  <si>
    <t>Land</t>
  </si>
  <si>
    <t>CapAssets</t>
  </si>
  <si>
    <t>CapAssets02</t>
  </si>
  <si>
    <t>Artwork/Artifacts</t>
  </si>
  <si>
    <t>CapAssets03</t>
  </si>
  <si>
    <t>Computer Software/OtherNondepreciable</t>
  </si>
  <si>
    <t>CapAssets04</t>
  </si>
  <si>
    <t>Construction in Progress</t>
  </si>
  <si>
    <t>CapAssets05</t>
  </si>
  <si>
    <t>Buildings</t>
  </si>
  <si>
    <t>CapAssets06</t>
  </si>
  <si>
    <t>Other Structures and Improvements</t>
  </si>
  <si>
    <t>CapAssets07</t>
  </si>
  <si>
    <t>Furniture, Machinery, and Equipment</t>
  </si>
  <si>
    <t>CapAssets08</t>
  </si>
  <si>
    <t>CapAssets09</t>
  </si>
  <si>
    <t>Assets Under Capital Lease(s)</t>
  </si>
  <si>
    <t>CapAssets10</t>
  </si>
  <si>
    <t>Computer Software/Other Depreciable</t>
  </si>
  <si>
    <t>CapAssets11</t>
  </si>
  <si>
    <t>Accumulated Depreciation, Buildings</t>
  </si>
  <si>
    <t>CapAssets12</t>
  </si>
  <si>
    <t>Accumulated Depreciation, Other Structures and Improvements</t>
  </si>
  <si>
    <t>CapAssets13</t>
  </si>
  <si>
    <t>Accumulated Depreciation, Furniture, Machinery, and Equipment</t>
  </si>
  <si>
    <t>CapAssets14</t>
  </si>
  <si>
    <t>Accumulated Depreciation, Leasehold Improvements</t>
  </si>
  <si>
    <t>CapAssets15</t>
  </si>
  <si>
    <t>Accumulated Depreciation, Assets Under Capital Lease(s)</t>
  </si>
  <si>
    <t>CapAssets16</t>
  </si>
  <si>
    <t>Accumulated Depreciation, Computer Software/Other Depreciable</t>
  </si>
  <si>
    <t>Allowance1</t>
  </si>
  <si>
    <t>Accounts Receivable</t>
  </si>
  <si>
    <t>Allowance</t>
  </si>
  <si>
    <t>15100</t>
  </si>
  <si>
    <t>Allowance2</t>
  </si>
  <si>
    <t>Accounts Receivable - Allowance for Doubtful Accounts</t>
  </si>
  <si>
    <t>15900</t>
  </si>
  <si>
    <t>Allowance3</t>
  </si>
  <si>
    <t>Notes Receivable</t>
  </si>
  <si>
    <t>15400</t>
  </si>
  <si>
    <t>Allowance4</t>
  </si>
  <si>
    <t>Notes Receivable - Allowance for Doubtful Accounts</t>
  </si>
  <si>
    <t>BegCapAssets01</t>
  </si>
  <si>
    <t>BegCapAssets02</t>
  </si>
  <si>
    <t>BegCapAssets03</t>
  </si>
  <si>
    <t>BegCapAssets04</t>
  </si>
  <si>
    <t>BegCapAssets05</t>
  </si>
  <si>
    <t>BegCapAssets06</t>
  </si>
  <si>
    <t>BegCapAssets07</t>
  </si>
  <si>
    <t>BegCapAssets08</t>
  </si>
  <si>
    <t>BegCapAssets09</t>
  </si>
  <si>
    <t>BegCapAssets10</t>
  </si>
  <si>
    <t>BegCapAssets11</t>
  </si>
  <si>
    <t>BegCapAssets12</t>
  </si>
  <si>
    <t>BegCapAssets13</t>
  </si>
  <si>
    <t>BegCapAssets14</t>
  </si>
  <si>
    <t>BegCapAssets15</t>
  </si>
  <si>
    <t>BegCapAssets16</t>
  </si>
  <si>
    <t>ADJCapAssets01</t>
  </si>
  <si>
    <t>ADJCapAssets02</t>
  </si>
  <si>
    <t>ADJCapAssets03</t>
  </si>
  <si>
    <t>ADJCapAssets04</t>
  </si>
  <si>
    <t>ADJCapAssets05</t>
  </si>
  <si>
    <t>ADJCapAssets06</t>
  </si>
  <si>
    <t>ADJCapAssets07</t>
  </si>
  <si>
    <t>ADJCapAssets08</t>
  </si>
  <si>
    <t>ADJCapAssets09</t>
  </si>
  <si>
    <t>ADJCapAssets10</t>
  </si>
  <si>
    <t>ADJCapAssets11</t>
  </si>
  <si>
    <t>ADJCapAssets12</t>
  </si>
  <si>
    <t>ADJCapAssets13</t>
  </si>
  <si>
    <t>ADJCapAssets14</t>
  </si>
  <si>
    <t>ADJCapAssets15</t>
  </si>
  <si>
    <t>ADJCapAssets16</t>
  </si>
  <si>
    <t>AddCapAssets01</t>
  </si>
  <si>
    <t>AddCapAssets02</t>
  </si>
  <si>
    <t>AddCapAssets03</t>
  </si>
  <si>
    <t>AddCapAssets04</t>
  </si>
  <si>
    <t>AddCapAssets05</t>
  </si>
  <si>
    <t>AddCapAssets06</t>
  </si>
  <si>
    <t>AddCapAssets07</t>
  </si>
  <si>
    <t>AddCapAssets08</t>
  </si>
  <si>
    <t>AddCapAssets09</t>
  </si>
  <si>
    <t>AddCapAssets10</t>
  </si>
  <si>
    <t>AddCapAssets11</t>
  </si>
  <si>
    <t>AddCapAssets12</t>
  </si>
  <si>
    <t>AddCapAssets13</t>
  </si>
  <si>
    <t>AddCapAssets14</t>
  </si>
  <si>
    <t>AddCapAssets15</t>
  </si>
  <si>
    <t>AddCapAssets16</t>
  </si>
  <si>
    <t>RedCapAssets01</t>
  </si>
  <si>
    <t>RedCapAssets02</t>
  </si>
  <si>
    <t>RedCapAssets03</t>
  </si>
  <si>
    <t>RedCapAssets04</t>
  </si>
  <si>
    <t>RedCapAssets05</t>
  </si>
  <si>
    <t>RedCapAssets06</t>
  </si>
  <si>
    <t>RedCapAssets07</t>
  </si>
  <si>
    <t>RedCapAssets08</t>
  </si>
  <si>
    <t>RedCapAssets09</t>
  </si>
  <si>
    <t>RedCapAssets10</t>
  </si>
  <si>
    <t>RedCapAssets11</t>
  </si>
  <si>
    <t>RedCapAssets12</t>
  </si>
  <si>
    <t>RedCapAssets13</t>
  </si>
  <si>
    <t>RedCapAssets14</t>
  </si>
  <si>
    <t>RedCapAssets15</t>
  </si>
  <si>
    <t>RedCapAssets16</t>
  </si>
  <si>
    <t>BegLTDebt01</t>
  </si>
  <si>
    <t>LTDebt</t>
  </si>
  <si>
    <t>BegLTDebt02</t>
  </si>
  <si>
    <t>Note(s) Payable</t>
  </si>
  <si>
    <t>BegLTDebt03</t>
  </si>
  <si>
    <t>Installment Purchase(s) Payable</t>
  </si>
  <si>
    <t>BegLTDebt04</t>
  </si>
  <si>
    <t>Capital Lease(s) Payable</t>
  </si>
  <si>
    <t>BegLTDebt05</t>
  </si>
  <si>
    <t>BegLTDebt06</t>
  </si>
  <si>
    <t>BegLTDebt07</t>
  </si>
  <si>
    <t>Other Postemployment Benefits Payable</t>
  </si>
  <si>
    <t>BegLTDebt08</t>
  </si>
  <si>
    <t>AddLTDebt01</t>
  </si>
  <si>
    <t>AddLTDebt02</t>
  </si>
  <si>
    <t>AddLTDebt03</t>
  </si>
  <si>
    <t>AddLTDebt04</t>
  </si>
  <si>
    <t>AddLTDebt05</t>
  </si>
  <si>
    <t>AddLTDebt06</t>
  </si>
  <si>
    <t>AddLTDebt07</t>
  </si>
  <si>
    <t>AddLTDebt08</t>
  </si>
  <si>
    <t>RedLTDebt01</t>
  </si>
  <si>
    <t>RedLTDebt02</t>
  </si>
  <si>
    <t>RedLTDebt03</t>
  </si>
  <si>
    <t>RedLTDebt04</t>
  </si>
  <si>
    <t>RedLTDebt05</t>
  </si>
  <si>
    <t>RedLTDebt06</t>
  </si>
  <si>
    <t>RedLTDebt07</t>
  </si>
  <si>
    <t>RedLTDebt08</t>
  </si>
  <si>
    <t>EndLTDebt01</t>
  </si>
  <si>
    <t>EndLTDebt02</t>
  </si>
  <si>
    <t>EndLTDebt03</t>
  </si>
  <si>
    <t>EndLTDebt04</t>
  </si>
  <si>
    <t>EndLTDebt05</t>
  </si>
  <si>
    <t>EndLTDebt06</t>
  </si>
  <si>
    <t>EndLTDebt07</t>
  </si>
  <si>
    <t>EndLTDebt08</t>
  </si>
  <si>
    <t>CurLTDebt01</t>
  </si>
  <si>
    <t>CurLTDebt02</t>
  </si>
  <si>
    <t>CurLTDebt03</t>
  </si>
  <si>
    <t>CurLTDebt04</t>
  </si>
  <si>
    <t>CurLTDebt05</t>
  </si>
  <si>
    <t>CurLTDebt06</t>
  </si>
  <si>
    <t>CurLTDebt07</t>
  </si>
  <si>
    <t>CurLTDebt08</t>
  </si>
  <si>
    <t>Invest01</t>
  </si>
  <si>
    <t>State Board of Administration Fund B Surplus Funds Trust Fund</t>
  </si>
  <si>
    <t>Invest02</t>
  </si>
  <si>
    <t>State Board of Administration Debt Service Accounts</t>
  </si>
  <si>
    <t>Invest03</t>
  </si>
  <si>
    <t>United States Government and Federally-Guaranteed Obligations</t>
  </si>
  <si>
    <t>College Notes Investments</t>
  </si>
  <si>
    <t>Invest04</t>
  </si>
  <si>
    <t>Federal Agency Obligations</t>
  </si>
  <si>
    <t>College AJE Investments</t>
  </si>
  <si>
    <t>Invest05</t>
  </si>
  <si>
    <t>Bonds and Notes</t>
  </si>
  <si>
    <t>Invest06</t>
  </si>
  <si>
    <t>Stocks and Other Equity Securities</t>
  </si>
  <si>
    <t>Invest07</t>
  </si>
  <si>
    <t>Certificates of Deposit</t>
  </si>
  <si>
    <t>Invest08</t>
  </si>
  <si>
    <t>Commercial Paper</t>
  </si>
  <si>
    <t>Invest09</t>
  </si>
  <si>
    <t>Repurchase Agreements</t>
  </si>
  <si>
    <t>Invest10</t>
  </si>
  <si>
    <t>Money Market Funds</t>
  </si>
  <si>
    <t>Invest11</t>
  </si>
  <si>
    <t>Real Estate Investments</t>
  </si>
  <si>
    <t>Invest12</t>
  </si>
  <si>
    <t>Mutual Funds</t>
  </si>
  <si>
    <t>Invest13</t>
  </si>
  <si>
    <t>Investment Agreements</t>
  </si>
  <si>
    <t>Invest14</t>
  </si>
  <si>
    <t>Domestic Bonds and Notes</t>
  </si>
  <si>
    <t>Invest15</t>
  </si>
  <si>
    <t>International Bonds and Notes</t>
  </si>
  <si>
    <t>Invest16</t>
  </si>
  <si>
    <t>Domestic Stocks and Other Equity Securities</t>
  </si>
  <si>
    <t>Invest17</t>
  </si>
  <si>
    <t>International Stocks and Other Equity Securities</t>
  </si>
  <si>
    <t>Invest18</t>
  </si>
  <si>
    <t>(0) Cash In Depository Bank Balance</t>
  </si>
  <si>
    <t>Invest19</t>
  </si>
  <si>
    <t>(1) Uncollateralized</t>
  </si>
  <si>
    <t>Invest20</t>
  </si>
  <si>
    <t>(2) Collateralized - not in govts name</t>
  </si>
  <si>
    <t>Invest21</t>
  </si>
  <si>
    <t>(3) Colatrealized with trust securities - not in govts name</t>
  </si>
  <si>
    <t>Construction01</t>
  </si>
  <si>
    <t>Total Commitment</t>
  </si>
  <si>
    <t>Commitments</t>
  </si>
  <si>
    <t>Construction02</t>
  </si>
  <si>
    <t>Completed to Date</t>
  </si>
  <si>
    <t>Construction03</t>
  </si>
  <si>
    <t>Balance Committed</t>
  </si>
  <si>
    <t>InstPurch01</t>
  </si>
  <si>
    <t>InstallmentPurchases</t>
  </si>
  <si>
    <t>InstPurch02</t>
  </si>
  <si>
    <t>InstPurch03</t>
  </si>
  <si>
    <t>InstPurch04</t>
  </si>
  <si>
    <t>InstPurch05</t>
  </si>
  <si>
    <t>InstPurch06</t>
  </si>
  <si>
    <t>Less, Amount Representing Interest</t>
  </si>
  <si>
    <t>InstPurch07</t>
  </si>
  <si>
    <t>Purchase of LAND:</t>
  </si>
  <si>
    <t>InstPurch08</t>
  </si>
  <si>
    <t>Purchase of BUILDINGS:</t>
  </si>
  <si>
    <t>InstPurch09</t>
  </si>
  <si>
    <t>Purchase of FURNITURE &amp; EQUIPMENT:</t>
  </si>
  <si>
    <t>CapLeases01</t>
  </si>
  <si>
    <t>CapitalLeases</t>
  </si>
  <si>
    <t>CapLeases02</t>
  </si>
  <si>
    <t>CapLeases03</t>
  </si>
  <si>
    <t>CapLeases04</t>
  </si>
  <si>
    <t>CapLeases05</t>
  </si>
  <si>
    <t>CapLeases06</t>
  </si>
  <si>
    <t>2018-2022</t>
  </si>
  <si>
    <t>CapLeases07</t>
  </si>
  <si>
    <t>2023-2027</t>
  </si>
  <si>
    <t>CapLeases08</t>
  </si>
  <si>
    <t>2028-20XX</t>
  </si>
  <si>
    <t>CapLeases09</t>
  </si>
  <si>
    <t>CapLeases10</t>
  </si>
  <si>
    <t>Rental of LAND:</t>
  </si>
  <si>
    <t>CapLeases11</t>
  </si>
  <si>
    <t>Rental of BUILDINGS:</t>
  </si>
  <si>
    <t>CapLeases12</t>
  </si>
  <si>
    <t>Rental of FURNITURE &amp; EQUIPMENT:</t>
  </si>
  <si>
    <t>BondsPrinc01</t>
  </si>
  <si>
    <t>Bonds</t>
  </si>
  <si>
    <t>BondsPrinc02</t>
  </si>
  <si>
    <t>BondsPrinc03</t>
  </si>
  <si>
    <t>BondsPrinc04</t>
  </si>
  <si>
    <t>BondsPrinc05</t>
  </si>
  <si>
    <t>BondsPrinc06</t>
  </si>
  <si>
    <t>BondsPrinc07</t>
  </si>
  <si>
    <t>BondsInterest01</t>
  </si>
  <si>
    <t>BondsInterest02</t>
  </si>
  <si>
    <t>BondsInterest03</t>
  </si>
  <si>
    <t>BondsInterest04</t>
  </si>
  <si>
    <t>BondsInterest05</t>
  </si>
  <si>
    <t>BondsInterest06</t>
  </si>
  <si>
    <t>BondsInterest07</t>
  </si>
  <si>
    <t>OpLeases01</t>
  </si>
  <si>
    <t>OperatingLeases</t>
  </si>
  <si>
    <t>OpLeases02</t>
  </si>
  <si>
    <t>OpLeases03</t>
  </si>
  <si>
    <t>OpLeases04</t>
  </si>
  <si>
    <t>OpLeases05</t>
  </si>
  <si>
    <t>OpLeases06</t>
  </si>
  <si>
    <t>2018-20XX</t>
  </si>
  <si>
    <t>OpLeases07</t>
  </si>
  <si>
    <t>Current Year Payments</t>
  </si>
  <si>
    <t>YesorNo1</t>
  </si>
  <si>
    <t>Construction or Other Significant Commitments?</t>
  </si>
  <si>
    <t>YesorNo</t>
  </si>
  <si>
    <t>YesorNo2</t>
  </si>
  <si>
    <t>Other Significant Comitments?</t>
  </si>
  <si>
    <t>YesorNo3</t>
  </si>
  <si>
    <t>College Investments at Fair Value?</t>
  </si>
  <si>
    <t>YesorNo4</t>
  </si>
  <si>
    <t>CU Investments at Fair Value?</t>
  </si>
  <si>
    <t>YesorNo5</t>
  </si>
  <si>
    <t>College Related Parties?</t>
  </si>
  <si>
    <t>YesorNo6</t>
  </si>
  <si>
    <t>Operating Leases?</t>
  </si>
  <si>
    <t>YesorNo7</t>
  </si>
  <si>
    <t>YesorNo8</t>
  </si>
  <si>
    <t>YesorNo9</t>
  </si>
  <si>
    <t>SCF</t>
  </si>
  <si>
    <t>AFR Contact Information</t>
  </si>
  <si>
    <t>File Version:</t>
  </si>
  <si>
    <t>College Name:</t>
  </si>
  <si>
    <t xml:space="preserve">College AFR Contact - </t>
  </si>
  <si>
    <t xml:space="preserve">  Name:</t>
  </si>
  <si>
    <t xml:space="preserve">  Phone Number:</t>
  </si>
  <si>
    <t xml:space="preserve">  Email Address:</t>
  </si>
  <si>
    <t>Notes/Secondary Contact (optional):</t>
  </si>
  <si>
    <t>Important Instructions for AFR Preparer:</t>
  </si>
  <si>
    <r>
      <rPr>
        <b/>
        <sz val="10"/>
        <color theme="1"/>
        <rFont val="Calibri"/>
        <family val="2"/>
        <scheme val="minor"/>
      </rPr>
      <t>1)</t>
    </r>
    <r>
      <rPr>
        <sz val="10"/>
        <color theme="1"/>
        <rFont val="Calibri"/>
        <family val="2"/>
        <scheme val="minor"/>
      </rPr>
      <t xml:space="preserve"> </t>
    </r>
    <r>
      <rPr>
        <b/>
        <u/>
        <sz val="10"/>
        <color rgb="FF000066"/>
        <rFont val="Calibri"/>
        <family val="2"/>
        <scheme val="minor"/>
      </rPr>
      <t>Complete the Contact Information worksheet first</t>
    </r>
    <r>
      <rPr>
        <sz val="10"/>
        <color rgb="FF000066"/>
        <rFont val="Calibri"/>
        <family val="2"/>
        <scheme val="minor"/>
      </rPr>
      <t xml:space="preserve">. </t>
    </r>
    <r>
      <rPr>
        <sz val="10"/>
        <color theme="1"/>
        <rFont val="Calibri"/>
        <family val="2"/>
        <scheme val="minor"/>
      </rPr>
      <t>Many formulas throughout the AFR workbook pull data from tables based</t>
    </r>
  </si>
  <si>
    <t>on the college name selected above. If a college name has not been selected, the error message "#N/A" will be the result for</t>
  </si>
  <si>
    <t xml:space="preserve">many formulas throughout the workbook. </t>
  </si>
  <si>
    <r>
      <rPr>
        <b/>
        <sz val="10"/>
        <color theme="1"/>
        <rFont val="Calibri"/>
        <family val="2"/>
        <scheme val="minor"/>
      </rPr>
      <t>2)</t>
    </r>
    <r>
      <rPr>
        <b/>
        <u/>
        <sz val="10"/>
        <color rgb="FF000066"/>
        <rFont val="Calibri"/>
        <family val="2"/>
        <scheme val="minor"/>
      </rPr>
      <t xml:space="preserve"> The Report of Accounts by GL should be completed after the college contact information has been entered</t>
    </r>
    <r>
      <rPr>
        <b/>
        <u/>
        <sz val="10"/>
        <color theme="1"/>
        <rFont val="Calibri"/>
        <family val="2"/>
        <scheme val="minor"/>
      </rPr>
      <t>.</t>
    </r>
    <r>
      <rPr>
        <sz val="10"/>
        <color theme="1"/>
        <rFont val="Calibri"/>
        <family val="2"/>
        <scheme val="minor"/>
      </rPr>
      <t xml:space="preserve"> The basic financial </t>
    </r>
  </si>
  <si>
    <t>statements (SNP, SRECNP and SCF) contain formulas dependent upon this schedule.</t>
  </si>
  <si>
    <r>
      <rPr>
        <b/>
        <sz val="10"/>
        <color theme="1"/>
        <rFont val="Calibri"/>
        <family val="2"/>
        <scheme val="minor"/>
      </rPr>
      <t>3)</t>
    </r>
    <r>
      <rPr>
        <sz val="10"/>
        <color rgb="FF000066"/>
        <rFont val="Calibri"/>
        <family val="2"/>
        <scheme val="minor"/>
      </rPr>
      <t xml:space="preserve"> </t>
    </r>
    <r>
      <rPr>
        <b/>
        <u/>
        <sz val="10"/>
        <color rgb="FF000066"/>
        <rFont val="Calibri"/>
        <family val="2"/>
        <scheme val="minor"/>
      </rPr>
      <t>Complete the Statement of Net Position (SNP), the Statement of Revenues, Expenses and Changes in Net Position (SRECNP),</t>
    </r>
  </si>
  <si>
    <r>
      <rPr>
        <b/>
        <u/>
        <sz val="10"/>
        <color rgb="FF000066"/>
        <rFont val="Calibri"/>
        <family val="2"/>
        <scheme val="minor"/>
      </rPr>
      <t>and the Statement of Cash Flows (SCF) before the remaining schedules in the workbook</t>
    </r>
    <r>
      <rPr>
        <sz val="10"/>
        <color theme="1"/>
        <rFont val="Calibri"/>
        <family val="2"/>
        <scheme val="minor"/>
      </rPr>
      <t>. Formulas dependent on these basic</t>
    </r>
  </si>
  <si>
    <t xml:space="preserve"> financial statements are found throughout the remainder of the workbook.</t>
  </si>
  <si>
    <r>
      <rPr>
        <b/>
        <sz val="10"/>
        <color theme="1"/>
        <rFont val="Calibri"/>
        <family val="2"/>
        <scheme val="minor"/>
      </rPr>
      <t>4)</t>
    </r>
    <r>
      <rPr>
        <sz val="10"/>
        <color theme="1"/>
        <rFont val="Calibri"/>
        <family val="2"/>
        <scheme val="minor"/>
      </rPr>
      <t xml:space="preserve"> Cells that are unlocked for data entry (generally highlighted in light yellow) are not unlocked for formatting changes. However,</t>
    </r>
  </si>
  <si>
    <r>
      <rPr>
        <b/>
        <u/>
        <sz val="10"/>
        <color rgb="FF000066"/>
        <rFont val="Calibri"/>
        <family val="2"/>
        <scheme val="minor"/>
      </rPr>
      <t>cell format can be inadvertently changed with the Copy/Paste functions</t>
    </r>
    <r>
      <rPr>
        <u/>
        <sz val="10"/>
        <color theme="1"/>
        <rFont val="Calibri"/>
        <family val="2"/>
        <scheme val="minor"/>
      </rPr>
      <t>.</t>
    </r>
    <r>
      <rPr>
        <sz val="10"/>
        <color theme="1"/>
        <rFont val="Calibri"/>
        <family val="2"/>
        <scheme val="minor"/>
      </rPr>
      <t xml:space="preserve"> When this occurs, cell format cannot be changed back.</t>
    </r>
  </si>
  <si>
    <t>This can cause unintentional format changes such as causing previously unlocked cells to become locked, changing font size, etc.</t>
  </si>
  <si>
    <r>
      <t xml:space="preserve"> To avoid formatting problems, be sure to use </t>
    </r>
    <r>
      <rPr>
        <b/>
        <i/>
        <u/>
        <sz val="10"/>
        <color rgb="FF000066"/>
        <rFont val="Calibri"/>
        <family val="2"/>
        <scheme val="minor"/>
      </rPr>
      <t xml:space="preserve">PASTE SPECIAL: VALUES </t>
    </r>
    <r>
      <rPr>
        <b/>
        <u/>
        <sz val="10"/>
        <color rgb="FF000066"/>
        <rFont val="Calibri"/>
        <family val="2"/>
        <scheme val="minor"/>
      </rPr>
      <t>when using the Copy/Paste functions</t>
    </r>
    <r>
      <rPr>
        <b/>
        <sz val="10"/>
        <color rgb="FF000066"/>
        <rFont val="Calibri"/>
        <family val="2"/>
        <scheme val="minor"/>
      </rPr>
      <t>.</t>
    </r>
  </si>
  <si>
    <r>
      <rPr>
        <b/>
        <sz val="10"/>
        <color theme="1"/>
        <rFont val="Calibri"/>
        <family val="2"/>
        <scheme val="minor"/>
      </rPr>
      <t>5)</t>
    </r>
    <r>
      <rPr>
        <sz val="10"/>
        <color theme="1"/>
        <rFont val="Calibri"/>
        <family val="2"/>
        <scheme val="minor"/>
      </rPr>
      <t xml:space="preserve">  In most worksheets, </t>
    </r>
    <r>
      <rPr>
        <b/>
        <u/>
        <sz val="10"/>
        <color rgb="FF000066"/>
        <rFont val="Calibri"/>
        <family val="2"/>
        <scheme val="minor"/>
      </rPr>
      <t>columns and rows can be formatted (adjusting width and height and using hide and unhide)</t>
    </r>
    <r>
      <rPr>
        <sz val="10"/>
        <color theme="1"/>
        <rFont val="Calibri"/>
        <family val="2"/>
        <scheme val="minor"/>
      </rPr>
      <t xml:space="preserve">. Additionally all headers and footers can be </t>
    </r>
  </si>
  <si>
    <t xml:space="preserve">can be modified using the Page Setup tool. Any other changes that you would like to make to your AFR can most likely be accommodated, including </t>
  </si>
  <si>
    <t>adding rows, leaving areas unlocked, etc. Please contact the College Budget Office staff, so we can work with you to ensure that</t>
  </si>
  <si>
    <t>your AFR packet meets your needs. Through working with you, we will be able to note changes made to your file and ensure that our compilation</t>
  </si>
  <si>
    <t>review process is not adversely affected by the changes.</t>
  </si>
  <si>
    <r>
      <rPr>
        <b/>
        <sz val="10"/>
        <color theme="1"/>
        <rFont val="Calibri"/>
        <family val="2"/>
        <scheme val="minor"/>
      </rPr>
      <t xml:space="preserve">6)  </t>
    </r>
    <r>
      <rPr>
        <sz val="10"/>
        <color theme="1"/>
        <rFont val="Calibri"/>
        <family val="2"/>
        <scheme val="minor"/>
      </rPr>
      <t>Detailed instructions for the entire AFR workbook have been provided to the colleges in a separate Word document. Additionally, any questions</t>
    </r>
  </si>
  <si>
    <t>or concerns can be addressed to the College Budget Office AFR contact by email at collegereporting@fldoe.org.</t>
  </si>
  <si>
    <t>Current College Name (alpha order):</t>
  </si>
  <si>
    <t>Name Updates</t>
  </si>
  <si>
    <t>College # order:</t>
  </si>
  <si>
    <t>THE COLLEGE OF THE FLORIDA KEYS</t>
  </si>
  <si>
    <t>NORTH FLORIDA COLLEGE</t>
  </si>
  <si>
    <t>PASCO-HERNANDO COMMUNITY COLLEGE</t>
  </si>
  <si>
    <t>CERTIFICATION OF FINANCIALS</t>
  </si>
  <si>
    <t xml:space="preserve">AS REPORTED ON THE ANNUAL FINANCIAL REPORT </t>
  </si>
  <si>
    <t xml:space="preserve">PLEASE SELECT COLLEGE NAME </t>
  </si>
  <si>
    <t xml:space="preserve">BROWARD COLLEGE </t>
  </si>
  <si>
    <t xml:space="preserve">CHIPOLA COLLEGE </t>
  </si>
  <si>
    <t xml:space="preserve">Reserve for Performance Based Incentive Funds </t>
  </si>
  <si>
    <t xml:space="preserve">DAYTONA STATE COLLEGE </t>
  </si>
  <si>
    <t xml:space="preserve">Reserved for Academic Improvement Trust Funds </t>
  </si>
  <si>
    <t xml:space="preserve">FLORIDA SOUTHWESTERN STATE COLLEGE </t>
  </si>
  <si>
    <t xml:space="preserve">Reserved for Other Required Purposes </t>
  </si>
  <si>
    <t xml:space="preserve">FLORIDA STATE COLLEGE AT JACKSONVILLE </t>
  </si>
  <si>
    <t xml:space="preserve">Reserved for Staff &amp; Program Development </t>
  </si>
  <si>
    <t xml:space="preserve">COLLEGE OF THE FLORIDA KEYS </t>
  </si>
  <si>
    <t xml:space="preserve">Reserved for Student Activities Funds </t>
  </si>
  <si>
    <t xml:space="preserve">Reserved for Matching Grants </t>
  </si>
  <si>
    <t xml:space="preserve">Fund Balance - Board Designated </t>
  </si>
  <si>
    <t xml:space="preserve">INDIAN RIVER STATE COLLEGE </t>
  </si>
  <si>
    <t xml:space="preserve">Fund Balance - College </t>
  </si>
  <si>
    <t xml:space="preserve">LAKE-SUMTER STATE COLLEGE </t>
  </si>
  <si>
    <t xml:space="preserve">STATE COLLEGE OF FLORIDA, MANATEE-SARASOTA </t>
  </si>
  <si>
    <t xml:space="preserve">MIAMI DADE COLLEGE </t>
  </si>
  <si>
    <t xml:space="preserve">NORTH FLORIDA COLLEGE </t>
  </si>
  <si>
    <t xml:space="preserve">Total Funds Available </t>
  </si>
  <si>
    <t xml:space="preserve">Unallocated Fund Balance as % of Total Funds Available </t>
  </si>
  <si>
    <t xml:space="preserve">PALM BEACH STATE COLLEGE </t>
  </si>
  <si>
    <t xml:space="preserve">PENSACOLA STATE COLLEGE </t>
  </si>
  <si>
    <t>CERTIFIED AS</t>
  </si>
  <si>
    <t xml:space="preserve">POLK STATE COLLEGE </t>
  </si>
  <si>
    <t>APPROVED BY</t>
  </si>
  <si>
    <t>CFO:</t>
  </si>
  <si>
    <t xml:space="preserve"> APPROVAL DATE:</t>
  </si>
  <si>
    <t xml:space="preserve">ST. PETERSBURG COLLEGE </t>
  </si>
  <si>
    <t xml:space="preserve">Chief Financial Officer </t>
  </si>
  <si>
    <t>SEMINOLE STATE COLLEGE FLORIDA</t>
  </si>
  <si>
    <t>Section 11.45(2), Florida Statutes, the Auditor General shall: (c) Annually conduct financial audits of all state universities and Florida College System institutions and verify</t>
  </si>
  <si>
    <t xml:space="preserve">the accuracy of the amounts certified by each state university and Florida College System institution chief financial officer pursuant to ss. 1011.45 and 1011.84. </t>
  </si>
  <si>
    <t xml:space="preserve">VALENCIA COLLEGE </t>
  </si>
  <si>
    <t>Section 1011.84(3)(e) If at any time the unencumbered balance in the general fund of the Florida College System institution board of trustees approved operating budget goes</t>
  </si>
  <si>
    <t>below 5 percent for a Florida College System institution with a final FTE less than 15,000 for the prior year, or below 7 percent for a Florida College System institution with a final</t>
  </si>
  <si>
    <t>FTE of 15,000 or greater for the prior year, the president shall provide written notification to the State Board of Education.  By September 30 of each year, the chief financial</t>
  </si>
  <si>
    <t>officer of each Florida College System institution shall certify the unexpended amount of state funds remaining in the general fund of an institution as of June 30 of the previous fiscal year.</t>
  </si>
  <si>
    <t>Please note a hard copy is not required to be submitted to the Florida College Budget Office.</t>
  </si>
  <si>
    <t>Final Review Checklist</t>
  </si>
  <si>
    <t xml:space="preserve">Generally, differences will be $5.00 or less.  If not, please determine whether a comment in the COMMENTS column below may be appropriate based on the </t>
  </si>
  <si>
    <t>difference amount and whether the cause can be easily determined without explanation.</t>
  </si>
  <si>
    <t xml:space="preserve"> DO NOT CHANGE CORRECT DATA TO CAUSE THE CHECKLIST TO TIE. Please leave a comment instead.</t>
  </si>
  <si>
    <t>Item:</t>
  </si>
  <si>
    <t/>
  </si>
  <si>
    <t>COMMENTS (Column Unlocked):</t>
  </si>
  <si>
    <t>Compare Financial Statements to Accounts by GL</t>
  </si>
  <si>
    <t>A.</t>
  </si>
  <si>
    <t>Total Assets:</t>
  </si>
  <si>
    <t>Accounts by GL - Assets</t>
  </si>
  <si>
    <t>SNP - Assets</t>
  </si>
  <si>
    <t>B.</t>
  </si>
  <si>
    <t>Capital Assets:</t>
  </si>
  <si>
    <t>Accounts by GL - Capital Assets</t>
  </si>
  <si>
    <t>SNP - Capital Assets</t>
  </si>
  <si>
    <t>C.</t>
  </si>
  <si>
    <t>Total Liabilities:</t>
  </si>
  <si>
    <t>Accounts by GL - Liabilities</t>
  </si>
  <si>
    <t>SNP - Liabilities</t>
  </si>
  <si>
    <t>D.</t>
  </si>
  <si>
    <t>Total Net Position (SNP):</t>
  </si>
  <si>
    <t>Accounts by GL - Total Ending Fund Balance</t>
  </si>
  <si>
    <t>SNP - Total Net Position</t>
  </si>
  <si>
    <t>E.</t>
  </si>
  <si>
    <t>Ending Net Position (SRECNP):</t>
  </si>
  <si>
    <t>SRECNP - Net Position, End of Year</t>
  </si>
  <si>
    <t>F.</t>
  </si>
  <si>
    <t>Beginning Net Position (SRECNP):</t>
  </si>
  <si>
    <t>Accounts by GL - Total Beginning Fund Balance</t>
  </si>
  <si>
    <t>SRECNP - Net Position, Beginning of Year as Restated</t>
  </si>
  <si>
    <t>G.</t>
  </si>
  <si>
    <t>Personnel Costs:</t>
  </si>
  <si>
    <t>Accounts by GL - Total Personnel Costs</t>
  </si>
  <si>
    <t>SRECNP - Personnel Costs</t>
  </si>
  <si>
    <t>Compare Financial Statements to Prior Year Audited Statements</t>
  </si>
  <si>
    <t>H.</t>
  </si>
  <si>
    <t>College Current Year Beginning Net Position:</t>
  </si>
  <si>
    <t>Prior Year SRECNP - College Net Position, End of Year</t>
  </si>
  <si>
    <t>SRECNP - College Net Position, Beginning of Year</t>
  </si>
  <si>
    <t>I.</t>
  </si>
  <si>
    <t>Component</t>
  </si>
  <si>
    <t>CU Current Year Beginning Net Position:</t>
  </si>
  <si>
    <t>Unit(s):</t>
  </si>
  <si>
    <t>Prior Year SRECNP - CU Net Position, End of Year</t>
  </si>
  <si>
    <t>SRECNP - CU Net Position, Beginning of Year</t>
  </si>
  <si>
    <t>J.</t>
  </si>
  <si>
    <t>Current Year Beginning Cash and Cash Equivalents:</t>
  </si>
  <si>
    <t>Prior Year SCF - Ending Cash and Cash Equivalents</t>
  </si>
  <si>
    <t>SCF - Beginning Cash and Cash Equivalents</t>
  </si>
  <si>
    <t>Compare SNP, SRECNP and SCF</t>
  </si>
  <si>
    <t>K.</t>
  </si>
  <si>
    <t>Operating Income (Loss):</t>
  </si>
  <si>
    <t>SRECNP - Operating Income (Loss)</t>
  </si>
  <si>
    <t>SCF - Operating Income (Loss)</t>
  </si>
  <si>
    <t>L.</t>
  </si>
  <si>
    <t>Cash and Cash Equivalents:</t>
  </si>
  <si>
    <t>SNP - Cash and Cash Equivalent</t>
  </si>
  <si>
    <t>SNP - Restricted Cash and Cash Equivalents</t>
  </si>
  <si>
    <t>SNP - Total Cash and Cash Equivalents</t>
  </si>
  <si>
    <t>SCF - Cash and Cash Equivalents, End of Year</t>
  </si>
  <si>
    <t>M.</t>
  </si>
  <si>
    <t>Net Cash Provided (Used) by Operating Activities:</t>
  </si>
  <si>
    <t>SCF Reconciliation - Net Cash Provided (Used) by Op Act</t>
  </si>
  <si>
    <t>SCF - Net Cash Provided (Used) by Op Act</t>
  </si>
  <si>
    <t>Compare Accounts by GL to DOE Forms</t>
  </si>
  <si>
    <t>N.</t>
  </si>
  <si>
    <t>Fund 1:</t>
  </si>
  <si>
    <t>Personnel Costs - Accounts by GL Fund 1 to Exp by Function:</t>
  </si>
  <si>
    <t>Accounts by GL - Total Fund 1 Personnel Costs (GLC 500s)</t>
  </si>
  <si>
    <t>Exp by Function - Total Personnel Costs</t>
  </si>
  <si>
    <t>O.</t>
  </si>
  <si>
    <t>Current Expense - Accounts by GL Fund 1 to Exp by Function:</t>
  </si>
  <si>
    <t>Accounts by GL - Total Current Expense (GLC 600s)</t>
  </si>
  <si>
    <t>Exp by Function - Total Current Expense</t>
  </si>
  <si>
    <t>P.</t>
  </si>
  <si>
    <t>Capital Outlay - Accounts by GL Fund 1 to Exp by Function:</t>
  </si>
  <si>
    <t>Accounts by GL - Total  Capital Outlay (GLC 700s)</t>
  </si>
  <si>
    <t>Exp by Function - Total Capital Outlay Expenditures</t>
  </si>
  <si>
    <t>Q.</t>
  </si>
  <si>
    <t>Total Expenditures - Accounts by GL Fund 1 to Exp by Function:</t>
  </si>
  <si>
    <t>Accounts by GL - Total All Expenditures</t>
  </si>
  <si>
    <t>Exp by Function - Total</t>
  </si>
  <si>
    <t>R.</t>
  </si>
  <si>
    <t>All Funds:</t>
  </si>
  <si>
    <t>Total Capital Improvement Fees Received - Total Accounts by GL to CIF:</t>
  </si>
  <si>
    <t>CIF - A &amp; P, PSV, EPI, College Prep</t>
  </si>
  <si>
    <t>CIF - PSAV</t>
  </si>
  <si>
    <t>CIF - Baccalaureate</t>
  </si>
  <si>
    <t>Total Student Capital Improvement Fees Received</t>
  </si>
  <si>
    <t>CIF - Total Capital Improvement Fees Received</t>
  </si>
  <si>
    <t>S.</t>
  </si>
  <si>
    <t>Total Distance Learning Fee Revenue - Total Accounts by GL to Dist Learning:</t>
  </si>
  <si>
    <t>Accounts by GL - Distance Learning Course User Fee</t>
  </si>
  <si>
    <t>Dist Learning - Total Distance Learning Fee Revenue</t>
  </si>
  <si>
    <t>T.</t>
  </si>
  <si>
    <t>Total Student Activity Report Fee Revenue - Total Accounts by GL to Student Activity Report:</t>
  </si>
  <si>
    <t>Accounts by GL - Student Activity Fee</t>
  </si>
  <si>
    <t>Student Activity Report - Total Student Activity Fee Revenue</t>
  </si>
  <si>
    <t>SEE INSTRUCTIONS IN COLUMN Q BEFORE ENTERING DATA</t>
  </si>
  <si>
    <t>GL Code</t>
  </si>
  <si>
    <t>(1)                                 Current Funds  Unrestricted</t>
  </si>
  <si>
    <t>(2)                                             Current Funds - Restricted</t>
  </si>
  <si>
    <t>(3)                                         Auxiliary Funds</t>
  </si>
  <si>
    <t>(4)                                    Loan &amp; Endowment Funds</t>
  </si>
  <si>
    <t>(5)                                                          Scholarship Funds</t>
  </si>
  <si>
    <t>(6)                                       Agency Funds</t>
  </si>
  <si>
    <t>(7)                                     Unexpended Plant Funds</t>
  </si>
  <si>
    <t>(8)                                               Debt Service Funds</t>
  </si>
  <si>
    <t>(9)                                                      Invested in Plant Funds</t>
  </si>
  <si>
    <t>Total All Funds</t>
  </si>
  <si>
    <t>GASB AJEs (Describe in NOTES)</t>
  </si>
  <si>
    <t>ADJUSTED Total All Funds</t>
  </si>
  <si>
    <t>NOTES</t>
  </si>
  <si>
    <t>QUICK CHECK/WORK AREA</t>
  </si>
  <si>
    <t>Instructions Regarding Conditional Formatting in Data Entry Cells</t>
  </si>
  <si>
    <t>ASSETS</t>
  </si>
  <si>
    <t>AJE Zero Check</t>
  </si>
  <si>
    <t xml:space="preserve">NOTE: AS AN ANALYTICAL TOOL FOR AFR PREPARERS, cells are formatted to change color (to pink with red text) </t>
  </si>
  <si>
    <t>A010</t>
  </si>
  <si>
    <t>Cash In Depository</t>
  </si>
  <si>
    <t>10100</t>
  </si>
  <si>
    <t>1,3 Cash and Cash Equivalent; all other Restricted CCE</t>
  </si>
  <si>
    <t>if any of the following conditions occur:</t>
  </si>
  <si>
    <t>A015</t>
  </si>
  <si>
    <t>Investments - Cash Equivalent (Other)</t>
  </si>
  <si>
    <t>10200</t>
  </si>
  <si>
    <r>
      <t>Investments - Cash Equivalent</t>
    </r>
    <r>
      <rPr>
        <b/>
        <sz val="9"/>
        <color rgb="FFFF0000"/>
        <rFont val="Arial"/>
        <family val="2"/>
      </rPr>
      <t xml:space="preserve"> (SBA)</t>
    </r>
  </si>
  <si>
    <t>10210</t>
  </si>
  <si>
    <t>1)  A balance has been entered for a GL account in a fund type that does not typically occur in most colleges, e.g., a capital asset in Fund 1 through Fund 8.</t>
  </si>
  <si>
    <r>
      <t xml:space="preserve">Investments - Cash Equivalent </t>
    </r>
    <r>
      <rPr>
        <b/>
        <sz val="9"/>
        <color rgb="FFFF0000"/>
        <rFont val="Arial"/>
        <family val="2"/>
      </rPr>
      <t>(SPIA)</t>
    </r>
  </si>
  <si>
    <t>10220</t>
  </si>
  <si>
    <t>A020</t>
  </si>
  <si>
    <t>Returned Checks</t>
  </si>
  <si>
    <t>12000</t>
  </si>
  <si>
    <t>2)  An AJE has been entered in a GL account that is not typically included in year-end GASB AJEs, e.g., adjustments to cash and cash equivalents.</t>
  </si>
  <si>
    <t>A030</t>
  </si>
  <si>
    <t>12100</t>
  </si>
  <si>
    <t>A040</t>
  </si>
  <si>
    <t>Petty Cash</t>
  </si>
  <si>
    <t>12200</t>
  </si>
  <si>
    <t>3)  A GL account carries an adjusted balance that does not typically occur in entity-wide financial reporting, e.g., transfers and interdepartmental sales.</t>
  </si>
  <si>
    <t>A050</t>
  </si>
  <si>
    <t>Change Fund</t>
  </si>
  <si>
    <t>12300</t>
  </si>
  <si>
    <t>A060</t>
  </si>
  <si>
    <t>Cash for Replacement of Fixed Assets</t>
  </si>
  <si>
    <t>12400</t>
  </si>
  <si>
    <t>If a material balance is highlighted in pink and is appropriately recorded due to unique circumstances at your college,</t>
  </si>
  <si>
    <t>A070</t>
  </si>
  <si>
    <t>Postage Stamps</t>
  </si>
  <si>
    <t>12800</t>
  </si>
  <si>
    <t>use the notes column to provide a brief explanation.</t>
  </si>
  <si>
    <t>A080</t>
  </si>
  <si>
    <t>Accounts  Receivable (non Govt.)</t>
  </si>
  <si>
    <t>13000</t>
  </si>
  <si>
    <t>A090</t>
  </si>
  <si>
    <t>Account Receivable - Student</t>
  </si>
  <si>
    <t>13100</t>
  </si>
  <si>
    <r>
      <rPr>
        <b/>
        <i/>
        <u/>
        <sz val="9"/>
        <color rgb="FF002060"/>
        <rFont val="Arial"/>
        <family val="2"/>
      </rPr>
      <t>DO NOT</t>
    </r>
    <r>
      <rPr>
        <sz val="9"/>
        <color rgb="FF002060"/>
        <rFont val="Arial"/>
        <family val="2"/>
      </rPr>
      <t xml:space="preserve"> alter correct balances because of highlighting</t>
    </r>
    <r>
      <rPr>
        <sz val="9"/>
        <rFont val="Arial"/>
        <family val="2"/>
      </rPr>
      <t>, contact the College Budget Office at (850) 245-9136 or Dottie.Sisley</t>
    </r>
    <r>
      <rPr>
        <u/>
        <sz val="9"/>
        <color rgb="FF0070C0"/>
        <rFont val="Arial"/>
        <family val="2"/>
      </rPr>
      <t>@fldoe.org</t>
    </r>
    <r>
      <rPr>
        <sz val="9"/>
        <rFont val="Arial"/>
        <family val="2"/>
      </rPr>
      <t xml:space="preserve"> if you have any questions. </t>
    </r>
  </si>
  <si>
    <t>A100</t>
  </si>
  <si>
    <t>Account  Receivable - Other</t>
  </si>
  <si>
    <t>13200</t>
  </si>
  <si>
    <t>13300</t>
  </si>
  <si>
    <t>A110</t>
  </si>
  <si>
    <t>Accrued Interest Receivable</t>
  </si>
  <si>
    <t>13800</t>
  </si>
  <si>
    <t>A120</t>
  </si>
  <si>
    <t>Notes Receivable - Current</t>
  </si>
  <si>
    <t>14010</t>
  </si>
  <si>
    <t>Notes Receivable Current</t>
  </si>
  <si>
    <t>A125</t>
  </si>
  <si>
    <t>Notes Receivable - Non-current</t>
  </si>
  <si>
    <t>14020</t>
  </si>
  <si>
    <t>Notes Receivable Non Current</t>
  </si>
  <si>
    <t>A150</t>
  </si>
  <si>
    <t>Loan Principal Collected</t>
  </si>
  <si>
    <t>14100</t>
  </si>
  <si>
    <t>14300</t>
  </si>
  <si>
    <t>A160</t>
  </si>
  <si>
    <t>14500</t>
  </si>
  <si>
    <t>Prepaid Expenses, Current</t>
  </si>
  <si>
    <t>Prepaid Expenses - Non Current</t>
  </si>
  <si>
    <t>14510</t>
  </si>
  <si>
    <t>Prepaid Expenses, Non Current</t>
  </si>
  <si>
    <t>A170</t>
  </si>
  <si>
    <t>14600</t>
  </si>
  <si>
    <t>A180</t>
  </si>
  <si>
    <t>Deposits Receivable - Current</t>
  </si>
  <si>
    <t>15000</t>
  </si>
  <si>
    <t>A190</t>
  </si>
  <si>
    <t>Deposits Receivable - Non Current</t>
  </si>
  <si>
    <t>NonCurrent Assets -Other Assets</t>
  </si>
  <si>
    <t>A210</t>
  </si>
  <si>
    <t>Deposits Receivable - Bond Trustee</t>
  </si>
  <si>
    <t>15300</t>
  </si>
  <si>
    <t>A220</t>
  </si>
  <si>
    <t>Investments - Current</t>
  </si>
  <si>
    <t>16100</t>
  </si>
  <si>
    <t>1,3 Investments; all other Restricted Investments</t>
  </si>
  <si>
    <t>A230</t>
  </si>
  <si>
    <t>Investments Current Restricted</t>
  </si>
  <si>
    <t>16110</t>
  </si>
  <si>
    <t>Investments - Non-current</t>
  </si>
  <si>
    <t>16200</t>
  </si>
  <si>
    <t>1,3 Investments; all other Restricted Investments - Non Current</t>
  </si>
  <si>
    <t>Investments - Non-current Restricted</t>
  </si>
  <si>
    <t>16210</t>
  </si>
  <si>
    <t>Non Current Restricted Investments</t>
  </si>
  <si>
    <t>A250</t>
  </si>
  <si>
    <t>Merchandise Inventory</t>
  </si>
  <si>
    <t>17000</t>
  </si>
  <si>
    <t>Inventory</t>
  </si>
  <si>
    <t>A260</t>
  </si>
  <si>
    <t>Due from Governmental Agencies</t>
  </si>
  <si>
    <t>17200</t>
  </si>
  <si>
    <t>Due From Governmental Agencies</t>
  </si>
  <si>
    <t>A270</t>
  </si>
  <si>
    <t>Due from Component Units - Primary</t>
  </si>
  <si>
    <t>17300</t>
  </si>
  <si>
    <t>A280</t>
  </si>
  <si>
    <t>Due from Component Units - DSO</t>
  </si>
  <si>
    <t>17400</t>
  </si>
  <si>
    <t>Due From Component Unit</t>
  </si>
  <si>
    <t>A290</t>
  </si>
  <si>
    <t>Due from Current Funds - Unrestricted</t>
  </si>
  <si>
    <t>18100</t>
  </si>
  <si>
    <t>AJE's should eliminate to  zero - not in Financial Stmts</t>
  </si>
  <si>
    <t>A300</t>
  </si>
  <si>
    <t>Due from Current Funds - Restricted</t>
  </si>
  <si>
    <t>18200</t>
  </si>
  <si>
    <t>A310</t>
  </si>
  <si>
    <t>Due from Auxiliary Funds</t>
  </si>
  <si>
    <t>18300</t>
  </si>
  <si>
    <t>A320</t>
  </si>
  <si>
    <t>Due from Loan, Endowment, Annuity &amp; Life Income Funds</t>
  </si>
  <si>
    <t>18400</t>
  </si>
  <si>
    <t>A330</t>
  </si>
  <si>
    <t>Due from Scholarship Funds</t>
  </si>
  <si>
    <t>18500</t>
  </si>
  <si>
    <t>A340</t>
  </si>
  <si>
    <t>Due from Agency Funds</t>
  </si>
  <si>
    <t>18600</t>
  </si>
  <si>
    <t>A350</t>
  </si>
  <si>
    <t>Due from Unexp. Plant &amp; Renewals/Replacement Funds</t>
  </si>
  <si>
    <t>18700</t>
  </si>
  <si>
    <t>A360</t>
  </si>
  <si>
    <t>Due from  Retirement of Indebtedness Funds</t>
  </si>
  <si>
    <t>18800</t>
  </si>
  <si>
    <t>A370</t>
  </si>
  <si>
    <t>Assets Under Capital Lease</t>
  </si>
  <si>
    <t>19000</t>
  </si>
  <si>
    <t>Depreciable Capital Assets,Net</t>
  </si>
  <si>
    <t>A375</t>
  </si>
  <si>
    <t>Capital Leases, Accumulated Amortization</t>
  </si>
  <si>
    <t>19009</t>
  </si>
  <si>
    <t>19010</t>
  </si>
  <si>
    <t>Leasehold Improvements, Accumulated Amortization</t>
  </si>
  <si>
    <t>19019</t>
  </si>
  <si>
    <t>A380</t>
  </si>
  <si>
    <t>Non Depreciable Capital Assets</t>
  </si>
  <si>
    <t>A390</t>
  </si>
  <si>
    <t>A395</t>
  </si>
  <si>
    <t>Buildings, Accumulated Depreciation</t>
  </si>
  <si>
    <t>19209</t>
  </si>
  <si>
    <t>A410</t>
  </si>
  <si>
    <t>Other Structures &amp; Land Improvements</t>
  </si>
  <si>
    <t>19300</t>
  </si>
  <si>
    <t>A415</t>
  </si>
  <si>
    <t>Other Structures &amp; Land Improv., Accumulated Dep. (10 yr)</t>
  </si>
  <si>
    <t>19309</t>
  </si>
  <si>
    <t>A450</t>
  </si>
  <si>
    <t>Furniture, Machinery &amp; Equipment</t>
  </si>
  <si>
    <t>19400</t>
  </si>
  <si>
    <t>A455</t>
  </si>
  <si>
    <t>Furniture, Machinery &amp; Equipment, (3 Yr. Class)</t>
  </si>
  <si>
    <t>19410</t>
  </si>
  <si>
    <t>A456</t>
  </si>
  <si>
    <t>Furn., Mach., Equip, Accumulated Dep. (3 Yr. Class)</t>
  </si>
  <si>
    <t>19419</t>
  </si>
  <si>
    <t>A460</t>
  </si>
  <si>
    <t>Furniture, Machinery &amp; Equipment, (5 Yr. Class)</t>
  </si>
  <si>
    <t>19420</t>
  </si>
  <si>
    <t>A461</t>
  </si>
  <si>
    <t>Furn., Mach., Equip, Accumulated Dep. (5 Yr. Class)</t>
  </si>
  <si>
    <t>19429</t>
  </si>
  <si>
    <t>A465</t>
  </si>
  <si>
    <t>Furniture, Machinery &amp; Equipment, (7 Yr. Class)</t>
  </si>
  <si>
    <t>19430</t>
  </si>
  <si>
    <t>A466</t>
  </si>
  <si>
    <t>Furn., Mach., Equip, Accumulated Dep. (7 Yr. Class)</t>
  </si>
  <si>
    <t>19439</t>
  </si>
  <si>
    <t>A470</t>
  </si>
  <si>
    <t>Furniture, Machinery &amp; Equipment, (10 Yr. Class)</t>
  </si>
  <si>
    <t>19440</t>
  </si>
  <si>
    <t>A471</t>
  </si>
  <si>
    <t>Furn., Mach., Equip, Accumulated Dep. (10 Yr. Class)</t>
  </si>
  <si>
    <t>19449</t>
  </si>
  <si>
    <t>A475</t>
  </si>
  <si>
    <t>Furniture, Machinery &amp; Equip. (Greater than 10 Yr. Class)</t>
  </si>
  <si>
    <t>19450</t>
  </si>
  <si>
    <t>A476</t>
  </si>
  <si>
    <t>Furn., Mach., Equip, Acc. Dep. (Greater than 10 Yr. Class)</t>
  </si>
  <si>
    <t>19459</t>
  </si>
  <si>
    <t>A480</t>
  </si>
  <si>
    <t>19500</t>
  </si>
  <si>
    <t>A485</t>
  </si>
  <si>
    <t>Other Depreciable Assets (3 Yr. Capital Asset Class)</t>
  </si>
  <si>
    <t>19510</t>
  </si>
  <si>
    <t>A486</t>
  </si>
  <si>
    <t>Other Depr. Assets, Acc. Dep. (3 Yr. Capital Asset Class)</t>
  </si>
  <si>
    <t>19519</t>
  </si>
  <si>
    <t>A487</t>
  </si>
  <si>
    <t>Other Depreciable Assets (5 Yr. Capital Asset Class)</t>
  </si>
  <si>
    <t>19520</t>
  </si>
  <si>
    <t>A488</t>
  </si>
  <si>
    <t>Other Depr. Assets, Acc. Dep. (5 Yr. Capital Asset Class)</t>
  </si>
  <si>
    <t>19529</t>
  </si>
  <si>
    <t>A489</t>
  </si>
  <si>
    <t>Other Depreciable Assets (7 Yr. Capital Asset Class)</t>
  </si>
  <si>
    <t>19530</t>
  </si>
  <si>
    <t>A490</t>
  </si>
  <si>
    <t>Other Depr. Assets, Acc. Dep. (7 Yr. Capital Asset Class)</t>
  </si>
  <si>
    <t>19539</t>
  </si>
  <si>
    <t>A491</t>
  </si>
  <si>
    <t>Other Depreciable Assets (10 Yr. Capital Asset Class)</t>
  </si>
  <si>
    <t>19540</t>
  </si>
  <si>
    <t>A492</t>
  </si>
  <si>
    <t>Other Depr. Assets, Acc. Dep. (10 Yr. Capital Asset Class)</t>
  </si>
  <si>
    <t>19549</t>
  </si>
  <si>
    <t>A493</t>
  </si>
  <si>
    <t>Other Depreciable Assets (Greater than 10 Yr. Class)</t>
  </si>
  <si>
    <t>19550</t>
  </si>
  <si>
    <t>A494</t>
  </si>
  <si>
    <t>Other Depr. Assets, Acc. Dep. (Greater than 10 Yr. Class)</t>
  </si>
  <si>
    <t>19559</t>
  </si>
  <si>
    <t>A500</t>
  </si>
  <si>
    <t>Other Assets (non-depreciable)</t>
  </si>
  <si>
    <t>19600</t>
  </si>
  <si>
    <t>19630</t>
  </si>
  <si>
    <t>A540</t>
  </si>
  <si>
    <t>Construction In Progress</t>
  </si>
  <si>
    <t>19800</t>
  </si>
  <si>
    <t>Deferred Outflows of Resources - Service Concession Arrangement</t>
  </si>
  <si>
    <t>19901</t>
  </si>
  <si>
    <t>DO - Service Concession Arrrangement</t>
  </si>
  <si>
    <t>Deferred Outflows of Resources - Accum Dec in FV of Securities</t>
  </si>
  <si>
    <t>19902</t>
  </si>
  <si>
    <t>DO - Accumulated Decrease in Fair Value of Securities</t>
  </si>
  <si>
    <t>19908</t>
  </si>
  <si>
    <t>DO -Pension FRS</t>
  </si>
  <si>
    <t>19909</t>
  </si>
  <si>
    <t>DO -Pension HIS</t>
  </si>
  <si>
    <t>Deferred Outflows of Resources - Other Postemployment Benefits</t>
  </si>
  <si>
    <t>19910</t>
  </si>
  <si>
    <t>DO - Other Postemployment Benefits</t>
  </si>
  <si>
    <t>Deferred Outflows of Resources - Lease Agreements</t>
  </si>
  <si>
    <t>19911</t>
  </si>
  <si>
    <t>DO - Lease Agreements</t>
  </si>
  <si>
    <t>19913</t>
  </si>
  <si>
    <t xml:space="preserve">DO - Asset Retirement Obligations </t>
  </si>
  <si>
    <t>TOTAL ASSETS</t>
  </si>
  <si>
    <t>LIABILITIES</t>
  </si>
  <si>
    <t>B010</t>
  </si>
  <si>
    <t>Deposits Held In Custody for Others (Current)</t>
  </si>
  <si>
    <t>21100</t>
  </si>
  <si>
    <t>Deposits held for Others - Current</t>
  </si>
  <si>
    <t>Deposits Held In Custody for Others (Non Current)</t>
  </si>
  <si>
    <t>Non-current Liabilities (Other Long-Term Liabilities)</t>
  </si>
  <si>
    <t>B020</t>
  </si>
  <si>
    <t>Payroll Deductions Payable</t>
  </si>
  <si>
    <t>21200</t>
  </si>
  <si>
    <t>B030</t>
  </si>
  <si>
    <t>21300</t>
  </si>
  <si>
    <t>B040</t>
  </si>
  <si>
    <t>21400</t>
  </si>
  <si>
    <t>B050</t>
  </si>
  <si>
    <t>Student Fee Refunds Payable</t>
  </si>
  <si>
    <t>22000</t>
  </si>
  <si>
    <t>B060</t>
  </si>
  <si>
    <t>Federal Income Tax Payable</t>
  </si>
  <si>
    <t>22100</t>
  </si>
  <si>
    <t>B070</t>
  </si>
  <si>
    <t>FICA Tax Payable</t>
  </si>
  <si>
    <t>22200</t>
  </si>
  <si>
    <t>B090</t>
  </si>
  <si>
    <t>Retirement Contributions Payable</t>
  </si>
  <si>
    <t>22300</t>
  </si>
  <si>
    <t>B100</t>
  </si>
  <si>
    <t>Insurance Contributions Payable</t>
  </si>
  <si>
    <t>22400</t>
  </si>
  <si>
    <t>B110</t>
  </si>
  <si>
    <t>22500</t>
  </si>
  <si>
    <t>B120</t>
  </si>
  <si>
    <t>Salaries &amp; Wages Payable</t>
  </si>
  <si>
    <t>22600</t>
  </si>
  <si>
    <t>B130</t>
  </si>
  <si>
    <t>Compensated Leave Payable - Current</t>
  </si>
  <si>
    <t>22710</t>
  </si>
  <si>
    <t>Compensated Absences - current</t>
  </si>
  <si>
    <t>B140</t>
  </si>
  <si>
    <t>Compensation Leave Payable - Non-current</t>
  </si>
  <si>
    <t>22720</t>
  </si>
  <si>
    <t>Compensated Absences - non current</t>
  </si>
  <si>
    <t xml:space="preserve">Other Postemployment Benefits Liability - Current </t>
  </si>
  <si>
    <t>22730</t>
  </si>
  <si>
    <t>OPEB</t>
  </si>
  <si>
    <t>B142</t>
  </si>
  <si>
    <t>22740</t>
  </si>
  <si>
    <t>22750</t>
  </si>
  <si>
    <t>FRS Pension - Current</t>
  </si>
  <si>
    <t>22751</t>
  </si>
  <si>
    <t>HIS Pension - Current</t>
  </si>
  <si>
    <t>22760</t>
  </si>
  <si>
    <t>FRS Pension - Non Current</t>
  </si>
  <si>
    <t>22761</t>
  </si>
  <si>
    <t>HIS Pension - Non Current</t>
  </si>
  <si>
    <t>B150</t>
  </si>
  <si>
    <t>Other Payables</t>
  </si>
  <si>
    <t>22800</t>
  </si>
  <si>
    <t>Arbitrage Payable - Current</t>
  </si>
  <si>
    <t>22810</t>
  </si>
  <si>
    <t>Other Long Term Liabilities -Current</t>
  </si>
  <si>
    <t>Arbitrage Payable - Non-current</t>
  </si>
  <si>
    <t>22820</t>
  </si>
  <si>
    <t>Other Long Term Liabilities -Non Current</t>
  </si>
  <si>
    <t>B160</t>
  </si>
  <si>
    <t>22900</t>
  </si>
  <si>
    <t>B170</t>
  </si>
  <si>
    <t>Sales Tax Payable</t>
  </si>
  <si>
    <t>23100</t>
  </si>
  <si>
    <t>B190</t>
  </si>
  <si>
    <t>23300</t>
  </si>
  <si>
    <t>B200</t>
  </si>
  <si>
    <t>Scholarships Payable</t>
  </si>
  <si>
    <t>B220</t>
  </si>
  <si>
    <t>Deposits Refundable</t>
  </si>
  <si>
    <t>24000</t>
  </si>
  <si>
    <t>B230</t>
  </si>
  <si>
    <t>Deposits Refundable to Energy Consortium Members</t>
  </si>
  <si>
    <t>25100</t>
  </si>
  <si>
    <t>B240</t>
  </si>
  <si>
    <t>26110</t>
  </si>
  <si>
    <t>B250</t>
  </si>
  <si>
    <t>Bonds Payable - Non-current</t>
  </si>
  <si>
    <t>26120</t>
  </si>
  <si>
    <t>Bonds Payable - Non Current</t>
  </si>
  <si>
    <t>B260</t>
  </si>
  <si>
    <t>Loans Payable - Current</t>
  </si>
  <si>
    <t>26210</t>
  </si>
  <si>
    <t>Notes and Loans Payable - Current</t>
  </si>
  <si>
    <t>B270</t>
  </si>
  <si>
    <t>Loans Payable - Non-current</t>
  </si>
  <si>
    <t>26220</t>
  </si>
  <si>
    <t>Notes and Loans Payable - Non Current</t>
  </si>
  <si>
    <t>B280</t>
  </si>
  <si>
    <t>Interest Payable - Current</t>
  </si>
  <si>
    <t>26310</t>
  </si>
  <si>
    <t>B290</t>
  </si>
  <si>
    <t>Interest Payable - Non Current</t>
  </si>
  <si>
    <t>26320</t>
  </si>
  <si>
    <t>Other Long Term Liabilities</t>
  </si>
  <si>
    <t>B300</t>
  </si>
  <si>
    <t>Contract Purchases Payable - Current</t>
  </si>
  <si>
    <t>26410</t>
  </si>
  <si>
    <t>Installment Purchases Payable - Current</t>
  </si>
  <si>
    <t>B310</t>
  </si>
  <si>
    <t>Contract Purchases Payable - Non Current</t>
  </si>
  <si>
    <t>26420</t>
  </si>
  <si>
    <t>Installment Purchases Payable - Non Current</t>
  </si>
  <si>
    <t>B320</t>
  </si>
  <si>
    <t>Special Termination Benefit Payable - Current</t>
  </si>
  <si>
    <t>26510</t>
  </si>
  <si>
    <t>Special Termination Benefits Payable - Current</t>
  </si>
  <si>
    <t>B330</t>
  </si>
  <si>
    <t>Special Termination Benefit Payable - Non Current</t>
  </si>
  <si>
    <t>26520</t>
  </si>
  <si>
    <t>Special Termination Benefits Payable - Non Current</t>
  </si>
  <si>
    <t>B340</t>
  </si>
  <si>
    <t>Capital Lease Payable - Current</t>
  </si>
  <si>
    <t>26610</t>
  </si>
  <si>
    <t>Capital Lease - Current</t>
  </si>
  <si>
    <t>B350</t>
  </si>
  <si>
    <t>Capital Lease Payable - Non-current</t>
  </si>
  <si>
    <t>26620</t>
  </si>
  <si>
    <t>Capital Lease - Non Current</t>
  </si>
  <si>
    <t>26710</t>
  </si>
  <si>
    <t>26720</t>
  </si>
  <si>
    <t>B360</t>
  </si>
  <si>
    <t>27100</t>
  </si>
  <si>
    <t xml:space="preserve">Unearned Revenue </t>
  </si>
  <si>
    <t>B370</t>
  </si>
  <si>
    <t>Due to Government Agencies</t>
  </si>
  <si>
    <t>27200</t>
  </si>
  <si>
    <t>Due to Other Governments</t>
  </si>
  <si>
    <t>B380</t>
  </si>
  <si>
    <t>Due to Component Units - Primary</t>
  </si>
  <si>
    <t>27300</t>
  </si>
  <si>
    <t>B390</t>
  </si>
  <si>
    <t>Due to Component Units - DSO</t>
  </si>
  <si>
    <t>27400</t>
  </si>
  <si>
    <t>Due to Component Unit</t>
  </si>
  <si>
    <t>B400</t>
  </si>
  <si>
    <t>Due to Current Funds - Unrestricted</t>
  </si>
  <si>
    <t>28100</t>
  </si>
  <si>
    <t>B410</t>
  </si>
  <si>
    <t>Due to Current Funds - Restricted</t>
  </si>
  <si>
    <t>28200</t>
  </si>
  <si>
    <t>B420</t>
  </si>
  <si>
    <t>Due to Auxiliary Funds</t>
  </si>
  <si>
    <t>28300</t>
  </si>
  <si>
    <t>B430</t>
  </si>
  <si>
    <t>Due to Loan, Annuity &amp; Life Income Funds</t>
  </si>
  <si>
    <t>28400</t>
  </si>
  <si>
    <t>B440</t>
  </si>
  <si>
    <t>Due to Scholarship Funds</t>
  </si>
  <si>
    <t>28500</t>
  </si>
  <si>
    <t>B450</t>
  </si>
  <si>
    <t>Due to Agency Funds</t>
  </si>
  <si>
    <t>28600</t>
  </si>
  <si>
    <t>B460</t>
  </si>
  <si>
    <t>Due to Unexpended Plant &amp; Renewable/replacement Funds</t>
  </si>
  <si>
    <t>28700</t>
  </si>
  <si>
    <t>B470</t>
  </si>
  <si>
    <t>Due to Retirement of Indebtedness Funds</t>
  </si>
  <si>
    <t>28800</t>
  </si>
  <si>
    <t>Deferred Inflows of Resources</t>
  </si>
  <si>
    <t>Deferred Inflows of Resources - Service Concession Arrangement</t>
  </si>
  <si>
    <t>29901</t>
  </si>
  <si>
    <t>DI - Service Concession Arrangement</t>
  </si>
  <si>
    <t>Deferred Inflows of Resources -Accum Inc in the FV of Securities</t>
  </si>
  <si>
    <t>29902</t>
  </si>
  <si>
    <t>Accum Inc in FV Securities</t>
  </si>
  <si>
    <t>29908</t>
  </si>
  <si>
    <t>DI - Pension FRS</t>
  </si>
  <si>
    <t>29909</t>
  </si>
  <si>
    <t>DI - Pension HIS</t>
  </si>
  <si>
    <t>29910</t>
  </si>
  <si>
    <t xml:space="preserve">DI - Other Postemployment Benefits </t>
  </si>
  <si>
    <t xml:space="preserve">Deffered Inflows of Resources - Lease Agreements </t>
  </si>
  <si>
    <t>29911</t>
  </si>
  <si>
    <t>DI - Lease Agreements</t>
  </si>
  <si>
    <t xml:space="preserve">Deferred Inflows - Irrevocable Split-Interest Agreements </t>
  </si>
  <si>
    <t>29912</t>
  </si>
  <si>
    <t>DI - Irrevocable Split-interest Agreements</t>
  </si>
  <si>
    <t>RESERVES &amp; FUND BALANCES (Fund Balance July 1)</t>
  </si>
  <si>
    <t>C010</t>
  </si>
  <si>
    <t>Reserved for Encumbrance</t>
  </si>
  <si>
    <t>30100</t>
  </si>
  <si>
    <t>C020</t>
  </si>
  <si>
    <t>Reserved for Performance Based Incentive Funds</t>
  </si>
  <si>
    <t>30200</t>
  </si>
  <si>
    <t>C030</t>
  </si>
  <si>
    <t>Reserved for Academic Improvement Trust Funds</t>
  </si>
  <si>
    <t>30300</t>
  </si>
  <si>
    <t>C040</t>
  </si>
  <si>
    <t>Reserved for Other Required Purposes</t>
  </si>
  <si>
    <t>30400</t>
  </si>
  <si>
    <t>C050</t>
  </si>
  <si>
    <t>Reserved for Staff &amp; Program Development</t>
  </si>
  <si>
    <t>30500</t>
  </si>
  <si>
    <t>C060</t>
  </si>
  <si>
    <t>Reserved for Student Activities Funds</t>
  </si>
  <si>
    <t>30600</t>
  </si>
  <si>
    <t>C070</t>
  </si>
  <si>
    <t>Reserved for Matching Grants</t>
  </si>
  <si>
    <t>30700</t>
  </si>
  <si>
    <t>C080</t>
  </si>
  <si>
    <t>Amount Expected to Be Financed In Future Years</t>
  </si>
  <si>
    <t>30800</t>
  </si>
  <si>
    <t>C090</t>
  </si>
  <si>
    <t>Fund Balance - Board Designated</t>
  </si>
  <si>
    <t>30900</t>
  </si>
  <si>
    <t>C100</t>
  </si>
  <si>
    <t>Fund Balance - Grantor</t>
  </si>
  <si>
    <t>31000</t>
  </si>
  <si>
    <t>C110</t>
  </si>
  <si>
    <t>Fund Balance - College</t>
  </si>
  <si>
    <t>C112</t>
  </si>
  <si>
    <t>Fund Balance - College - Local Funds</t>
  </si>
  <si>
    <t>31110</t>
  </si>
  <si>
    <t>C114</t>
  </si>
  <si>
    <t>Fund Balance - College - CO &amp; DS</t>
  </si>
  <si>
    <t>31120</t>
  </si>
  <si>
    <t>C116</t>
  </si>
  <si>
    <t>Fund Balance - College - Federal Sources</t>
  </si>
  <si>
    <t>31130</t>
  </si>
  <si>
    <t>C118</t>
  </si>
  <si>
    <t>Fund Balance - College- Other State</t>
  </si>
  <si>
    <t>31140</t>
  </si>
  <si>
    <t>C120</t>
  </si>
  <si>
    <t>Fund Balance - College - SBE Bonds</t>
  </si>
  <si>
    <t>31150</t>
  </si>
  <si>
    <t>C122</t>
  </si>
  <si>
    <t>Fund Balance - College - Loan Funds</t>
  </si>
  <si>
    <t>31160</t>
  </si>
  <si>
    <t>C124</t>
  </si>
  <si>
    <t>Fund Balance - College - PECO Funds</t>
  </si>
  <si>
    <t>31170</t>
  </si>
  <si>
    <t>C200</t>
  </si>
  <si>
    <t>Invested In Plant</t>
  </si>
  <si>
    <t>31200</t>
  </si>
  <si>
    <t>C210</t>
  </si>
  <si>
    <t>Changes In Fund Balances</t>
  </si>
  <si>
    <t>38000</t>
  </si>
  <si>
    <t xml:space="preserve">Total Fund Balances (Fund Balance July 1) </t>
  </si>
  <si>
    <t>STUDENT FEES</t>
  </si>
  <si>
    <t>D002</t>
  </si>
  <si>
    <t>Tuition-Advanced &amp; Professional - Baccalaureate</t>
  </si>
  <si>
    <t>40101</t>
  </si>
  <si>
    <t>D005</t>
  </si>
  <si>
    <t>Tuition-Advanced &amp; Professional</t>
  </si>
  <si>
    <t>40110</t>
  </si>
  <si>
    <t>D010</t>
  </si>
  <si>
    <t>Tuition-Postsecondary Vocational</t>
  </si>
  <si>
    <t>40120</t>
  </si>
  <si>
    <t>D015</t>
  </si>
  <si>
    <t>Tuition-Career and Applied Technology (Formerly PSAV)</t>
  </si>
  <si>
    <t>40130</t>
  </si>
  <si>
    <t>D025</t>
  </si>
  <si>
    <t>Tuition-Developmental Education</t>
  </si>
  <si>
    <t>40150</t>
  </si>
  <si>
    <t>D027</t>
  </si>
  <si>
    <t>Tuition-EPI</t>
  </si>
  <si>
    <t>40160</t>
  </si>
  <si>
    <t>D030</t>
  </si>
  <si>
    <t>Tuition-Vocational Preparatory</t>
  </si>
  <si>
    <t>40180</t>
  </si>
  <si>
    <t>D040</t>
  </si>
  <si>
    <t>Tuition-Adult General Education (ABE) &amp; Secondary</t>
  </si>
  <si>
    <t>40190</t>
  </si>
  <si>
    <t>D045</t>
  </si>
  <si>
    <t>Out-of-state Fees-Advanced &amp; Professional - Baccalaureate</t>
  </si>
  <si>
    <t>40301</t>
  </si>
  <si>
    <t>D050</t>
  </si>
  <si>
    <t>Out-of-state Fees-Advanced &amp; Professional</t>
  </si>
  <si>
    <t>40310</t>
  </si>
  <si>
    <t>D060</t>
  </si>
  <si>
    <t>Out-of-state Fees-Postsecondary Vocational</t>
  </si>
  <si>
    <t>40320</t>
  </si>
  <si>
    <t>D070</t>
  </si>
  <si>
    <t>Out-of-state Fees-Career and Applied Technology (Formerly PSAV)</t>
  </si>
  <si>
    <t>40330</t>
  </si>
  <si>
    <t>D080</t>
  </si>
  <si>
    <t>Out-of-state Fees-Developmental Education</t>
  </si>
  <si>
    <t>40350</t>
  </si>
  <si>
    <t>D085</t>
  </si>
  <si>
    <t>Out-of-state Fees-EPI &amp; Alternative Certification Curriculum</t>
  </si>
  <si>
    <t>40360</t>
  </si>
  <si>
    <t>D090</t>
  </si>
  <si>
    <t>Out-of-state Fees-Vocational Preparatory</t>
  </si>
  <si>
    <t>40380</t>
  </si>
  <si>
    <t>D100</t>
  </si>
  <si>
    <t>Out-of-state Fees-Adult General Education (ABE) &amp; Secondary</t>
  </si>
  <si>
    <t>40390</t>
  </si>
  <si>
    <t>SUBTOTAL FCSPF STUDENT FEES</t>
  </si>
  <si>
    <t>D110</t>
  </si>
  <si>
    <t>Non-Fundable State FTE Enrollments Revenue Control</t>
  </si>
  <si>
    <t>40200</t>
  </si>
  <si>
    <t>Tuition - Lifelong Learning</t>
  </si>
  <si>
    <t>40210</t>
  </si>
  <si>
    <t>D120</t>
  </si>
  <si>
    <t>Tuition - Continuing Workforce Fees</t>
  </si>
  <si>
    <t>40240</t>
  </si>
  <si>
    <t>Refunded Tuition - Continuing Workforce Fees</t>
  </si>
  <si>
    <t>40249</t>
  </si>
  <si>
    <t>Out-of-state - Lifelong Learning</t>
  </si>
  <si>
    <t>40250</t>
  </si>
  <si>
    <t>D130</t>
  </si>
  <si>
    <t>Full Cost of Instruction (Repeat Course Fee)</t>
  </si>
  <si>
    <t>40260</t>
  </si>
  <si>
    <t>E021</t>
  </si>
  <si>
    <t>Full Cost of Instruction (Repeat Course Fee) - A &amp; P</t>
  </si>
  <si>
    <t>40261</t>
  </si>
  <si>
    <t>E022</t>
  </si>
  <si>
    <t>Full Cost of Instruction (Repeat Course Fee) - PSV</t>
  </si>
  <si>
    <t>40262</t>
  </si>
  <si>
    <t>Full Cost of Instruction (Repeat Course Fee) - Baccalaureate</t>
  </si>
  <si>
    <t>40263</t>
  </si>
  <si>
    <t>Full Cost of Instruction (Repeat Course Fee) - PSAV</t>
  </si>
  <si>
    <t>40264</t>
  </si>
  <si>
    <t>E023</t>
  </si>
  <si>
    <t>Full Cost of Instruction (Repeat Course Fee) - Dev. Ed.</t>
  </si>
  <si>
    <t>40265</t>
  </si>
  <si>
    <t>Full Cost of Instruction (Repeat Course Fee) - EPI</t>
  </si>
  <si>
    <t>40266</t>
  </si>
  <si>
    <t>Refunded Tuition-Full Cost of Instruction (Repeat Course Fee)</t>
  </si>
  <si>
    <t>40269</t>
  </si>
  <si>
    <t>Tuition - Self-supporting</t>
  </si>
  <si>
    <t>40270</t>
  </si>
  <si>
    <t>Laboratory Fees</t>
  </si>
  <si>
    <t>40400</t>
  </si>
  <si>
    <t>Distance Learning Course User Fee</t>
  </si>
  <si>
    <t>40450</t>
  </si>
  <si>
    <t>Application Fees</t>
  </si>
  <si>
    <t>40500</t>
  </si>
  <si>
    <t>E024</t>
  </si>
  <si>
    <t>Graduation Fees</t>
  </si>
  <si>
    <t>40600</t>
  </si>
  <si>
    <t>E025</t>
  </si>
  <si>
    <t>Transcripts Fees</t>
  </si>
  <si>
    <t>40700</t>
  </si>
  <si>
    <t>E026</t>
  </si>
  <si>
    <t>Financial Aid Fund Fees</t>
  </si>
  <si>
    <t>40800</t>
  </si>
  <si>
    <t>E027</t>
  </si>
  <si>
    <t>Student Activities &amp; Service Fees</t>
  </si>
  <si>
    <t>40850</t>
  </si>
  <si>
    <t>Student Activities &amp; Service Fees - Baccalaureate</t>
  </si>
  <si>
    <t>40854</t>
  </si>
  <si>
    <t>E028</t>
  </si>
  <si>
    <t>40860</t>
  </si>
  <si>
    <t>Capital Grants, Contracts, Gifts and Fees</t>
  </si>
  <si>
    <t>E029</t>
  </si>
  <si>
    <t>40861</t>
  </si>
  <si>
    <t>40864</t>
  </si>
  <si>
    <t>E035</t>
  </si>
  <si>
    <t>Technology Fee</t>
  </si>
  <si>
    <t>40870</t>
  </si>
  <si>
    <t>E036</t>
  </si>
  <si>
    <t>Other Student Fees</t>
  </si>
  <si>
    <t>40900</t>
  </si>
  <si>
    <t>E037</t>
  </si>
  <si>
    <t>Late Fees</t>
  </si>
  <si>
    <t>40910</t>
  </si>
  <si>
    <t>E038</t>
  </si>
  <si>
    <t>Testing Fees</t>
  </si>
  <si>
    <t>40920</t>
  </si>
  <si>
    <t>E039</t>
  </si>
  <si>
    <t>Student Insurance Fees</t>
  </si>
  <si>
    <t>40930</t>
  </si>
  <si>
    <t>E040</t>
  </si>
  <si>
    <t>Safety &amp; Security Fees</t>
  </si>
  <si>
    <t>40940</t>
  </si>
  <si>
    <t>E041</t>
  </si>
  <si>
    <t>Picture Identification Card Fees</t>
  </si>
  <si>
    <t>40950</t>
  </si>
  <si>
    <t>E042</t>
  </si>
  <si>
    <t>Parking Fees</t>
  </si>
  <si>
    <t>40960</t>
  </si>
  <si>
    <t>E043</t>
  </si>
  <si>
    <t>Library Fees</t>
  </si>
  <si>
    <t>40970</t>
  </si>
  <si>
    <t>E044</t>
  </si>
  <si>
    <t>Contract Course Fees</t>
  </si>
  <si>
    <t>40990</t>
  </si>
  <si>
    <t>E045</t>
  </si>
  <si>
    <t>Residual Student Fees</t>
  </si>
  <si>
    <t>40991</t>
  </si>
  <si>
    <t>SUBTOTAL OTHER STUDENT FEES</t>
  </si>
  <si>
    <t>TOTAL STUDENT FEES</t>
  </si>
  <si>
    <t>SUPPORT FROM LOCAL GOVERNMENT</t>
  </si>
  <si>
    <t>F010</t>
  </si>
  <si>
    <t>Grants &amp; Contracts With Cities (Operating)</t>
  </si>
  <si>
    <t>41500</t>
  </si>
  <si>
    <t>Operating Revenue - State and Local Grants and Contracts</t>
  </si>
  <si>
    <t>F011</t>
  </si>
  <si>
    <t>Grants &amp; Contracts With Cities (Non-operating)</t>
  </si>
  <si>
    <t>41520</t>
  </si>
  <si>
    <t>Non Operating Revenue - State and Local Grants and Contracts</t>
  </si>
  <si>
    <t>F012</t>
  </si>
  <si>
    <t>Grants &amp; Contracts With Cities (Capital Financing)</t>
  </si>
  <si>
    <t>41530</t>
  </si>
  <si>
    <t>F040</t>
  </si>
  <si>
    <t>Grants &amp; Contracts With Counties (Operating)</t>
  </si>
  <si>
    <t>41610</t>
  </si>
  <si>
    <t>F050</t>
  </si>
  <si>
    <t>Grants &amp; Contracts With Counties (Non-operating)</t>
  </si>
  <si>
    <t>41620</t>
  </si>
  <si>
    <t>F060</t>
  </si>
  <si>
    <t>Grants &amp; Contracts With Counties (Capital Financing)</t>
  </si>
  <si>
    <t>41630</t>
  </si>
  <si>
    <t>F070</t>
  </si>
  <si>
    <t>County Ad Valorem Tax Revenue (Non-operating)</t>
  </si>
  <si>
    <t>41820</t>
  </si>
  <si>
    <t>F080</t>
  </si>
  <si>
    <t>County Ad Valorem Tax Revenue (Capital Financing)</t>
  </si>
  <si>
    <t>41830</t>
  </si>
  <si>
    <t>F090</t>
  </si>
  <si>
    <t>Indirect Cost Recovered - City &amp; County</t>
  </si>
  <si>
    <t>41900</t>
  </si>
  <si>
    <t>F091</t>
  </si>
  <si>
    <t>Refund to Grantor - Local Government (Operating)</t>
  </si>
  <si>
    <t>41910</t>
  </si>
  <si>
    <t>F092</t>
  </si>
  <si>
    <t>Refund to Grantor - Local Government (Non-operating)</t>
  </si>
  <si>
    <t>41920</t>
  </si>
  <si>
    <t>F093</t>
  </si>
  <si>
    <t>Refund to Grantor - Local Government (Capital Financing)</t>
  </si>
  <si>
    <t>41930</t>
  </si>
  <si>
    <t>SUB-TOTAL SUPPORT FROM LOCAL GOVERNMENT</t>
  </si>
  <si>
    <t>STATE SUPPORT</t>
  </si>
  <si>
    <t>G050</t>
  </si>
  <si>
    <t>Florida College System Program Fund Appropriation</t>
  </si>
  <si>
    <t>42110</t>
  </si>
  <si>
    <t>State Non Capital Appropriations</t>
  </si>
  <si>
    <t>G052</t>
  </si>
  <si>
    <t>Special Appropriation - Other</t>
  </si>
  <si>
    <t>42130</t>
  </si>
  <si>
    <t>G053</t>
  </si>
  <si>
    <t>Special Appropriation - Workforce Development (disabled)</t>
  </si>
  <si>
    <t>42140</t>
  </si>
  <si>
    <t>G054</t>
  </si>
  <si>
    <t>Performance Based Incentive Funding - FCSPF</t>
  </si>
  <si>
    <t>42150</t>
  </si>
  <si>
    <t>G055</t>
  </si>
  <si>
    <t>Incentive Grants for Expanding Programs</t>
  </si>
  <si>
    <t>42160</t>
  </si>
  <si>
    <t>G056</t>
  </si>
  <si>
    <t>Critical Deferred Maintenance</t>
  </si>
  <si>
    <t>42170</t>
  </si>
  <si>
    <t>G057</t>
  </si>
  <si>
    <t>Gender Equity Funds</t>
  </si>
  <si>
    <t>42180</t>
  </si>
  <si>
    <t>G058</t>
  </si>
  <si>
    <t>License Tag Fees</t>
  </si>
  <si>
    <t>42210</t>
  </si>
  <si>
    <t>G059</t>
  </si>
  <si>
    <t>Public Education Capital Outlay</t>
  </si>
  <si>
    <t>42310</t>
  </si>
  <si>
    <t>G110</t>
  </si>
  <si>
    <t>Other State Appropriations</t>
  </si>
  <si>
    <t>42500</t>
  </si>
  <si>
    <t>G115</t>
  </si>
  <si>
    <t>Performance Based Incentive Program</t>
  </si>
  <si>
    <t>42510</t>
  </si>
  <si>
    <t>G120</t>
  </si>
  <si>
    <t>Student Advising System Appropriation</t>
  </si>
  <si>
    <t>42570</t>
  </si>
  <si>
    <t>G121</t>
  </si>
  <si>
    <t>Facilities Enhancement Challenge Grants Appropriations</t>
  </si>
  <si>
    <t>42580</t>
  </si>
  <si>
    <t>G122</t>
  </si>
  <si>
    <t>Distance Learning Grants</t>
  </si>
  <si>
    <t>42590</t>
  </si>
  <si>
    <t>G123</t>
  </si>
  <si>
    <t>Lottery - Community College Program Fund</t>
  </si>
  <si>
    <t>42610</t>
  </si>
  <si>
    <t>G124</t>
  </si>
  <si>
    <t>Information Technology Enhancement Grant</t>
  </si>
  <si>
    <t>42620</t>
  </si>
  <si>
    <t>G125</t>
  </si>
  <si>
    <t>Lottery - Facilities  Enhancement Challenge Grant</t>
  </si>
  <si>
    <t>42630</t>
  </si>
  <si>
    <t>G126</t>
  </si>
  <si>
    <t>Lottery - Philip Benjamin Grant</t>
  </si>
  <si>
    <t>42640</t>
  </si>
  <si>
    <t>Lottery - Capital Projects from Bond Proceeds</t>
  </si>
  <si>
    <t>42650</t>
  </si>
  <si>
    <t>G128</t>
  </si>
  <si>
    <t>Lottery - Capitalization Incentive Funds</t>
  </si>
  <si>
    <t>42690</t>
  </si>
  <si>
    <t>G130</t>
  </si>
  <si>
    <t>Grants &amp; Contracts - State (Operating)</t>
  </si>
  <si>
    <t>42710</t>
  </si>
  <si>
    <t>Operating - State and Local Grants and Contracts</t>
  </si>
  <si>
    <t>G131</t>
  </si>
  <si>
    <t>Grants &amp; Contracts - State (Non-operating)</t>
  </si>
  <si>
    <t>42720</t>
  </si>
  <si>
    <t>Non Operating - State and Local Grants and Contracts</t>
  </si>
  <si>
    <t>G132</t>
  </si>
  <si>
    <t>Grants &amp; Contracts - State (Capital Financing)</t>
  </si>
  <si>
    <t>42730</t>
  </si>
  <si>
    <t>G133</t>
  </si>
  <si>
    <t>Grants &amp; Contracts - State Student Aid</t>
  </si>
  <si>
    <t>42725</t>
  </si>
  <si>
    <t>Federal And State Student Aid</t>
  </si>
  <si>
    <t>G300</t>
  </si>
  <si>
    <t>Indirect Cost Recovered - State</t>
  </si>
  <si>
    <t>42900</t>
  </si>
  <si>
    <t>G310</t>
  </si>
  <si>
    <t>Refund to Grantor - State Government (Operating)</t>
  </si>
  <si>
    <t>42910</t>
  </si>
  <si>
    <t>G320</t>
  </si>
  <si>
    <t>Refund to Grantor - State Government (Non-operating)</t>
  </si>
  <si>
    <t>42920</t>
  </si>
  <si>
    <t>G330</t>
  </si>
  <si>
    <t>Refund to Grantor - State Government (Capital Financing)</t>
  </si>
  <si>
    <t>42930</t>
  </si>
  <si>
    <t>SUB-TOTAL STATE SUPPORT</t>
  </si>
  <si>
    <t>FEDERAL SUPPORT</t>
  </si>
  <si>
    <t>H010</t>
  </si>
  <si>
    <t>Grants &amp; Contracts Federal Government (Operating)</t>
  </si>
  <si>
    <t>43510</t>
  </si>
  <si>
    <t>Operating Federal Grants and Contracts</t>
  </si>
  <si>
    <t>H011</t>
  </si>
  <si>
    <t>Grants &amp; Contracts Federal Government (Non-operating)</t>
  </si>
  <si>
    <t>43520</t>
  </si>
  <si>
    <t>Grants &amp; Contracts Federal Government -Stimulus (HEERF) - Institutional</t>
  </si>
  <si>
    <t>43521</t>
  </si>
  <si>
    <t>Grants &amp; Contracts Federal Government (Student Aid)</t>
  </si>
  <si>
    <t>43525</t>
  </si>
  <si>
    <t>Federal and State Student Aid</t>
  </si>
  <si>
    <t>Grants &amp; Contracts Federal Government -Stimulus (HEERF) - Student</t>
  </si>
  <si>
    <t>43526</t>
  </si>
  <si>
    <t>H012</t>
  </si>
  <si>
    <t>Grants &amp; Contracts Federal Government (Capital Financing)</t>
  </si>
  <si>
    <t>43530</t>
  </si>
  <si>
    <t>H050</t>
  </si>
  <si>
    <t>Indirect Cost Recovered (federal)</t>
  </si>
  <si>
    <t>43900</t>
  </si>
  <si>
    <t>H055</t>
  </si>
  <si>
    <t>Refund to Grantor - Federal Government (Operating)</t>
  </si>
  <si>
    <t>43910</t>
  </si>
  <si>
    <t>H056</t>
  </si>
  <si>
    <t>Refund to Grantor - Federal Government (Non-operating)</t>
  </si>
  <si>
    <t>43920</t>
  </si>
  <si>
    <t>H057</t>
  </si>
  <si>
    <t>Refund to Grantor - Federal Government (Capital Financing)</t>
  </si>
  <si>
    <t>43930</t>
  </si>
  <si>
    <t>SUB-TOTAL FEDERAL SUPPORT</t>
  </si>
  <si>
    <t>GIFTS, PRIVATE GRANTS &amp; CONTRACTS</t>
  </si>
  <si>
    <t>J010</t>
  </si>
  <si>
    <t>Cash Contributions</t>
  </si>
  <si>
    <t>44100</t>
  </si>
  <si>
    <t>J050</t>
  </si>
  <si>
    <t>Non-cash Contributions</t>
  </si>
  <si>
    <t>44200</t>
  </si>
  <si>
    <t xml:space="preserve">Capital Grants, Contracts, Gifts and Fees </t>
  </si>
  <si>
    <t>J100</t>
  </si>
  <si>
    <t>Gifts, Grants &amp; Contracts - Private (Operating)</t>
  </si>
  <si>
    <t>44410</t>
  </si>
  <si>
    <t>Operating Nongovernmental Grants and Contracts</t>
  </si>
  <si>
    <t>Gifts, Grants &amp; Contracts - Private (Non Operating)</t>
  </si>
  <si>
    <t>44420</t>
  </si>
  <si>
    <t>Non Operating - Gifts and Grants</t>
  </si>
  <si>
    <t>Gifts, Grants &amp; Contracts - Private (Capital Financing)</t>
  </si>
  <si>
    <t>44430</t>
  </si>
  <si>
    <t>J110</t>
  </si>
  <si>
    <t>Indirect Costs Recovered - Private Sources</t>
  </si>
  <si>
    <t>44900</t>
  </si>
  <si>
    <t>J120</t>
  </si>
  <si>
    <t>Refund to Grantor - Private Sources (Operating)</t>
  </si>
  <si>
    <t>44910</t>
  </si>
  <si>
    <t>J121</t>
  </si>
  <si>
    <t>Refund to Grantor - Private Sources (Non-operating)</t>
  </si>
  <si>
    <t>44920</t>
  </si>
  <si>
    <t>J122</t>
  </si>
  <si>
    <t>Refund to Grantor - Private Sources (Capital Financing)</t>
  </si>
  <si>
    <t>44930</t>
  </si>
  <si>
    <t>SUB-TOTAL GIFTS, PRIVATE GRANTS &amp; CONTRACTS</t>
  </si>
  <si>
    <t>SALES &amp; SERVICES DEPARTMENT</t>
  </si>
  <si>
    <t>K010</t>
  </si>
  <si>
    <t>Bookstore Sales &amp; Commissions</t>
  </si>
  <si>
    <t>45000</t>
  </si>
  <si>
    <t>K030</t>
  </si>
  <si>
    <t>Food Service Sales &amp; Commissions</t>
  </si>
  <si>
    <t>45600</t>
  </si>
  <si>
    <t>Food Service Sales &amp; Commissions - Contra</t>
  </si>
  <si>
    <t>45699</t>
  </si>
  <si>
    <t>K050</t>
  </si>
  <si>
    <t>Housing Fees</t>
  </si>
  <si>
    <t>46000</t>
  </si>
  <si>
    <t>K060</t>
  </si>
  <si>
    <t>Commissions</t>
  </si>
  <si>
    <t>46200</t>
  </si>
  <si>
    <t>K070</t>
  </si>
  <si>
    <t>Rental Revenue (Short-Term)</t>
  </si>
  <si>
    <t>46400</t>
  </si>
  <si>
    <t>1 Other Operating Revenues ;  3 Aux Enterprises</t>
  </si>
  <si>
    <t>Lease Revenue (Long-Term)</t>
  </si>
  <si>
    <t>46500</t>
  </si>
  <si>
    <t>K080</t>
  </si>
  <si>
    <t>Other Sales &amp; Services</t>
  </si>
  <si>
    <t>46600</t>
  </si>
  <si>
    <t>1,2 Sales and Service of Ed Dept;  3 Aux Enterprises</t>
  </si>
  <si>
    <t>K085</t>
  </si>
  <si>
    <t>Risk Management Consortium Insurance Revenue</t>
  </si>
  <si>
    <t>46650</t>
  </si>
  <si>
    <t>K190</t>
  </si>
  <si>
    <t>Taxable Sales</t>
  </si>
  <si>
    <t>46700</t>
  </si>
  <si>
    <t>K200</t>
  </si>
  <si>
    <t>Interdepartmental Sales</t>
  </si>
  <si>
    <t>46900</t>
  </si>
  <si>
    <t>Interdepartmental Sales - Bookstore</t>
  </si>
  <si>
    <t>46901</t>
  </si>
  <si>
    <t>Interdepartmental Sales - Catering Food Sales</t>
  </si>
  <si>
    <t>46902</t>
  </si>
  <si>
    <t>Interdepartmental Sales - Miscellaneous</t>
  </si>
  <si>
    <t>46903</t>
  </si>
  <si>
    <t>SUB-TOTAL SALES &amp; SERVICES DEPARTMENT</t>
  </si>
  <si>
    <t>L010</t>
  </si>
  <si>
    <t>Endowment Income - Addition to Principal</t>
  </si>
  <si>
    <t xml:space="preserve"> </t>
  </si>
  <si>
    <t>SUB-TOTAL ENDOWMENT INCOME</t>
  </si>
  <si>
    <t>OTHER REVENUES</t>
  </si>
  <si>
    <t>M010</t>
  </si>
  <si>
    <t>Interest &amp; Dividends</t>
  </si>
  <si>
    <t>M020</t>
  </si>
  <si>
    <t>Gain or Loss on Investments</t>
  </si>
  <si>
    <t>Net Gain or Loss on Investments</t>
  </si>
  <si>
    <t>M030</t>
  </si>
  <si>
    <t>Fines &amp; Penalties</t>
  </si>
  <si>
    <t>M060</t>
  </si>
  <si>
    <t>Miscellaneous Revenues</t>
  </si>
  <si>
    <t>48900</t>
  </si>
  <si>
    <t>SUB-TOTAL OTHER REVENUES</t>
  </si>
  <si>
    <t>NON-REVENUE RECEIPTS</t>
  </si>
  <si>
    <t>N010</t>
  </si>
  <si>
    <t>Mandatory Transfers-In, Current Funds-Unrestricted</t>
  </si>
  <si>
    <t>49110</t>
  </si>
  <si>
    <t>N020</t>
  </si>
  <si>
    <t>Mandatory Transfers-In, Current Funds-Restricted</t>
  </si>
  <si>
    <t>49120</t>
  </si>
  <si>
    <t>N030</t>
  </si>
  <si>
    <t>Mandatory Transfers-In, Auxiliary Funds</t>
  </si>
  <si>
    <t>49130</t>
  </si>
  <si>
    <t>Mandatory Transfers-In, Loan, End., Ann.&amp; Life Inc. Funds</t>
  </si>
  <si>
    <t>49140</t>
  </si>
  <si>
    <t>N050</t>
  </si>
  <si>
    <t>Mandatory Transfers-In, Scholarship Funds</t>
  </si>
  <si>
    <t>49150</t>
  </si>
  <si>
    <t>N070</t>
  </si>
  <si>
    <t>Mandatory Transfers-In, Unexp. Plant &amp; Renewals/Repl. Funds</t>
  </si>
  <si>
    <t>49170</t>
  </si>
  <si>
    <t>N100</t>
  </si>
  <si>
    <t>Mandatory Transfers-In, Retirement of Indebtedness Funds</t>
  </si>
  <si>
    <t>49180</t>
  </si>
  <si>
    <t>N110</t>
  </si>
  <si>
    <t>Non-mandatory Transfers-In, Current Funds-Unrestricted</t>
  </si>
  <si>
    <t>49210</t>
  </si>
  <si>
    <t>N120</t>
  </si>
  <si>
    <t>Non-mandatory Transfers-In, Current Funds-Restricted</t>
  </si>
  <si>
    <t>49220</t>
  </si>
  <si>
    <t>N130</t>
  </si>
  <si>
    <t>Non-mandatory Transfers-In, Auxiliary Funds</t>
  </si>
  <si>
    <t>49230</t>
  </si>
  <si>
    <t>N140</t>
  </si>
  <si>
    <t>Non-mandatory Transfers-In, Loan, End., Ann. &amp; Life Inc. Funds</t>
  </si>
  <si>
    <t>49240</t>
  </si>
  <si>
    <t>N150</t>
  </si>
  <si>
    <t>Non-mandatory Transfers-In, Scholarship Funds</t>
  </si>
  <si>
    <t>49250</t>
  </si>
  <si>
    <t>N170</t>
  </si>
  <si>
    <t>Non-mandatory Transfers-In, Unexp. Plant &amp; Ren./Repl. Funds</t>
  </si>
  <si>
    <t>49270</t>
  </si>
  <si>
    <t>Non-mandatory Transfers-In, Retirement of Indebtedness Funds</t>
  </si>
  <si>
    <t>49280</t>
  </si>
  <si>
    <t>N230</t>
  </si>
  <si>
    <t>Proceeds from  Capital Assets &amp; Related Long-term Debt</t>
  </si>
  <si>
    <t>Gain/Loss from Sale of Property</t>
  </si>
  <si>
    <t>49505</t>
  </si>
  <si>
    <t>N240</t>
  </si>
  <si>
    <t>Proceeds from  Sale of Property</t>
  </si>
  <si>
    <t>49510</t>
  </si>
  <si>
    <t>Other Non Operating Revenues</t>
  </si>
  <si>
    <t>Insurance Recovery</t>
  </si>
  <si>
    <t>49520</t>
  </si>
  <si>
    <t>N260</t>
  </si>
  <si>
    <t>Prior Year Corrections</t>
  </si>
  <si>
    <t>49600</t>
  </si>
  <si>
    <t>N270</t>
  </si>
  <si>
    <t>Loan Principal &amp; Interest Cancellation Reimbursement</t>
  </si>
  <si>
    <t>49700</t>
  </si>
  <si>
    <t>N280</t>
  </si>
  <si>
    <t>Over &amp; Short</t>
  </si>
  <si>
    <t>SUB-TOTAL NON-REVENUE RECEIPTS</t>
  </si>
  <si>
    <t>GRAND TOTAL REVENUES</t>
  </si>
  <si>
    <t>PERSONNEL COSTS</t>
  </si>
  <si>
    <t>Salary - Risk Management Consortium</t>
  </si>
  <si>
    <t>50110</t>
  </si>
  <si>
    <t>P010</t>
  </si>
  <si>
    <t>Executive Management</t>
  </si>
  <si>
    <t>51000</t>
  </si>
  <si>
    <t>P020</t>
  </si>
  <si>
    <t>Instructional Management</t>
  </si>
  <si>
    <t>51100</t>
  </si>
  <si>
    <t>P030</t>
  </si>
  <si>
    <t>Institutional Management</t>
  </si>
  <si>
    <t>51200</t>
  </si>
  <si>
    <t>P040</t>
  </si>
  <si>
    <t>Executive, Administrative, Managerial Sabbatical</t>
  </si>
  <si>
    <t>51400</t>
  </si>
  <si>
    <t>P050</t>
  </si>
  <si>
    <t>Executive, Administrative, Managerial Regular Part-time</t>
  </si>
  <si>
    <t>51500</t>
  </si>
  <si>
    <t>P070</t>
  </si>
  <si>
    <t>Instructional</t>
  </si>
  <si>
    <t>52000</t>
  </si>
  <si>
    <t>P130</t>
  </si>
  <si>
    <t>Instructional - Overload/supplemental</t>
  </si>
  <si>
    <t>52100</t>
  </si>
  <si>
    <t>P140</t>
  </si>
  <si>
    <t>Instructional - Substitution</t>
  </si>
  <si>
    <t>52200</t>
  </si>
  <si>
    <t>P150</t>
  </si>
  <si>
    <t>Instructional - Para-professional / Associate / Assistant</t>
  </si>
  <si>
    <t>52300</t>
  </si>
  <si>
    <t>P160</t>
  </si>
  <si>
    <t>Instructional - Sabbatical</t>
  </si>
  <si>
    <t>52400</t>
  </si>
  <si>
    <t>P165</t>
  </si>
  <si>
    <t>Instructional -  Phased Retirement</t>
  </si>
  <si>
    <t>52500</t>
  </si>
  <si>
    <t>P210</t>
  </si>
  <si>
    <t xml:space="preserve">Other Professional </t>
  </si>
  <si>
    <t>53000</t>
  </si>
  <si>
    <t>P220</t>
  </si>
  <si>
    <t>Other Professional - Overload/supplemental</t>
  </si>
  <si>
    <t>53100</t>
  </si>
  <si>
    <t>P230</t>
  </si>
  <si>
    <t>Other Professional - Substitution</t>
  </si>
  <si>
    <t>53200</t>
  </si>
  <si>
    <t>P240</t>
  </si>
  <si>
    <t>Other Professional - Para-professional / Associate / Assistant</t>
  </si>
  <si>
    <t>53300</t>
  </si>
  <si>
    <t>P250</t>
  </si>
  <si>
    <t>Other Professional - Regular Part-time</t>
  </si>
  <si>
    <t>53500</t>
  </si>
  <si>
    <t>P260</t>
  </si>
  <si>
    <t>Technical, Clerical, Trade &amp; Service</t>
  </si>
  <si>
    <t>54000</t>
  </si>
  <si>
    <t>P270</t>
  </si>
  <si>
    <t>Technical, Clerical, Trade &amp; Service - Overtime</t>
  </si>
  <si>
    <t>54100</t>
  </si>
  <si>
    <t>P280</t>
  </si>
  <si>
    <t>Technical, Clerical, Trade &amp; Service - Regular Part-time</t>
  </si>
  <si>
    <t>54500</t>
  </si>
  <si>
    <t>P300</t>
  </si>
  <si>
    <t>OPS - Other Personnel - Executive, Administrative/ Managerial</t>
  </si>
  <si>
    <t>55000</t>
  </si>
  <si>
    <t>P310</t>
  </si>
  <si>
    <t>OPS - Instructional</t>
  </si>
  <si>
    <t>56000</t>
  </si>
  <si>
    <t>P380</t>
  </si>
  <si>
    <t>OPS - Instructional Substitutes</t>
  </si>
  <si>
    <t>56100</t>
  </si>
  <si>
    <t>P390</t>
  </si>
  <si>
    <t>OPS - Other Professional Part-time</t>
  </si>
  <si>
    <t>56500</t>
  </si>
  <si>
    <t>P400</t>
  </si>
  <si>
    <t>OPS - Technical, Clerical, Trade &amp; Service</t>
  </si>
  <si>
    <t>57000</t>
  </si>
  <si>
    <t>P410</t>
  </si>
  <si>
    <t>Student Employment - Institutional Work Study</t>
  </si>
  <si>
    <t>58000</t>
  </si>
  <si>
    <t>P420</t>
  </si>
  <si>
    <t>Student Employment - College Work Study Program</t>
  </si>
  <si>
    <t>58100</t>
  </si>
  <si>
    <t>P430</t>
  </si>
  <si>
    <t>Student Employment - College Work Experience Program</t>
  </si>
  <si>
    <t>58200</t>
  </si>
  <si>
    <t>P440</t>
  </si>
  <si>
    <t>Student Employment - Student Assistants</t>
  </si>
  <si>
    <t>58300</t>
  </si>
  <si>
    <t>P450</t>
  </si>
  <si>
    <t>Student Employment - Other Government Sources</t>
  </si>
  <si>
    <t>58400</t>
  </si>
  <si>
    <t>P460</t>
  </si>
  <si>
    <t>Employee Awards</t>
  </si>
  <si>
    <t>58500</t>
  </si>
  <si>
    <t>P470</t>
  </si>
  <si>
    <t>Social Security Contributions</t>
  </si>
  <si>
    <t>59100</t>
  </si>
  <si>
    <t>P471</t>
  </si>
  <si>
    <t>Social Security Alternative - Optional College Contribution</t>
  </si>
  <si>
    <t>59112</t>
  </si>
  <si>
    <t>P520</t>
  </si>
  <si>
    <t>Retirement Contributions</t>
  </si>
  <si>
    <t>59200</t>
  </si>
  <si>
    <t>Pension Expense</t>
  </si>
  <si>
    <t>59220</t>
  </si>
  <si>
    <t>P620</t>
  </si>
  <si>
    <t>Accrued Leave Expense    (compensated Absences)</t>
  </si>
  <si>
    <t>59300</t>
  </si>
  <si>
    <t>P650</t>
  </si>
  <si>
    <t xml:space="preserve">Accrued Severance Pay Expense   </t>
  </si>
  <si>
    <t>59400</t>
  </si>
  <si>
    <t>P660</t>
  </si>
  <si>
    <t>Other Benefits - Taxable</t>
  </si>
  <si>
    <t>59500</t>
  </si>
  <si>
    <t>59600</t>
  </si>
  <si>
    <t>P670</t>
  </si>
  <si>
    <t>Health Insurance OPEB Expense</t>
  </si>
  <si>
    <t>59601</t>
  </si>
  <si>
    <t>P671</t>
  </si>
  <si>
    <t>Life Insurance OPEB Expense</t>
  </si>
  <si>
    <t>59602</t>
  </si>
  <si>
    <t>P760</t>
  </si>
  <si>
    <t>Insurance Benefits</t>
  </si>
  <si>
    <t>59700</t>
  </si>
  <si>
    <t>P761</t>
  </si>
  <si>
    <t>Health Insurance Contributions</t>
  </si>
  <si>
    <t>59701</t>
  </si>
  <si>
    <t>P762</t>
  </si>
  <si>
    <t>Life Insurance Contributions</t>
  </si>
  <si>
    <t>59702</t>
  </si>
  <si>
    <t>P763</t>
  </si>
  <si>
    <t>Dental Insurance Contribution</t>
  </si>
  <si>
    <t>59703</t>
  </si>
  <si>
    <t>P764</t>
  </si>
  <si>
    <t>Disability Insurance Contribution</t>
  </si>
  <si>
    <t>59704</t>
  </si>
  <si>
    <t>P765</t>
  </si>
  <si>
    <t>Eye Care Insurance Contribution</t>
  </si>
  <si>
    <t>59705</t>
  </si>
  <si>
    <t>P820</t>
  </si>
  <si>
    <t>Matriculation Benefits &amp; Reimbursement</t>
  </si>
  <si>
    <t>59800</t>
  </si>
  <si>
    <t>P830</t>
  </si>
  <si>
    <t>Part-time Employee Matriculation Benefits</t>
  </si>
  <si>
    <t>59810</t>
  </si>
  <si>
    <t>TOTAL PERSONNEL COSTS</t>
  </si>
  <si>
    <t>CURRENT EXPENSE</t>
  </si>
  <si>
    <t>Expenses - Risk Management Consortium</t>
  </si>
  <si>
    <t>60110</t>
  </si>
  <si>
    <t>Q005</t>
  </si>
  <si>
    <t>Travel</t>
  </si>
  <si>
    <t>60500</t>
  </si>
  <si>
    <t>Q050</t>
  </si>
  <si>
    <t>Freight &amp; Postage</t>
  </si>
  <si>
    <t>61000</t>
  </si>
  <si>
    <t>Q065</t>
  </si>
  <si>
    <t>Telecommunications</t>
  </si>
  <si>
    <t>61500</t>
  </si>
  <si>
    <t>Q090</t>
  </si>
  <si>
    <t>Printing</t>
  </si>
  <si>
    <t>62000</t>
  </si>
  <si>
    <t>Q120</t>
  </si>
  <si>
    <t>Repairs &amp; Maintenance</t>
  </si>
  <si>
    <t>62500</t>
  </si>
  <si>
    <t>Q150</t>
  </si>
  <si>
    <t>Rentals (Short-Term)</t>
  </si>
  <si>
    <t>63000</t>
  </si>
  <si>
    <t>Lease Payments (Long-Term/Asset &lt;$5,000)</t>
  </si>
  <si>
    <t>63100</t>
  </si>
  <si>
    <t>Q200</t>
  </si>
  <si>
    <t>Insurance</t>
  </si>
  <si>
    <t>63500</t>
  </si>
  <si>
    <t>Q201</t>
  </si>
  <si>
    <t>Insurance - Property</t>
  </si>
  <si>
    <t>63501</t>
  </si>
  <si>
    <t>Q202</t>
  </si>
  <si>
    <t>Insurance - Workers Compensation</t>
  </si>
  <si>
    <t>63502</t>
  </si>
  <si>
    <t>Q203</t>
  </si>
  <si>
    <t>Insurance - Student</t>
  </si>
  <si>
    <t>63503</t>
  </si>
  <si>
    <t>Q204</t>
  </si>
  <si>
    <t>Insurance - Fleet</t>
  </si>
  <si>
    <t>63504</t>
  </si>
  <si>
    <t>Q205</t>
  </si>
  <si>
    <t>Insurance - General Liability</t>
  </si>
  <si>
    <t>63505</t>
  </si>
  <si>
    <t>Q206</t>
  </si>
  <si>
    <t>Insurance - Professional Liability</t>
  </si>
  <si>
    <t>63506</t>
  </si>
  <si>
    <t>Insurance - Patient-Centered Outcomes Research Institute Fee</t>
  </si>
  <si>
    <t>63507</t>
  </si>
  <si>
    <t>Q207</t>
  </si>
  <si>
    <t>Insurance - Risk Management Consortium</t>
  </si>
  <si>
    <t>63700</t>
  </si>
  <si>
    <t>Q240</t>
  </si>
  <si>
    <t>Utilities</t>
  </si>
  <si>
    <t>64000</t>
  </si>
  <si>
    <t>Q241</t>
  </si>
  <si>
    <t>Heating Fuels</t>
  </si>
  <si>
    <t>64001</t>
  </si>
  <si>
    <t>Q242</t>
  </si>
  <si>
    <t>Water &amp; Sewer</t>
  </si>
  <si>
    <t>64002</t>
  </si>
  <si>
    <t>Q243</t>
  </si>
  <si>
    <t>Electricity</t>
  </si>
  <si>
    <t>64003</t>
  </si>
  <si>
    <t>Q244</t>
  </si>
  <si>
    <t>Garbage Collections</t>
  </si>
  <si>
    <t>64004</t>
  </si>
  <si>
    <t>Q245</t>
  </si>
  <si>
    <t>Fuel Vehicular</t>
  </si>
  <si>
    <t>64005</t>
  </si>
  <si>
    <t>Q246</t>
  </si>
  <si>
    <t>Hazardous Waste Removal</t>
  </si>
  <si>
    <t>64006</t>
  </si>
  <si>
    <t>Q247</t>
  </si>
  <si>
    <t>Storm Water Runoff Fees</t>
  </si>
  <si>
    <t>64007</t>
  </si>
  <si>
    <t>Q280</t>
  </si>
  <si>
    <t>Other Services</t>
  </si>
  <si>
    <t>64500</t>
  </si>
  <si>
    <t>Q355</t>
  </si>
  <si>
    <t>Workforce / Wages/ Grant Participant Support Cost</t>
  </si>
  <si>
    <t>64600</t>
  </si>
  <si>
    <t>Q435</t>
  </si>
  <si>
    <t>Service Provider Contracts - Workforce / Wages</t>
  </si>
  <si>
    <t>64700</t>
  </si>
  <si>
    <t>Q440</t>
  </si>
  <si>
    <t>Professional Fees</t>
  </si>
  <si>
    <t>65000</t>
  </si>
  <si>
    <t>Q490</t>
  </si>
  <si>
    <t>Educational, Office / Department  Material &amp; Supplies</t>
  </si>
  <si>
    <t>65500</t>
  </si>
  <si>
    <t>Q515</t>
  </si>
  <si>
    <t>Data Software - Non-capitalized</t>
  </si>
  <si>
    <t>65700</t>
  </si>
  <si>
    <t>Q530</t>
  </si>
  <si>
    <t>Maintenance &amp; Construction Materials &amp; Supplies</t>
  </si>
  <si>
    <t>66000</t>
  </si>
  <si>
    <t>Q565</t>
  </si>
  <si>
    <t>Other Materials  &amp; Supplies</t>
  </si>
  <si>
    <t>66500</t>
  </si>
  <si>
    <t>Q605</t>
  </si>
  <si>
    <t>Library Resources</t>
  </si>
  <si>
    <t>67000</t>
  </si>
  <si>
    <t>Q606</t>
  </si>
  <si>
    <t>Subscriptions</t>
  </si>
  <si>
    <t>67001</t>
  </si>
  <si>
    <t>Q607</t>
  </si>
  <si>
    <t>Periodicals</t>
  </si>
  <si>
    <t>67002</t>
  </si>
  <si>
    <t>Q608</t>
  </si>
  <si>
    <t>Books</t>
  </si>
  <si>
    <t>67003</t>
  </si>
  <si>
    <t>Q609</t>
  </si>
  <si>
    <t>Other Library Collections</t>
  </si>
  <si>
    <t>67004</t>
  </si>
  <si>
    <t>Q610</t>
  </si>
  <si>
    <t>E-resources - Purchased</t>
  </si>
  <si>
    <t>67005</t>
  </si>
  <si>
    <t>Q611</t>
  </si>
  <si>
    <t>E-resources Licensed</t>
  </si>
  <si>
    <t>67006</t>
  </si>
  <si>
    <t>Q615</t>
  </si>
  <si>
    <t>Purchases for Resale</t>
  </si>
  <si>
    <t>67500</t>
  </si>
  <si>
    <t>Q665</t>
  </si>
  <si>
    <t>Indirect Cost Expense</t>
  </si>
  <si>
    <t>67600</t>
  </si>
  <si>
    <t>Q690</t>
  </si>
  <si>
    <t>Administrative Cost Pool Allocation</t>
  </si>
  <si>
    <t>67700</t>
  </si>
  <si>
    <t>Q705</t>
  </si>
  <si>
    <t>Scholarships &amp; Waivers</t>
  </si>
  <si>
    <t>68000</t>
  </si>
  <si>
    <t>Q750</t>
  </si>
  <si>
    <t>Interest on Debt</t>
  </si>
  <si>
    <t>68500</t>
  </si>
  <si>
    <t>Q751</t>
  </si>
  <si>
    <t>Interest on Unfunded OPEB</t>
  </si>
  <si>
    <t>68511</t>
  </si>
  <si>
    <t>Q765</t>
  </si>
  <si>
    <t>Payments on Debt Principal</t>
  </si>
  <si>
    <t>69000</t>
  </si>
  <si>
    <t>Q771</t>
  </si>
  <si>
    <t>Mandatory Transfers-Out, Current Funds - Unrestricted</t>
  </si>
  <si>
    <t>69110</t>
  </si>
  <si>
    <t>Q772</t>
  </si>
  <si>
    <t>Mandatory Transfers-Out, Current Funds - Restricted</t>
  </si>
  <si>
    <t>69120</t>
  </si>
  <si>
    <t>Q773</t>
  </si>
  <si>
    <t>Mandatory Transfers-Out, Auxiliary Funds</t>
  </si>
  <si>
    <t>69130</t>
  </si>
  <si>
    <t>Q774</t>
  </si>
  <si>
    <t>Mandatory Transfers-Out, Loan, End., Ann. &amp; Life Inc. Funds</t>
  </si>
  <si>
    <t>69140</t>
  </si>
  <si>
    <t>Q775</t>
  </si>
  <si>
    <t>Mandatory Transfers-Out, Scholarship Funds</t>
  </si>
  <si>
    <t>69150</t>
  </si>
  <si>
    <t>Q776</t>
  </si>
  <si>
    <t>Mandatory Transfers-Out, Unexp. Plant &amp; Ren./Repl. Funds</t>
  </si>
  <si>
    <t>69170</t>
  </si>
  <si>
    <t>Q777</t>
  </si>
  <si>
    <t xml:space="preserve">Mandatory Transfers-Out, Retirement of Indebtedness Funds </t>
  </si>
  <si>
    <t>69180</t>
  </si>
  <si>
    <t>Q851</t>
  </si>
  <si>
    <t>Non-mandatory Transfers-Out, Current Funds - Unrestricted</t>
  </si>
  <si>
    <t>69210</t>
  </si>
  <si>
    <t>Q852</t>
  </si>
  <si>
    <t>Non-mandatory Transfers-Out, Current Funds -restricted</t>
  </si>
  <si>
    <t>69220</t>
  </si>
  <si>
    <t>Q853</t>
  </si>
  <si>
    <t>Non-mandatory Transfers-Out, Auxiliary Funds</t>
  </si>
  <si>
    <t>69230</t>
  </si>
  <si>
    <t>Q854</t>
  </si>
  <si>
    <t>Non-mandatory Transfers-Out, Loan, End., Ann. &amp; Life Inc. Funds</t>
  </si>
  <si>
    <t>69240</t>
  </si>
  <si>
    <t>Q855</t>
  </si>
  <si>
    <t>Non-mandatory Transfers-Out, Scholarship Funds</t>
  </si>
  <si>
    <t>69250</t>
  </si>
  <si>
    <t>Q857</t>
  </si>
  <si>
    <t>Non-mandatory Transfers-Out, Unexp. Plant &amp; Ren./Repl. Funds</t>
  </si>
  <si>
    <t>69270</t>
  </si>
  <si>
    <t>Q858</t>
  </si>
  <si>
    <t>Non-mandatory Transfers-Out,  Retire of Indebtedness</t>
  </si>
  <si>
    <t>69280</t>
  </si>
  <si>
    <t>Q945</t>
  </si>
  <si>
    <t>Depreciation / Amortization Expense</t>
  </si>
  <si>
    <t>69400</t>
  </si>
  <si>
    <t>Q950</t>
  </si>
  <si>
    <t>Other Expenses</t>
  </si>
  <si>
    <t>69500</t>
  </si>
  <si>
    <t>Q980</t>
  </si>
  <si>
    <t>69600</t>
  </si>
  <si>
    <t>TOTAL CURRENT EXPENSE</t>
  </si>
  <si>
    <t>CAPITAL OUTLAY</t>
  </si>
  <si>
    <t>Minor Equipment - Risk Management Consortium</t>
  </si>
  <si>
    <t>70110</t>
  </si>
  <si>
    <t>R015</t>
  </si>
  <si>
    <t>Minor Equipment, Non-capitalized, Non Inventoried</t>
  </si>
  <si>
    <t>70500</t>
  </si>
  <si>
    <t>R020</t>
  </si>
  <si>
    <t>Minor  Equipment - Non Capitalized Inventoried</t>
  </si>
  <si>
    <t>70600</t>
  </si>
  <si>
    <t>Furniture &amp; Equipment</t>
  </si>
  <si>
    <t>71000</t>
  </si>
  <si>
    <t>These are capitalized - No expenditures to SRECNP</t>
  </si>
  <si>
    <t>Capitalized Equipment - Risk Management Consortium</t>
  </si>
  <si>
    <t>71009</t>
  </si>
  <si>
    <t>R056</t>
  </si>
  <si>
    <t>Control Account for 3 Year Capital Asset Class</t>
  </si>
  <si>
    <t>71010</t>
  </si>
  <si>
    <t>One needs to do negative amounts on the Accounts by</t>
  </si>
  <si>
    <t>Computer Technology</t>
  </si>
  <si>
    <t>71011</t>
  </si>
  <si>
    <t>GL to zero out all capitalized expenditure totals</t>
  </si>
  <si>
    <t>R057</t>
  </si>
  <si>
    <t>Control Account for 5 Year Capital Asset Class</t>
  </si>
  <si>
    <t>71020</t>
  </si>
  <si>
    <t>R058</t>
  </si>
  <si>
    <t>Control Account for 7 Year Capital Asset Class</t>
  </si>
  <si>
    <t>71030</t>
  </si>
  <si>
    <t>R059</t>
  </si>
  <si>
    <t>Control Account for 10 Year Capital Asset Class</t>
  </si>
  <si>
    <t>71040</t>
  </si>
  <si>
    <t>R115</t>
  </si>
  <si>
    <t>Data Software</t>
  </si>
  <si>
    <t>72000</t>
  </si>
  <si>
    <t>Artwork/artifact</t>
  </si>
  <si>
    <t>73050</t>
  </si>
  <si>
    <t>Lease Payments (Long-Term/Asset =&gt; $5,000)</t>
  </si>
  <si>
    <t>73100</t>
  </si>
  <si>
    <t>R210</t>
  </si>
  <si>
    <t>Buildings &amp; Fixed Equipment</t>
  </si>
  <si>
    <t>75000</t>
  </si>
  <si>
    <t>R390</t>
  </si>
  <si>
    <t>Remod. &amp; Renov./Non Cap. Repair &amp; Maint/Other Struct. &amp; Improv</t>
  </si>
  <si>
    <t>76000</t>
  </si>
  <si>
    <t>R395</t>
  </si>
  <si>
    <t>77000</t>
  </si>
  <si>
    <t>R397</t>
  </si>
  <si>
    <t>Leasehold = &gt; $25,000/project</t>
  </si>
  <si>
    <t>78000</t>
  </si>
  <si>
    <t>R400</t>
  </si>
  <si>
    <t>79000</t>
  </si>
  <si>
    <t>TOTAL CAPITAL OUTLAY</t>
  </si>
  <si>
    <t>TOTAL ALL EXPENDITURES</t>
  </si>
  <si>
    <t>CHANGE IN FUND BALANCE</t>
  </si>
  <si>
    <t>GASB AJEs should net to $0</t>
  </si>
  <si>
    <t>FUND BALANCE</t>
  </si>
  <si>
    <t>GL</t>
  </si>
  <si>
    <t>UNRESTRICTED</t>
  </si>
  <si>
    <t>ACCOUNT TITLE</t>
  </si>
  <si>
    <t>CODE</t>
  </si>
  <si>
    <t>CURRENT</t>
  </si>
  <si>
    <t>Total Fund Balances to FS</t>
  </si>
  <si>
    <t>1,3 Unrestricted</t>
  </si>
  <si>
    <t>2 Grants and Loans</t>
  </si>
  <si>
    <t>4 Loan and Endowment</t>
  </si>
  <si>
    <t>5 Scholarships</t>
  </si>
  <si>
    <t>7 Capital Projects</t>
  </si>
  <si>
    <t>8 Debt Service</t>
  </si>
  <si>
    <t xml:space="preserve">     TOTAL RESERVE &amp; UNALLOCATED FUND BALANCES</t>
  </si>
  <si>
    <t>Amount Expected to be Financed in Future Yrs (negative number)</t>
  </si>
  <si>
    <t xml:space="preserve">     TOTAL FUND BALANCES</t>
  </si>
  <si>
    <t xml:space="preserve">                                                   </t>
  </si>
  <si>
    <t>Prior Year 6-30 Fund Balance</t>
  </si>
  <si>
    <t>(DOES NOT INCLUDE COMPENSATED ABSENCES).   AMOUNT SHOULD BE THE SAME FIGURE AS PRIOR YEAR.</t>
  </si>
  <si>
    <t>Audit Adjustments</t>
  </si>
  <si>
    <t>Other Adjustments</t>
  </si>
  <si>
    <t>Adjusted Prior Year Fund Balance</t>
  </si>
  <si>
    <t>Grand Total Revenues</t>
  </si>
  <si>
    <t>Total Funds Available</t>
  </si>
  <si>
    <t>State Statues</t>
  </si>
  <si>
    <r>
      <rPr>
        <sz val="9"/>
        <color rgb="FFFF0000"/>
        <rFont val="Arial"/>
        <family val="2"/>
      </rPr>
      <t>Unencumbered</t>
    </r>
    <r>
      <rPr>
        <sz val="9"/>
        <color indexed="8"/>
        <rFont val="Arial"/>
        <family val="2"/>
      </rPr>
      <t xml:space="preserve"> Fund Balance as % of Total Funds Available</t>
    </r>
  </si>
  <si>
    <t>(This calculation has been adjusted to conform to Section 1011.84(3)(e), Florida Statutes by including all technically unencumbered GL codes rather than only 31100.)</t>
  </si>
  <si>
    <t>CHECK AND BALANCE SECTION OF SCHEDULE</t>
  </si>
  <si>
    <t>RECONCILIATION:</t>
  </si>
  <si>
    <t>Prior year fund balance net of compensated absences (AMOUNT EXPECTED TO BE FINANCED IN FUTURE YEARS)</t>
  </si>
  <si>
    <t>Prior year net fund balance from above, minus ADJUSTED PRIOR YEAR FUND BALANCE</t>
  </si>
  <si>
    <t>Prior year net fund balance from above, minus PRIOR YEAR 6-30 FUND BALANCE</t>
  </si>
  <si>
    <t>SNP BALANCE TEST:</t>
  </si>
  <si>
    <t>Total Assets</t>
  </si>
  <si>
    <t>Total Liabilities</t>
  </si>
  <si>
    <t>Total Fund Balance</t>
  </si>
  <si>
    <t>Total Assets - Total Liabilities + Total Fund Balance</t>
  </si>
  <si>
    <t>DIVISION CHECK: Assets - Liabilities - Beginning Fund Balance - Revenues + Expenses</t>
  </si>
  <si>
    <t>BASIC FINANCIAL STATEMENTS</t>
  </si>
  <si>
    <t>BASIC FINANCIAL STATEMENT</t>
  </si>
  <si>
    <t>For subtotals, if actual sums do not tie to rounded sums,</t>
  </si>
  <si>
    <t>amounts will be highlighted in pink.</t>
  </si>
  <si>
    <t>A COMPONENT UNIT OF THE STATE OF FLORIDA</t>
  </si>
  <si>
    <t>Rounding issues do NOT have to be addressed by the college</t>
  </si>
  <si>
    <t>STATEMENT OF NET POSITION</t>
  </si>
  <si>
    <t>when information is otherwise correct</t>
  </si>
  <si>
    <t>These columns are intended to be a tool for AFR preparers.</t>
  </si>
  <si>
    <t>College</t>
  </si>
  <si>
    <t>Totals</t>
  </si>
  <si>
    <t>(from AGL)</t>
  </si>
  <si>
    <t>Adjustments</t>
  </si>
  <si>
    <t>Unit</t>
  </si>
  <si>
    <t>Unlocked Work Area</t>
  </si>
  <si>
    <t xml:space="preserve">                    Unrounded SNA Balances</t>
  </si>
  <si>
    <t>DOE</t>
  </si>
  <si>
    <t>DFS</t>
  </si>
  <si>
    <t>Current Assets:</t>
  </si>
  <si>
    <t>Rounding</t>
  </si>
  <si>
    <t>CU</t>
  </si>
  <si>
    <t>Multi</t>
  </si>
  <si>
    <t>Noncurrent Assets:</t>
  </si>
  <si>
    <t>DEFERRED OUTFLOWS OF RESOURCES</t>
  </si>
  <si>
    <t>Deferred Outflow Related to Service Concession Arrangement</t>
  </si>
  <si>
    <t xml:space="preserve">Deferred Outflows of Resources - Lease Agreements </t>
  </si>
  <si>
    <t>Deferred Outflows - Accumulated Decrease in Fair Value of Securities</t>
  </si>
  <si>
    <t>TOTAL DEFERRED OUTFLOWS OF RESOURCES</t>
  </si>
  <si>
    <t>TOTAL ASSETS AND DEFERRED OUTFLOWS OF RESOURCES</t>
  </si>
  <si>
    <t>Current Liabilities:</t>
  </si>
  <si>
    <t>Long-Term Liabilities - Current Portion:</t>
  </si>
  <si>
    <t>FRS Net Pension Liability</t>
  </si>
  <si>
    <t>HIS Net Pension Liability</t>
  </si>
  <si>
    <t xml:space="preserve">Other Postemployment Benefits Payable </t>
  </si>
  <si>
    <t>STATEMENT OF NET POSITION (Continued)</t>
  </si>
  <si>
    <t>Unrounded SNA Balances</t>
  </si>
  <si>
    <t>Noncurrent Liabilities:</t>
  </si>
  <si>
    <t>Total Noncurrent Liabilities</t>
  </si>
  <si>
    <t>DEFERRED INFLOWS OF RESOURCES</t>
  </si>
  <si>
    <t xml:space="preserve">Deferred Inflows - Lease Agreements </t>
  </si>
  <si>
    <t>Deferred Inflows - Accumulated Increase in Fair Value of Securities</t>
  </si>
  <si>
    <t>TOTAL DEFERRED INFLOWS OF RESOURCES</t>
  </si>
  <si>
    <t>TOTAL LIABILITIES AND DEFERRED INFLOWS OF RESOURCES</t>
  </si>
  <si>
    <t>NET POSITION</t>
  </si>
  <si>
    <t>53600</t>
  </si>
  <si>
    <t>Restricted:</t>
  </si>
  <si>
    <t>Nonexpendable:</t>
  </si>
  <si>
    <t>Expendable:</t>
  </si>
  <si>
    <t>53400</t>
  </si>
  <si>
    <t>53800</t>
  </si>
  <si>
    <t>53900</t>
  </si>
  <si>
    <t>Total Net Position</t>
  </si>
  <si>
    <t>TOTAL LIABILITIES, DEFERRED INFLOWS OF RESOURCES AND NET POSITION</t>
  </si>
  <si>
    <t>The accompanying notes to financial statements are an integral part of this statement.</t>
  </si>
  <si>
    <t>Balance Check ((Assets + Deferred Outflows) - (Liabilities + Deferred Inflows + Net Position)):</t>
  </si>
  <si>
    <t>Unlocked Work Area:</t>
  </si>
  <si>
    <t>STATEMENT OF REVENUES, EXPENSES, AND CHANGES IN NET POSITION</t>
  </si>
  <si>
    <r>
      <t>For subtotals, if actual sums do not tie to rounded sums, amounts will be</t>
    </r>
    <r>
      <rPr>
        <b/>
        <u/>
        <sz val="9"/>
        <rFont val="Arial"/>
        <family val="2"/>
      </rPr>
      <t xml:space="preserve"> </t>
    </r>
  </si>
  <si>
    <r>
      <t xml:space="preserve">highlighted in pink. </t>
    </r>
    <r>
      <rPr>
        <b/>
        <u/>
        <sz val="9"/>
        <rFont val="Arial"/>
        <family val="2"/>
      </rPr>
      <t xml:space="preserve">Rounding issues do NOT have to be addressed </t>
    </r>
  </si>
  <si>
    <t>by the college, when information is otherwise correct.</t>
  </si>
  <si>
    <t>REVENUES</t>
  </si>
  <si>
    <t>Operating Revenues:</t>
  </si>
  <si>
    <t>Unrounded SRECNP Balances</t>
  </si>
  <si>
    <t>Student Tuition and Fees, Net of Scholarship</t>
  </si>
  <si>
    <t>67100</t>
  </si>
  <si>
    <t>Allowances of $</t>
  </si>
  <si>
    <t>61400</t>
  </si>
  <si>
    <t>Auxiliary Enterprises, Net of Scholarship</t>
  </si>
  <si>
    <t>68900</t>
  </si>
  <si>
    <t>EXPENSES</t>
  </si>
  <si>
    <t>Operating Expenses:</t>
  </si>
  <si>
    <t>77100</t>
  </si>
  <si>
    <t>77500</t>
  </si>
  <si>
    <t>NONOPERATING REVENUES (EXPENSES)</t>
  </si>
  <si>
    <t>68400</t>
  </si>
  <si>
    <t>68600</t>
  </si>
  <si>
    <t>72600</t>
  </si>
  <si>
    <t>Expenses, Gains, or Losses</t>
  </si>
  <si>
    <t>62100</t>
  </si>
  <si>
    <t>69800</t>
  </si>
  <si>
    <t>Net Position, Beginning of Year</t>
  </si>
  <si>
    <t>Adjustments to Beginning Net Position</t>
  </si>
  <si>
    <t>Net Position, Beginning of Year, as Restated</t>
  </si>
  <si>
    <t>Net Position, End of Year</t>
  </si>
  <si>
    <r>
      <t>For subtotals, if actual sums do not tie to rounded sums</t>
    </r>
    <r>
      <rPr>
        <b/>
        <u/>
        <sz val="9"/>
        <rFont val="Arial"/>
        <family val="2"/>
      </rPr>
      <t xml:space="preserve"> </t>
    </r>
    <r>
      <rPr>
        <sz val="9"/>
        <rFont val="Arial"/>
        <family val="2"/>
      </rPr>
      <t xml:space="preserve"> </t>
    </r>
  </si>
  <si>
    <t xml:space="preserve"> amounts will be highlighted in pink. </t>
  </si>
  <si>
    <t>STATEMENT OF CASH FLOWS</t>
  </si>
  <si>
    <t>Rounding issues do NOT have to be addressed by the college,</t>
  </si>
  <si>
    <t>when information is otherwise correct.</t>
  </si>
  <si>
    <t xml:space="preserve">    Unrounded SCF Balances</t>
  </si>
  <si>
    <t>CASH FLOWS FROM OPERATING ACTIVITIES</t>
  </si>
  <si>
    <t>CFOA0100</t>
  </si>
  <si>
    <t>Tuition and Fees, Net</t>
  </si>
  <si>
    <t>CFOA0200</t>
  </si>
  <si>
    <t>Grants and Contracts</t>
  </si>
  <si>
    <t>CFOA0300</t>
  </si>
  <si>
    <t>Payments to Suppliers</t>
  </si>
  <si>
    <t>CFOA0400</t>
  </si>
  <si>
    <t>Payments for Utilities and Communications</t>
  </si>
  <si>
    <t>CFOA0500</t>
  </si>
  <si>
    <t>Payments to Employees</t>
  </si>
  <si>
    <t>CFOA0600</t>
  </si>
  <si>
    <t>Payments for Employee Benefits</t>
  </si>
  <si>
    <t>CFOA0700</t>
  </si>
  <si>
    <t>Payments for Scholarships</t>
  </si>
  <si>
    <t>CFOA0800</t>
  </si>
  <si>
    <t>Loans Issued to Students</t>
  </si>
  <si>
    <t>CFOA0900</t>
  </si>
  <si>
    <t>Collection of Loans to Students</t>
  </si>
  <si>
    <t>CFOA1000</t>
  </si>
  <si>
    <t>Auxiliary Enterprises, Net</t>
  </si>
  <si>
    <t>CFOA1100</t>
  </si>
  <si>
    <t>CFOA1200</t>
  </si>
  <si>
    <t>CFOA2000</t>
  </si>
  <si>
    <t>CASH FLOWS FROM NONCAPITAL FINANCING ACTIVITIES</t>
  </si>
  <si>
    <t>CFNCFA0100</t>
  </si>
  <si>
    <t>CFNCFA0200</t>
  </si>
  <si>
    <t>CFNCFA0300</t>
  </si>
  <si>
    <t>Federal Direct Loan Program Receipts</t>
  </si>
  <si>
    <t>CFNCFA0400</t>
  </si>
  <si>
    <t>Federal Direct Loan Program Disbursements</t>
  </si>
  <si>
    <t>CFNCFA0500</t>
  </si>
  <si>
    <t>Gifts and Grants Received for Other than Capital or Endowment Purposes</t>
  </si>
  <si>
    <t>CFNCFA0600</t>
  </si>
  <si>
    <t>Private Gifts for Endowment Purposes</t>
  </si>
  <si>
    <t>CFNCFA0700</t>
  </si>
  <si>
    <t>CFNCFA2000</t>
  </si>
  <si>
    <t>CASH FLOWS FROM CAPITAL AND RELATED FINANCING ACTIVITIES</t>
  </si>
  <si>
    <t>CFCRFA0100</t>
  </si>
  <si>
    <t>Proceeds from Capital Debt</t>
  </si>
  <si>
    <t>CFCRFA0200</t>
  </si>
  <si>
    <t>CFCRFA0300</t>
  </si>
  <si>
    <t>Capital Grants and Gifts</t>
  </si>
  <si>
    <t>CFCRFA0400</t>
  </si>
  <si>
    <t>Proceeds from Sale of Refunding of Bonds</t>
  </si>
  <si>
    <t>CFCRFA0500</t>
  </si>
  <si>
    <t>Proceeds from Sale of Capital Assets</t>
  </si>
  <si>
    <t>CFCRFA0600</t>
  </si>
  <si>
    <t>Purchases of Capital Assets</t>
  </si>
  <si>
    <t>CFCRFA0700</t>
  </si>
  <si>
    <t>Principal Paid on Capital Debt and Leases</t>
  </si>
  <si>
    <t>CFCRFA0800</t>
  </si>
  <si>
    <t>Interest Paid on Capital Debt and Leases</t>
  </si>
  <si>
    <t>CFCRFA0900</t>
  </si>
  <si>
    <t>Deposits with Trustee</t>
  </si>
  <si>
    <t>CFCRFA2000</t>
  </si>
  <si>
    <t>CASH FLOWS FROM INVESTING ACTIVITIES</t>
  </si>
  <si>
    <t>CFIA0100</t>
  </si>
  <si>
    <t>Proceeds from Sales and Maturities of Investments</t>
  </si>
  <si>
    <t>CFIA0200</t>
  </si>
  <si>
    <t>Purchase of Investments</t>
  </si>
  <si>
    <t>CFIA0300</t>
  </si>
  <si>
    <t>CFIA2000</t>
  </si>
  <si>
    <t>BCASH2000</t>
  </si>
  <si>
    <t>Cash and Cash Equivalents, Beginning of Year</t>
  </si>
  <si>
    <t>Cash and Cash Equivalents, End of Year</t>
  </si>
  <si>
    <t>SNA Cash</t>
  </si>
  <si>
    <t>STATEMENT OF CASH FLOWS (Continued)</t>
  </si>
  <si>
    <t xml:space="preserve">     Unrounded SCF Balances</t>
  </si>
  <si>
    <t>RECONCILIATION OF OPERATING LOSS</t>
  </si>
  <si>
    <t>Operating Loss</t>
  </si>
  <si>
    <t>Adjustments to Reconcile Operating Loss</t>
  </si>
  <si>
    <t>CROL0100</t>
  </si>
  <si>
    <t>Depreciation Expense</t>
  </si>
  <si>
    <t>Changes in Assets and Liabilities:</t>
  </si>
  <si>
    <t>CROL0200</t>
  </si>
  <si>
    <t>Receivables, Net</t>
  </si>
  <si>
    <t>CROL0300</t>
  </si>
  <si>
    <t>Notes Receivables, Net (Loans to Students)</t>
  </si>
  <si>
    <t xml:space="preserve">Due from Component Unit </t>
  </si>
  <si>
    <t xml:space="preserve">Due to Other Governmental Agencies </t>
  </si>
  <si>
    <t>CROL0400</t>
  </si>
  <si>
    <t>CROL0500</t>
  </si>
  <si>
    <t>CROL0600</t>
  </si>
  <si>
    <t>CROL0700</t>
  </si>
  <si>
    <t>Retirement Plan(s) Payable</t>
  </si>
  <si>
    <t>CROL0800</t>
  </si>
  <si>
    <t>Salaries and Payroll Taxes Payable</t>
  </si>
  <si>
    <t>CROL0900</t>
  </si>
  <si>
    <t>CROL1000</t>
  </si>
  <si>
    <t xml:space="preserve">Deposits Held for Others </t>
  </si>
  <si>
    <t>CROL1100</t>
  </si>
  <si>
    <t>CROL1200</t>
  </si>
  <si>
    <t>CROL1300</t>
  </si>
  <si>
    <t>Net Pension Liability</t>
  </si>
  <si>
    <t>Deferred Outflows of Resources Related to Pensions</t>
  </si>
  <si>
    <t>DO - pension &amp; OPEB</t>
  </si>
  <si>
    <t>Deferred Inflows of Resources Related to Pensions</t>
  </si>
  <si>
    <t>DI - pension &amp; OPEB</t>
  </si>
  <si>
    <t>Deferred Outflows of Resources Asset Retirement Obligations</t>
  </si>
  <si>
    <t xml:space="preserve">SUPPLEMENTAL DISCLOSURE OF NONCASH INVESTING AND </t>
  </si>
  <si>
    <t>CAPITAL FINANCING ACTIVITIES</t>
  </si>
  <si>
    <t>Unrealized gain (losses) on investments were recognized as a(n) increase</t>
  </si>
  <si>
    <t>(redution) to invesment income on the statement of revenues, expenses, and changes</t>
  </si>
  <si>
    <t>in net assets, but are cash transactions for the statement of cash flows(EDIT AS APPROPRIATE)</t>
  </si>
  <si>
    <t>Losses from the disposal of capital assets were recognized on the statement of revenue,</t>
  </si>
  <si>
    <t>expenses, and changes in net assets, but ar not cash transactions for the statement of cash</t>
  </si>
  <si>
    <t>flow (EDIT AS APPROPRIATE)</t>
  </si>
  <si>
    <t>Color Code:</t>
  </si>
  <si>
    <t>Statement of Cash Flow Support</t>
  </si>
  <si>
    <t>Peach = Operating or Noncapital Balance Sheet Differences</t>
  </si>
  <si>
    <t>Pale Yellow = Data Entry Cell</t>
  </si>
  <si>
    <t>Orange = Capital Financing Balance Sheet Differences</t>
  </si>
  <si>
    <t>Caution Sign Yellow = Cells that are entriable for items needing special treatment.  See comment on cells for instructions.</t>
  </si>
  <si>
    <t>*** PLEASE NOTE: THIS TAB IS FOR THE COLLEGE'S USE AND IS NOT SUPPORTED OR UPDATED BY DOE STAFF ***</t>
  </si>
  <si>
    <t>Light Green = Amounts from SRECNP</t>
  </si>
  <si>
    <t>Total Amount</t>
  </si>
  <si>
    <t xml:space="preserve">Accumulator </t>
  </si>
  <si>
    <t>Self-entry Modifier</t>
  </si>
  <si>
    <t>Instructions for Efficient Use:</t>
  </si>
  <si>
    <t>1. Enter your Prior Year Balance Sheet Ending totals in the pale yellow highlighted areas of the Balance Difference Summary.  Your Calculated Net Position for the Prior Year should agree to the beginning balance total from the Accounts by GL.  This comparison is made automatically at the bottom.</t>
  </si>
  <si>
    <t>2. Enter the amounts required in the Self Entry Modifier Columns for the items that are hard inputs to the Statement of Cash Flow.  Each are described in the cell comments attached to the bright yellow shaded cells.  The last entry is to enter your beginning cash balance from the prior year.</t>
  </si>
  <si>
    <t xml:space="preserve">3.  The amounts from the SRECNA will flow in automatically and the balance differences will calculate and flow as established. </t>
  </si>
  <si>
    <t xml:space="preserve">4.  Three columns for self entry modifiers are provided to move items from line to line.  The darker blue items are ones that the auditors want to see the same between the SRECNP and the Statement of Cash Flows.  </t>
  </si>
  <si>
    <t>5.  Ending Cash and Cash Equivalents need to agree to the Current Year total of all cash and cash equivalents on the Balance Difference Summary and in your General Ledger and Accounts by GL.</t>
  </si>
  <si>
    <t>Balance Difference Summary</t>
  </si>
  <si>
    <t>Prior Year</t>
  </si>
  <si>
    <t>Current Year</t>
  </si>
  <si>
    <t>Change</t>
  </si>
  <si>
    <t>SCF Line Description</t>
  </si>
  <si>
    <t>Assets &amp; Deferred Outflows</t>
  </si>
  <si>
    <t xml:space="preserve">                            Investing Section Check</t>
  </si>
  <si>
    <t>In Investing Section of SCF</t>
  </si>
  <si>
    <t>Restricted Investments - Current</t>
  </si>
  <si>
    <t>Restricted Investments - Non Current</t>
  </si>
  <si>
    <t>Difference - Should be zero</t>
  </si>
  <si>
    <t>Other Receipts (Payments)</t>
  </si>
  <si>
    <t>Tuition and fees</t>
  </si>
  <si>
    <t>Net Cash Provided (Used) by Operating Activities</t>
  </si>
  <si>
    <t xml:space="preserve">Auxiliary Services </t>
  </si>
  <si>
    <t xml:space="preserve">                          Notes Receivable  Check</t>
  </si>
  <si>
    <t xml:space="preserve">  </t>
  </si>
  <si>
    <t>This amount is reported gross for Loans collected and issued</t>
  </si>
  <si>
    <t>Due From Other Governments</t>
  </si>
  <si>
    <t>Amount Entered into Cash Flow</t>
  </si>
  <si>
    <t>Due From Other Govt - Fd 1</t>
  </si>
  <si>
    <t>Due From Other Govt - Fd 2</t>
  </si>
  <si>
    <t>Due From Other Govt - Fd 5</t>
  </si>
  <si>
    <t>Due From Other Govt - Fd 6</t>
  </si>
  <si>
    <t>Due From Other Govt - Fd 7</t>
  </si>
  <si>
    <t>Other Nonoperating Receipts (Disbursements)</t>
  </si>
  <si>
    <t>Due From Component Unit - DSO</t>
  </si>
  <si>
    <t>Net Cash Provided (Used) by Noncapital Financing Activities</t>
  </si>
  <si>
    <t>Prepaids</t>
  </si>
  <si>
    <t>Depreciable Capital Assets (DCA)</t>
  </si>
  <si>
    <t>Depreciable Cap Assets-Accum Depr</t>
  </si>
  <si>
    <t>Other NonCurrent Assets</t>
  </si>
  <si>
    <t>Interest on Investments</t>
  </si>
  <si>
    <t>Deposits Receivable</t>
  </si>
  <si>
    <t>Totals from FS Variance Analysis Tool</t>
  </si>
  <si>
    <t>Net Cash Provided (Used) by Capital and Related Financing Activities</t>
  </si>
  <si>
    <t>Deferred Outflows</t>
  </si>
  <si>
    <t>DO-Service Concession Arrangement</t>
  </si>
  <si>
    <t>DO-Pensions</t>
  </si>
  <si>
    <t>DO-Accum Value Securities</t>
  </si>
  <si>
    <t>DO-OPEB</t>
  </si>
  <si>
    <t>Net Cash Provided (Used) by Investing Activities</t>
  </si>
  <si>
    <t>DO-Asset Retirement Obligations</t>
  </si>
  <si>
    <t>DO-Lease Agreements</t>
  </si>
  <si>
    <t>Net Increase (Decrease) in Cash and Cash Equivalents</t>
  </si>
  <si>
    <t>Total Deferred Outflows</t>
  </si>
  <si>
    <t>Total Deferred Outflows &amp; Assets</t>
  </si>
  <si>
    <t>Difference should be zero</t>
  </si>
  <si>
    <t>Liabilities and Deferred Inflows</t>
  </si>
  <si>
    <t>Check Figure</t>
  </si>
  <si>
    <t>Fund 1</t>
  </si>
  <si>
    <t>Purchase of Capital Assets</t>
  </si>
  <si>
    <t>Auxiliaries</t>
  </si>
  <si>
    <t>TO NET CASH PROVIDED BY OPERATING ACTIVITIES</t>
  </si>
  <si>
    <t>Capital</t>
  </si>
  <si>
    <t>Total Accounts Payable</t>
  </si>
  <si>
    <t xml:space="preserve">  to Net Cash Provided by Operating Activities:</t>
  </si>
  <si>
    <t>Salaries and Wages Payable</t>
  </si>
  <si>
    <t>Benefits Payable</t>
  </si>
  <si>
    <t>Due to Other Governments - Fund 6</t>
  </si>
  <si>
    <t>Federal Direct Loan Program</t>
  </si>
  <si>
    <t>Due to DSO</t>
  </si>
  <si>
    <t>Unearned Revenues</t>
  </si>
  <si>
    <t>Auxiliary</t>
  </si>
  <si>
    <t>Scholarship</t>
  </si>
  <si>
    <t>Total Unearned Revenue</t>
  </si>
  <si>
    <t>Estimated Claims payable</t>
  </si>
  <si>
    <t>Deposits Held in Custody</t>
  </si>
  <si>
    <t>Special Term Ben Payable</t>
  </si>
  <si>
    <t>Loans Payable</t>
  </si>
  <si>
    <t>Asset Retirement Obligations</t>
  </si>
  <si>
    <t>Net Pension Liabilities</t>
  </si>
  <si>
    <t>Net Cash Provided by Operating Activities</t>
  </si>
  <si>
    <t>Deferred Inflows</t>
  </si>
  <si>
    <t>DI-Service Concession Arrangement</t>
  </si>
  <si>
    <t>DI-Pensions</t>
  </si>
  <si>
    <t>DI-Accum Value Securities</t>
  </si>
  <si>
    <t>Accum Value Securities</t>
  </si>
  <si>
    <t>Unrealized gains (losses) on investments were recognized as an increase to investment income on the Statement of Revenues, Expenses, and Changes in Net Position, but are not cash transactions for the statement of cash flows.</t>
  </si>
  <si>
    <t xml:space="preserve">DI - OPEB </t>
  </si>
  <si>
    <t>Losses/gains from the disposal of capital assets were recognized on the Statement of Revenues, Expenses,and Changes in Net Position but are not cash transactions for the statement of cash flows.</t>
  </si>
  <si>
    <t>Property Donation</t>
  </si>
  <si>
    <t>Total Liabilities &amp; Deferred Outflows</t>
  </si>
  <si>
    <t>Calculated Net Position</t>
  </si>
  <si>
    <t>Beginning Net Position - AGL</t>
  </si>
  <si>
    <t>Summary of Expenditures by Function</t>
  </si>
  <si>
    <t>Current Fund - Unrestricted (Fund 1)</t>
  </si>
  <si>
    <t>Personnel</t>
  </si>
  <si>
    <t>Current Expense</t>
  </si>
  <si>
    <t>Capital Outlay</t>
  </si>
  <si>
    <t>%</t>
  </si>
  <si>
    <t>FUNCTION</t>
  </si>
  <si>
    <t>(GLC  50000s)</t>
  </si>
  <si>
    <t>(GLC  60000s)</t>
  </si>
  <si>
    <t>(GLC  70000s)</t>
  </si>
  <si>
    <t>Of Total</t>
  </si>
  <si>
    <t>Instruction</t>
  </si>
  <si>
    <t>Research</t>
  </si>
  <si>
    <t>Public Service</t>
  </si>
  <si>
    <t>Academic Support</t>
  </si>
  <si>
    <t>Academic Support-Other</t>
  </si>
  <si>
    <t>Staff/Program Development</t>
  </si>
  <si>
    <t>Student Support</t>
  </si>
  <si>
    <t>Institutional Support</t>
  </si>
  <si>
    <t>Plant Operation &amp; Maintenance</t>
  </si>
  <si>
    <t>Student Aid</t>
  </si>
  <si>
    <t>Transfers, Contingencies, Etc.</t>
  </si>
  <si>
    <t>Check: Accounts by GL Total (Fund 1)</t>
  </si>
  <si>
    <t>Report of Capital Improvement Fees</t>
  </si>
  <si>
    <t>(Fees Collected Under Section 1009.23(11), F.S.)</t>
  </si>
  <si>
    <t>Interest and</t>
  </si>
  <si>
    <t>Improvement</t>
  </si>
  <si>
    <t>Other Revenue</t>
  </si>
  <si>
    <t>Combined</t>
  </si>
  <si>
    <t>Fees</t>
  </si>
  <si>
    <t>Sources</t>
  </si>
  <si>
    <t>Capital Improvement Fees</t>
  </si>
  <si>
    <t>CIF - A &amp; P, PSV, EPI, College Prep (GL 40860)</t>
  </si>
  <si>
    <t>CIF - PSAV (GL 40861)</t>
  </si>
  <si>
    <t>CIF - Baccalaureate (GL 40864)</t>
  </si>
  <si>
    <t>Total Capital Improvement Fees Received</t>
  </si>
  <si>
    <t>Interest Received</t>
  </si>
  <si>
    <t>Other Receipts (Please explain below)</t>
  </si>
  <si>
    <t>Total Revenues</t>
  </si>
  <si>
    <t>EXPENDITURES</t>
  </si>
  <si>
    <t xml:space="preserve">   1.   New Construction</t>
  </si>
  <si>
    <t xml:space="preserve">   2.   Remodeling</t>
  </si>
  <si>
    <t xml:space="preserve">   3.   Renovation</t>
  </si>
  <si>
    <t xml:space="preserve">   4.   Equipment</t>
  </si>
  <si>
    <t xml:space="preserve">   5.   Maintenance</t>
  </si>
  <si>
    <t xml:space="preserve">   6.   Technology </t>
  </si>
  <si>
    <t xml:space="preserve">   7.   Other (Please explain below)</t>
  </si>
  <si>
    <t>Total Expenditures</t>
  </si>
  <si>
    <t>Bond Payments</t>
  </si>
  <si>
    <t>ENDING BALANCE AS OF  06-30-2020</t>
  </si>
  <si>
    <t>Note:  Section 1009.23(11),F.S.,  establishes a separate fee for capital improvements, technology enhancements, or equipping</t>
  </si>
  <si>
    <t xml:space="preserve">student buildings.  It provides that the fees collected must be deposited in a separate account.  Fees collected for capital projects </t>
  </si>
  <si>
    <t xml:space="preserve">may be expended only to construct and equip, maintain, improve, or enhance the educational facilities of the college.  Capital </t>
  </si>
  <si>
    <t>projects funded through the use of the Capital Improvement Fee shall meet the survey and construction requirements of</t>
  </si>
  <si>
    <t>Chapter 1013, Florida Statutes.</t>
  </si>
  <si>
    <t>Explanation of "Other Receipts":</t>
  </si>
  <si>
    <t>Explanation of "Other" Expenditures:</t>
  </si>
  <si>
    <t>DISTANCE LEARNING COURSE USER FEE REPORT</t>
  </si>
  <si>
    <t>DISTANCE LEARNING COURSE USER FEE REVENUE</t>
  </si>
  <si>
    <t>Total Distance Learning Fee Revenue</t>
  </si>
  <si>
    <t>(General Ledger Code 40450)</t>
  </si>
  <si>
    <t>DISTANCE LEARNING COURSE EXPENDITURES</t>
  </si>
  <si>
    <t>1.</t>
  </si>
  <si>
    <t>Personnel Costs</t>
  </si>
  <si>
    <t>2.</t>
  </si>
  <si>
    <t>3.</t>
  </si>
  <si>
    <t>Software</t>
  </si>
  <si>
    <t>4.</t>
  </si>
  <si>
    <t>Computers</t>
  </si>
  <si>
    <t>5.</t>
  </si>
  <si>
    <t>Peripherals</t>
  </si>
  <si>
    <t>6.</t>
  </si>
  <si>
    <t>Repairs and Maintenance</t>
  </si>
  <si>
    <t>7.</t>
  </si>
  <si>
    <t>Contracted Services</t>
  </si>
  <si>
    <t>8.</t>
  </si>
  <si>
    <t>Temporary Contracted Services</t>
  </si>
  <si>
    <t>9.</t>
  </si>
  <si>
    <t>(Specify)</t>
  </si>
  <si>
    <t>10.</t>
  </si>
  <si>
    <t>11.</t>
  </si>
  <si>
    <t>TOTAL EXPENDITURES</t>
  </si>
  <si>
    <t>TOTAL REVENUE LESS TOTAL EXPENDITURES</t>
  </si>
  <si>
    <t>(Amount should be zero)</t>
  </si>
  <si>
    <t xml:space="preserve">Note:  Section 1009.23(16), Florida Statutes, authorizes a per credit hour distance learning course </t>
  </si>
  <si>
    <t xml:space="preserve">user fee and requires that colleges submit a distance learning course user fee report to the Division </t>
  </si>
  <si>
    <t xml:space="preserve">of Florida Colleges.To assist with fullfilling this reporting requirement, the Division of Florida Colleges </t>
  </si>
  <si>
    <r>
      <t xml:space="preserve">has credited the above report templete to provide reporting consistency among colleges. </t>
    </r>
    <r>
      <rPr>
        <b/>
        <sz val="10"/>
        <color rgb="FFFF0000"/>
        <rFont val="Arial"/>
        <family val="2"/>
      </rPr>
      <t xml:space="preserve">This report </t>
    </r>
  </si>
  <si>
    <t xml:space="preserve">is intended to describe the use of the distancelearning courses user fee revenue, therefore, only </t>
  </si>
  <si>
    <t>report the expenditures of the revenues collected in GL 40450; do not report any additional distance</t>
  </si>
  <si>
    <t>learning expenditures even though actual expenses may exceed the revenues collected.</t>
  </si>
  <si>
    <t>Report of Student Activities and Service Fees</t>
  </si>
  <si>
    <t>Revenues and Expenditures</t>
  </si>
  <si>
    <t>BEGINNING BALANCE</t>
  </si>
  <si>
    <t>FEES COLLECTED (GL 40850)</t>
  </si>
  <si>
    <t xml:space="preserve">Computes Activities &amp; Services Columns </t>
  </si>
  <si>
    <t>FEES COLLECTED (GL 40854 - Baccalaureate)</t>
  </si>
  <si>
    <t>for Percent Chart</t>
  </si>
  <si>
    <t>OTHER REVENUES (See Note Below)</t>
  </si>
  <si>
    <t>2019-20</t>
  </si>
  <si>
    <t>TOTAL</t>
  </si>
  <si>
    <t>Activities Expenditures</t>
  </si>
  <si>
    <t>EXPENDITURES BY TYPE</t>
  </si>
  <si>
    <t>Services Expenditures</t>
  </si>
  <si>
    <t>5.1000  Social &amp; Cultural Development</t>
  </si>
  <si>
    <t>5.2000  Organized Athletics</t>
  </si>
  <si>
    <t>5.3000  Counseling &amp; Advisement</t>
  </si>
  <si>
    <t>Services % of College Totals</t>
  </si>
  <si>
    <t>5.4000  Placement Services</t>
  </si>
  <si>
    <t>5.5000  Financial Aid Administration</t>
  </si>
  <si>
    <t>5.6000  Student Records and Admissions</t>
  </si>
  <si>
    <t>5.7000  Health Services</t>
  </si>
  <si>
    <t>5.8100  Services for Special Students</t>
  </si>
  <si>
    <t>5.9000  Student Service Administration</t>
  </si>
  <si>
    <t>OTHER  (See note below)</t>
  </si>
  <si>
    <t>ENDING BALANCE</t>
  </si>
  <si>
    <t>Note:  Other Revenues Include -</t>
  </si>
  <si>
    <t>Note:  Other Expenditures Include -</t>
  </si>
  <si>
    <t>TOTAL TUITION AND OUT-OF-STATE FEES</t>
  </si>
  <si>
    <t>CCPF TUITION AND FEES</t>
  </si>
  <si>
    <t>GLC</t>
  </si>
  <si>
    <t>ALL FUNDS</t>
  </si>
  <si>
    <t>SUBTOTAL IN-STATE TUITION</t>
  </si>
  <si>
    <t>SUBTOTAL OUT-OF-STATE FEES</t>
  </si>
  <si>
    <t>from Accounts by GL:</t>
  </si>
  <si>
    <t>TOTAL CCPF STUDENT TUITION AND OUT-OF-STATE FEES</t>
  </si>
  <si>
    <t>OTHER TUITION AND FEES</t>
  </si>
  <si>
    <t>SUBTOTAL OTHER TUITION AND STUDENT FEES</t>
  </si>
  <si>
    <t>TOTAL TUITION AND STUDENT FEES</t>
  </si>
  <si>
    <t>PART II.  STUDENT FINANCIAL AID FEE REPORT (Supporting Schedule)</t>
  </si>
  <si>
    <t>Revenue</t>
  </si>
  <si>
    <t>TUITION</t>
  </si>
  <si>
    <t>A &amp; P</t>
  </si>
  <si>
    <t>40101 &amp; 40110</t>
  </si>
  <si>
    <t>PSV</t>
  </si>
  <si>
    <t>PSAV</t>
  </si>
  <si>
    <t>DEV. ED.</t>
  </si>
  <si>
    <t>EPI</t>
  </si>
  <si>
    <t>VOC PREP</t>
  </si>
  <si>
    <t>ABE &amp; SEC</t>
  </si>
  <si>
    <t>OUT-OF-STATE</t>
  </si>
  <si>
    <t>40301 &amp; 40310</t>
  </si>
  <si>
    <t>TOTAL FUND 1</t>
  </si>
  <si>
    <t>FUND 2</t>
  </si>
  <si>
    <t>TOTAL FUND 2</t>
  </si>
  <si>
    <t>TOTAL FUND 1 AND FUND 2</t>
  </si>
  <si>
    <t>STUDENT FEE REVENUE</t>
  </si>
  <si>
    <t>TECHNOLOGY FEES</t>
  </si>
  <si>
    <t>TOTAL TUITION, OUT-OF-STATE FEES AND TECHNOLOGY</t>
  </si>
  <si>
    <t xml:space="preserve">DO NOT USE AMOUNTS TO CALCULATE TOTAL FTE. </t>
  </si>
  <si>
    <t>NOTES TO THE FINANCIAL STATEMENTS (CONTINUED)</t>
  </si>
  <si>
    <t>XX.</t>
  </si>
  <si>
    <t>LONG-TERM LIABILITIES</t>
  </si>
  <si>
    <t>CHECK: SNP L-T Debt Balances</t>
  </si>
  <si>
    <t>Description</t>
  </si>
  <si>
    <t>Beginning</t>
  </si>
  <si>
    <t>Additions</t>
  </si>
  <si>
    <t>Reductions</t>
  </si>
  <si>
    <t>Ending</t>
  </si>
  <si>
    <t>Current</t>
  </si>
  <si>
    <t>Balance</t>
  </si>
  <si>
    <t>Liabilities</t>
  </si>
  <si>
    <t xml:space="preserve">Other Postemployment </t>
  </si>
  <si>
    <t xml:space="preserve">  Benefits Payable</t>
  </si>
  <si>
    <t>Net Pension Liability FRS</t>
  </si>
  <si>
    <t>Net Pension Liability HIS</t>
  </si>
  <si>
    <t>Total Long-Term Liabilities</t>
  </si>
  <si>
    <t>SNP Total Liabilities</t>
  </si>
  <si>
    <t>SNP Current Portion</t>
  </si>
  <si>
    <t>CU6 Changes in Long-Term Liabilities Tab = total of FCS Notes Sched LTD and CU Notes Sched.</t>
  </si>
  <si>
    <t>CU6 Other Long-Term Liabilities = Notes Payable, Special Termination Benefits Payable, OPEB Payable, and Other Long-Term Liabilities</t>
  </si>
  <si>
    <t>Notes Payable</t>
  </si>
  <si>
    <t>Loan Payable</t>
  </si>
  <si>
    <t>Installment Purchase Payable</t>
  </si>
  <si>
    <t>Capital Lease Payable</t>
  </si>
  <si>
    <t>Instructions:</t>
  </si>
  <si>
    <t>1. Complete the schedule of investments in rows 15 to 27.</t>
  </si>
  <si>
    <t>2. Respond to question in cell G43.</t>
  </si>
  <si>
    <t>3. Verify information in rows 53 to 83.</t>
  </si>
  <si>
    <t>4. Provide bank balance in cell G92.</t>
  </si>
  <si>
    <t>5. If applicable, provide information in cells G103, G106 &amp; G109.</t>
  </si>
  <si>
    <t>Investment Type</t>
  </si>
  <si>
    <t>Amount</t>
  </si>
  <si>
    <t>State Board of Administration Fund B</t>
  </si>
  <si>
    <t xml:space="preserve">  Surplus Funds Trust Fund</t>
  </si>
  <si>
    <t>State Board of Administration Debt Service</t>
  </si>
  <si>
    <t xml:space="preserve">  Accounts</t>
  </si>
  <si>
    <t>United States Government and</t>
  </si>
  <si>
    <t xml:space="preserve">  Federally-Guaranteed Obligations</t>
  </si>
  <si>
    <t>Domestic Bonds &amp; Notes</t>
  </si>
  <si>
    <t>International Bonds &amp; Notes</t>
  </si>
  <si>
    <t>Total College Investments</t>
  </si>
  <si>
    <t>CHECK: SNA Investments Totals</t>
  </si>
  <si>
    <t>CHECK: Accounts by GL Investments Totals</t>
  </si>
  <si>
    <t>DFS CU Form and AJE Required Information</t>
  </si>
  <si>
    <t>(Form CU1 - Deposits and Form CU2 - Other Investments)</t>
  </si>
  <si>
    <t>Yes</t>
  </si>
  <si>
    <t>No</t>
  </si>
  <si>
    <t>DFS Form CU2 - Other Investments</t>
  </si>
  <si>
    <t>Does the College carry all investments listed above at fair value?</t>
  </si>
  <si>
    <t>DFS ADJUSTMENT FORM - CASH AND INVESTMENTS GLs</t>
  </si>
  <si>
    <t>PLEASE VERIFY THAT THE INFORMATION BELOW IS AS ACCURATE AS POSSIBLE:</t>
  </si>
  <si>
    <t>College Statement of Net Assets - Cash and Cash Equivalents and Investments</t>
  </si>
  <si>
    <t>College SNA</t>
  </si>
  <si>
    <t>Cash &amp; Cash Equivalents</t>
  </si>
  <si>
    <t>Restricted Cash &amp; Cash Equivalents</t>
  </si>
  <si>
    <t>Total Cash</t>
  </si>
  <si>
    <t>Total Investments</t>
  </si>
  <si>
    <t>Total Cash and Investments</t>
  </si>
  <si>
    <t>FOR SUBMISSION TO DFS</t>
  </si>
  <si>
    <t>Accounts by GL Cash and Cash Equivalents</t>
  </si>
  <si>
    <t>GL Codes 10100, 10200, 10210, 10220, 12100, 12200, 12300, and 12400</t>
  </si>
  <si>
    <t>FCS Fund Types</t>
  </si>
  <si>
    <t>FCS GL Codes</t>
  </si>
  <si>
    <t>DFS GL Item</t>
  </si>
  <si>
    <t>Accounts by GL Balances</t>
  </si>
  <si>
    <t>All Funds</t>
  </si>
  <si>
    <t>12100, 12200, 12300, 12400</t>
  </si>
  <si>
    <t>Funds 1 &amp; 3</t>
  </si>
  <si>
    <t>Funds 2, and 4-9</t>
  </si>
  <si>
    <t>Total Cash and Cash Equivalents</t>
  </si>
  <si>
    <t>16110, 16210</t>
  </si>
  <si>
    <t>Fund 8</t>
  </si>
  <si>
    <t>10200, 16100, 16110, 16200, 16210</t>
  </si>
  <si>
    <t>DIFFERENCE FROM SNA CASH AND INVESTMENTS</t>
  </si>
  <si>
    <t>INCLUDE CORRECTIONS/NOTES FOR THE INFORMATION ABOVE IN THE UNLOCKED AREA TO THE RIGHT.</t>
  </si>
  <si>
    <t>DFS FORM CU1 - DEPOSITS</t>
  </si>
  <si>
    <t xml:space="preserve">Deposits are defined in Section 280.02(23), Florida Statutes.  </t>
  </si>
  <si>
    <t>Accounts by GL</t>
  </si>
  <si>
    <t xml:space="preserve">Bank Statement Balance </t>
  </si>
  <si>
    <t>GL 10100</t>
  </si>
  <si>
    <t>Cash in Depository</t>
  </si>
  <si>
    <t>Select Yes or No as to whether any violations of legal or contractual provisions have occurred in relationship to the reported deposits.</t>
  </si>
  <si>
    <t>For items marked Yes, attach a brief description.</t>
  </si>
  <si>
    <t xml:space="preserve">NOTE: If the amounts above are public deposits in a Qualified Public Depository in compliance with Section 280, Florida Statutes, SKIP THIS SECTION.  </t>
  </si>
  <si>
    <t xml:space="preserve">   Otherwise, disclose amounts for any portion of the above deposits that exceed federal deposit insurance limits and are:</t>
  </si>
  <si>
    <t>Uncollateralized</t>
  </si>
  <si>
    <t>Explain the governing policy related to these deposits.  If there is no deposit policy addressing a specific type of risk that the deposits are exposed to, the  disclosure should indicate that fact.</t>
  </si>
  <si>
    <t xml:space="preserve">Collateralized with securities held by the pledging financial institution, </t>
  </si>
  <si>
    <t>but not in depositor-government's name.</t>
  </si>
  <si>
    <t>Collateralized with securities held by the pledging financial institution's trust department or agent,</t>
  </si>
  <si>
    <t>CAPITAL ASSETS</t>
  </si>
  <si>
    <t>Capital Assets Note: Check Accounts by GL &amp; SNP Balances</t>
  </si>
  <si>
    <t>Check Ending Balances (Column O)</t>
  </si>
  <si>
    <t>(1)</t>
  </si>
  <si>
    <t>Accts by GL/SNP</t>
  </si>
  <si>
    <t>Nondepreciable Capital Assets:</t>
  </si>
  <si>
    <t>Computer Software</t>
  </si>
  <si>
    <t>Total Nondepreciable Capital Assets</t>
  </si>
  <si>
    <t>Depreciable Capital Assets:</t>
  </si>
  <si>
    <t>194X0</t>
  </si>
  <si>
    <t>Total Depreciable Capital Assets</t>
  </si>
  <si>
    <t>Less, Accumulated Depreciation:</t>
  </si>
  <si>
    <t>194X9</t>
  </si>
  <si>
    <t>Total Accumulated Depreciation</t>
  </si>
  <si>
    <t>Total Depreciable Capital Assets, Net</t>
  </si>
  <si>
    <t>Note:  (1) Adjustment were made to correct prior year accounting errors as discussed in note XX to the financial statements.</t>
  </si>
  <si>
    <t>UNLOCKED WORK AREA</t>
  </si>
  <si>
    <t>Assets Under Capital Leases</t>
  </si>
  <si>
    <t>SUMMARY OF COMPONENT UNIT NOTES TO THE FINANCIAL STATEMENTS</t>
  </si>
  <si>
    <t>COMPONENT UNIT CAPITAL ASSETS</t>
  </si>
  <si>
    <t>Beginning Balances</t>
  </si>
  <si>
    <t>Ending Balances</t>
  </si>
  <si>
    <t>To Prior Year</t>
  </si>
  <si>
    <t>to SNP</t>
  </si>
  <si>
    <t>Artwork/Collections</t>
  </si>
  <si>
    <t>Other Nondepreciable Assets</t>
  </si>
  <si>
    <t>Other Depreciable Assets</t>
  </si>
  <si>
    <t>Other Depriciable Assets</t>
  </si>
  <si>
    <t>COMPONENT UNIT LONG‑TERM LIABILITIES</t>
  </si>
  <si>
    <t>Portion</t>
  </si>
  <si>
    <t>CHECK: SNP Balances</t>
  </si>
  <si>
    <t>SNP Total Debt</t>
  </si>
  <si>
    <t xml:space="preserve">    COMPONENT UNIT BONDS PAYABLE</t>
  </si>
  <si>
    <t>Fiscal Year</t>
  </si>
  <si>
    <t>Ending June 30</t>
  </si>
  <si>
    <t>Principal</t>
  </si>
  <si>
    <t>Interest</t>
  </si>
  <si>
    <t>-</t>
  </si>
  <si>
    <t>CHECK: SNP Bonds Payable Totals</t>
  </si>
  <si>
    <t xml:space="preserve">    COMPONENT UNIT CONSTRUCTION COMMITMENTS</t>
  </si>
  <si>
    <t>Project Description</t>
  </si>
  <si>
    <t>Completed</t>
  </si>
  <si>
    <t>Commitment</t>
  </si>
  <si>
    <t>to Date</t>
  </si>
  <si>
    <t>Committed</t>
  </si>
  <si>
    <t>Project Name for each</t>
  </si>
  <si>
    <t xml:space="preserve">  Major Project</t>
  </si>
  <si>
    <t>Subtotal</t>
  </si>
  <si>
    <t>Other Projects (1)</t>
  </si>
  <si>
    <t xml:space="preserve">    COMPONENT UNIT INVESTMENTS AND CASH AND CASH EQUIVALENTS</t>
  </si>
  <si>
    <t>Total Component Unit Investments</t>
  </si>
  <si>
    <t>Does the component unit carry all investments at fair value?</t>
  </si>
  <si>
    <t>The Component Unit's cash and cash equivalents are as follows:</t>
  </si>
  <si>
    <t>Cash and Cash Equivalents - SBA</t>
  </si>
  <si>
    <t>Cash and Cash Equivalents - State Treasury</t>
  </si>
  <si>
    <t>CHECK: SNP Investments Totals</t>
  </si>
  <si>
    <t>(1) Cash in Depository - Bank Statement Balance</t>
  </si>
  <si>
    <t>NOTE: If the amounts above are public deposits in a Qualified Public Depository in compliance with Section 280, Florida Statutes, SKIP THIS</t>
  </si>
  <si>
    <t>SECTION.  Otherwise, disclose amounts for any portion of the above deposits that exceed federal deposit insurance limits and are:</t>
  </si>
  <si>
    <t>Collateralized with securities held by the pledging financial institution, but not in depositor-CU's name.</t>
  </si>
  <si>
    <t>Collateralized with securities held by the pledging financial institution's trust department or agent, but not in depositor-CU's name.</t>
  </si>
  <si>
    <t>Instructions by Column Heading</t>
  </si>
  <si>
    <t>OLO:</t>
  </si>
  <si>
    <t>Please enter your OLO for which the ARO is recognized by.</t>
  </si>
  <si>
    <t>Agency name:</t>
  </si>
  <si>
    <t>Please enter the Agency Name for your OLO.</t>
  </si>
  <si>
    <t>Fund number:</t>
  </si>
  <si>
    <t>Please enter the Fund Number with which the ARO will be reported.</t>
  </si>
  <si>
    <t xml:space="preserve">General Description of the ARO:
</t>
  </si>
  <si>
    <r>
      <t xml:space="preserve">Please provide a general description of the AROs and associated tangible capital assets.  
</t>
    </r>
    <r>
      <rPr>
        <b/>
        <sz val="11"/>
        <color indexed="8"/>
        <rFont val="Calibri"/>
        <family val="2"/>
      </rPr>
      <t>See Examples of ARO tab.</t>
    </r>
    <r>
      <rPr>
        <sz val="11"/>
        <color theme="1"/>
        <rFont val="Calibri"/>
        <family val="2"/>
        <scheme val="minor"/>
      </rPr>
      <t xml:space="preserve"> </t>
    </r>
    <r>
      <rPr>
        <b/>
        <sz val="11"/>
        <color indexed="8"/>
        <rFont val="Calibri"/>
        <family val="2"/>
      </rPr>
      <t>Note: The list of ARO's provided is not a complete list and only provided to help identify ARO's your entity may have.  It
also provides a list of PRO (Pollution Remediation Obligations) which should not be included as ARO's.</t>
    </r>
  </si>
  <si>
    <t xml:space="preserve">Method Used to measure the liability value:
</t>
  </si>
  <si>
    <r>
      <t xml:space="preserve">Please provide the Method used to value of the ARO liabilty.
</t>
    </r>
    <r>
      <rPr>
        <b/>
        <sz val="11"/>
        <color indexed="8"/>
        <rFont val="Calibri"/>
        <family val="2"/>
      </rPr>
      <t>Note:</t>
    </r>
    <r>
      <rPr>
        <sz val="11"/>
        <color theme="1"/>
        <rFont val="Calibri"/>
        <family val="2"/>
        <scheme val="minor"/>
      </rPr>
      <t xml:space="preserve"> If the value of the ARO is not reasonably estimable, please disclose this fact and provide the reasons in the additional comment section.</t>
    </r>
  </si>
  <si>
    <t>Assumptions Used to measure Liability:</t>
  </si>
  <si>
    <t>Please provide any assumptions used to measure the ARO liability.</t>
  </si>
  <si>
    <t>Estimated Remaining useful life:</t>
  </si>
  <si>
    <t xml:space="preserve">Please indicate the estimated reminaing useful life of the tangible capital asset. If different </t>
  </si>
  <si>
    <t>External obligating event:</t>
  </si>
  <si>
    <t>Please indicate the law, regulation, contract, or court judgment creating this ARO.</t>
  </si>
  <si>
    <t xml:space="preserve">Internal obligating event:
</t>
  </si>
  <si>
    <t xml:space="preserve">Please indicate if a contamination-related or non-contamination-related event. 
An example of an non-contamination related event acquiring a tangible capital asset that has an existing ARO.  See Agency Info Request accompanying or see GASB Statement 83, paragraph 10 for more details. </t>
  </si>
  <si>
    <t>Funding or Assurance Provisions Exist</t>
  </si>
  <si>
    <t>Please indicate whether funding or assurance provisions exists for the ARO.</t>
  </si>
  <si>
    <t>How Funding or Assurance provisions being met?</t>
  </si>
  <si>
    <t>Please indicate how the funding and assurance provisions associated with the AROs are being met.</t>
  </si>
  <si>
    <t>Restricted Assets:</t>
  </si>
  <si>
    <t>Please indicate the amount of restrict assets your agency has for payment of the ARO liability</t>
  </si>
  <si>
    <t>Additional Comments:</t>
  </si>
  <si>
    <t>Please provide any additional details regarding the ARO available.</t>
  </si>
  <si>
    <t>Examples of ARO</t>
  </si>
  <si>
    <t>Assets List with Potential Asset Retirement Obligations (GASB 83) and Pollution Remediation Obligations</t>
  </si>
  <si>
    <t>ARO (Asset Retirement Obligations)</t>
  </si>
  <si>
    <t>PRO (Pollutioni Remediation Obligations)</t>
  </si>
  <si>
    <t>State Agencies and Authorities</t>
  </si>
  <si>
    <t>Abattoir Building</t>
  </si>
  <si>
    <t>Laboratory Sites</t>
  </si>
  <si>
    <t>Aviation Screening System</t>
  </si>
  <si>
    <t>Fuel Tank</t>
  </si>
  <si>
    <t>Bio Safety Cabinet</t>
  </si>
  <si>
    <t>Fuel Tank - Above ground</t>
  </si>
  <si>
    <t>Bio Safety Hood</t>
  </si>
  <si>
    <t>Ground Contamination</t>
  </si>
  <si>
    <t>Body scanners</t>
  </si>
  <si>
    <t>Hazardous material</t>
  </si>
  <si>
    <t>Contraband detectors</t>
  </si>
  <si>
    <t>Hazardous site inventory</t>
  </si>
  <si>
    <t>Dental X-ray machine</t>
  </si>
  <si>
    <t>Underground Gas Storage Tank</t>
  </si>
  <si>
    <t>Drying cabinet</t>
  </si>
  <si>
    <t>Underground oil storage tank</t>
  </si>
  <si>
    <t>full body scanners</t>
  </si>
  <si>
    <t>Underground Tank</t>
  </si>
  <si>
    <t>Full body X-Ray machines</t>
  </si>
  <si>
    <t>Waste Oil Tank</t>
  </si>
  <si>
    <t>Metal Detector</t>
  </si>
  <si>
    <t>Mini-Medical X-Ray Processor</t>
  </si>
  <si>
    <t>Nuclear Gauge</t>
  </si>
  <si>
    <t>Sewer Treatment</t>
  </si>
  <si>
    <t>Spectrometer</t>
  </si>
  <si>
    <t>Steam Plant</t>
  </si>
  <si>
    <t>Walkthrough Metal Detector/Scanner</t>
  </si>
  <si>
    <t>Wastewater Treatment Plant and Lift stations</t>
  </si>
  <si>
    <t>Water Pollution Control Plant</t>
  </si>
  <si>
    <t>Water Treatment plant</t>
  </si>
  <si>
    <t>X-Ray Developer</t>
  </si>
  <si>
    <t>X-Ray Machine</t>
  </si>
  <si>
    <t>X-Ray Room</t>
  </si>
  <si>
    <t>X-Ray Security System</t>
  </si>
  <si>
    <t>ARO</t>
  </si>
  <si>
    <t>PRO</t>
  </si>
  <si>
    <t>Colleges and Universities</t>
  </si>
  <si>
    <t>Ablation System</t>
  </si>
  <si>
    <t>Asbestos</t>
  </si>
  <si>
    <t>Accelerator</t>
  </si>
  <si>
    <t>Autoradiography System</t>
  </si>
  <si>
    <t>BioBank</t>
  </si>
  <si>
    <t>Biological Irradiator</t>
  </si>
  <si>
    <t>Camera System</t>
  </si>
  <si>
    <t>Cryo Tank</t>
  </si>
  <si>
    <t>Diffraction Collector</t>
  </si>
  <si>
    <t>Diffraction System</t>
  </si>
  <si>
    <t>Diffractometer</t>
  </si>
  <si>
    <t>Electroencephalograph</t>
  </si>
  <si>
    <t>Flow Master Tomographic</t>
  </si>
  <si>
    <t>Fluorescence Imaging system</t>
  </si>
  <si>
    <t>Fluorescence microscope</t>
  </si>
  <si>
    <t>Fluorescence Plate Reader</t>
  </si>
  <si>
    <t>Fluorometer</t>
  </si>
  <si>
    <t>Fuel Station</t>
  </si>
  <si>
    <t>Generator + Control X-rays</t>
  </si>
  <si>
    <t>Imaging System</t>
  </si>
  <si>
    <t>Intraoral X-ray machine</t>
  </si>
  <si>
    <t>Laser</t>
  </si>
  <si>
    <t>Liquid scintillation Analyzer</t>
  </si>
  <si>
    <t>Mac Mode imaging</t>
  </si>
  <si>
    <t>Magnet Superconducting</t>
  </si>
  <si>
    <t>Magnetic Lab Barrier</t>
  </si>
  <si>
    <t>Magnetic Resonance System</t>
  </si>
  <si>
    <t>Magnetometer</t>
  </si>
  <si>
    <t>MicroCT  Storage</t>
  </si>
  <si>
    <t>MicroCT Scanner</t>
  </si>
  <si>
    <t>Microscope</t>
  </si>
  <si>
    <t>Microscopy System</t>
  </si>
  <si>
    <t>Microtomography X-rays</t>
  </si>
  <si>
    <t>MR Imaging Coil Channel</t>
  </si>
  <si>
    <t>MRI Machine</t>
  </si>
  <si>
    <t>MRI Monitor</t>
  </si>
  <si>
    <t>MRI System</t>
  </si>
  <si>
    <t>MRI Teaching System</t>
  </si>
  <si>
    <t>NMR Digital Console</t>
  </si>
  <si>
    <t>NMR Digital system</t>
  </si>
  <si>
    <t>NMR Probe</t>
  </si>
  <si>
    <t>NMR Superconduct</t>
  </si>
  <si>
    <t>OrthoScan System</t>
  </si>
  <si>
    <t>Photoelectron Spectroscopy</t>
  </si>
  <si>
    <t>Photon Detector</t>
  </si>
  <si>
    <t>RAD Floor</t>
  </si>
  <si>
    <t>Radiation Container</t>
  </si>
  <si>
    <t>Radiation machine</t>
  </si>
  <si>
    <t>Radiation Therapy System</t>
  </si>
  <si>
    <t>Radiography System</t>
  </si>
  <si>
    <t>Radiology System</t>
  </si>
  <si>
    <t>Reader</t>
  </si>
  <si>
    <t>Scanner</t>
  </si>
  <si>
    <t xml:space="preserve">Scintillation Counter </t>
  </si>
  <si>
    <t>Spectrofluorometer</t>
  </si>
  <si>
    <t>Spectroscope</t>
  </si>
  <si>
    <t>Spectroscopic Ellipsometer</t>
  </si>
  <si>
    <t>Spectroscopy System</t>
  </si>
  <si>
    <t>Spectrum  CT system</t>
  </si>
  <si>
    <t>Tomography System</t>
  </si>
  <si>
    <t>Ultrasound Machine</t>
  </si>
  <si>
    <t>X-Ray Crystallography System</t>
  </si>
  <si>
    <t>X-Ray detector</t>
  </si>
  <si>
    <t>X-Ray diffraction system</t>
  </si>
  <si>
    <t>X-Ray Generator</t>
  </si>
  <si>
    <t>X-Ray Inspection Station</t>
  </si>
  <si>
    <t>X-Ray Sensor</t>
  </si>
  <si>
    <t>X-Ray System</t>
  </si>
  <si>
    <t>THIS IS A REQUIRED FORM AND MUST BE COMPLETED AND RETURNED</t>
  </si>
  <si>
    <t>BY EVERY DISCRETELY PRESENTED COMPONENT UNIT EVEN IF IT IS NOT APPLICABLE</t>
  </si>
  <si>
    <t>Agency 
name</t>
  </si>
  <si>
    <t>Fund 
number</t>
  </si>
  <si>
    <t>General 
Description of 
Asset having ARO</t>
  </si>
  <si>
    <t>Method Used 
to measure the 
liability value?</t>
  </si>
  <si>
    <t>Assumptions 
Used?</t>
  </si>
  <si>
    <t>Estimated 
Remaining useful 
life of Asset</t>
  </si>
  <si>
    <t xml:space="preserve">External obligating 
event creating 
this ARO. </t>
  </si>
  <si>
    <t xml:space="preserve">Internal obligating 
event creating 
this ARO. </t>
  </si>
  <si>
    <t>Funding or assurance provisions exist?</t>
  </si>
  <si>
    <t>How are funding or Assurance provisions being met?</t>
  </si>
  <si>
    <t>Amount of 
Restricted Assets 
for payment?</t>
  </si>
  <si>
    <t>Additional 
Comments</t>
  </si>
  <si>
    <t>10-1-000122</t>
  </si>
  <si>
    <t>X-ray Machine containing mercury</t>
  </si>
  <si>
    <t>Estimate</t>
  </si>
  <si>
    <t>Used Current Pricing for hazardous waste container and shipping cost</t>
  </si>
  <si>
    <t>2 years</t>
  </si>
  <si>
    <t>F.S. 366.95</t>
  </si>
  <si>
    <t>Contamination</t>
  </si>
  <si>
    <t>N/A</t>
  </si>
  <si>
    <t>EXAMPLE
ONLY</t>
  </si>
  <si>
    <t xml:space="preserve">If Not Applicable </t>
  </si>
  <si>
    <t>Department of Financial Services</t>
  </si>
  <si>
    <t>Statewide Financial Statements</t>
  </si>
  <si>
    <t>GASB 87 - Leases</t>
  </si>
  <si>
    <t>Fund 
Number</t>
  </si>
  <si>
    <t>Description 
of Lease</t>
  </si>
  <si>
    <t xml:space="preserve">  Lease 
Value</t>
  </si>
  <si>
    <t>Lease Start/End Dates</t>
  </si>
  <si>
    <t>Lease Term
(In Months)</t>
  </si>
  <si>
    <t>Is renewal Available?</t>
  </si>
  <si>
    <t>Lease 
Payment</t>
  </si>
  <si>
    <t>Lease Payments/Receipts 
due next fiscal year</t>
  </si>
  <si>
    <t>Interest rate implicit in lease</t>
  </si>
  <si>
    <t>Is Lease Payment 
Fixed or Variable?</t>
  </si>
  <si>
    <t>Lease Payment Frequency
(Weekly, Monthly, Etc.)</t>
  </si>
  <si>
    <t>Number of Payments already Made</t>
  </si>
  <si>
    <t>Amortization Recognized?</t>
  </si>
  <si>
    <t>Were there Initial Direct 
Costs to obtain the Lease?</t>
  </si>
  <si>
    <t>Additional Comments or Notes Regarding Lease</t>
  </si>
  <si>
    <r>
      <rPr>
        <b/>
        <sz val="11"/>
        <color theme="1"/>
        <rFont val="Calibri"/>
        <family val="2"/>
        <scheme val="minor"/>
      </rPr>
      <t>Note:</t>
    </r>
    <r>
      <rPr>
        <sz val="11"/>
        <color theme="1"/>
        <rFont val="Calibri"/>
        <family val="2"/>
        <scheme val="minor"/>
      </rPr>
      <t xml:space="preserve"> A lease does not transfer ownership of the property at anytime during the lease. If your lease transfers the property title as a result of the agreement do not include as a lease.</t>
    </r>
  </si>
  <si>
    <t>GASB 87 Questionnaire Instructions</t>
  </si>
  <si>
    <t>Enter your OLO</t>
  </si>
  <si>
    <t>Enter your Agency Name</t>
  </si>
  <si>
    <t>Enter the Fund number in which the Lease is recorded</t>
  </si>
  <si>
    <t>Enter a Description of the Lease. Describe what asset is being leased.</t>
  </si>
  <si>
    <t xml:space="preserve">Enter the Value of the Lease.  This should be calculated by adding up all the payments under the lease terms.  If the lease agreement has variable </t>
  </si>
  <si>
    <t xml:space="preserve">payments only include the guaranteed portions and not amounts based on future performance or speculation.  </t>
  </si>
  <si>
    <t>Enter the start and end date for the lease agreement</t>
  </si>
  <si>
    <t>Enter the Lease Term in Months</t>
  </si>
  <si>
    <t>Enter whether a renewal is available.</t>
  </si>
  <si>
    <t>Indicate the Renewal term to which the Lease can be extended. Please also comment in the additional comments box whether it is likely to be renewed.</t>
  </si>
  <si>
    <t>Enter the Lease payment amount</t>
  </si>
  <si>
    <t>Enter the Lease payment/receipt amount expected in next fiscal year.</t>
  </si>
  <si>
    <t>Enter the Interest Rate Implicit in the Lease. If one does not exist, please use your incremental borrowing rate.</t>
  </si>
  <si>
    <t>Enter whether the lease payment is fixed or variable. If variable, please indicate what controls the variable aspect of the payment</t>
  </si>
  <si>
    <t>Enter the Lease payment frequency. Indicate if Weekly, Monthly, Yearly, or some other periodic or non-periodic term.</t>
  </si>
  <si>
    <t>Number of Payments already made under the lease agreement</t>
  </si>
  <si>
    <t>Enter the amortization recognized for the lease</t>
  </si>
  <si>
    <t>Enter Direct Costs for the lease, if any, otherwise enter Zero. Direct costs are costs to originate a lease incurred in transactions with independent third parties that result  directly from and</t>
  </si>
  <si>
    <t xml:space="preserve">are essential to acquiring that lease and would not have been incurred had that leasing transaction not occurred and certain costs directly related to specific activities performed by the </t>
  </si>
  <si>
    <t>lessor for that lease.</t>
  </si>
  <si>
    <t>Enter any additional comments or notes that would elaborate or provide more context to the lease.</t>
  </si>
  <si>
    <t>Department of Financial Services ~ Statewide Financial Statements</t>
  </si>
  <si>
    <t>Discretely Presented Component Unit ~ Form CU1 ~ Deposits</t>
  </si>
  <si>
    <t>GL 112XX &amp; 222XX</t>
  </si>
  <si>
    <t>Component Unit Name:</t>
  </si>
  <si>
    <t>Component Unit Fund Number:</t>
  </si>
  <si>
    <r>
      <t>Deposits are defined in Section 280.02(23), Florida Statutes</t>
    </r>
    <r>
      <rPr>
        <sz val="10"/>
        <rFont val="Arial"/>
        <family val="2"/>
      </rPr>
      <t xml:space="preserve">.  </t>
    </r>
    <r>
      <rPr>
        <b/>
        <sz val="10"/>
        <rFont val="Arial"/>
        <family val="2"/>
      </rPr>
      <t>PLEASE SUBMIT ONE FORM FOR EACH FUND.</t>
    </r>
  </si>
  <si>
    <t xml:space="preserve">List the current year ending 6/30 reconciled/authorized deposit amounts and corresponding unadjusted bank statement balances below. If this is a revolving fund, </t>
  </si>
  <si>
    <t>the amount recorded as the Reconciled Bank Balance should equal the approved amount of the revolving fund less any portion maintained as cash on hand.</t>
  </si>
  <si>
    <t>Reconciled Bank Balance (1)</t>
  </si>
  <si>
    <t>Bank Statement Balance (2)</t>
  </si>
  <si>
    <t xml:space="preserve">   Totals</t>
  </si>
  <si>
    <r>
      <t xml:space="preserve">The total amount of this column must agree to the amounts recorded in general ledger codes 112XX and 222XX of the FLAIR trial balance.  </t>
    </r>
    <r>
      <rPr>
        <b/>
        <u/>
        <sz val="10"/>
        <rFont val="Arial"/>
        <family val="2"/>
      </rPr>
      <t/>
    </r>
  </si>
  <si>
    <r>
      <rPr>
        <b/>
        <u/>
        <sz val="10"/>
        <rFont val="Arial"/>
        <family val="2"/>
      </rPr>
      <t>DO</t>
    </r>
    <r>
      <rPr>
        <b/>
        <sz val="10"/>
        <rFont val="Arial"/>
        <family val="2"/>
      </rPr>
      <t xml:space="preserve"> </t>
    </r>
    <r>
      <rPr>
        <b/>
        <u/>
        <sz val="10"/>
        <rFont val="Arial"/>
        <family val="2"/>
      </rPr>
      <t>NOT</t>
    </r>
    <r>
      <rPr>
        <b/>
        <sz val="10"/>
        <rFont val="Arial"/>
        <family val="2"/>
      </rPr>
      <t xml:space="preserve"> include cash in the State Treasurer (GL 121XX, 122XX, &amp; 124XX) nor those maintained with the State Board of Administration </t>
    </r>
  </si>
  <si>
    <t>(GL 113XX &amp; 223XX) on this form.</t>
  </si>
  <si>
    <t>(2)</t>
  </si>
  <si>
    <t>This information can be obtained directly from the 6/30 bank statement.</t>
  </si>
  <si>
    <t xml:space="preserve">Check "Yes" or "No" as to whether any violations of legal or contractual provisions have occurred in relationship to the reported deposits.  </t>
  </si>
  <si>
    <t>For items marked "Yes", attach a brief description.</t>
  </si>
  <si>
    <r>
      <rPr>
        <b/>
        <sz val="10"/>
        <rFont val="Arial"/>
        <family val="2"/>
      </rPr>
      <t>SECTION</t>
    </r>
    <r>
      <rPr>
        <sz val="10"/>
        <rFont val="Arial"/>
        <family val="2"/>
      </rPr>
      <t>.  Otherwise, disclose amounts for any portion of the above deposits that exceed federal deposit insurance limits and are:</t>
    </r>
  </si>
  <si>
    <t xml:space="preserve"> Uncollateralized,</t>
  </si>
  <si>
    <r>
      <t xml:space="preserve"> Collateralized with securities held by the pledging financial institution </t>
    </r>
    <r>
      <rPr>
        <b/>
        <i/>
        <sz val="10"/>
        <color indexed="10"/>
        <rFont val="Arial"/>
        <family val="2"/>
      </rPr>
      <t>but not in the depositor-government's name</t>
    </r>
    <r>
      <rPr>
        <i/>
        <sz val="10"/>
        <rFont val="Arial"/>
        <family val="2"/>
      </rPr>
      <t>, or</t>
    </r>
  </si>
  <si>
    <t>(3)</t>
  </si>
  <si>
    <r>
      <t xml:space="preserve"> Collateralized with securities held by the pledging financial institution's trust department or agent </t>
    </r>
    <r>
      <rPr>
        <b/>
        <i/>
        <sz val="10"/>
        <color indexed="10"/>
        <rFont val="Arial"/>
        <family val="2"/>
      </rPr>
      <t>but not in the depositor-government's name.</t>
    </r>
  </si>
  <si>
    <t xml:space="preserve">   Total</t>
  </si>
  <si>
    <t xml:space="preserve">Explain the governing policy related to these deposits.  If there is no deposit policy addressing a specific type of risk that the deposits are exposed to, </t>
  </si>
  <si>
    <t xml:space="preserve">the  disclosure should indicate that fact.   </t>
  </si>
  <si>
    <t>Governing Policy:</t>
  </si>
  <si>
    <t xml:space="preserve">List amounts for any portion of the above Deposit Totals that are exposed to foreign currency risk and explain the governing policy related to these deposits. </t>
  </si>
  <si>
    <t xml:space="preserve"> If there is no deposit policy addressing a specific type of risk that the deposits are exposed to, the disclosure should indicate that fact.</t>
  </si>
  <si>
    <t>Currency Type</t>
  </si>
  <si>
    <t>Bank Statement Balance (in US $)</t>
  </si>
  <si>
    <t xml:space="preserve"> Discretely Presented Component Unit ~ Form CU2 ~ Other Investments  </t>
  </si>
  <si>
    <t>GL 145XX, 146XX, 147XX, 227XX, 245XX, 246XX, and 247XX</t>
  </si>
  <si>
    <t>June 30,</t>
  </si>
  <si>
    <r>
      <t xml:space="preserve">Instructions: </t>
    </r>
    <r>
      <rPr>
        <sz val="10"/>
        <rFont val="Arial"/>
        <family val="2"/>
      </rPr>
      <t>Complete the following schedule by listing the carrying and fair value for each type of investment owned as of</t>
    </r>
    <r>
      <rPr>
        <i/>
        <sz val="10"/>
        <rFont val="Arial"/>
        <family val="2"/>
      </rPr>
      <t xml:space="preserve"> </t>
    </r>
    <r>
      <rPr>
        <sz val="10"/>
        <rFont val="Arial"/>
        <family val="2"/>
      </rPr>
      <t>current year ending 6/30.</t>
    </r>
  </si>
  <si>
    <r>
      <t xml:space="preserve">PLEASE SUBMIT ONE FORM FOR EACH FUND.  </t>
    </r>
    <r>
      <rPr>
        <sz val="10"/>
        <rFont val="Arial"/>
        <family val="2"/>
      </rPr>
      <t xml:space="preserve">Section </t>
    </r>
    <r>
      <rPr>
        <b/>
        <sz val="10"/>
        <rFont val="Arial"/>
        <family val="2"/>
      </rPr>
      <t xml:space="preserve">(A) </t>
    </r>
    <r>
      <rPr>
        <sz val="10"/>
        <rFont val="Arial"/>
        <family val="2"/>
      </rPr>
      <t xml:space="preserve">is required for ALL </t>
    </r>
    <r>
      <rPr>
        <u/>
        <sz val="10"/>
        <rFont val="Arial"/>
        <family val="2"/>
      </rPr>
      <t>Discretely Presented Component Units</t>
    </r>
    <r>
      <rPr>
        <sz val="10"/>
        <rFont val="Arial"/>
        <family val="2"/>
      </rPr>
      <t xml:space="preserve">.  Sections </t>
    </r>
    <r>
      <rPr>
        <b/>
        <sz val="10"/>
        <rFont val="Arial"/>
        <family val="2"/>
      </rPr>
      <t>(B-F)</t>
    </r>
    <r>
      <rPr>
        <sz val="10"/>
        <rFont val="Arial"/>
        <family val="2"/>
      </rPr>
      <t xml:space="preserve"> are required </t>
    </r>
    <r>
      <rPr>
        <b/>
        <sz val="10"/>
        <rFont val="Arial"/>
        <family val="2"/>
      </rPr>
      <t>ONLY</t>
    </r>
    <r>
      <rPr>
        <sz val="10"/>
        <rFont val="Arial"/>
        <family val="2"/>
      </rPr>
      <t xml:space="preserve">  for Major Discretely Presented Component Units.</t>
    </r>
  </si>
  <si>
    <r>
      <rPr>
        <b/>
        <sz val="11"/>
        <rFont val="Arial"/>
        <family val="2"/>
      </rPr>
      <t>*</t>
    </r>
    <r>
      <rPr>
        <b/>
        <sz val="10"/>
        <rFont val="Arial"/>
        <family val="2"/>
      </rPr>
      <t>DO NOT include investments pooled with the State Treasurer (GL 141XX, 143XX &amp; 224XX) nor those maintained with the State Board of Administration (GL 142XX &amp; 226XX) on this form.</t>
    </r>
  </si>
  <si>
    <t>(A)</t>
  </si>
  <si>
    <t>Carrying</t>
  </si>
  <si>
    <t>Fair</t>
  </si>
  <si>
    <t>Investment Type:</t>
  </si>
  <si>
    <t>Value</t>
  </si>
  <si>
    <t>Certificates of deposit</t>
  </si>
  <si>
    <t>Commercial paper</t>
  </si>
  <si>
    <t>Repurchase agreements</t>
  </si>
  <si>
    <t>Money market funds</t>
  </si>
  <si>
    <t>U.S. guaranteed obligations</t>
  </si>
  <si>
    <t>Federal agencies</t>
  </si>
  <si>
    <t>Domestic bonds &amp; notes</t>
  </si>
  <si>
    <t>International bonds &amp; notes</t>
  </si>
  <si>
    <t>Domestic stocks</t>
  </si>
  <si>
    <t>International stocks</t>
  </si>
  <si>
    <t>Real estate investments</t>
  </si>
  <si>
    <t>Mutual funds</t>
  </si>
  <si>
    <t>Investment agreements</t>
  </si>
  <si>
    <t>*Total Investments</t>
  </si>
  <si>
    <t xml:space="preserve"> * Total Investments at CARRYING VALUE must agree to the amounts recorded in general</t>
  </si>
  <si>
    <t xml:space="preserve">    ledger codes 145XX, 146XX, 147XX, 227XX, 245XX, 246XX and 247XX of the FLAIR trial balance:</t>
  </si>
  <si>
    <t>Custodial Credit Risk</t>
  </si>
  <si>
    <t xml:space="preserve">(B-1) </t>
  </si>
  <si>
    <r>
      <t xml:space="preserve">List amounts for: </t>
    </r>
    <r>
      <rPr>
        <b/>
        <sz val="10"/>
        <rFont val="Arial"/>
        <family val="2"/>
      </rPr>
      <t xml:space="preserve">(1) </t>
    </r>
    <r>
      <rPr>
        <sz val="10"/>
        <rFont val="Arial"/>
        <family val="2"/>
      </rPr>
      <t xml:space="preserve">Securities lending collateral that </t>
    </r>
    <r>
      <rPr>
        <b/>
        <sz val="10"/>
        <rFont val="Arial"/>
        <family val="2"/>
      </rPr>
      <t>is</t>
    </r>
    <r>
      <rPr>
        <sz val="10"/>
        <rFont val="Arial"/>
        <family val="2"/>
      </rPr>
      <t xml:space="preserve"> reported in the statement of net position or </t>
    </r>
    <r>
      <rPr>
        <b/>
        <sz val="10"/>
        <rFont val="Arial"/>
        <family val="2"/>
      </rPr>
      <t xml:space="preserve">(2) </t>
    </r>
    <r>
      <rPr>
        <sz val="10"/>
        <rFont val="Arial"/>
        <family val="2"/>
      </rPr>
      <t>Underlying securities if the collateral for those</t>
    </r>
  </si>
  <si>
    <r>
      <t xml:space="preserve">loans </t>
    </r>
    <r>
      <rPr>
        <b/>
        <sz val="10"/>
        <rFont val="Arial"/>
        <family val="2"/>
      </rPr>
      <t>is not</t>
    </r>
    <r>
      <rPr>
        <sz val="10"/>
        <rFont val="Arial"/>
        <family val="2"/>
      </rPr>
      <t xml:space="preserve"> reported in the statement of net position meeting the following criteria.</t>
    </r>
  </si>
  <si>
    <r>
      <t>(a)</t>
    </r>
    <r>
      <rPr>
        <i/>
        <sz val="10"/>
        <rFont val="Arial"/>
        <family val="2"/>
      </rPr>
      <t xml:space="preserve"> </t>
    </r>
    <r>
      <rPr>
        <i/>
        <sz val="10"/>
        <rFont val="Arial"/>
        <family val="2"/>
      </rPr>
      <t xml:space="preserve">Are uninsured, are not registered in the name of the government, and are held by the counterparty </t>
    </r>
    <r>
      <rPr>
        <b/>
        <i/>
        <sz val="10"/>
        <color indexed="10"/>
        <rFont val="Arial"/>
        <family val="2"/>
      </rPr>
      <t>but not in the government's name.</t>
    </r>
  </si>
  <si>
    <r>
      <t>(b)</t>
    </r>
    <r>
      <rPr>
        <i/>
        <sz val="10"/>
        <rFont val="Arial"/>
        <family val="2"/>
      </rPr>
      <t xml:space="preserve"> Are uninsured, are not registered in the name of the government, and are held by the counterparty's trust department or agent </t>
    </r>
    <r>
      <rPr>
        <b/>
        <i/>
        <sz val="10"/>
        <color indexed="10"/>
        <rFont val="Arial"/>
        <family val="2"/>
      </rPr>
      <t>but not in the government's name.</t>
    </r>
  </si>
  <si>
    <t>How are the investments held? (1, 2a, 2b)</t>
  </si>
  <si>
    <t>Fair Value</t>
  </si>
  <si>
    <t>(B-2)</t>
  </si>
  <si>
    <t>Also, explain the governing policy related to custodial credit risk for these investments.  If there is no investment policy addressing a specific type of risk that</t>
  </si>
  <si>
    <t xml:space="preserve">the investments are exposed to, the disclosure should indicate that fact.   </t>
  </si>
  <si>
    <t>Concentration of Credit Risk</t>
  </si>
  <si>
    <t xml:space="preserve">(C-1) </t>
  </si>
  <si>
    <t xml:space="preserve">List amounts for any investments if any one issuer (even if it's underlying for repurchase agreements) represents 5% or more of the total investments of this component unit unless investments </t>
  </si>
  <si>
    <t xml:space="preserve">are: (1) issued or explicitly guaranteed by the U.S. government, or (2) invested in mutual funds, external investment pools, and other pooled investments.   </t>
  </si>
  <si>
    <t>Issuer</t>
  </si>
  <si>
    <t>(C-2)</t>
  </si>
  <si>
    <t xml:space="preserve">Also, explain the governing policy related to concentration of credit risk for these investments.  If there is no investment policy addressing a specific type of risk that the investments are exposed to, </t>
  </si>
  <si>
    <t xml:space="preserve">the disclosure should indicate that fact. </t>
  </si>
  <si>
    <t>Credit Quality Ratings</t>
  </si>
  <si>
    <t xml:space="preserve">(D) </t>
  </si>
  <si>
    <t xml:space="preserve">List credit quality ratings of external investment pools, money market funds, bond mutual funds, and other pooled investments of fixed-income securities. If the investment is </t>
  </si>
  <si>
    <t>unrated please disclose that fact.</t>
  </si>
  <si>
    <t>Debt Security Type</t>
  </si>
  <si>
    <t>Quality Rating S&amp;P</t>
  </si>
  <si>
    <t>Quality Rating Moody's</t>
  </si>
  <si>
    <t>Domestic Value</t>
  </si>
  <si>
    <t>International Value</t>
  </si>
  <si>
    <t>Total Fair Value                                             (Sum of Domestic and International)</t>
  </si>
  <si>
    <t>Federal Agencies</t>
  </si>
  <si>
    <t>Interest Rate Risk</t>
  </si>
  <si>
    <t xml:space="preserve">(E-1) </t>
  </si>
  <si>
    <t xml:space="preserve">Disclose interest rate risk information for investments in mutual funds, investments in external investment pools, other pooled investments that do not meet the definitions of a </t>
  </si>
  <si>
    <t>2a7-like pool.  Use applicable method used to manage interest rate risk.</t>
  </si>
  <si>
    <t>(a)</t>
  </si>
  <si>
    <t>Segmented Time Distribution</t>
  </si>
  <si>
    <t>Investment maturities (in years)</t>
  </si>
  <si>
    <t>Total Fair Value</t>
  </si>
  <si>
    <t>Less than or equal to 1</t>
  </si>
  <si>
    <t>&gt; 1 to 5</t>
  </si>
  <si>
    <t>&gt; 6 to 10</t>
  </si>
  <si>
    <t>&gt; 10</t>
  </si>
  <si>
    <t>U.S. Guaranteed Obligations</t>
  </si>
  <si>
    <t>(b)</t>
  </si>
  <si>
    <t>Specific Identification</t>
  </si>
  <si>
    <t>Maturities</t>
  </si>
  <si>
    <t>(c)</t>
  </si>
  <si>
    <t>Weighted Average Maturity</t>
  </si>
  <si>
    <t xml:space="preserve">   Weighted Average Maturity</t>
  </si>
  <si>
    <t>(d)</t>
  </si>
  <si>
    <t>Duration</t>
  </si>
  <si>
    <t>Modified Duration</t>
  </si>
  <si>
    <t xml:space="preserve">(E-2) </t>
  </si>
  <si>
    <t xml:space="preserve">Also, explain the governing policy related to interest rate risk for investments.  If there is no investment policy addressing a specific type of risk that the investments </t>
  </si>
  <si>
    <t xml:space="preserve">are exposed to, the disclosure should indicate that fact.   </t>
  </si>
  <si>
    <t>Foreign Currency Risk</t>
  </si>
  <si>
    <t xml:space="preserve">(F-1) </t>
  </si>
  <si>
    <t>Disclose investments exposed to foreign currency risk.</t>
  </si>
  <si>
    <t>Fair Value (in US$)</t>
  </si>
  <si>
    <t>(F-2)</t>
  </si>
  <si>
    <t>Also, explain the governing policy related to foreign risk for investments.  If there is no investment policy addressing a specific type of risk that the investments are exposed to, the</t>
  </si>
  <si>
    <t xml:space="preserve">disclosure should indicate that fact.   </t>
  </si>
  <si>
    <t>Discretely Presented Component Unit ~ Form CU2 ~ Other Investments</t>
  </si>
  <si>
    <r>
      <rPr>
        <b/>
        <sz val="10"/>
        <rFont val="Arial"/>
        <family val="2"/>
      </rPr>
      <t>Instructions</t>
    </r>
    <r>
      <rPr>
        <sz val="10"/>
        <rFont val="Arial"/>
        <family val="2"/>
      </rPr>
      <t xml:space="preserve">: Complete the following schedules by listing the applicable value for each type of investment owned as of current year ending 6/30.  </t>
    </r>
    <r>
      <rPr>
        <b/>
        <sz val="10"/>
        <rFont val="Arial"/>
        <family val="2"/>
      </rPr>
      <t xml:space="preserve">Prior to completing Schedule A and Schedule B, </t>
    </r>
  </si>
  <si>
    <t>please see "Instructions-Schedules A and B" tab.</t>
  </si>
  <si>
    <r>
      <rPr>
        <b/>
        <sz val="10"/>
        <rFont val="Arial"/>
        <family val="2"/>
      </rPr>
      <t>PLEASE SUBMIT ONE FORM FOR EACH FUND</t>
    </r>
    <r>
      <rPr>
        <sz val="10"/>
        <rFont val="Arial"/>
        <family val="2"/>
      </rPr>
      <t xml:space="preserve">.  Section </t>
    </r>
    <r>
      <rPr>
        <b/>
        <sz val="10"/>
        <rFont val="Arial"/>
        <family val="2"/>
      </rPr>
      <t>(A)</t>
    </r>
    <r>
      <rPr>
        <sz val="10"/>
        <rFont val="Arial"/>
        <family val="2"/>
      </rPr>
      <t xml:space="preserve"> is required for ALL </t>
    </r>
    <r>
      <rPr>
        <u/>
        <sz val="10"/>
        <rFont val="Arial"/>
        <family val="2"/>
      </rPr>
      <t>Discretely Presented Component Units</t>
    </r>
    <r>
      <rPr>
        <sz val="10"/>
        <rFont val="Arial"/>
        <family val="2"/>
      </rPr>
      <t xml:space="preserve">.  Sections </t>
    </r>
    <r>
      <rPr>
        <b/>
        <sz val="10"/>
        <rFont val="Arial"/>
        <family val="2"/>
      </rPr>
      <t>(B-G)</t>
    </r>
    <r>
      <rPr>
        <sz val="10"/>
        <rFont val="Arial"/>
        <family val="2"/>
      </rPr>
      <t xml:space="preserve"> are required </t>
    </r>
    <r>
      <rPr>
        <b/>
        <sz val="10"/>
        <rFont val="Arial"/>
        <family val="2"/>
      </rPr>
      <t>ONLY</t>
    </r>
    <r>
      <rPr>
        <sz val="10"/>
        <rFont val="Arial"/>
        <family val="2"/>
      </rPr>
      <t xml:space="preserve"> for Major Discretely Presented Component Units.</t>
    </r>
  </si>
  <si>
    <t xml:space="preserve">**DO NOT include investments pooled with the State Treasurer (GL 141XX, 143XX, 224XX, 225XX &amp; 241XX) nor those maintained with the </t>
  </si>
  <si>
    <t xml:space="preserve"> State Board of Administration(GL 142XX &amp; 226XX) on this form.</t>
  </si>
  <si>
    <t>Fair Value Measurements Levels</t>
  </si>
  <si>
    <t>(Section A)</t>
  </si>
  <si>
    <t>Quoted Prices in Active Markets for identical Assets
Level 1</t>
  </si>
  <si>
    <t>Significant Other Observable Inputs
Level 2</t>
  </si>
  <si>
    <t>Significant Unobservable Inputs
Level 3</t>
  </si>
  <si>
    <t>Total Fair Value 6/30</t>
  </si>
  <si>
    <t>(A-1)</t>
  </si>
  <si>
    <t>Debt securities:</t>
  </si>
  <si>
    <t>Domestic bonds and notes</t>
  </si>
  <si>
    <t>International bonds and notes</t>
  </si>
  <si>
    <t>Total debt securities</t>
  </si>
  <si>
    <t>(A-2)</t>
  </si>
  <si>
    <t>Equity securities:</t>
  </si>
  <si>
    <t>Domestic stock</t>
  </si>
  <si>
    <t>International stock</t>
  </si>
  <si>
    <t>Total equity securities</t>
  </si>
  <si>
    <t>(A-3)</t>
  </si>
  <si>
    <t>Spot currency contracts</t>
  </si>
  <si>
    <t>(A-4)</t>
  </si>
  <si>
    <t>Securities lending collateral investments</t>
  </si>
  <si>
    <t>(A-5)</t>
  </si>
  <si>
    <t>Investment derivative instruments:</t>
  </si>
  <si>
    <t>Option contracts</t>
  </si>
  <si>
    <t>Forward currency contracts</t>
  </si>
  <si>
    <t>Futures contracts</t>
  </si>
  <si>
    <t>Swap contracts (debt)</t>
  </si>
  <si>
    <t>Total investment derivative instruments</t>
  </si>
  <si>
    <t>(A-6)</t>
  </si>
  <si>
    <t>(A-7)</t>
  </si>
  <si>
    <t>Other investments</t>
  </si>
  <si>
    <t>(A-8)</t>
  </si>
  <si>
    <t>Net Asset Value (NAV) Pending Sale Exception Investments*</t>
  </si>
  <si>
    <t xml:space="preserve">  Private equity funds</t>
  </si>
  <si>
    <t xml:space="preserve">  Real estate investments</t>
  </si>
  <si>
    <t xml:space="preserve">  Other investments</t>
  </si>
  <si>
    <t>Total NAV Pending Sale Exception Investments</t>
  </si>
  <si>
    <t>Total investments by fair value level</t>
  </si>
  <si>
    <t>To</t>
  </si>
  <si>
    <t>Investments measured at the Net Asset Value (NAV):</t>
  </si>
  <si>
    <t>(B-1)</t>
  </si>
  <si>
    <t>Domestic bonds and notes commingled funds</t>
  </si>
  <si>
    <t>Domestic equity commingled funds</t>
  </si>
  <si>
    <t>(B-3)</t>
  </si>
  <si>
    <t>International equity commingled funds</t>
  </si>
  <si>
    <t>(B-4)</t>
  </si>
  <si>
    <t>Short-term investments</t>
  </si>
  <si>
    <t>(B-5)</t>
  </si>
  <si>
    <t>Real estate investments (directly owned)</t>
  </si>
  <si>
    <t>(B-6)</t>
  </si>
  <si>
    <t>Real estate investments commingled funds</t>
  </si>
  <si>
    <t>(B-7)</t>
  </si>
  <si>
    <t>Activist equity funds</t>
  </si>
  <si>
    <t>(B-8)</t>
  </si>
  <si>
    <t>Hedge funds</t>
  </si>
  <si>
    <t>(B-9)</t>
  </si>
  <si>
    <t>Private debt/credit opportunities funds</t>
  </si>
  <si>
    <t>(B-10)</t>
  </si>
  <si>
    <t>Private equity funds</t>
  </si>
  <si>
    <t>(B-11)</t>
  </si>
  <si>
    <t>Private real asset funds</t>
  </si>
  <si>
    <t>Total investments measured at NAV</t>
  </si>
  <si>
    <t>Investments reported as receivables/liabilities in Statement of Net Position:</t>
  </si>
  <si>
    <t>(A-9)</t>
  </si>
  <si>
    <t>Investments sold short</t>
  </si>
  <si>
    <t>U.S guaranteed obligations</t>
  </si>
  <si>
    <t>Total investments sold short</t>
  </si>
  <si>
    <t>(A-10)</t>
  </si>
  <si>
    <t>Other investments reported as receivables/liabilities</t>
  </si>
  <si>
    <t>Total investments reported as receivables/liabilities</t>
  </si>
  <si>
    <t>(A-11)</t>
  </si>
  <si>
    <t>Other Investments not measured at fair value:</t>
  </si>
  <si>
    <t>Reported Amount 6/30</t>
  </si>
  <si>
    <t>Life insurance contracts</t>
  </si>
  <si>
    <t>Cash collateral on deposit with swap counter party</t>
  </si>
  <si>
    <t>Total Investments not measured at fair value</t>
  </si>
  <si>
    <t>Total Other Investments**</t>
  </si>
  <si>
    <r>
      <t>*</t>
    </r>
    <r>
      <rPr>
        <b/>
        <sz val="10"/>
        <rFont val="Arial"/>
        <family val="2"/>
      </rPr>
      <t xml:space="preserve">ONLY for those investments that are normally reported at NAV; however, cannot be reported at NAV due to a pending sale. See tab "Instructions- Sections A and B." </t>
    </r>
    <r>
      <rPr>
        <sz val="10"/>
        <rFont val="Arial"/>
        <family val="2"/>
      </rPr>
      <t xml:space="preserve">   </t>
    </r>
  </si>
  <si>
    <t xml:space="preserve"> **Total Other Investments must agree to the amounts recorded in general  ledger codes 145XX, 146XX, 147XX, 227XX, 245XX, 246XX and 247XX of the FLAIR trial balance.</t>
  </si>
  <si>
    <t>Description of valuation methods used to value investments in Level 1</t>
  </si>
  <si>
    <t>A-1:</t>
  </si>
  <si>
    <t>A-2:</t>
  </si>
  <si>
    <t>A-3:</t>
  </si>
  <si>
    <t>A-4:</t>
  </si>
  <si>
    <t>A-5:</t>
  </si>
  <si>
    <t>A-6:</t>
  </si>
  <si>
    <t>A-7:</t>
  </si>
  <si>
    <t>A-9:</t>
  </si>
  <si>
    <t>A-10:</t>
  </si>
  <si>
    <t>Description of valuation methods used to value investments in Level 2</t>
  </si>
  <si>
    <t>Description of valuation methods used to value investments in Level 3</t>
  </si>
  <si>
    <t>(Section B)</t>
  </si>
  <si>
    <t>Investments measured at the NAV</t>
  </si>
  <si>
    <t>Unfunded Commitments</t>
  </si>
  <si>
    <t>Redemption Frequency (If Currently Eligible)</t>
  </si>
  <si>
    <t>Redemption Notice Period</t>
  </si>
  <si>
    <t>Fair Value 6/30</t>
  </si>
  <si>
    <r>
      <t>Diversifying strategies (CTAs)</t>
    </r>
    <r>
      <rPr>
        <vertAlign val="superscript"/>
        <sz val="10"/>
        <rFont val="Arial"/>
        <family val="2"/>
      </rPr>
      <t>a</t>
    </r>
  </si>
  <si>
    <r>
      <t>Equity long/shorts</t>
    </r>
    <r>
      <rPr>
        <vertAlign val="superscript"/>
        <sz val="10"/>
        <rFont val="Arial"/>
        <family val="2"/>
      </rPr>
      <t>b</t>
    </r>
  </si>
  <si>
    <r>
      <t>Event driven</t>
    </r>
    <r>
      <rPr>
        <vertAlign val="superscript"/>
        <sz val="10"/>
        <rFont val="Arial"/>
        <family val="2"/>
      </rPr>
      <t>c</t>
    </r>
  </si>
  <si>
    <r>
      <t>Global macro</t>
    </r>
    <r>
      <rPr>
        <vertAlign val="superscript"/>
        <sz val="10"/>
        <rFont val="Arial"/>
        <family val="2"/>
      </rPr>
      <t>d</t>
    </r>
  </si>
  <si>
    <r>
      <t>Multi-strategy</t>
    </r>
    <r>
      <rPr>
        <vertAlign val="superscript"/>
        <sz val="10"/>
        <rFont val="Arial"/>
        <family val="2"/>
      </rPr>
      <t>e</t>
    </r>
  </si>
  <si>
    <r>
      <t>Opportunistic debt</t>
    </r>
    <r>
      <rPr>
        <vertAlign val="superscript"/>
        <sz val="10"/>
        <rFont val="Arial"/>
        <family val="2"/>
      </rPr>
      <t>f</t>
    </r>
  </si>
  <si>
    <r>
      <t>Relative value</t>
    </r>
    <r>
      <rPr>
        <vertAlign val="superscript"/>
        <sz val="10"/>
        <rFont val="Arial"/>
        <family val="2"/>
      </rPr>
      <t>g</t>
    </r>
  </si>
  <si>
    <t xml:space="preserve">      Total investments measured at NAV</t>
  </si>
  <si>
    <t>Description of NAV investments and significant investment strategies.</t>
  </si>
  <si>
    <t>B-1:</t>
  </si>
  <si>
    <t>B-2:</t>
  </si>
  <si>
    <t>B-3:</t>
  </si>
  <si>
    <t>B-4:</t>
  </si>
  <si>
    <t>B-5:</t>
  </si>
  <si>
    <t>B-6:</t>
  </si>
  <si>
    <t>B-7:</t>
  </si>
  <si>
    <t>B-8:</t>
  </si>
  <si>
    <t>a)</t>
  </si>
  <si>
    <t>b)</t>
  </si>
  <si>
    <t>c)</t>
  </si>
  <si>
    <t>d)</t>
  </si>
  <si>
    <t>e)</t>
  </si>
  <si>
    <t>f)</t>
  </si>
  <si>
    <t>g)</t>
  </si>
  <si>
    <t>B-9:</t>
  </si>
  <si>
    <t>B-10:</t>
  </si>
  <si>
    <t>B-11:</t>
  </si>
  <si>
    <t>A-8*</t>
  </si>
  <si>
    <t xml:space="preserve">     </t>
  </si>
  <si>
    <t xml:space="preserve">(Section C-1) </t>
  </si>
  <si>
    <r>
      <t>(a)</t>
    </r>
    <r>
      <rPr>
        <i/>
        <sz val="10"/>
        <rFont val="Arial"/>
        <family val="2"/>
      </rPr>
      <t xml:space="preserve"> Are uninsured, are not registered in the name of the government, and are held by the counterparty </t>
    </r>
    <r>
      <rPr>
        <b/>
        <i/>
        <sz val="10"/>
        <color indexed="10"/>
        <rFont val="Arial"/>
        <family val="2"/>
      </rPr>
      <t>but not in the government's name.</t>
    </r>
  </si>
  <si>
    <t>How are the investments held? (1, 2a,2b)</t>
  </si>
  <si>
    <t>(Section C-2)</t>
  </si>
  <si>
    <t xml:space="preserve">(Section D-1) </t>
  </si>
  <si>
    <t xml:space="preserve">List amounts for any investments if any one issuer (even if it's underlying for repurchase agreements) represents 5% or more of the total investments of this component unit unless </t>
  </si>
  <si>
    <t xml:space="preserve">investments are: (1) issued or explicitly guaranteed by the U.S. government, or (2) invested in mutual funds, external investment pools, and other pooled investments.   </t>
  </si>
  <si>
    <t>(Section D-2)</t>
  </si>
  <si>
    <t xml:space="preserve">Also, explain the governing policy related to concentration of credit risk for these investments.  If there is no investment policy addressing a specific type of risk that the investments </t>
  </si>
  <si>
    <t xml:space="preserve">are exposed to, the disclosure should indicate that fact. </t>
  </si>
  <si>
    <t xml:space="preserve">(Section E) </t>
  </si>
  <si>
    <t xml:space="preserve">(Section F-1) </t>
  </si>
  <si>
    <t xml:space="preserve">Disclose interest rate risk information for investments in mutual funds, external investment pools, or other pooled investments should be limited to investments in debt mutual funds, </t>
  </si>
  <si>
    <t xml:space="preserve">external debt investment pools, or other pooled debt investments. </t>
  </si>
  <si>
    <t xml:space="preserve">(Section F-2) </t>
  </si>
  <si>
    <t xml:space="preserve">(Section G-1) </t>
  </si>
  <si>
    <t>(Section G-2)</t>
  </si>
  <si>
    <t>Discretely Presented Component Unit - Form CU3</t>
  </si>
  <si>
    <t>Deficit Ending Equity or Deficit Equity Classification</t>
  </si>
  <si>
    <t>Please submit one form for each fund number that has a Deficit Ending Equity or Deficit Equity Classification.</t>
  </si>
  <si>
    <t>For each component unit fund number with a deficit ending equity or deficit equity classification, report the amount of deficit.</t>
  </si>
  <si>
    <t>For each deficit equity or deficit equity classification, provide the cause of deficit.</t>
  </si>
  <si>
    <t>For each deficit equity, provide the course of action to be taken to eliminate the deficit.</t>
  </si>
  <si>
    <r>
      <t xml:space="preserve">Amount of Deficit: </t>
    </r>
    <r>
      <rPr>
        <b/>
        <vertAlign val="superscript"/>
        <sz val="12"/>
        <rFont val="Arial"/>
        <family val="2"/>
      </rPr>
      <t>(1)</t>
    </r>
  </si>
  <si>
    <t>$</t>
  </si>
  <si>
    <r>
      <t>Cause of Deficit:</t>
    </r>
    <r>
      <rPr>
        <b/>
        <vertAlign val="superscript"/>
        <sz val="12"/>
        <rFont val="Arial"/>
        <family val="2"/>
      </rPr>
      <t xml:space="preserve"> (2)</t>
    </r>
  </si>
  <si>
    <r>
      <t>Course of Action:</t>
    </r>
    <r>
      <rPr>
        <b/>
        <vertAlign val="superscript"/>
        <sz val="12"/>
        <rFont val="Arial"/>
        <family val="2"/>
      </rPr>
      <t xml:space="preserve"> (3)</t>
    </r>
  </si>
  <si>
    <t>Discretely Presented Component Unit ~ Form CU6 ~ Changes in Long-term Liabilities</t>
  </si>
  <si>
    <t>GL 371XX, 445XX, 461XX, 463XX, 464XX, 465XX, 455XX, 456XX, 358XX, 458XX, 372XX, 462XX, 466XX, 467XX</t>
  </si>
  <si>
    <t>385XX, 485XX, 386XX, 486XX, 387XX, 487XX, 388XX, 488XX, 315XX, 324XX, 498XX, 399XX, &amp; 499XX</t>
  </si>
  <si>
    <r>
      <t>Instructions:</t>
    </r>
    <r>
      <rPr>
        <sz val="10"/>
        <rFont val="Arial"/>
        <family val="2"/>
      </rPr>
      <t xml:space="preserve"> Debt acquired </t>
    </r>
    <r>
      <rPr>
        <b/>
        <sz val="10"/>
        <rFont val="Arial"/>
        <family val="2"/>
      </rPr>
      <t>must</t>
    </r>
    <r>
      <rPr>
        <sz val="10"/>
        <rFont val="Arial"/>
        <family val="2"/>
      </rPr>
      <t xml:space="preserve"> be reported in the additions column, and retired debt </t>
    </r>
    <r>
      <rPr>
        <b/>
        <sz val="10"/>
        <rFont val="Arial"/>
        <family val="2"/>
      </rPr>
      <t>must</t>
    </r>
    <r>
      <rPr>
        <sz val="10"/>
        <rFont val="Arial"/>
        <family val="2"/>
      </rPr>
      <t xml:space="preserve"> be reported in the deletions column.  </t>
    </r>
    <r>
      <rPr>
        <b/>
        <sz val="10"/>
        <rFont val="Arial"/>
        <family val="2"/>
      </rPr>
      <t>DO NOT NET THE ADDITIONS AND DELETIONS.</t>
    </r>
    <r>
      <rPr>
        <sz val="10"/>
        <rFont val="Arial"/>
        <family val="2"/>
      </rPr>
      <t xml:space="preserve">  The amount due within one year (short-term portion) </t>
    </r>
    <r>
      <rPr>
        <b/>
        <sz val="10"/>
        <rFont val="Arial"/>
        <family val="2"/>
      </rPr>
      <t>must</t>
    </r>
    <r>
      <rPr>
        <sz val="10"/>
        <rFont val="Arial"/>
        <family val="2"/>
      </rPr>
      <t xml:space="preserve"> also be reported. Complete the following schedule of changes in long term debt.</t>
    </r>
  </si>
  <si>
    <t xml:space="preserve">Prior Year </t>
  </si>
  <si>
    <t>Current Year Ending</t>
  </si>
  <si>
    <t>Audited Balance</t>
  </si>
  <si>
    <t xml:space="preserve">Amount Due </t>
  </si>
  <si>
    <t>6/30</t>
  </si>
  <si>
    <t xml:space="preserve"> Deletions</t>
  </si>
  <si>
    <t xml:space="preserve">   6/30 </t>
  </si>
  <si>
    <t xml:space="preserve">Within 1 Year </t>
  </si>
  <si>
    <r>
      <t>Variance</t>
    </r>
    <r>
      <rPr>
        <sz val="12"/>
        <rFont val="Arial"/>
        <family val="2"/>
      </rPr>
      <t>**</t>
    </r>
  </si>
  <si>
    <t>CHECK: SNP Long-Term Debt Balances</t>
  </si>
  <si>
    <r>
      <rPr>
        <sz val="10"/>
        <color rgb="FFFF0000"/>
        <rFont val="Arial"/>
        <family val="2"/>
      </rPr>
      <t>371XX,</t>
    </r>
    <r>
      <rPr>
        <sz val="10"/>
        <rFont val="Arial"/>
        <family val="2"/>
      </rPr>
      <t xml:space="preserve"> 445XX, </t>
    </r>
    <r>
      <rPr>
        <sz val="10"/>
        <color rgb="FFFF0000"/>
        <rFont val="Arial"/>
        <family val="2"/>
      </rPr>
      <t>461XX,</t>
    </r>
  </si>
  <si>
    <t>Bonds payable</t>
  </si>
  <si>
    <t>463XX, 464XX, 465XX</t>
  </si>
  <si>
    <t>*</t>
  </si>
  <si>
    <t>455XX</t>
  </si>
  <si>
    <t>Long-term due to other govt. unit</t>
  </si>
  <si>
    <t>456XX</t>
  </si>
  <si>
    <t>Due to federal govt. - arbitrage</t>
  </si>
  <si>
    <t>358XX &amp; 458XX</t>
  </si>
  <si>
    <t>Advances from primary</t>
  </si>
  <si>
    <t>372XX &amp; 462XX, 466XX,</t>
  </si>
  <si>
    <t>Certificates of Participation</t>
  </si>
  <si>
    <t>467XX</t>
  </si>
  <si>
    <t>385XX &amp; 485XX</t>
  </si>
  <si>
    <t>Installment purchase contracts</t>
  </si>
  <si>
    <t>386XX &amp; 486XX</t>
  </si>
  <si>
    <t>Compensated absences liability</t>
  </si>
  <si>
    <t>22750 &amp; 22751</t>
  </si>
  <si>
    <t>FRS Net Pension Liability (Proportionate Share)</t>
  </si>
  <si>
    <t>22760 &amp; 22761</t>
  </si>
  <si>
    <t>HIS Net Pension Liability (Proportionate Share)</t>
  </si>
  <si>
    <t>387XX &amp; 487XX</t>
  </si>
  <si>
    <t>Capital leases liability</t>
  </si>
  <si>
    <t>388XX &amp; 488XX</t>
  </si>
  <si>
    <t>Unearned revenue</t>
  </si>
  <si>
    <t>315XX, 324XX &amp; 498XX</t>
  </si>
  <si>
    <t>Insurance liability</t>
  </si>
  <si>
    <t>399XX &amp; 499XX</t>
  </si>
  <si>
    <t>Other long-term liabilities</t>
  </si>
  <si>
    <t xml:space="preserve">   Form CU7 for Bonds Payable</t>
  </si>
  <si>
    <r>
      <rPr>
        <b/>
        <i/>
        <sz val="10"/>
        <rFont val="Arial"/>
        <family val="2"/>
      </rPr>
      <t>NOTE:</t>
    </r>
    <r>
      <rPr>
        <sz val="10"/>
        <rFont val="Arial"/>
        <family val="2"/>
      </rPr>
      <t xml:space="preserve"> The ending balance for each category must foot across and must agree to the amounts recorded in the corresponding general ledger codes of the FLAIR trial balance.</t>
    </r>
  </si>
  <si>
    <r>
      <rPr>
        <sz val="12"/>
        <rFont val="Arial"/>
        <family val="2"/>
      </rPr>
      <t xml:space="preserve">** </t>
    </r>
    <r>
      <rPr>
        <sz val="10"/>
        <rFont val="Arial"/>
        <family val="2"/>
      </rPr>
      <t xml:space="preserve">This column </t>
    </r>
    <r>
      <rPr>
        <b/>
        <sz val="10"/>
        <rFont val="Arial"/>
        <family val="2"/>
      </rPr>
      <t>must</t>
    </r>
    <r>
      <rPr>
        <sz val="10"/>
        <rFont val="Arial"/>
        <family val="2"/>
      </rPr>
      <t xml:space="preserve"> be zero.</t>
    </r>
  </si>
  <si>
    <t>Department of Financial Services - Statewide Financial Statements</t>
  </si>
  <si>
    <t>Discretely Presented Component Unit - Form CU5 - Prior Period Adjustments</t>
  </si>
  <si>
    <t xml:space="preserve">GL 532XX </t>
  </si>
  <si>
    <t>PLEASE SUBMIT ONE FORM FOR EACH FUND.</t>
  </si>
  <si>
    <t>Balance per GL</t>
  </si>
  <si>
    <t>Detail below must equal balance per GL</t>
  </si>
  <si>
    <t>Description (Describe circumstances that caused the prior period adjustment)</t>
  </si>
  <si>
    <t>Part 1 : Bonds Payable and Certificates of Participation</t>
  </si>
  <si>
    <t>Please input data, by component unit name and fund number, pertaining to your CU's Bonds Payable and Certificate of Participation</t>
  </si>
  <si>
    <t>Part 2 : Assets Pledged as Collateral for Debt</t>
  </si>
  <si>
    <r>
      <rPr>
        <b/>
        <sz val="10"/>
        <rFont val="Times New Roman"/>
        <family val="1"/>
      </rPr>
      <t>Fund Number:</t>
    </r>
    <r>
      <rPr>
        <sz val="10"/>
        <rFont val="Times New Roman"/>
        <family val="1"/>
      </rPr>
      <t xml:space="preserve"> Please enter the fund number to which the Assets Pledged are recorded in FLAIR for your agency.</t>
    </r>
  </si>
  <si>
    <r>
      <rPr>
        <b/>
        <sz val="10"/>
        <rFont val="Times New Roman"/>
        <family val="1"/>
      </rPr>
      <t xml:space="preserve">Pledged Assets GLC and Description: </t>
    </r>
    <r>
      <rPr>
        <sz val="10"/>
        <rFont val="Times New Roman"/>
        <family val="1"/>
      </rPr>
      <t xml:space="preserve">Please enter the GL Code used in FLAIR to record the asset and provide a brief description. </t>
    </r>
  </si>
  <si>
    <r>
      <rPr>
        <b/>
        <sz val="10"/>
        <rFont val="Times New Roman"/>
        <family val="1"/>
      </rPr>
      <t xml:space="preserve">Total Value of Pledged Assets: </t>
    </r>
    <r>
      <rPr>
        <sz val="10"/>
        <rFont val="Times New Roman"/>
        <family val="1"/>
      </rPr>
      <t xml:space="preserve"> Please provide the total value of Pledged Assets within the Fund.</t>
    </r>
  </si>
  <si>
    <r>
      <rPr>
        <b/>
        <sz val="10"/>
        <rFont val="Times New Roman"/>
        <family val="1"/>
      </rPr>
      <t xml:space="preserve">Debt Agreement Pledged For: </t>
    </r>
    <r>
      <rPr>
        <sz val="10"/>
        <rFont val="Times New Roman"/>
        <family val="1"/>
      </rPr>
      <t>Please indicate the Debt Agreement to which the Assets are pledged.</t>
    </r>
  </si>
  <si>
    <r>
      <t xml:space="preserve">Total Value of Debt Agreement: </t>
    </r>
    <r>
      <rPr>
        <sz val="10"/>
        <rFont val="Times New Roman"/>
        <family val="1"/>
      </rPr>
      <t>Please indicate the total value of the Debt agreement to which the Assets are pledged to.</t>
    </r>
  </si>
  <si>
    <t>Part 3 : Terms of Debt Agreements</t>
  </si>
  <si>
    <r>
      <t>Debt Agreement Type:</t>
    </r>
    <r>
      <rPr>
        <sz val="10"/>
        <rFont val="Times New Roman"/>
        <family val="1"/>
      </rPr>
      <t xml:space="preserve"> Please identify the type of debt agreement. Please do not group debt agreements unless they are similar in nature (under same Master agreement).
</t>
    </r>
    <r>
      <rPr>
        <b/>
        <sz val="10"/>
        <rFont val="Times New Roman"/>
        <family val="1"/>
      </rPr>
      <t>Note: Please note that GASB 88 specifically requires the separate identification of Direct Borrowing and Direct Placement debt agreements, so please list those separately.</t>
    </r>
    <r>
      <rPr>
        <sz val="10"/>
        <rFont val="Times New Roman"/>
        <family val="1"/>
      </rPr>
      <t xml:space="preserve"> 
</t>
    </r>
    <r>
      <rPr>
        <b/>
        <sz val="10"/>
        <rFont val="Times New Roman"/>
        <family val="1"/>
      </rPr>
      <t>Direct Borrowing - A government entering into a loan agreement with a lender; These agreements should have terms negotiated directly with the investor and are not offered for public sale.
Direct Placements - A government issuing a debt security directly to an investor. These agreements should have terms negoitated directly with the investor and are not offered for public sale.</t>
    </r>
  </si>
  <si>
    <r>
      <t xml:space="preserve">Debt Agreement Description: </t>
    </r>
    <r>
      <rPr>
        <sz val="10"/>
        <rFont val="Times New Roman"/>
        <family val="1"/>
      </rPr>
      <t>Please provide a brief description of the debt agreement including purpose.</t>
    </r>
  </si>
  <si>
    <r>
      <t xml:space="preserve">Financial Related Consequence for Default Event Description: </t>
    </r>
    <r>
      <rPr>
        <sz val="10"/>
        <rFont val="Times New Roman"/>
        <family val="1"/>
      </rPr>
      <t>Please indicate/describe whether the debt agreement has financial related consequences relating to events of default, termination events or subjective acceleration.  Please detail.</t>
    </r>
  </si>
  <si>
    <r>
      <t xml:space="preserve">Estimate of Financial Consequence for Default Event: </t>
    </r>
    <r>
      <rPr>
        <sz val="10"/>
        <rFont val="Times New Roman"/>
        <family val="1"/>
      </rPr>
      <t>If available and estimable, please provide the dollar value of the financial consquence exposure for the debt agreement.</t>
    </r>
  </si>
  <si>
    <r>
      <t xml:space="preserve">Additional Notes: </t>
    </r>
    <r>
      <rPr>
        <sz val="10"/>
        <rFont val="Times New Roman"/>
        <family val="1"/>
      </rPr>
      <t>Please provide additional comments that may clarify or provide additional guidance about the debt agreement listed.</t>
    </r>
  </si>
  <si>
    <t>Part 4 : Principal and Interest Schedule for Direct Borrowings and Direct Placements</t>
  </si>
  <si>
    <t>Complete the schedule of payments(debt service requirements to maturity), separately identifying principal and interest for each of the subsequent five years AND in five-year increments thereafter. Add additional years as necessary</t>
  </si>
  <si>
    <t>Please indicate what GL Code are utilized to record the Direct Borrowing and Direct placement activities by your agency.</t>
  </si>
  <si>
    <t>Discretely Presented Component Units ~ Form CU7 ~ Bonds Payable and Certificates of Participation</t>
  </si>
  <si>
    <t>GL 371XX, 461XX, 445XX, 372XX, 462XX, 463XX, 466XX, 464XX, 233XX, 234XX, 475XX, 476XX</t>
  </si>
  <si>
    <t>Part 1:</t>
  </si>
  <si>
    <t xml:space="preserve">  Balance</t>
  </si>
  <si>
    <t>Bonds Payable - Current (1)</t>
  </si>
  <si>
    <t>Original Amount (2)</t>
  </si>
  <si>
    <t>Bonds Payable - Long Term</t>
  </si>
  <si>
    <t>Interest Rate Range</t>
  </si>
  <si>
    <t>Bonds Payable from Restricted Assets</t>
  </si>
  <si>
    <t>Latest Maturity Date</t>
  </si>
  <si>
    <t>Total Bonds Payable (2)</t>
  </si>
  <si>
    <t>Certificates of Participation - Current (1)</t>
  </si>
  <si>
    <t>Certificates of Participation - Long Term</t>
  </si>
  <si>
    <t>Total Certificates of Participation (3)</t>
  </si>
  <si>
    <t>(B)</t>
  </si>
  <si>
    <t xml:space="preserve">Revenue Certificates Payable must be reported as Certificates of Participation.  Complete the schedule of payments (debt service requirements to maturity), separately identifying principal </t>
  </si>
  <si>
    <t>and interest for each of the subsequent five years AND in five-year increments thereafter.  Add additional years as necessary.</t>
  </si>
  <si>
    <t>Fiscal Year Ending</t>
  </si>
  <si>
    <t>371XX, 461XX, &amp; 445XX</t>
  </si>
  <si>
    <t>372XX &amp; 462XX</t>
  </si>
  <si>
    <t xml:space="preserve"> 6/30</t>
  </si>
  <si>
    <t xml:space="preserve">Gross Principal and Interest </t>
  </si>
  <si>
    <r>
      <t xml:space="preserve">Add: unamortized premium (GL </t>
    </r>
    <r>
      <rPr>
        <b/>
        <sz val="10"/>
        <rFont val="Arial"/>
        <family val="2"/>
      </rPr>
      <t>463XX</t>
    </r>
    <r>
      <rPr>
        <sz val="10"/>
        <rFont val="Arial"/>
        <family val="2"/>
      </rPr>
      <t>)</t>
    </r>
  </si>
  <si>
    <r>
      <t xml:space="preserve">(GL </t>
    </r>
    <r>
      <rPr>
        <b/>
        <sz val="10"/>
        <rFont val="Arial"/>
        <family val="2"/>
      </rPr>
      <t>466XX</t>
    </r>
    <r>
      <rPr>
        <sz val="10"/>
        <rFont val="Arial"/>
        <family val="2"/>
      </rPr>
      <t>)</t>
    </r>
  </si>
  <si>
    <r>
      <t xml:space="preserve">Subtract: unamortized discount (GL </t>
    </r>
    <r>
      <rPr>
        <b/>
        <sz val="10"/>
        <rFont val="Arial"/>
        <family val="2"/>
      </rPr>
      <t>464XX</t>
    </r>
    <r>
      <rPr>
        <sz val="10"/>
        <rFont val="Arial"/>
        <family val="2"/>
      </rPr>
      <t>)</t>
    </r>
  </si>
  <si>
    <r>
      <t xml:space="preserve">Subtract: deferred outflows - amount deferred on refunding (GL </t>
    </r>
    <r>
      <rPr>
        <b/>
        <sz val="10"/>
        <rFont val="Arial"/>
        <family val="2"/>
      </rPr>
      <t>233XX</t>
    </r>
    <r>
      <rPr>
        <sz val="10"/>
        <rFont val="Arial"/>
        <family val="2"/>
      </rPr>
      <t>)</t>
    </r>
  </si>
  <si>
    <r>
      <t xml:space="preserve">(GL </t>
    </r>
    <r>
      <rPr>
        <b/>
        <sz val="10"/>
        <rFont val="Arial"/>
        <family val="2"/>
      </rPr>
      <t>234XX</t>
    </r>
    <r>
      <rPr>
        <sz val="10"/>
        <rFont val="Arial"/>
        <family val="2"/>
      </rPr>
      <t>)</t>
    </r>
  </si>
  <si>
    <r>
      <t xml:space="preserve">Add: deferred inflows - amount deferred on refunding (GL </t>
    </r>
    <r>
      <rPr>
        <b/>
        <sz val="10"/>
        <rFont val="Arial"/>
        <family val="2"/>
      </rPr>
      <t>475XX</t>
    </r>
    <r>
      <rPr>
        <sz val="10"/>
        <rFont val="Arial"/>
        <family val="2"/>
      </rPr>
      <t>)</t>
    </r>
  </si>
  <si>
    <r>
      <t xml:space="preserve">(GL </t>
    </r>
    <r>
      <rPr>
        <b/>
        <sz val="10"/>
        <rFont val="Arial"/>
        <family val="2"/>
      </rPr>
      <t>476XX</t>
    </r>
    <r>
      <rPr>
        <sz val="10"/>
        <rFont val="Arial"/>
        <family val="2"/>
      </rPr>
      <t>)</t>
    </r>
  </si>
  <si>
    <t>Net Principal</t>
  </si>
  <si>
    <t>Part 2: Assets Pledged as Collateal for Debt</t>
  </si>
  <si>
    <t>Fund Number</t>
  </si>
  <si>
    <t>Pledged Assets GLC and Description</t>
  </si>
  <si>
    <t>Total Value of Pledged Asset</t>
  </si>
  <si>
    <t>Debit Agreement Pledged For</t>
  </si>
  <si>
    <t>Total Value of Debt Agreement</t>
  </si>
  <si>
    <t>Part 3: Terms of Debt Agreements</t>
  </si>
  <si>
    <t>Debt Agreement Type</t>
  </si>
  <si>
    <t>Debt Agreement Description</t>
  </si>
  <si>
    <t>Financial Related Consequence for Default Event Description</t>
  </si>
  <si>
    <t>Estimate of Financial Consequence for Default Event</t>
  </si>
  <si>
    <t>Additional Notes</t>
  </si>
  <si>
    <t>Part 4: Terms of Debt Agreements</t>
  </si>
  <si>
    <t>Direct Borrowings (4)</t>
  </si>
  <si>
    <t>Direct Placements (4)</t>
  </si>
  <si>
    <t>Add additonal years as necessary in five-year increments until end payments</t>
  </si>
  <si>
    <t>(1)  Amount shown in the first year must equal GL 371XX (for bonds) or GL 372XX (for COPs).</t>
  </si>
  <si>
    <t>(2) Must equal Gross Principal and Interest ( A &amp; B )</t>
  </si>
  <si>
    <t xml:space="preserve">(3)  Original amount needs to be in aggregate terms. </t>
  </si>
  <si>
    <t>(4) List the GL Codes used for principal and interest recording for direct borrowing and direct placements agreements in the spaces provided.</t>
  </si>
  <si>
    <t xml:space="preserve">Part 1 : Installment Purchase Contracts and Capital Lease Liability </t>
  </si>
  <si>
    <t>Please input data, by component unit name and fund number, pertaining to your CU's Installment Purchase Contracts and Capital Leases Liability.</t>
  </si>
  <si>
    <t>Discretely Presented Component Unit ~ Form CU8 ~ Installment Purchase Contracts and Capital Leases Liability</t>
  </si>
  <si>
    <t>GL 385XX, 485XX, 387XX, &amp; 487XX</t>
  </si>
  <si>
    <t xml:space="preserve">Audited Balance 6/30 </t>
  </si>
  <si>
    <t>Total Installment Purchase Contract</t>
  </si>
  <si>
    <t>Total Capital Leases Liability</t>
  </si>
  <si>
    <t>Complete the schedule of payments (debt service requirements to maturity), separately identifying principal and interest</t>
  </si>
  <si>
    <t>for each of the subsequent five years AND in five-year increments thereafter.  Add additional years as necessary.</t>
  </si>
  <si>
    <t>Installment Purchase Contract</t>
  </si>
  <si>
    <t>Capital Leases Liability</t>
  </si>
  <si>
    <t xml:space="preserve">  6/30</t>
  </si>
  <si>
    <t>Add additional years as necessary in five -year increments until end of payments</t>
  </si>
  <si>
    <t>Rental of land</t>
  </si>
  <si>
    <t>Rental of buildings</t>
  </si>
  <si>
    <t>Rental of furniture and equipment</t>
  </si>
  <si>
    <t>Total percentage (must equal 100%)</t>
  </si>
  <si>
    <t>Part 3: Terms of Debit Agreements</t>
  </si>
  <si>
    <t>Part 4: Principal And Interest Schedule for Direct Borrowing and Direct Placements</t>
  </si>
  <si>
    <t>Add additional years as necessary in five-year increments until end of payments</t>
  </si>
  <si>
    <t>Part 1 : Lines of Credit</t>
  </si>
  <si>
    <r>
      <rPr>
        <b/>
        <sz val="10"/>
        <rFont val="Times New Roman"/>
        <family val="1"/>
      </rPr>
      <t xml:space="preserve">Lines of Credit Description: </t>
    </r>
    <r>
      <rPr>
        <sz val="10"/>
        <rFont val="Times New Roman"/>
        <family val="1"/>
      </rPr>
      <t xml:space="preserve">Please provide a description for the Line of Credit being referenced. This could be a contract number, agreement reference, vendor name, etc. </t>
    </r>
  </si>
  <si>
    <r>
      <t xml:space="preserve">Additional Notes: </t>
    </r>
    <r>
      <rPr>
        <sz val="10"/>
        <rFont val="Times New Roman"/>
        <family val="1"/>
      </rPr>
      <t>Please provide any additional comments here or place N/A.</t>
    </r>
  </si>
  <si>
    <t>Form CU9 - Lines of Credit</t>
  </si>
  <si>
    <t>Agency OLO:</t>
  </si>
  <si>
    <t>Lines of Credit 
Description</t>
  </si>
  <si>
    <t>Total Credit Line 
under Agreement</t>
  </si>
  <si>
    <t>Unused Line 
of Credit</t>
  </si>
  <si>
    <t>Additional 
Notes</t>
  </si>
  <si>
    <t>Discretely Presented Component Unit ~ Form CUR1 ~ Operating Leases</t>
  </si>
  <si>
    <t>If the component unit does not have any operating leases at the end of the reporting fiscal year, check here:</t>
  </si>
  <si>
    <t>N/A:</t>
  </si>
  <si>
    <t>For operating leases having initial or remaining noncancelable lease terms in excess of one year as of the fiscal year end, complete this schedule</t>
  </si>
  <si>
    <t>of future minimum lease payments for each of the subsequent five years AND in five-year increments thereafter.  Add additional years as necessary.</t>
  </si>
  <si>
    <t>Also complete current year payment.</t>
  </si>
  <si>
    <t>Future Minimum</t>
  </si>
  <si>
    <t xml:space="preserve">           6/30</t>
  </si>
  <si>
    <t>Lease Payments</t>
  </si>
  <si>
    <t>Add additional years as necessary in</t>
  </si>
  <si>
    <t>five-year increments until end of payments</t>
  </si>
  <si>
    <t>Total Payments $</t>
  </si>
  <si>
    <t>Current Year Payment $</t>
  </si>
  <si>
    <r>
      <rPr>
        <b/>
        <sz val="10"/>
        <rFont val="Arial"/>
        <family val="2"/>
      </rPr>
      <t>Note:</t>
    </r>
    <r>
      <rPr>
        <sz val="10"/>
        <rFont val="Arial"/>
        <family val="2"/>
      </rPr>
      <t xml:space="preserve">  The details of each operating lease included in this schedule must be available for audit.</t>
    </r>
  </si>
  <si>
    <t>Discretely Presented Component Unit Form ~ CUR2 ~Construction and Other Significant Commitments</t>
  </si>
  <si>
    <t>GL 278XX</t>
  </si>
  <si>
    <t>BY EVERY AGENCY EVEN IF IT IS NOT APPLICABLE.</t>
  </si>
  <si>
    <t xml:space="preserve">Record the Component Unit's total construction commitments below.  Prepare a schedule by project and maintain it in your </t>
  </si>
  <si>
    <t>files for the auditors to review if necessary.  Do not attach a list of projects. Estimates are permitted.</t>
  </si>
  <si>
    <t>a.</t>
  </si>
  <si>
    <t>Total estimated cost = The total estimated cost of the projects when completed.  This is not necessarily a budgeted amount</t>
  </si>
  <si>
    <t>, but more likely a contract amount but more likely a contract amount .</t>
  </si>
  <si>
    <t>b.</t>
  </si>
  <si>
    <t xml:space="preserve">Amount expended = The cost of the projects accumulated through fiscal year end.  This should be the total amount recorded </t>
  </si>
  <si>
    <t>in GL 278XX (Construction Work In Progress).</t>
  </si>
  <si>
    <t>c.</t>
  </si>
  <si>
    <r>
      <t xml:space="preserve">Estimated amount committed = Total estimated cost </t>
    </r>
    <r>
      <rPr>
        <vertAlign val="superscript"/>
        <sz val="10"/>
        <rFont val="Arial"/>
        <family val="2"/>
      </rPr>
      <t xml:space="preserve">(a) </t>
    </r>
    <r>
      <rPr>
        <sz val="10"/>
        <rFont val="Arial"/>
        <family val="2"/>
      </rPr>
      <t xml:space="preserve">less amount expended </t>
    </r>
    <r>
      <rPr>
        <vertAlign val="superscript"/>
        <sz val="10"/>
        <rFont val="Arial"/>
        <family val="2"/>
      </rPr>
      <t>(b)</t>
    </r>
    <r>
      <rPr>
        <sz val="10"/>
        <rFont val="Arial"/>
        <family val="2"/>
      </rPr>
      <t xml:space="preserve">. This amount is reported in the </t>
    </r>
  </si>
  <si>
    <t>Commitments and Operating Leases Note in the CAFR for current year ending 6/30.</t>
  </si>
  <si>
    <t>Estimated Amount</t>
  </si>
  <si>
    <t>Total Estimated Cost</t>
  </si>
  <si>
    <t>Amount Expended</t>
  </si>
  <si>
    <t>Per</t>
  </si>
  <si>
    <r>
      <t xml:space="preserve">at 6/30 </t>
    </r>
    <r>
      <rPr>
        <vertAlign val="superscript"/>
        <sz val="10"/>
        <rFont val="Arial"/>
        <family val="2"/>
      </rPr>
      <t>(a)</t>
    </r>
  </si>
  <si>
    <r>
      <t>Through 6/30</t>
    </r>
    <r>
      <rPr>
        <vertAlign val="superscript"/>
        <sz val="10"/>
        <rFont val="Arial"/>
        <family val="2"/>
      </rPr>
      <t xml:space="preserve"> (b)</t>
    </r>
  </si>
  <si>
    <r>
      <t xml:space="preserve">at 6/30 </t>
    </r>
    <r>
      <rPr>
        <vertAlign val="superscript"/>
        <sz val="10"/>
        <rFont val="Arial"/>
        <family val="2"/>
      </rPr>
      <t>(c)</t>
    </r>
  </si>
  <si>
    <t>Agency</t>
  </si>
  <si>
    <r>
      <t>Record other significant commitments with parties external to the state (i.e., component units are not considered external to</t>
    </r>
    <r>
      <rPr>
        <b/>
        <sz val="10"/>
        <rFont val="Arial"/>
        <family val="2"/>
      </rPr>
      <t xml:space="preserve"> </t>
    </r>
  </si>
  <si>
    <r>
      <rPr>
        <sz val="10"/>
        <color theme="1"/>
        <rFont val="Arial"/>
        <family val="2"/>
      </rPr>
      <t>the state)</t>
    </r>
    <r>
      <rPr>
        <b/>
        <sz val="10"/>
        <color theme="1"/>
        <rFont val="Arial"/>
        <family val="2"/>
      </rPr>
      <t xml:space="preserve"> </t>
    </r>
    <r>
      <rPr>
        <sz val="10"/>
        <color theme="1"/>
        <rFont val="Arial"/>
        <family val="2"/>
      </rPr>
      <t>to receive goods or services. To be significant, the total commitment must be 10% or more of the total current</t>
    </r>
  </si>
  <si>
    <t>expenditures/expenses reported for financial statements by the agency as a whole. An example of another</t>
  </si>
  <si>
    <t>commitment would be a long-term service contract with a private vendor.  Attached additional pages as necessary.</t>
  </si>
  <si>
    <t>Title of Commitment/</t>
  </si>
  <si>
    <t>Description of Goods/</t>
  </si>
  <si>
    <t>Contract</t>
  </si>
  <si>
    <t>Services to be Received</t>
  </si>
  <si>
    <t>Through 6/30</t>
  </si>
  <si>
    <t>Committed at 6/30</t>
  </si>
  <si>
    <t>If the agency does not have any construction or other significant commitments</t>
  </si>
  <si>
    <t>at the end of the reporting fiscal year, check here:</t>
  </si>
  <si>
    <t>(4)</t>
  </si>
  <si>
    <t>Complete the following:</t>
  </si>
  <si>
    <t>Signature, Agency Contact</t>
  </si>
  <si>
    <t>Date</t>
  </si>
  <si>
    <t>Printed Name, Agency Contact</t>
  </si>
  <si>
    <t>Phone Number</t>
  </si>
  <si>
    <t>Position Title</t>
  </si>
  <si>
    <t>Discretely Presented Component Unit ~ Form CUR3 ~ Related Party Transactions</t>
  </si>
  <si>
    <t>If the component unit does not have</t>
  </si>
  <si>
    <t>any related party transactions to be disclosed, NA:</t>
  </si>
  <si>
    <r>
      <t>Instructions</t>
    </r>
    <r>
      <rPr>
        <sz val="10"/>
        <rFont val="Arial"/>
        <family val="2"/>
      </rPr>
      <t xml:space="preserve">:  In accordance with generally accepted accounting principles that require disclosure </t>
    </r>
  </si>
  <si>
    <r>
      <t xml:space="preserve">of certain related party transactions, please record </t>
    </r>
    <r>
      <rPr>
        <b/>
        <sz val="10"/>
        <rFont val="Arial"/>
        <family val="2"/>
      </rPr>
      <t xml:space="preserve">all </t>
    </r>
    <r>
      <rPr>
        <sz val="10"/>
        <rFont val="Arial"/>
        <family val="2"/>
      </rPr>
      <t>transactions that an informed observer might</t>
    </r>
  </si>
  <si>
    <t>reasonably believe reflect considerations other than self-interest based upon the relationship</t>
  </si>
  <si>
    <t xml:space="preserve">that exists between the parties of the transactions.  </t>
  </si>
  <si>
    <t>Definitions:</t>
  </si>
  <si>
    <r>
      <t>Related Parties</t>
    </r>
    <r>
      <rPr>
        <sz val="10"/>
        <rFont val="Arial"/>
        <family val="2"/>
      </rPr>
      <t xml:space="preserve"> - includes members of the governing board, administrative boards or commissions</t>
    </r>
  </si>
  <si>
    <t xml:space="preserve">administrative officials and their immediate families (i.e. spouse, parents, children, siblings, mothers </t>
  </si>
  <si>
    <t xml:space="preserve">and fathers-in-law, sons and daughters-in-law, and brothers and sisters-in law), and affiliated or related </t>
  </si>
  <si>
    <t xml:space="preserve">organizations that are not included as part of the financial reporting entity.  Key management personnel </t>
  </si>
  <si>
    <t>and other individuals who exercise control or significant influence over the agency should be considered.</t>
  </si>
  <si>
    <r>
      <rPr>
        <b/>
        <i/>
        <sz val="10"/>
        <rFont val="Arial"/>
        <family val="2"/>
      </rPr>
      <t xml:space="preserve">Note: </t>
    </r>
    <r>
      <rPr>
        <i/>
        <sz val="10"/>
        <rFont val="Arial"/>
        <family val="2"/>
      </rPr>
      <t xml:space="preserve"> Consideration of component unit relationship to the primary government should be given when</t>
    </r>
  </si>
  <si>
    <t>determining potential related party transactions.</t>
  </si>
  <si>
    <t xml:space="preserve">Related Party Indicators/Examples - </t>
  </si>
  <si>
    <t> </t>
  </si>
  <si>
    <t>Borrowing or lending on an interest-free basis or at a rate significantly different from current</t>
  </si>
  <si>
    <t xml:space="preserve">market rates; no scheduled repayment terms on debt; or loans to parties that do not have the </t>
  </si>
  <si>
    <t>ability to pay.</t>
  </si>
  <si>
    <t>Selling property at a price that differs significantly from appraisal value.</t>
  </si>
  <si>
    <t>Use of property and equipment by lease or other agreement.</t>
  </si>
  <si>
    <t>Services or goods purchased/provided at little or no cost.</t>
  </si>
  <si>
    <r>
      <t xml:space="preserve">Detail </t>
    </r>
    <r>
      <rPr>
        <b/>
        <i/>
        <sz val="10"/>
        <rFont val="Arial"/>
        <family val="2"/>
      </rPr>
      <t>all</t>
    </r>
    <r>
      <rPr>
        <sz val="10"/>
        <rFont val="Arial"/>
        <family val="2"/>
      </rPr>
      <t xml:space="preserve"> identified transactions between the Component Unit and related parties below:</t>
    </r>
  </si>
  <si>
    <t>Nature of the 
relationship</t>
  </si>
  <si>
    <t>Additional DFS Information Requirements</t>
  </si>
  <si>
    <t>(Form CU8 - Installment Purchase Contracts and Capital Lease Liabilities)</t>
  </si>
  <si>
    <r>
      <t>Installment Purchase(s) Payable</t>
    </r>
    <r>
      <rPr>
        <sz val="11"/>
        <color theme="1"/>
        <rFont val="Garamond"/>
        <family val="1"/>
      </rPr>
      <t xml:space="preserve">.  The College has entered into several installment purchase agreements for the purchase of equipment reported at $_______.  The </t>
    </r>
    <r>
      <rPr>
        <b/>
        <sz val="11"/>
        <color rgb="FF3333FF"/>
        <rFont val="Garamond"/>
        <family val="1"/>
      </rPr>
      <t>(stated/imputed)</t>
    </r>
    <r>
      <rPr>
        <sz val="11"/>
        <color theme="1"/>
        <rFont val="Garamond"/>
        <family val="1"/>
      </rPr>
      <t xml:space="preserve"> interest rates ranged from _.__ percent to _.__ percent.  Future minimum payments remaining under installment purchase agreements and the present value of the minimum payments as of June 30, 2017, are as follows:</t>
    </r>
  </si>
  <si>
    <r>
      <t xml:space="preserve">Please provide detail of capital assets included in
</t>
    </r>
    <r>
      <rPr>
        <b/>
        <u/>
        <sz val="11"/>
        <color rgb="FF000066"/>
        <rFont val="Arial"/>
        <family val="2"/>
      </rPr>
      <t>INSTALLMENT PURCHASE CONTRACT</t>
    </r>
    <r>
      <rPr>
        <b/>
        <sz val="11"/>
        <rFont val="Arial"/>
        <family val="2"/>
      </rPr>
      <t>.</t>
    </r>
  </si>
  <si>
    <t>Installment Purchases per SNP</t>
  </si>
  <si>
    <t>Fiscal Year Ending June 30</t>
  </si>
  <si>
    <t>% of Total</t>
  </si>
  <si>
    <r>
      <rPr>
        <b/>
        <sz val="10"/>
        <color rgb="FF000066"/>
        <rFont val="Arial"/>
        <family val="2"/>
      </rPr>
      <t>Purchase</t>
    </r>
    <r>
      <rPr>
        <sz val="10"/>
        <rFont val="Arial"/>
        <family val="2"/>
      </rPr>
      <t xml:space="preserve"> of LAND:</t>
    </r>
  </si>
  <si>
    <r>
      <rPr>
        <b/>
        <sz val="10"/>
        <color rgb="FF000066"/>
        <rFont val="Arial"/>
        <family val="2"/>
      </rPr>
      <t>Purchase</t>
    </r>
    <r>
      <rPr>
        <sz val="10"/>
        <rFont val="Arial"/>
        <family val="2"/>
      </rPr>
      <t xml:space="preserve"> of BUILDINGS:</t>
    </r>
  </si>
  <si>
    <r>
      <rPr>
        <b/>
        <sz val="10"/>
        <color rgb="FF000066"/>
        <rFont val="Arial"/>
        <family val="2"/>
      </rPr>
      <t>Purchase</t>
    </r>
    <r>
      <rPr>
        <sz val="10"/>
        <rFont val="Arial"/>
        <family val="2"/>
      </rPr>
      <t xml:space="preserve"> of FURNITURE &amp; EQUIPMENT:</t>
    </r>
  </si>
  <si>
    <t>Total capital assets under installment purchase contract:</t>
  </si>
  <si>
    <t>Total Minimum Payments</t>
  </si>
  <si>
    <t>Present Value of Minimum Payments</t>
  </si>
  <si>
    <r>
      <t xml:space="preserve">Please provide detail of capital assets included in
 </t>
    </r>
    <r>
      <rPr>
        <b/>
        <u/>
        <sz val="11"/>
        <color rgb="FF000066"/>
        <rFont val="Arial"/>
        <family val="2"/>
      </rPr>
      <t>CAPITAL LEASE AGREEMENT</t>
    </r>
    <r>
      <rPr>
        <b/>
        <sz val="11"/>
        <rFont val="Arial"/>
        <family val="2"/>
      </rPr>
      <t>.</t>
    </r>
  </si>
  <si>
    <r>
      <t>Capital Lease(s) Payable</t>
    </r>
    <r>
      <rPr>
        <sz val="11"/>
        <color theme="1"/>
        <rFont val="Garamond"/>
        <family val="1"/>
      </rPr>
      <t xml:space="preserve">.  ____________ equipment in the amount of $________ is being acquired under (a) capital lease agreement(s).  The </t>
    </r>
    <r>
      <rPr>
        <b/>
        <sz val="11"/>
        <color rgb="FF3333FF"/>
        <rFont val="Garamond"/>
        <family val="1"/>
      </rPr>
      <t>(stated/imputed)</t>
    </r>
    <r>
      <rPr>
        <sz val="11"/>
        <color theme="1"/>
        <rFont val="Garamond"/>
        <family val="1"/>
      </rPr>
      <t xml:space="preserve"> interest rate is _.__ percent.  Future minimum payments under the capital lease agreement(s) and the present value of the minimum payments as of June 30, 2017, are as follows:</t>
    </r>
  </si>
  <si>
    <t>Capital Leases per SNP</t>
  </si>
  <si>
    <r>
      <rPr>
        <b/>
        <sz val="10"/>
        <color rgb="FF000066"/>
        <rFont val="Arial"/>
        <family val="2"/>
      </rPr>
      <t>Rental</t>
    </r>
    <r>
      <rPr>
        <sz val="10"/>
        <rFont val="Arial"/>
        <family val="2"/>
      </rPr>
      <t xml:space="preserve"> of LAND:</t>
    </r>
  </si>
  <si>
    <r>
      <rPr>
        <b/>
        <sz val="10"/>
        <color rgb="FF000066"/>
        <rFont val="Arial"/>
        <family val="2"/>
      </rPr>
      <t>Rental</t>
    </r>
    <r>
      <rPr>
        <sz val="10"/>
        <rFont val="Arial"/>
        <family val="2"/>
      </rPr>
      <t xml:space="preserve"> of BUILDINGS:</t>
    </r>
  </si>
  <si>
    <r>
      <rPr>
        <b/>
        <sz val="10"/>
        <color rgb="FF000066"/>
        <rFont val="Arial"/>
        <family val="2"/>
      </rPr>
      <t xml:space="preserve">Rental </t>
    </r>
    <r>
      <rPr>
        <sz val="10"/>
        <rFont val="Arial"/>
        <family val="2"/>
      </rPr>
      <t>of FURNITURE &amp; EQUIPMENT:</t>
    </r>
  </si>
  <si>
    <t>Total capital assets under capital lease agreement:</t>
  </si>
  <si>
    <t>2025-2029</t>
  </si>
  <si>
    <t>2030-2034</t>
  </si>
  <si>
    <t>2035-20XX</t>
  </si>
  <si>
    <t>Unlocked Working Space:</t>
  </si>
  <si>
    <t>Annual requirements to amortize all bonded debt outstanding as of June 30, 2018, are as follows:</t>
  </si>
  <si>
    <t>State Board of Education Capital Outlay Bonds</t>
  </si>
  <si>
    <t>and Capital Improvement Revenue Bonds</t>
  </si>
  <si>
    <t>2022-2026</t>
  </si>
  <si>
    <t>2027-2031</t>
  </si>
  <si>
    <t>2032-20XX</t>
  </si>
  <si>
    <t>CHECK: Accounts by GL Bonds Payable Totals</t>
  </si>
  <si>
    <t>DFS Certification (Form CUR1 - Operating Leases)</t>
  </si>
  <si>
    <t>OPERATING LEASE COMMITMENTS</t>
  </si>
  <si>
    <t>Did the College have any operating leases on</t>
  </si>
  <si>
    <t>June 30, 2018?</t>
  </si>
  <si>
    <t>Operating lease payments are recorded as expenses when paid or incurred.  Outstanding commitments</t>
  </si>
  <si>
    <t>Single</t>
  </si>
  <si>
    <t>Multiple</t>
  </si>
  <si>
    <t>2023-20XX</t>
  </si>
  <si>
    <t>Total Minimum Payments Required</t>
  </si>
  <si>
    <t>DFS Certification</t>
  </si>
  <si>
    <t>(Form CUR2 - Construction and Other Significant Commitments)</t>
  </si>
  <si>
    <t>CONSTRUCTION COMMITMENTS</t>
  </si>
  <si>
    <t>Did the College have any Construction or other significant</t>
  </si>
  <si>
    <t xml:space="preserve">The College’s major construction commitments at June 30, 2018, are as follows: </t>
  </si>
  <si>
    <t>commitments on June 30, 2018</t>
  </si>
  <si>
    <t xml:space="preserve"> Major Project</t>
  </si>
  <si>
    <t>Note 1:</t>
  </si>
  <si>
    <r>
      <t xml:space="preserve">Individual projects with current balance committed of less than $1 million at June 30, 2017.  </t>
    </r>
    <r>
      <rPr>
        <sz val="10"/>
        <color rgb="FF00B0F0"/>
        <rFont val="Arial"/>
        <family val="2"/>
      </rPr>
      <t>(Modify as appropriate for each College.)</t>
    </r>
  </si>
  <si>
    <t>Accounts by GL CIP Balance</t>
  </si>
  <si>
    <t>(Form CUR3 - Related Party Transactions)</t>
  </si>
  <si>
    <r>
      <t xml:space="preserve">Did the College have any </t>
    </r>
    <r>
      <rPr>
        <b/>
        <sz val="10"/>
        <color theme="1"/>
        <rFont val="Arial"/>
        <family val="2"/>
      </rPr>
      <t>related party transactions</t>
    </r>
    <r>
      <rPr>
        <sz val="10"/>
        <color theme="1"/>
        <rFont val="Arial"/>
        <family val="2"/>
      </rPr>
      <t xml:space="preserve"> during the fiscal year</t>
    </r>
  </si>
  <si>
    <t>ended June 30, 2018?</t>
  </si>
  <si>
    <r>
      <t xml:space="preserve">In a </t>
    </r>
    <r>
      <rPr>
        <i/>
        <sz val="10"/>
        <rFont val="Arial"/>
        <family val="2"/>
      </rPr>
      <t>RELATED PARTY TRANSACTION</t>
    </r>
    <r>
      <rPr>
        <sz val="10"/>
        <rFont val="Arial"/>
        <family val="2"/>
      </rPr>
      <t>, an informed observer might reasonably believe that</t>
    </r>
  </si>
  <si>
    <t>the transaction reflects considerations other than self-interest because of the relationship</t>
  </si>
  <si>
    <t>that exists between the parties involved.</t>
  </si>
  <si>
    <t>Transactions involving related parties cannot be presumed to be carried out on an arm's-length</t>
  </si>
  <si>
    <t>basis, as the requisite conditions of competitive, free-market dealing may not exist.</t>
  </si>
  <si>
    <r>
      <rPr>
        <i/>
        <sz val="10"/>
        <color theme="1"/>
        <rFont val="Arial"/>
        <family val="2"/>
      </rPr>
      <t>Related Parties</t>
    </r>
    <r>
      <rPr>
        <i/>
        <sz val="10"/>
        <rFont val="Arial"/>
        <family val="2"/>
      </rPr>
      <t xml:space="preserve"> </t>
    </r>
    <r>
      <rPr>
        <sz val="10"/>
        <rFont val="Arial"/>
        <family val="2"/>
      </rPr>
      <t>- includes members of the governing board, administrative boards or commissions,</t>
    </r>
  </si>
  <si>
    <t>administrative officials and their immediate families (i.e. spouse, parents, children, siblings,</t>
  </si>
  <si>
    <t>mothers and fathers-in-law, sons and daughters-in-law, and brothers and sisters-in law), and</t>
  </si>
  <si>
    <r>
      <t xml:space="preserve">affiliated or </t>
    </r>
    <r>
      <rPr>
        <sz val="10"/>
        <rFont val="Arial"/>
        <family val="2"/>
      </rPr>
      <t xml:space="preserve">related organizations </t>
    </r>
    <r>
      <rPr>
        <b/>
        <u/>
        <sz val="10"/>
        <color rgb="FF000066"/>
        <rFont val="Arial"/>
        <family val="2"/>
      </rPr>
      <t>that are not included as part of the financial reporting entity</t>
    </r>
    <r>
      <rPr>
        <sz val="10"/>
        <color theme="1"/>
        <rFont val="Arial"/>
        <family val="2"/>
      </rPr>
      <t xml:space="preserve">. </t>
    </r>
  </si>
  <si>
    <t>Key management personnel and other individuals who exercise control or significant influence</t>
  </si>
  <si>
    <t>over the agency should be considered.</t>
  </si>
  <si>
    <t>•Borrowing or lending on an interest-free basis or at a rate significantly different from current</t>
  </si>
  <si>
    <t xml:space="preserve"> market rates; no scheduled repayment terms on debt; or loans to parties that do not have the</t>
  </si>
  <si>
    <t>•Selling property at a price that differs significantly from appraisal value.</t>
  </si>
  <si>
    <t>•Use of property and equipment by lease or other agreement.</t>
  </si>
  <si>
    <t>•Services or goods purchased/provided at little or no cost.</t>
  </si>
  <si>
    <r>
      <t xml:space="preserve">Include a </t>
    </r>
    <r>
      <rPr>
        <b/>
        <u/>
        <sz val="10"/>
        <color rgb="FFFF0000"/>
        <rFont val="Arial"/>
        <family val="2"/>
      </rPr>
      <t>DESCRIPTION</t>
    </r>
    <r>
      <rPr>
        <sz val="10"/>
        <color rgb="FFFF0000"/>
        <rFont val="Arial"/>
        <family val="2"/>
      </rPr>
      <t xml:space="preserve"> of the transaction, the </t>
    </r>
    <r>
      <rPr>
        <b/>
        <u/>
        <sz val="10"/>
        <color rgb="FFFF0000"/>
        <rFont val="Arial"/>
        <family val="2"/>
      </rPr>
      <t>NATURE OF THE RELATIONSHIP</t>
    </r>
    <r>
      <rPr>
        <sz val="10"/>
        <color rgb="FFFF0000"/>
        <rFont val="Arial"/>
        <family val="2"/>
      </rPr>
      <t xml:space="preserve">, and the </t>
    </r>
    <r>
      <rPr>
        <b/>
        <u/>
        <sz val="10"/>
        <color rgb="FFFF0000"/>
        <rFont val="Arial"/>
        <family val="2"/>
      </rPr>
      <t>AMOUNT OF</t>
    </r>
  </si>
  <si>
    <r>
      <rPr>
        <b/>
        <u/>
        <sz val="10"/>
        <color rgb="FFFF0000"/>
        <rFont val="Arial"/>
        <family val="2"/>
      </rPr>
      <t>THE TRANSACTION</t>
    </r>
    <r>
      <rPr>
        <sz val="10"/>
        <color rgb="FFFF0000"/>
        <rFont val="Arial"/>
        <family val="2"/>
      </rPr>
      <t>. Note that a related party is not included in the financial reporting entity. Therefore,</t>
    </r>
  </si>
  <si>
    <t>transactions with the college's component units do not need to be disclosed as related party transactions.</t>
  </si>
  <si>
    <t>Select basis of comparison</t>
  </si>
  <si>
    <t>Basic Financial Statements Variance Analysis: Changes from Prior Year</t>
  </si>
  <si>
    <t>THIS WORKSHEET REQUIRES NO DATA ENTRY AND IS NOT EVALUATED BY DOE STAFF.</t>
  </si>
  <si>
    <t>The information below can be utilized as a tool in analyzing the SNP and SRECNP. To highlight changes exceeding specific dollar amounts or percentages,</t>
  </si>
  <si>
    <t xml:space="preserve"> enter desired comparison values in the yellow cells below.</t>
  </si>
  <si>
    <t>Increase (Decrease) in Net Assets</t>
  </si>
  <si>
    <t>Balance to highlight changes exceeding a specific amount (orange):</t>
  </si>
  <si>
    <t>Balance to highlight changes exceeding a specific percentage of line item balance (purple):</t>
  </si>
  <si>
    <t>Balance to highlight changes exceeding a specific percentage of chosen basis of comparison (turquoise):</t>
  </si>
  <si>
    <t>Account Groups</t>
  </si>
  <si>
    <t>Select Basis for Analyzing Changes</t>
  </si>
  <si>
    <t>Basis of Comparison Amount</t>
  </si>
  <si>
    <t>% of Basis</t>
  </si>
  <si>
    <t>Highlight changes exceeding:</t>
  </si>
  <si>
    <t xml:space="preserve">                                                  Account Groups</t>
  </si>
  <si>
    <t>Assets, Liabilities, &amp; Net Assets</t>
  </si>
  <si>
    <t>Enter Account Title for Basis of Comparison</t>
  </si>
  <si>
    <t>Revenues &amp; Expenses</t>
  </si>
  <si>
    <t>Statement of Net Position Variance from Prior Year</t>
  </si>
  <si>
    <t>2019-20 Balances</t>
  </si>
  <si>
    <t>College Change from PY</t>
  </si>
  <si>
    <t>CU Change from  PY</t>
  </si>
  <si>
    <t>Prior FY fields are UNLOCKED!</t>
  </si>
  <si>
    <t>If Colleges have a different post-audit</t>
  </si>
  <si>
    <t xml:space="preserve">figure, they can change them. </t>
  </si>
  <si>
    <t>Due from Other Govtl. Agencies</t>
  </si>
  <si>
    <t xml:space="preserve">Deferred Outflows of Resources - OPEB </t>
  </si>
  <si>
    <t>Accumulated Decrease in Fair Value of Securities</t>
  </si>
  <si>
    <t>Other Postemployment Benefits Liability</t>
  </si>
  <si>
    <t xml:space="preserve">Deferred Inflows of Resources - OPEB </t>
  </si>
  <si>
    <t>Accumulated Increase in Fair Value of Securities</t>
  </si>
  <si>
    <t>TOTAL LIABILITIES AND NET ASSETS</t>
  </si>
  <si>
    <t>Statement of Revenues, Expenses, and Changes in Net Assets Variance from Prior Year</t>
  </si>
  <si>
    <t xml:space="preserve">     Allowances of $</t>
  </si>
  <si>
    <t>Loss Before Other Revenues,</t>
  </si>
  <si>
    <t>Increase (Decrease) in Net Position</t>
  </si>
  <si>
    <t>The information below can be utilized to complete the Condensed Statement of Revenues, Expenses, and Changes in Net Position in the Overview of Financial Statements section of the MD&amp;A</t>
  </si>
  <si>
    <t>ANNUAL FINANCIAL REPORT</t>
  </si>
  <si>
    <t>MANAGEMENT'S DISCUSSION AND ANALYSIS: CONDENSED SRECNP</t>
  </si>
  <si>
    <t>Condensed Statement of Revenues, Expenses, and Changes in Net Position</t>
  </si>
  <si>
    <t>For the Fiscal Years Ended</t>
  </si>
  <si>
    <t>(In Thousands)</t>
  </si>
  <si>
    <t>Operating Revenues</t>
  </si>
  <si>
    <t xml:space="preserve">  Allowances</t>
  </si>
  <si>
    <t xml:space="preserve">Auxiliary Enterprises, Net of Scholarship </t>
  </si>
  <si>
    <t>Less, Operating Expenses</t>
  </si>
  <si>
    <t>Operating Income (Loss)</t>
  </si>
  <si>
    <t>Nonoperating Revenues</t>
  </si>
  <si>
    <t>Other Nonoperating Revenues, Net</t>
  </si>
  <si>
    <t>Net Nonoperating Revenues</t>
  </si>
  <si>
    <t>Income (Loss) Before Other Revenues,</t>
  </si>
  <si>
    <t xml:space="preserve">  Expenses, Gains, or Losses</t>
  </si>
  <si>
    <t>Additions to Permanent Endowment</t>
  </si>
  <si>
    <t>Increase in Net Position</t>
  </si>
  <si>
    <t>Adjustment to Beginning Net Position (1)</t>
  </si>
  <si>
    <t>Note:  (1)</t>
  </si>
  <si>
    <t>Add Description of Adjustment to Beginning Net Position</t>
  </si>
  <si>
    <t>MD&amp;A Consistency Check</t>
  </si>
  <si>
    <t>Condensed SRECNA vs. Statement of Revenues, Expenses, and Changes in Net Assets</t>
  </si>
  <si>
    <t>MD&amp;A CY</t>
  </si>
  <si>
    <t>SRECNA 
(in thousands)</t>
  </si>
  <si>
    <t>Rounding Differences</t>
  </si>
  <si>
    <t>Student Tuition and Fees, Net</t>
  </si>
  <si>
    <t>May differ for rounding</t>
  </si>
  <si>
    <t>Formatted to tie</t>
  </si>
  <si>
    <t xml:space="preserve">Auxiliary Enterprises, Net </t>
  </si>
  <si>
    <t>Increase in Net Assets</t>
  </si>
  <si>
    <t>Adjustment to Beginning Net Assets (1)</t>
  </si>
  <si>
    <t>Net Assets, Beginning of Year, as Restated</t>
  </si>
  <si>
    <t>Net Assets, End of Year</t>
  </si>
  <si>
    <t>Consistency Check</t>
  </si>
  <si>
    <t>Financial Highlights</t>
  </si>
  <si>
    <t>Condensed SRECNP</t>
  </si>
  <si>
    <t>Operating Expenses</t>
  </si>
  <si>
    <t>Net Position</t>
  </si>
  <si>
    <t>The information below can be utilized to complete the Condensed Statement of Net Position in the College's MD&amp;A. Prior year balances tie to prior year audited MD&amp;A.</t>
  </si>
  <si>
    <t>MANAGEMENT'S DISCUSSION AND ANALYSIS: CONDENSED STATEMENT OF NET POSITION</t>
  </si>
  <si>
    <t>Condensed SNP Footing Check</t>
  </si>
  <si>
    <t>A condensed statement of assets, liabilities, and net position of the College and its component unit</t>
  </si>
  <si>
    <t>Condensed Statement of Net Position</t>
  </si>
  <si>
    <t>Footing Check (A - L=NA)</t>
  </si>
  <si>
    <t>Assets</t>
  </si>
  <si>
    <t>NOTE: The current year Condensed SNP is formatted</t>
  </si>
  <si>
    <t>Current Assets</t>
  </si>
  <si>
    <t>to ensure that Total Assets and Total Net Position tie</t>
  </si>
  <si>
    <t>Capital Assets, Net</t>
  </si>
  <si>
    <t>to the rounded totals shown on the SNP. Total Liab-</t>
  </si>
  <si>
    <t>ilities may not tie in order to ensure A-L=NP.</t>
  </si>
  <si>
    <t>Current Liabilities</t>
  </si>
  <si>
    <t>Noncurrent Liabilities</t>
  </si>
  <si>
    <t>Invested in Capital Assets,</t>
  </si>
  <si>
    <t xml:space="preserve">  Net of Related Debt</t>
  </si>
  <si>
    <t>Restricted</t>
  </si>
  <si>
    <t xml:space="preserve">Total Net Position </t>
  </si>
  <si>
    <t>Condensed Statement of Net Position vs. Statement of Net Position</t>
  </si>
  <si>
    <t>SNP
(in thousands)</t>
  </si>
  <si>
    <t>Total Assets (actual rounded amount)</t>
  </si>
  <si>
    <t>Footing Check (Subtotals Sum)</t>
  </si>
  <si>
    <t>Footing Errors</t>
  </si>
  <si>
    <t>Total Liabilities (actual rounded amount)</t>
  </si>
  <si>
    <t>Invested in Capital Assets, Net of Debt</t>
  </si>
  <si>
    <t>Total Net Position (actual rounded amount)</t>
  </si>
  <si>
    <t>Check Assets less Liabilities</t>
  </si>
  <si>
    <t>Total Assets plus Deferred Outflows (actual rounded amount)</t>
  </si>
  <si>
    <t>Total Liabilities plus Deferred Inflows (actual rounded amount)</t>
  </si>
  <si>
    <t>Assets Less Liabilities</t>
  </si>
  <si>
    <t xml:space="preserve">The information below can be utilized as a guide for completing the Condensed Statement of Cash Flows in the Overview </t>
  </si>
  <si>
    <t>of Financial Statements section of the MD&amp;A:</t>
  </si>
  <si>
    <t>MANAGEMENT'S DISCUSSION AND ANALYSIS: CONDENSED STATEMENT OF CASH FLOWS</t>
  </si>
  <si>
    <t>THE STATEMENT OF CASH FLOWS</t>
  </si>
  <si>
    <t>Another way to assess the financial health of an institution is to look at the statement of cash flows. Its primary</t>
  </si>
  <si>
    <t xml:space="preserve">purpose is to provide relevant information about the cash receipts and cash payments of an entity during a period.  </t>
  </si>
  <si>
    <t>The statement of cash flows also helps users assess:</t>
  </si>
  <si>
    <r>
      <t>Ø</t>
    </r>
    <r>
      <rPr>
        <sz val="7"/>
        <color theme="1"/>
        <rFont val="Times New Roman"/>
        <family val="1"/>
      </rPr>
      <t> </t>
    </r>
    <r>
      <rPr>
        <sz val="7"/>
        <color theme="1"/>
        <rFont val="Arial"/>
        <family val="2"/>
      </rPr>
      <t xml:space="preserve"> </t>
    </r>
    <r>
      <rPr>
        <sz val="10"/>
        <color theme="1"/>
        <rFont val="Arial"/>
        <family val="2"/>
      </rPr>
      <t>An entity’s ability to generate future net cash flows</t>
    </r>
    <r>
      <rPr>
        <sz val="11"/>
        <color theme="1"/>
        <rFont val="Arial"/>
        <family val="2"/>
      </rPr>
      <t>.</t>
    </r>
  </si>
  <si>
    <r>
      <t>Ø</t>
    </r>
    <r>
      <rPr>
        <sz val="7"/>
        <color theme="1"/>
        <rFont val="Times New Roman"/>
        <family val="1"/>
      </rPr>
      <t> </t>
    </r>
    <r>
      <rPr>
        <sz val="10"/>
        <color theme="1"/>
        <rFont val="Arial"/>
        <family val="2"/>
      </rPr>
      <t xml:space="preserve"> Its ability to meet its obligations as they come due.</t>
    </r>
  </si>
  <si>
    <r>
      <t>Ø</t>
    </r>
    <r>
      <rPr>
        <sz val="7"/>
        <color theme="1"/>
        <rFont val="Times New Roman"/>
        <family val="1"/>
      </rPr>
      <t xml:space="preserve">  </t>
    </r>
    <r>
      <rPr>
        <sz val="10"/>
        <color theme="1"/>
        <rFont val="Arial"/>
        <family val="2"/>
      </rPr>
      <t>Its need for external financing.</t>
    </r>
  </si>
  <si>
    <t>A summary of the College’s cash flows for the 2020-19 and 2018-19 fiscal years is presented in the following table:</t>
  </si>
  <si>
    <t>Condensed Statement of Cash Flows: College</t>
  </si>
  <si>
    <t>Cash Provided (Used) by:</t>
  </si>
  <si>
    <t>Operating Activities</t>
  </si>
  <si>
    <t>Noncapital Financing Activities</t>
  </si>
  <si>
    <t>Capital and Related Financing Activities</t>
  </si>
  <si>
    <t>Investing Activities</t>
  </si>
  <si>
    <t>Major Sources and Uses of Funds</t>
  </si>
  <si>
    <t>(For use in narrative paragraph following Condensed Statement of Cash Flows)</t>
  </si>
  <si>
    <t>The following items include the most significan sources and uses of cash itemized in the Statement of Cash Flows:</t>
  </si>
  <si>
    <t>Major Sources of Funds - OVERALL</t>
  </si>
  <si>
    <t>million</t>
  </si>
  <si>
    <t>Major Uses of Funds - OVERALL</t>
  </si>
  <si>
    <t>Significant sources and uses of cash by activity are as follows (significant sources are highlighted in green and significant uses are highlighted in orange):</t>
  </si>
  <si>
    <t>(In Millions)</t>
  </si>
  <si>
    <t>Rank</t>
  </si>
  <si>
    <t>Item</t>
  </si>
  <si>
    <t>net student tuition and fees</t>
  </si>
  <si>
    <t>grants and contracts</t>
  </si>
  <si>
    <t>payments to suppliers</t>
  </si>
  <si>
    <t>payments for utilities and communications</t>
  </si>
  <si>
    <t>payments of employee salaries and benefits</t>
  </si>
  <si>
    <t>payments for scholarships</t>
  </si>
  <si>
    <t>loans issued to students</t>
  </si>
  <si>
    <t>collection of loans to students</t>
  </si>
  <si>
    <t>net auxiliary enterprises</t>
  </si>
  <si>
    <t>sales and services of educational departments</t>
  </si>
  <si>
    <t>other receipts</t>
  </si>
  <si>
    <t>Noncapital Financing Activies</t>
  </si>
  <si>
    <t>state noncapital appropriations</t>
  </si>
  <si>
    <t>federal and state student financial aid</t>
  </si>
  <si>
    <t>federal direct loan program disbursements and receipts</t>
  </si>
  <si>
    <t>noncapital gifts and grants received (for other than endowed purposes)</t>
  </si>
  <si>
    <t>private gifts for endowment purposes</t>
  </si>
  <si>
    <t>other nonoperating receipts</t>
  </si>
  <si>
    <t>proceeds from capital debt</t>
  </si>
  <si>
    <t>state capital appropriations</t>
  </si>
  <si>
    <t>capital grants and gifts</t>
  </si>
  <si>
    <t>proceeds from sale of refunding of bonds</t>
  </si>
  <si>
    <t>proceeds from sale of capital assets</t>
  </si>
  <si>
    <t>purchases of capital assets</t>
  </si>
  <si>
    <t>principal paid on capital debt and leases</t>
  </si>
  <si>
    <t>interest paid on capital debt and leases</t>
  </si>
  <si>
    <t>deposits with trustee</t>
  </si>
  <si>
    <t>proceeds from sales and maturities of investments</t>
  </si>
  <si>
    <t>purchase of investments</t>
  </si>
  <si>
    <t>investment income</t>
  </si>
  <si>
    <t>MANAGEMENT'S DISCUSSION AND ANALYSIS - FINANCIAL HIGHLIGHTS</t>
  </si>
  <si>
    <t>The paragraphs below appears on page 1 of the Management's Discussion and Analysis in the Auditor General's</t>
  </si>
  <si>
    <t>FINANCIAL HIGHLIGHTS</t>
  </si>
  <si>
    <t>While assets and deferred outflows of resources grew, liabilities and deferred inflows of resources increased by</t>
  </si>
  <si>
    <t>As a result, the College’s net position increased by $____ million, resulting in a year-end balance of</t>
  </si>
  <si>
    <r>
      <rPr>
        <sz val="11"/>
        <color rgb="FFFF0000"/>
        <rFont val="Garamond"/>
        <family val="1"/>
      </rPr>
      <t xml:space="preserve"> $___</t>
    </r>
    <r>
      <rPr>
        <sz val="11"/>
        <color rgb="FF000000"/>
        <rFont val="Garamond"/>
        <family val="1"/>
      </rPr>
      <t xml:space="preserve"> million.  </t>
    </r>
    <r>
      <rPr>
        <sz val="11"/>
        <color rgb="FFFF0000"/>
        <rFont val="Garamond"/>
        <family val="1"/>
      </rPr>
      <t>(Modify as appropriate)</t>
    </r>
  </si>
  <si>
    <r>
      <t>year due mainly to</t>
    </r>
    <r>
      <rPr>
        <sz val="11"/>
        <color rgb="FFFF0000"/>
        <rFont val="Garamond"/>
        <family val="1"/>
      </rPr>
      <t xml:space="preserve"> (add brief explanation). (Modify as appropriate.)</t>
    </r>
  </si>
  <si>
    <t>The information in the following table can be utilized to complete the section of the MD&amp;A quoted above</t>
  </si>
  <si>
    <t>for narrative similar to the sentences generated below:</t>
  </si>
  <si>
    <t xml:space="preserve">Balance* </t>
  </si>
  <si>
    <t>Balance*</t>
  </si>
  <si>
    <t xml:space="preserve">Amount* </t>
  </si>
  <si>
    <t xml:space="preserve">Increase or </t>
  </si>
  <si>
    <t xml:space="preserve">Percent </t>
  </si>
  <si>
    <t xml:space="preserve">Compare
</t>
  </si>
  <si>
    <t>of Change</t>
  </si>
  <si>
    <t>Decrease</t>
  </si>
  <si>
    <t>A v. L change</t>
  </si>
  <si>
    <t>*Balances in Millions</t>
  </si>
  <si>
    <t>check for rounding issues</t>
  </si>
  <si>
    <t>(rounded NA = A - L)</t>
  </si>
  <si>
    <r>
      <t>a result, the College’s net assets decreased by</t>
    </r>
    <r>
      <rPr>
        <sz val="11"/>
        <color rgb="FFFF0000"/>
        <rFont val="Garamond"/>
        <family val="1"/>
      </rPr>
      <t xml:space="preserve"> $___</t>
    </r>
    <r>
      <rPr>
        <sz val="11"/>
        <color theme="1"/>
        <rFont val="Garamond"/>
        <family val="1"/>
      </rPr>
      <t xml:space="preserve"> million, resulting in a year-end balance of </t>
    </r>
    <r>
      <rPr>
        <sz val="11"/>
        <color rgb="FFFF0000"/>
        <rFont val="Garamond"/>
        <family val="1"/>
      </rPr>
      <t>$___</t>
    </r>
    <r>
      <rPr>
        <sz val="11"/>
        <color theme="1"/>
        <rFont val="Garamond"/>
        <family val="1"/>
      </rPr>
      <t xml:space="preserve"> million.</t>
    </r>
  </si>
  <si>
    <r>
      <rPr>
        <sz val="11"/>
        <color rgb="FFFF0000"/>
        <rFont val="Garamond"/>
        <family val="1"/>
      </rPr>
      <t>(ADD BRIEF EXPLANATION)</t>
    </r>
    <r>
      <rPr>
        <sz val="11"/>
        <color theme="1"/>
        <rFont val="Garamond"/>
        <family val="1"/>
      </rPr>
      <t>...</t>
    </r>
  </si>
  <si>
    <t>MANAGEMENT'S DISCUSSION AND ANALYSIS - FINANCIAL HIGHLIGHTS (CONT.)</t>
  </si>
  <si>
    <t>FINANCIAL HIGHLIGHTS - DATA FOR TABLES</t>
  </si>
  <si>
    <t>Net Assets: College (In Thousands)</t>
  </si>
  <si>
    <t>Total Revenues: College</t>
  </si>
  <si>
    <t>Other Revenues</t>
  </si>
  <si>
    <t>STATEMENT OF REVENUE, EXPENSES, AND CHANGES IN NET POSITION</t>
  </si>
  <si>
    <t>Operating Revenues:  College</t>
  </si>
  <si>
    <t>For Use as Data in Bar Graph</t>
  </si>
  <si>
    <t>In Millions</t>
  </si>
  <si>
    <t>Percentage</t>
  </si>
  <si>
    <t>Condensed SRECNA Total</t>
  </si>
  <si>
    <t>Operating Expenses:  College</t>
  </si>
  <si>
    <t>Component Unit</t>
  </si>
  <si>
    <t>6-30-20</t>
  </si>
  <si>
    <t>Nonoperating Revenues (Expenses):  College</t>
  </si>
  <si>
    <t>Condensed SRECNA "Other Nonoperating"</t>
  </si>
  <si>
    <t>Sum of items above</t>
  </si>
  <si>
    <t>Other Revenues, Expenses, Gains or Losses:  College</t>
  </si>
  <si>
    <t xml:space="preserve">Check Sheet </t>
  </si>
  <si>
    <t>(Use Colleges' SNP and SCF forms from Prior Year)</t>
  </si>
  <si>
    <t>Use Consolidated SNP file for PY Ending data if audit is not available</t>
  </si>
  <si>
    <t>(SNP)</t>
  </si>
  <si>
    <t>(SCF)</t>
  </si>
  <si>
    <t>Cash &amp; Cash Equiv.</t>
  </si>
  <si>
    <t>Restricted Cash &amp; Cash Equivalents (Current)</t>
  </si>
  <si>
    <t>Restricted Cash &amp; Cash Equiv (Noncurrent)</t>
  </si>
  <si>
    <t xml:space="preserve">Cash &amp; Cash Equivalent </t>
  </si>
  <si>
    <t xml:space="preserve">Prior Year - Cash &amp; Cash Equivalents </t>
  </si>
  <si>
    <t>M12 of Audited SNP</t>
  </si>
  <si>
    <t>M13 of Audited SNP</t>
  </si>
  <si>
    <t>M28 of Audited SNP</t>
  </si>
  <si>
    <t xml:space="preserve">M58 of Audited SCF </t>
  </si>
  <si>
    <t>College2020</t>
  </si>
  <si>
    <t>Total 2020</t>
  </si>
  <si>
    <t xml:space="preserve">SRECNP (Audited) (Prior Year) </t>
  </si>
  <si>
    <t>Use Consolidated SNP file for PY Ending  data (Total Net Position)</t>
  </si>
  <si>
    <t>(Use Colleges' PY Ending Net Position)</t>
  </si>
  <si>
    <t xml:space="preserve">Total </t>
  </si>
  <si>
    <t>CIF</t>
  </si>
  <si>
    <t>Use Cons CIF file for PY Ending data (Ending bal as of FY End date 6.30.YY)</t>
  </si>
  <si>
    <t>(Use Colleges' Prior Year CIF Reports)</t>
  </si>
  <si>
    <t>Capital Improvement Fees
PY Ending Balance</t>
  </si>
  <si>
    <t>Interest &amp; Other Rev Sources 
PY Ending Balance</t>
  </si>
  <si>
    <t xml:space="preserve">Totals </t>
  </si>
  <si>
    <t>Student Activity Fee Report</t>
  </si>
  <si>
    <t>(Use College's PY Ending Balance from Consolidated SAFR ending balance)</t>
  </si>
  <si>
    <t>SASF PY Ending Balance</t>
  </si>
  <si>
    <t xml:space="preserve">INFORMATION UPDATED FOR CURRENT YEAR - </t>
  </si>
  <si>
    <t>Audited Financial Statement FCS Notes Sched LTD</t>
  </si>
  <si>
    <r>
      <t xml:space="preserve">On Columns that state DFS Trial Balance, refer to Prior-year DFS trial balances and use corresponding GL Codes for the amounts. On columns that state Take from Colleges' Reports, use College's PY 
</t>
    </r>
    <r>
      <rPr>
        <b/>
        <sz val="11"/>
        <color theme="1"/>
        <rFont val="Calibri"/>
        <family val="2"/>
        <scheme val="minor"/>
      </rPr>
      <t>Audited Financial Statement. (Only use FCS Notes Sched LTD if audited financials are not available)</t>
    </r>
    <r>
      <rPr>
        <sz val="11"/>
        <color theme="1"/>
        <rFont val="Calibri"/>
        <family val="2"/>
        <scheme val="minor"/>
      </rPr>
      <t>.</t>
    </r>
  </si>
  <si>
    <t>Long-Term Liabilities</t>
  </si>
  <si>
    <t>From DFS Trial Bal  37100 + 46100</t>
  </si>
  <si>
    <t xml:space="preserve">Take from Colleges' PY Reports </t>
  </si>
  <si>
    <t>Take from Colleges' PY Reports</t>
  </si>
  <si>
    <t>From DFS Trial Bal 38700 + 48700</t>
  </si>
  <si>
    <t>Take from Colleges' Reports</t>
  </si>
  <si>
    <t>From DFS Trial Bal 38600 + 48600</t>
  </si>
  <si>
    <t>May be able to Remove next year</t>
  </si>
  <si>
    <t>GL Codes 399 &amp; 499 from DFS Trial Balance</t>
  </si>
  <si>
    <t>Hide columns U to AG</t>
  </si>
  <si>
    <t>Adjustment Form version</t>
  </si>
  <si>
    <t>OPEB Payable</t>
  </si>
  <si>
    <t>Net Pens Liab FRS</t>
  </si>
  <si>
    <t>Net Pens Liab HIS</t>
  </si>
  <si>
    <t>Other Long-term Liabilities</t>
  </si>
  <si>
    <t xml:space="preserve">399+499 </t>
  </si>
  <si>
    <t>FCS Notes Sched Cap Assets</t>
  </si>
  <si>
    <t xml:space="preserve">Use Prior Year Ending Balances from College's FCS Notes Sched Cap Assets Tab.  Should match back  to DFS Trial Balance amounts when combined with CU Notes balances. </t>
  </si>
  <si>
    <t>Trial Balances GL Codes</t>
  </si>
  <si>
    <t>Refer to College</t>
  </si>
  <si>
    <t xml:space="preserve">DFS Trial Balance Codes </t>
  </si>
  <si>
    <t>Computer Soft/Other</t>
  </si>
  <si>
    <t>DFS Trial Balance GL Codes</t>
  </si>
  <si>
    <t xml:space="preserve">CU Notes Sched </t>
  </si>
  <si>
    <t>(Use Prior Year Ending Balances from CU Notes Sched tab)</t>
  </si>
  <si>
    <t>Depreciable Capital Assets</t>
  </si>
  <si>
    <t>Less, Accumulated Depreciation</t>
  </si>
  <si>
    <t>Art/Collections</t>
  </si>
  <si>
    <t>Other Nondep. Asset</t>
  </si>
  <si>
    <t>CIP</t>
  </si>
  <si>
    <t>Furniture/Equip.</t>
  </si>
  <si>
    <t>Other Dep. Assets</t>
  </si>
  <si>
    <t>Building</t>
  </si>
  <si>
    <t>COMPONENT UNIT LONG-TERM LIABILITIES</t>
  </si>
  <si>
    <t>FRS Net Pension</t>
  </si>
  <si>
    <t>HIS Net Pension</t>
  </si>
  <si>
    <t>Liability</t>
  </si>
  <si>
    <t xml:space="preserve">CU8 - Installment Purchase Contracts </t>
  </si>
  <si>
    <t>(Use Colleges' Prior Year Trial Balances from DFS)</t>
  </si>
  <si>
    <t xml:space="preserve">FS Variance Analysis Tool (MD&amp;A) </t>
  </si>
  <si>
    <t xml:space="preserve">(Use College's Prior Year Audited F/S - Contact DFS) </t>
  </si>
  <si>
    <t>SNP (Audited) (Prior Year)</t>
  </si>
  <si>
    <t>CURRENT ASSETS</t>
  </si>
  <si>
    <t>NONCURRENT ASSETS</t>
  </si>
  <si>
    <t>CURRENT LIABILITIES</t>
  </si>
  <si>
    <t>LONG TERM CURRENT LIABILITIES - CURRENT PORTION</t>
  </si>
  <si>
    <t xml:space="preserve">NONCURRENT LIABILITIES </t>
  </si>
  <si>
    <t xml:space="preserve">LONG-TERM CURRENT LIABILITIES </t>
  </si>
  <si>
    <t>NONCURRENT LIABILITIES</t>
  </si>
  <si>
    <t xml:space="preserve">College </t>
  </si>
  <si>
    <t>TOTAL CURRENT ASSETS</t>
  </si>
  <si>
    <r>
      <t xml:space="preserve">Other Assets </t>
    </r>
    <r>
      <rPr>
        <b/>
        <i/>
        <sz val="9"/>
        <color theme="1"/>
        <rFont val="Calibri"/>
        <family val="2"/>
        <scheme val="minor"/>
      </rPr>
      <t>(Includes 'Due from Cus &amp; rest dep')</t>
    </r>
  </si>
  <si>
    <t xml:space="preserve">Total Noncurrent Assets </t>
  </si>
  <si>
    <t xml:space="preserve">Deferred Outflows - Asset Retirement Ogligations </t>
  </si>
  <si>
    <t xml:space="preserve">Deferred Outflows - Lease Agreements </t>
  </si>
  <si>
    <t>Deferred Outflows of Resources - Accumulated Decrease in Fair Value of Securities</t>
  </si>
  <si>
    <t xml:space="preserve">Retainage Payable </t>
  </si>
  <si>
    <t xml:space="preserve">Estimated Insurance Claims Payable </t>
  </si>
  <si>
    <t xml:space="preserve">Bonds Payable </t>
  </si>
  <si>
    <t xml:space="preserve">Installment Purchases Payable </t>
  </si>
  <si>
    <t xml:space="preserve">Capital Leases Payable </t>
  </si>
  <si>
    <t xml:space="preserve">Special Termination Benefits Payable </t>
  </si>
  <si>
    <t>TOTAL CURRENT LIABILITIES</t>
  </si>
  <si>
    <t>TOTAL NONCURRENT LIABILITIES</t>
  </si>
  <si>
    <t>Restricted: Nonexpendable: Endowment</t>
  </si>
  <si>
    <t>Restricted: Expendable: Endowment</t>
  </si>
  <si>
    <t>Restricted: Expendable:      Grants and Loans</t>
  </si>
  <si>
    <t>Restricted: Expendable: Scholarships</t>
  </si>
  <si>
    <t>Restricted: Expendable:      Capital Projects</t>
  </si>
  <si>
    <t>Restricted: Expendable:      Debt Service</t>
  </si>
  <si>
    <t>Restricted: Expendable:      Other</t>
  </si>
  <si>
    <t>TOTAL NET POSITION</t>
  </si>
  <si>
    <t xml:space="preserve">Deferred Inflows - Other Postemployment Benefits </t>
  </si>
  <si>
    <t>Deferred Inflows of Resources - Accumulated Increase in Fair Value of Securities</t>
  </si>
  <si>
    <t>TOTAL NET POSITION + DEFERRED INFLOWS OF RESOURCES</t>
  </si>
  <si>
    <t>Deferred Outflows - Lease Agreements</t>
  </si>
  <si>
    <t xml:space="preserve">Other Postemployment Benefits Liability </t>
  </si>
  <si>
    <t>Restricted: Nonexpandable: Endowment</t>
  </si>
  <si>
    <t>Restricted: Expandable:      Grants and Loans</t>
  </si>
  <si>
    <t>Restricted: Expandable: Scholarships</t>
  </si>
  <si>
    <t>Restricted: Expandable:      Capital Projects</t>
  </si>
  <si>
    <t>Restricted: Expandable:      Debt Service</t>
  </si>
  <si>
    <t>Restricted: Expandable:      Other</t>
  </si>
  <si>
    <t>SRECNP (Audited) (Prior Year)</t>
  </si>
  <si>
    <t>OPERATING REVENUES</t>
  </si>
  <si>
    <t>OPERATING EXPENSES</t>
  </si>
  <si>
    <t>NONOPERATING REVENUES/EXPENSES</t>
  </si>
  <si>
    <t>Student Tuition and Fees, Net of Scholarship Allowances of $</t>
  </si>
  <si>
    <t>Auxiliary Enterprises, Net of Scholarship Allowances of $</t>
  </si>
  <si>
    <t>OPERATING GAIN/LOSS</t>
  </si>
  <si>
    <t xml:space="preserve">State Noncapital Apprpriations </t>
  </si>
  <si>
    <t>(Gain) Loss on Disposal of Capital Assets</t>
  </si>
  <si>
    <t>Interest on Capital Asset - Related Debt</t>
  </si>
  <si>
    <t>LOSS BEFORE OTHER REVENUES, EXPENSES, GAINS, or LOSSES</t>
  </si>
  <si>
    <t xml:space="preserve">State Capital Appropriations </t>
  </si>
  <si>
    <t xml:space="preserve">Capital Grants, Contracts, Gifts, and Fees </t>
  </si>
  <si>
    <t>TOTAL OTHER REVENUES</t>
  </si>
  <si>
    <t>Increase/Decrease in Net Position</t>
  </si>
  <si>
    <t>Investment Income (Loss)</t>
  </si>
  <si>
    <t>MD&amp;A Tool CondSCF</t>
  </si>
  <si>
    <t>(Use College's Prior Year reports)</t>
  </si>
  <si>
    <t>SCF (Audited) (Prior Year)</t>
  </si>
  <si>
    <t>Used by Operating Activities</t>
  </si>
  <si>
    <t>Provided by Noncapital Financing Activities</t>
  </si>
  <si>
    <t>Used by Capital and Related Financing Activities</t>
  </si>
  <si>
    <t>Provided by Investing Activities</t>
  </si>
  <si>
    <t>Net Increase in Cash and Cash Equivalents</t>
  </si>
  <si>
    <t>GLCode</t>
  </si>
  <si>
    <t>Fund1</t>
  </si>
  <si>
    <t>Fund2</t>
  </si>
  <si>
    <t>Fund3</t>
  </si>
  <si>
    <t>Fund4</t>
  </si>
  <si>
    <t>Fund5</t>
  </si>
  <si>
    <t>Fund6</t>
  </si>
  <si>
    <t>Fund7</t>
  </si>
  <si>
    <t>Fund8</t>
  </si>
  <si>
    <t>Fund9</t>
  </si>
  <si>
    <t>AJE</t>
  </si>
  <si>
    <t>30100E</t>
  </si>
  <si>
    <t>30200E</t>
  </si>
  <si>
    <t>30300E</t>
  </si>
  <si>
    <t>30400E</t>
  </si>
  <si>
    <t>30500E</t>
  </si>
  <si>
    <t>30600E</t>
  </si>
  <si>
    <t>30700E</t>
  </si>
  <si>
    <t>30900E</t>
  </si>
  <si>
    <t>31000E</t>
  </si>
  <si>
    <t>31100E</t>
  </si>
  <si>
    <t>31200E</t>
  </si>
  <si>
    <t>30800E</t>
  </si>
  <si>
    <r>
      <rPr>
        <b/>
        <sz val="16"/>
        <rFont val="Times New Roman"/>
        <family val="1"/>
      </rPr>
      <t>Instructions:</t>
    </r>
    <r>
      <rPr>
        <sz val="16"/>
        <rFont val="Times New Roman"/>
        <family val="1"/>
      </rPr>
      <t xml:space="preserve"> Please read the definition below and follow the steps below in order to completely and accurately complete Form CU-9.  
If your entity is NOT a component unit, please use Form 53 instead.</t>
    </r>
  </si>
  <si>
    <r>
      <rPr>
        <b/>
        <sz val="10"/>
        <rFont val="Times New Roman"/>
        <family val="1"/>
      </rPr>
      <t xml:space="preserve">Total Credit Line under Agreement: </t>
    </r>
    <r>
      <rPr>
        <sz val="10"/>
        <rFont val="Times New Roman"/>
        <family val="1"/>
      </rPr>
      <t>Please enter the total credit line available as of the year end date referenced on the Form CU-9.</t>
    </r>
  </si>
  <si>
    <r>
      <rPr>
        <b/>
        <sz val="10"/>
        <rFont val="Times New Roman"/>
        <family val="1"/>
      </rPr>
      <t xml:space="preserve">Unused Line of Credit: </t>
    </r>
    <r>
      <rPr>
        <sz val="10"/>
        <rFont val="Times New Roman"/>
        <family val="1"/>
      </rPr>
      <t>Please enter the total unused credit line as of the year end date referenced on Form CU-9.</t>
    </r>
  </si>
  <si>
    <t xml:space="preserve">Total Unallocated Fund Balances </t>
  </si>
  <si>
    <t>49521</t>
  </si>
  <si>
    <t>Uninsured Loss Recovery</t>
  </si>
  <si>
    <t>69521</t>
  </si>
  <si>
    <t>Uninsured Loss</t>
  </si>
  <si>
    <t>2021.v01</t>
  </si>
  <si>
    <t xml:space="preserve"> FISCAL YEAR 2020-21</t>
  </si>
  <si>
    <r>
      <t xml:space="preserve">Please complete and return this form to collegereporting@fldoe.org by </t>
    </r>
    <r>
      <rPr>
        <b/>
        <u/>
        <sz val="12"/>
        <color rgb="FFFF0000"/>
        <rFont val="Calibri"/>
        <family val="2"/>
        <scheme val="minor"/>
      </rPr>
      <t>9/30/2021</t>
    </r>
    <r>
      <rPr>
        <b/>
        <u/>
        <sz val="12"/>
        <rFont val="Calibri"/>
        <family val="2"/>
        <scheme val="minor"/>
      </rPr>
      <t>.</t>
    </r>
  </si>
  <si>
    <t>Fiscal Year 2020-2021</t>
  </si>
  <si>
    <t>FY 2020-2021 Summary of Accounts by General Ledger Code</t>
  </si>
  <si>
    <t>For the Fiscal Year Ended June 30, 2021</t>
  </si>
  <si>
    <t>Beginning Fund Balance 07-01-2020</t>
  </si>
  <si>
    <t>2020-21</t>
  </si>
  <si>
    <t xml:space="preserve">2020-2021 FEES </t>
  </si>
  <si>
    <t>Long‑term liabilities activity for the fiscal year ended June 30, 2021, is shown below:</t>
  </si>
  <si>
    <t>The College’s investments at June 30, 2021, are reported at fair value, as follows:</t>
  </si>
  <si>
    <t>Capital assets activity for the fiscal year ended June 30, 2021, is shown below:</t>
  </si>
  <si>
    <t>2020-21 AFR - College Notes Schedules</t>
  </si>
  <si>
    <t>JUNE 30, 2021</t>
  </si>
  <si>
    <t>The Component Unit’s investments at June 30, 2021, are reported at fair value, as follows:</t>
  </si>
  <si>
    <t>June 2021</t>
  </si>
  <si>
    <t xml:space="preserve">Asset Retirement Obligation (ARO) at 6/30/2021:
</t>
  </si>
  <si>
    <r>
      <t xml:space="preserve">Please enter the value of the ARO as of the respective fiscal year-end date (i.e., 6/30/2021). 
</t>
    </r>
    <r>
      <rPr>
        <b/>
        <sz val="11"/>
        <color theme="1"/>
        <rFont val="Calibri"/>
        <family val="2"/>
      </rPr>
      <t xml:space="preserve">Note: </t>
    </r>
    <r>
      <rPr>
        <sz val="11"/>
        <color theme="1"/>
        <rFont val="Calibri"/>
        <family val="2"/>
        <scheme val="minor"/>
      </rPr>
      <t xml:space="preserve">If your agency has a minority share of an ARO, please contact SFRS for more information on how to complete the worksheet for that asset. </t>
    </r>
  </si>
  <si>
    <t>Asset Retirement Obligations 6/30/2021</t>
  </si>
  <si>
    <t>Does an ARO Exist for your entity as of 6/30/2021?</t>
  </si>
  <si>
    <t xml:space="preserve"> Current Value 
of ARO as of 
6/30/2021</t>
  </si>
  <si>
    <t>June 30, 2021</t>
  </si>
  <si>
    <t>2020-21 Balances</t>
  </si>
  <si>
    <t xml:space="preserve">Revenues and expenses of the College and its Component Unit for the 2020-21 and 2019-20 fiscal years </t>
  </si>
  <si>
    <t>June 30, 2021 and June 30, 2020, is shown in the following table:</t>
  </si>
  <si>
    <r>
      <t xml:space="preserve"> </t>
    </r>
    <r>
      <rPr>
        <sz val="11"/>
        <color rgb="FFFF0000"/>
        <rFont val="Garamond"/>
        <family val="1"/>
      </rPr>
      <t>2020-21</t>
    </r>
    <r>
      <rPr>
        <sz val="11"/>
        <rFont val="Garamond"/>
        <family val="1"/>
      </rPr>
      <t xml:space="preserve"> Financial Statements shell.</t>
    </r>
  </si>
  <si>
    <r>
      <t xml:space="preserve">The College’s assets and deferred outflows of resources totaled </t>
    </r>
    <r>
      <rPr>
        <sz val="11"/>
        <color rgb="FFFF0000"/>
        <rFont val="Garamond"/>
        <family val="1"/>
      </rPr>
      <t>$___</t>
    </r>
    <r>
      <rPr>
        <sz val="11"/>
        <color rgb="FF000000"/>
        <rFont val="Garamond"/>
        <family val="1"/>
      </rPr>
      <t xml:space="preserve"> million at June 30, 2021. This balance reflects       </t>
    </r>
  </si>
  <si>
    <r>
      <t xml:space="preserve"> a </t>
    </r>
    <r>
      <rPr>
        <sz val="11"/>
        <color rgb="FFFF0000"/>
        <rFont val="Garamond"/>
        <family val="1"/>
      </rPr>
      <t xml:space="preserve">$___ </t>
    </r>
    <r>
      <rPr>
        <sz val="11"/>
        <color rgb="FF000000"/>
        <rFont val="Garamond"/>
        <family val="1"/>
      </rPr>
      <t xml:space="preserve">million, or </t>
    </r>
    <r>
      <rPr>
        <sz val="11"/>
        <color rgb="FFFF0000"/>
        <rFont val="Garamond"/>
        <family val="1"/>
      </rPr>
      <t>___</t>
    </r>
    <r>
      <rPr>
        <sz val="11"/>
        <color rgb="FF000000"/>
        <rFont val="Garamond"/>
        <family val="1"/>
      </rPr>
      <t xml:space="preserve"> percent, increase as compared to the 2019-20 fiscal year, resulting from </t>
    </r>
    <r>
      <rPr>
        <sz val="11"/>
        <color rgb="FFFF0000"/>
        <rFont val="Garamond"/>
        <family val="1"/>
      </rPr>
      <t>(add brief explanation)</t>
    </r>
    <r>
      <rPr>
        <sz val="11"/>
        <color rgb="FF000000"/>
        <rFont val="Garamond"/>
        <family val="1"/>
      </rPr>
      <t>.</t>
    </r>
  </si>
  <si>
    <r>
      <t xml:space="preserve">$___ million, or ___ percent, totaling $___ million at June 30, 2021, resulting from </t>
    </r>
    <r>
      <rPr>
        <sz val="11"/>
        <color rgb="FFFF0000"/>
        <rFont val="Garamond"/>
        <family val="1"/>
      </rPr>
      <t>(add brief explanation)</t>
    </r>
    <r>
      <rPr>
        <sz val="11"/>
        <color rgb="FF000000"/>
        <rFont val="Garamond"/>
        <family val="1"/>
      </rPr>
      <t>.</t>
    </r>
  </si>
  <si>
    <r>
      <t xml:space="preserve">The College’s operating revenues totaled </t>
    </r>
    <r>
      <rPr>
        <sz val="11"/>
        <color rgb="FFFF0000"/>
        <rFont val="Garamond"/>
        <family val="1"/>
      </rPr>
      <t>$___</t>
    </r>
    <r>
      <rPr>
        <sz val="11"/>
        <color rgb="FF000000"/>
        <rFont val="Garamond"/>
        <family val="1"/>
      </rPr>
      <t xml:space="preserve"> million for the 2020-21 fiscal year, representing a </t>
    </r>
    <r>
      <rPr>
        <sz val="11"/>
        <color rgb="FFFF0000"/>
        <rFont val="Garamond"/>
        <family val="1"/>
      </rPr>
      <t>___</t>
    </r>
    <r>
      <rPr>
        <sz val="11"/>
        <color rgb="FF000000"/>
        <rFont val="Garamond"/>
        <family val="1"/>
      </rPr>
      <t xml:space="preserve"> percent  </t>
    </r>
  </si>
  <si>
    <t xml:space="preserve"> increase compared to the 2019-20  fiscal year due mainly to (add brief explanation).  Operating expenses totaled</t>
  </si>
  <si>
    <r>
      <t>$___ million for the 2020-21 fiscal year, representing an increase of</t>
    </r>
    <r>
      <rPr>
        <sz val="11"/>
        <color rgb="FFFF0000"/>
        <rFont val="Garamond"/>
        <family val="1"/>
      </rPr>
      <t xml:space="preserve"> ___</t>
    </r>
    <r>
      <rPr>
        <sz val="11"/>
        <color rgb="FF000000"/>
        <rFont val="Garamond"/>
        <family val="1"/>
      </rPr>
      <t xml:space="preserve"> percent as compared to the 2019-20 fiscal</t>
    </r>
  </si>
  <si>
    <t xml:space="preserve"> 6/30/2020</t>
  </si>
  <si>
    <r>
      <t xml:space="preserve">the 2019-20 fiscal year, resulting from… </t>
    </r>
    <r>
      <rPr>
        <sz val="11"/>
        <color rgb="FFFF0000"/>
        <rFont val="Garamond"/>
        <family val="1"/>
      </rPr>
      <t>(ADD BRIEF EXPLANATION HERE)</t>
    </r>
    <r>
      <rPr>
        <sz val="11"/>
        <color theme="1"/>
        <rFont val="Garamond"/>
        <family val="1"/>
      </rPr>
      <t xml:space="preserve">... While assets declined, liabilities decreased by a </t>
    </r>
  </si>
  <si>
    <r>
      <t xml:space="preserve">The College's assets totaled </t>
    </r>
    <r>
      <rPr>
        <sz val="11"/>
        <color rgb="FFFF0000"/>
        <rFont val="Garamond"/>
        <family val="1"/>
      </rPr>
      <t>$___</t>
    </r>
    <r>
      <rPr>
        <sz val="11"/>
        <color theme="1"/>
        <rFont val="Garamond"/>
        <family val="1"/>
      </rPr>
      <t xml:space="preserve"> million at June 30, 2021. This balance reflects a </t>
    </r>
    <r>
      <rPr>
        <sz val="11"/>
        <color rgb="FFFF0000"/>
        <rFont val="Garamond"/>
        <family val="1"/>
      </rPr>
      <t xml:space="preserve">$____ </t>
    </r>
    <r>
      <rPr>
        <sz val="11"/>
        <color theme="1"/>
        <rFont val="Garamond"/>
        <family val="1"/>
      </rPr>
      <t xml:space="preserve">million, or </t>
    </r>
    <r>
      <rPr>
        <sz val="11"/>
        <color rgb="FFFF0000"/>
        <rFont val="Garamond"/>
        <family val="1"/>
      </rPr>
      <t>___</t>
    </r>
    <r>
      <rPr>
        <sz val="11"/>
        <color theme="1"/>
        <rFont val="Garamond"/>
        <family val="1"/>
      </rPr>
      <t xml:space="preserve"> percent, decrease </t>
    </r>
    <r>
      <rPr>
        <sz val="11"/>
        <color rgb="FFFF0000"/>
        <rFont val="Garamond"/>
        <family val="1"/>
      </rPr>
      <t>___</t>
    </r>
    <r>
      <rPr>
        <sz val="11"/>
        <color theme="1"/>
        <rFont val="Garamond"/>
        <family val="1"/>
      </rPr>
      <t xml:space="preserve"> from  </t>
    </r>
  </si>
  <si>
    <r>
      <t xml:space="preserve">lesser amount of </t>
    </r>
    <r>
      <rPr>
        <sz val="11"/>
        <color rgb="FFFF0000"/>
        <rFont val="Garamond"/>
        <family val="1"/>
      </rPr>
      <t>$___</t>
    </r>
    <r>
      <rPr>
        <sz val="11"/>
        <color theme="1"/>
        <rFont val="Garamond"/>
        <family val="1"/>
      </rPr>
      <t xml:space="preserve"> million, or </t>
    </r>
    <r>
      <rPr>
        <sz val="11"/>
        <color rgb="FFFF0000"/>
        <rFont val="Garamond"/>
        <family val="1"/>
      </rPr>
      <t xml:space="preserve">___ </t>
    </r>
    <r>
      <rPr>
        <sz val="11"/>
        <color theme="1"/>
        <rFont val="Garamond"/>
        <family val="1"/>
      </rPr>
      <t xml:space="preserve">percent, totaling </t>
    </r>
    <r>
      <rPr>
        <sz val="11"/>
        <color rgb="FFFF0000"/>
        <rFont val="Garamond"/>
        <family val="1"/>
      </rPr>
      <t>$__</t>
    </r>
    <r>
      <rPr>
        <sz val="11"/>
        <color theme="1"/>
        <rFont val="Garamond"/>
        <family val="1"/>
      </rPr>
      <t xml:space="preserve"> million at June 30, 2021, compared to </t>
    </r>
    <r>
      <rPr>
        <sz val="11"/>
        <color rgb="FFFF0000"/>
        <rFont val="Garamond"/>
        <family val="1"/>
      </rPr>
      <t>$___</t>
    </r>
    <r>
      <rPr>
        <sz val="11"/>
        <color theme="1"/>
        <rFont val="Garamond"/>
        <family val="1"/>
      </rPr>
      <t xml:space="preserve"> million at June 30, 2020. As </t>
    </r>
  </si>
  <si>
    <r>
      <t xml:space="preserve">The College’s operating revenues totaled </t>
    </r>
    <r>
      <rPr>
        <sz val="11"/>
        <color rgb="FFFF0000"/>
        <rFont val="Garamond"/>
        <family val="1"/>
      </rPr>
      <t>$___</t>
    </r>
    <r>
      <rPr>
        <sz val="11"/>
        <color theme="1"/>
        <rFont val="Garamond"/>
        <family val="1"/>
      </rPr>
      <t xml:space="preserve"> million for the 2020-21 fiscal year, representing a </t>
    </r>
    <r>
      <rPr>
        <sz val="11"/>
        <color rgb="FFFF0000"/>
        <rFont val="Garamond"/>
        <family val="1"/>
      </rPr>
      <t>___</t>
    </r>
    <r>
      <rPr>
        <sz val="11"/>
        <color theme="1"/>
        <rFont val="Garamond"/>
        <family val="1"/>
      </rPr>
      <t xml:space="preserve"> percent decrease over the </t>
    </r>
  </si>
  <si>
    <r>
      <t xml:space="preserve">2019-20 fiscal year due mainly to... </t>
    </r>
    <r>
      <rPr>
        <sz val="11"/>
        <color rgb="FFFF0000"/>
        <rFont val="Garamond"/>
        <family val="1"/>
      </rPr>
      <t>(ADD BRIEF EXPLANATION HERE)</t>
    </r>
    <r>
      <rPr>
        <sz val="11"/>
        <color theme="1"/>
        <rFont val="Garamond"/>
        <family val="1"/>
      </rPr>
      <t xml:space="preserve">...  Operating expenses totaled </t>
    </r>
    <r>
      <rPr>
        <sz val="11"/>
        <color rgb="FFFF0000"/>
        <rFont val="Garamond"/>
        <family val="1"/>
      </rPr>
      <t>$___</t>
    </r>
    <r>
      <rPr>
        <sz val="11"/>
        <color theme="1"/>
        <rFont val="Garamond"/>
        <family val="1"/>
      </rPr>
      <t xml:space="preserve"> million for the </t>
    </r>
  </si>
  <si>
    <r>
      <t xml:space="preserve">2020-21 fiscal year, representing a decrease of </t>
    </r>
    <r>
      <rPr>
        <sz val="11"/>
        <color rgb="FFFF0000"/>
        <rFont val="Garamond"/>
        <family val="1"/>
      </rPr>
      <t>___</t>
    </r>
    <r>
      <rPr>
        <sz val="11"/>
        <color theme="1"/>
        <rFont val="Garamond"/>
        <family val="1"/>
      </rPr>
      <t xml:space="preserve"> percent from the 2019-20 fiscal year due mainly to... </t>
    </r>
  </si>
  <si>
    <t>6-30-21</t>
  </si>
  <si>
    <t>CU2020</t>
  </si>
  <si>
    <t>UPDATED INFORMATION FOR CURRENT YEAR USING AUDITED SNP - 4/7/21 YPH</t>
  </si>
  <si>
    <t>UPDATED INFORMATION FOR CURRENT YEAR USING CIF - 4/7/20 YPH</t>
  </si>
  <si>
    <t>UPDATED INFORMATION FOR CURRENT YEAR USING SAFR- 4/7/21 YPH</t>
  </si>
  <si>
    <t>INFORMATION UPDATED  FOR CURRENT YEAR - 4/7/21 YPH</t>
  </si>
  <si>
    <t>INFORMATION UPDATED FROM CU NOTES SCHED  FOR CURRENT YEAR - 4/8/21 YPH</t>
  </si>
  <si>
    <t>INFORMATION UPDATED FROM CU NOTES SCHED FOR CURRENT YEAR - 4/8/21 YPH</t>
  </si>
  <si>
    <t>INFORMATION UPDATED 4/9/21 FOR CURRENT YEAR  MATCHING CAP ASSETS TO TRIAL BALANCE- YPH</t>
  </si>
  <si>
    <t>INFORMATION UPDATED  4/9/21 FOR CURRENT YEAR  MATCHING CAP ASSETS TO TRIAL BALANCE-YPH</t>
  </si>
  <si>
    <t>INFORMATION UPDATED  FOR CURRENT YEAR  MATCHING CAP ASSETS TO TRIAL BALANCE- 4/9/21 YPH</t>
  </si>
  <si>
    <t>INFORMATION UPDATED FOR CURRENT YEAR - YPH 4/12/21</t>
  </si>
  <si>
    <t>INFORMATION UPDATED FOR CURRENT YEAR - YPH 4/13/21</t>
  </si>
  <si>
    <t>INFORMATION UPDATED FOR CURRENT YEAR - 4/14/21</t>
  </si>
  <si>
    <t xml:space="preserve">THE COLLEGE OF THE FLORIDA KEYS </t>
  </si>
  <si>
    <t>NOTE: The new debit and capital assets related to the capital lease purchases were recorded as an increase to long term debit and capital assets on the statement</t>
  </si>
  <si>
    <t>of net position, but are not cash transactions for the statement of cash flows.</t>
  </si>
  <si>
    <t>Capital Leases Payable(See Note below)</t>
  </si>
  <si>
    <r>
      <t>*</t>
    </r>
    <r>
      <rPr>
        <b/>
        <sz val="10"/>
        <color rgb="FFFF0000"/>
        <rFont val="Arial"/>
        <family val="2"/>
      </rPr>
      <t xml:space="preserve">ONLY for those investments that are normally reported at NAV; however, cannot be reported at NAV due to a pending sale. See tab "Instructions- Sections A and B." </t>
    </r>
    <r>
      <rPr>
        <sz val="10"/>
        <color rgb="FFFF0000"/>
        <rFont val="Arial"/>
        <family val="2"/>
      </rPr>
      <t xml:space="preserve">   </t>
    </r>
  </si>
  <si>
    <t>Highlight indicates a formula. No highlight=need data entry.</t>
  </si>
  <si>
    <t>Composite Financial Index</t>
  </si>
  <si>
    <t xml:space="preserve">Revised </t>
  </si>
  <si>
    <t>Adjust</t>
  </si>
  <si>
    <t>Primary Reserve Ratio - Indicates the sufficiency of resources and their flexibility</t>
  </si>
  <si>
    <t>Expendable Net Assets</t>
  </si>
  <si>
    <t>Primary Unrestricted Net Position</t>
  </si>
  <si>
    <t>OPEB Liability (current and LT)</t>
  </si>
  <si>
    <t>Pension Liability (current and LT)</t>
  </si>
  <si>
    <t>Primary Institution</t>
  </si>
  <si>
    <t>Unrestricted Net Position (less Pensions and OPEB)</t>
  </si>
  <si>
    <t>Expendable Restricted</t>
  </si>
  <si>
    <t>Unrestricted Net Position</t>
  </si>
  <si>
    <t>Total Expenses</t>
  </si>
  <si>
    <t>Operating</t>
  </si>
  <si>
    <t>Non-operating</t>
  </si>
  <si>
    <t>Primary Reserve Ratio</t>
  </si>
  <si>
    <t>Net Operating Revenues Ratio - indicates whether institution is living within available resources</t>
  </si>
  <si>
    <t>Net Operating Income plus Non-operating Revenues</t>
  </si>
  <si>
    <t>Net Operating Income</t>
  </si>
  <si>
    <t>Net Non-operating Revenues (Expenses)</t>
  </si>
  <si>
    <t>includes pension and OPEB</t>
  </si>
  <si>
    <t>Unrestricted Net Position-BOY</t>
  </si>
  <si>
    <t>Unrestricted Net Position-EOY</t>
  </si>
  <si>
    <t>Operating plus Non-operating Revenues</t>
  </si>
  <si>
    <t>Non-operating Revenues</t>
  </si>
  <si>
    <t>Net Operating Revenues Ratio</t>
  </si>
  <si>
    <t>Return on Net Position Ratio - indicates whether the institution is better off financially this year than last</t>
  </si>
  <si>
    <t>Change in Net Position</t>
  </si>
  <si>
    <t>Total Net Position-Beginning of Year</t>
  </si>
  <si>
    <t>Return on Net Assets</t>
  </si>
  <si>
    <t>Viability Ratio - Indicates the capacity to repay total debt through reserves</t>
  </si>
  <si>
    <t>Long Term Debt (related to plant)</t>
  </si>
  <si>
    <t>Total Long Term Debt</t>
  </si>
  <si>
    <t>Viability Ratio</t>
  </si>
  <si>
    <t>Summary of Ratios:</t>
  </si>
  <si>
    <t>Average</t>
  </si>
  <si>
    <t>Net Operating Revenue</t>
  </si>
  <si>
    <t>Return on Net Assets Ratio</t>
  </si>
  <si>
    <t>Conversion Factors</t>
  </si>
  <si>
    <t>Strength Factors</t>
  </si>
  <si>
    <t>Institutions with debt</t>
  </si>
  <si>
    <t>Institutions with little debt</t>
  </si>
  <si>
    <t>Weighting Factors</t>
  </si>
  <si>
    <t>Composite Financial Index (CFI)</t>
  </si>
  <si>
    <t>Financial Ratios</t>
  </si>
  <si>
    <t>Data</t>
  </si>
  <si>
    <t>Strength</t>
  </si>
  <si>
    <t>Weight</t>
  </si>
  <si>
    <t>CFI</t>
  </si>
  <si>
    <t>Primary Reserve Ratio Calculation:</t>
  </si>
  <si>
    <t xml:space="preserve">Institution unrestricted net assets </t>
  </si>
  <si>
    <t>+</t>
  </si>
  <si>
    <t>Institution expendable restricted net assets</t>
  </si>
  <si>
    <t>C.U. unrestricted net assets</t>
  </si>
  <si>
    <t>C.U. temporary restricted net assets</t>
  </si>
  <si>
    <t>C.U. net investment in plant</t>
  </si>
  <si>
    <t>Numerator Total</t>
  </si>
  <si>
    <t xml:space="preserve"> Institution operating expenses</t>
  </si>
  <si>
    <t xml:space="preserve"> Institution non-operating expenses</t>
  </si>
  <si>
    <t xml:space="preserve"> C.U. total expenses</t>
  </si>
  <si>
    <t>Denominator Total</t>
  </si>
  <si>
    <t xml:space="preserve">  Primary Reserve Ratio =</t>
  </si>
  <si>
    <t>÷</t>
  </si>
  <si>
    <t>Primary Reserve Ratio CFI Calculation:</t>
  </si>
  <si>
    <t>Net Operating Revenue Ratio Calculation:</t>
  </si>
  <si>
    <t>Institution operating income (loss)</t>
  </si>
  <si>
    <t>Institution net non-operating revenues</t>
  </si>
  <si>
    <t>C.U. change in unrestricted net assets</t>
  </si>
  <si>
    <t xml:space="preserve"> Institution operating revenues</t>
  </si>
  <si>
    <t xml:space="preserve"> Institution non-operating revenues</t>
  </si>
  <si>
    <t xml:space="preserve"> C.U. total unrestricted revenues</t>
  </si>
  <si>
    <t xml:space="preserve"> Net Operating Revenue Ratio =</t>
  </si>
  <si>
    <t>Net Operating Revenue Ratio CFI Calculation:</t>
  </si>
  <si>
    <t>Return on Net Assets Ratio Calculation:</t>
  </si>
  <si>
    <t xml:space="preserve">    Change in net assets + C.U. change in net assets</t>
  </si>
  <si>
    <t xml:space="preserve">    Total net assets +  C.U. total net assets (beginning of year)</t>
  </si>
  <si>
    <t xml:space="preserve"> Return on Net Assets Ratio =</t>
  </si>
  <si>
    <t>Return on Net Assets Ratio CFI Calculation:</t>
  </si>
  <si>
    <t>Viability Ratio Calculation:</t>
  </si>
  <si>
    <t xml:space="preserve">    Expendable net assets                                </t>
  </si>
  <si>
    <t xml:space="preserve">    Institution long-term debt (total project related debt) </t>
  </si>
  <si>
    <t xml:space="preserve">    C.U. long-term debt (total project related debt)</t>
  </si>
  <si>
    <t>Denominator Total =</t>
  </si>
  <si>
    <t>Viability Ratio =</t>
  </si>
  <si>
    <t>Viability Ratio CFI Calculation:</t>
  </si>
  <si>
    <t xml:space="preserve">COMPOSITE FINANCIAL INDICATOR SCORE (CFI) </t>
  </si>
  <si>
    <t>Notes:</t>
  </si>
  <si>
    <t>Data used to complete ratios should be based on the most recent audited financial statements.</t>
  </si>
  <si>
    <t>We strongly encourage that the Commission's source document, Strategic Financial Analysis for Higher Education , 7th ed.,  Prager, Sealy &amp; Co., LLC; KPMG LLP, be consulted while entering AIDU financial data.</t>
  </si>
  <si>
    <t>If the strength factor score for any ratio is greater than or equal to 10, the strength factor score for that ratio is 10.  If the strength factor score for any ratio is less than or equal to -4, the strength factor score is -4.  If an institution has no long term debt, the Viability Strength Factor = 10.</t>
  </si>
  <si>
    <t>The ratio calculations for public institutions should include the Component Unit (CU) data, if it is NOT already in your statements. Typically, this data is from foundations, which often use FASB.  For further clarification see Strategic Financial Analysis for Higher Education , 7th ed.</t>
  </si>
  <si>
    <t>as reported on the IPEDS</t>
  </si>
  <si>
    <t>Fiscal Year 2020-21</t>
  </si>
  <si>
    <t xml:space="preserve">TOTAL TUITION AND </t>
  </si>
  <si>
    <t>OUT-OF-STATE FEES</t>
  </si>
  <si>
    <t>If the component unit does not have any Line of Credit at the end of the reporting fiscal year, click here N/A:</t>
  </si>
  <si>
    <t>If the componet unit does not have any Installment Purchase Contracts and Capital Lease Liability at the end of the reporting fiscal year, click here N/A:</t>
  </si>
  <si>
    <t xml:space="preserve">Closing Balance 6/30 </t>
  </si>
  <si>
    <t>If the component unit does not have any Bonds Payable and Certificates of Participation at the end of the reporting fiscal year, click here NA</t>
  </si>
  <si>
    <r>
      <t>If the component unit does not have any Prior Period Adjustments at the end of the reporting fiscal year, click here</t>
    </r>
    <r>
      <rPr>
        <b/>
        <sz val="11"/>
        <rFont val="Arial"/>
        <family val="2"/>
      </rPr>
      <t xml:space="preserve"> N/A</t>
    </r>
    <r>
      <rPr>
        <sz val="11"/>
        <rFont val="Arial"/>
        <family val="2"/>
      </rPr>
      <t>:</t>
    </r>
  </si>
  <si>
    <r>
      <t xml:space="preserve">If the component unit does not have any Deficit Ending Equity or Deficit Equity Classification at the end of the reporting fiscal year, click here </t>
    </r>
    <r>
      <rPr>
        <b/>
        <sz val="12"/>
        <color theme="1"/>
        <rFont val="Arial"/>
        <family val="2"/>
      </rPr>
      <t>N/A</t>
    </r>
    <r>
      <rPr>
        <sz val="12"/>
        <rFont val="Arial"/>
        <family val="2"/>
      </rPr>
      <t>:</t>
    </r>
  </si>
  <si>
    <t>Average Daily Expenditures</t>
  </si>
  <si>
    <t>Fund 1 Cash and Investments</t>
  </si>
  <si>
    <t>Days of Operating Cash on hand</t>
  </si>
  <si>
    <t>485XX Installment Purchase Contact - Long Term</t>
  </si>
  <si>
    <t>487XX Capital Leases Liability - Long Term</t>
  </si>
  <si>
    <t>2026-2030</t>
  </si>
  <si>
    <t>2031-2035</t>
  </si>
  <si>
    <t>2036-2040</t>
  </si>
  <si>
    <t>2041-2045</t>
  </si>
  <si>
    <t>2046-2050</t>
  </si>
  <si>
    <t>2051-2055</t>
  </si>
  <si>
    <t>2056-2060</t>
  </si>
  <si>
    <t>2061-2065</t>
  </si>
  <si>
    <t>2066-2070</t>
  </si>
  <si>
    <t>2071-2075</t>
  </si>
  <si>
    <t>2076-2080</t>
  </si>
  <si>
    <t>Part 2: Assets Pledged as Collateral for debit</t>
  </si>
  <si>
    <t>Current Year  Ending</t>
  </si>
  <si>
    <r>
      <rPr>
        <b/>
        <sz val="12"/>
        <rFont val="Arial"/>
        <family val="2"/>
      </rPr>
      <t>Prior Year</t>
    </r>
    <r>
      <rPr>
        <sz val="12"/>
        <rFont val="Arial"/>
        <family val="2"/>
      </rPr>
      <t xml:space="preserve"> </t>
    </r>
  </si>
  <si>
    <r>
      <t xml:space="preserve">Total </t>
    </r>
    <r>
      <rPr>
        <b/>
        <sz val="8"/>
        <rFont val="Arial"/>
        <family val="2"/>
      </rPr>
      <t>(3)</t>
    </r>
  </si>
  <si>
    <r>
      <t xml:space="preserve">385XX &amp; 485XX </t>
    </r>
    <r>
      <rPr>
        <b/>
        <sz val="8"/>
        <rFont val="Arial"/>
        <family val="2"/>
      </rPr>
      <t>(3)</t>
    </r>
  </si>
  <si>
    <r>
      <t>385XX Installment Purchase Contract - Current</t>
    </r>
    <r>
      <rPr>
        <sz val="8"/>
        <rFont val="Arial"/>
        <family val="2"/>
      </rPr>
      <t xml:space="preserve"> (1)</t>
    </r>
  </si>
  <si>
    <r>
      <t xml:space="preserve">387XX Capital Leases Liability - Current </t>
    </r>
    <r>
      <rPr>
        <sz val="8"/>
        <rFont val="Arial"/>
        <family val="2"/>
      </rPr>
      <t>(1)</t>
    </r>
  </si>
  <si>
    <r>
      <rPr>
        <sz val="9"/>
        <rFont val="Arial"/>
        <family val="2"/>
      </rPr>
      <t>(3)</t>
    </r>
    <r>
      <rPr>
        <b/>
        <sz val="11"/>
        <rFont val="Arial"/>
        <family val="2"/>
      </rPr>
      <t xml:space="preserve"> </t>
    </r>
    <r>
      <rPr>
        <sz val="11"/>
        <rFont val="Arial"/>
        <family val="2"/>
      </rPr>
      <t xml:space="preserve">All Consolidated Equipment Financing Program (CEFP) and Energy Savings Contract deferred payments </t>
    </r>
    <r>
      <rPr>
        <b/>
        <sz val="11"/>
        <rFont val="Arial"/>
        <family val="2"/>
      </rPr>
      <t>MUST</t>
    </r>
    <r>
      <rPr>
        <sz val="11"/>
        <rFont val="Arial"/>
        <family val="2"/>
      </rPr>
      <t xml:space="preserve"> be included within this section of the form. </t>
    </r>
  </si>
  <si>
    <r>
      <rPr>
        <sz val="9"/>
        <rFont val="Arial"/>
        <family val="2"/>
      </rPr>
      <t>(4)</t>
    </r>
    <r>
      <rPr>
        <sz val="11"/>
        <rFont val="Arial"/>
        <family val="2"/>
      </rPr>
      <t xml:space="preserve"> List the GL Codes used for principal and interest recording for direct borrowings and direct placements agreements in the spaces provided.</t>
    </r>
  </si>
  <si>
    <r>
      <rPr>
        <sz val="8"/>
        <color theme="1"/>
        <rFont val="Arial"/>
        <family val="2"/>
      </rPr>
      <t>(1)</t>
    </r>
    <r>
      <rPr>
        <b/>
        <sz val="11"/>
        <color theme="1"/>
        <rFont val="Arial"/>
        <family val="2"/>
      </rPr>
      <t xml:space="preserve"> </t>
    </r>
    <r>
      <rPr>
        <sz val="11"/>
        <color theme="1"/>
        <rFont val="Arial"/>
        <family val="2"/>
      </rPr>
      <t xml:space="preserve">Amount shown in the first year </t>
    </r>
    <r>
      <rPr>
        <b/>
        <sz val="11"/>
        <color theme="1"/>
        <rFont val="Arial"/>
        <family val="2"/>
      </rPr>
      <t xml:space="preserve">MUST </t>
    </r>
    <r>
      <rPr>
        <sz val="11"/>
        <color theme="1"/>
        <rFont val="Arial"/>
        <family val="2"/>
      </rPr>
      <t>equal GLs 385XX and 387XX.</t>
    </r>
  </si>
  <si>
    <r>
      <rPr>
        <sz val="9"/>
        <rFont val="Arial"/>
        <family val="2"/>
      </rPr>
      <t>(2)</t>
    </r>
    <r>
      <rPr>
        <b/>
        <sz val="11"/>
        <rFont val="Arial"/>
        <family val="2"/>
      </rPr>
      <t xml:space="preserve"> </t>
    </r>
    <r>
      <rPr>
        <sz val="11"/>
        <rFont val="Arial"/>
        <family val="2"/>
      </rPr>
      <t xml:space="preserve">Total principal </t>
    </r>
    <r>
      <rPr>
        <b/>
        <sz val="11"/>
        <rFont val="Arial"/>
        <family val="2"/>
      </rPr>
      <t>MUST</t>
    </r>
    <r>
      <rPr>
        <sz val="11"/>
        <rFont val="Arial"/>
        <family val="2"/>
      </rPr>
      <t xml:space="preserve"> equal corresponding totals (A &amp; B) in upper portion of the form.</t>
    </r>
  </si>
  <si>
    <t>`</t>
  </si>
  <si>
    <t>Adjustment Form - Component Units</t>
  </si>
  <si>
    <t>CFO Document: L-</t>
  </si>
  <si>
    <t>Fund Number:</t>
  </si>
  <si>
    <t xml:space="preserve">     OLO      GF  SF      FID</t>
  </si>
  <si>
    <t>Form Update(s)</t>
  </si>
  <si>
    <t>Category(1)</t>
  </si>
  <si>
    <t>SP</t>
  </si>
  <si>
    <t>Needed</t>
  </si>
  <si>
    <t>Preparer:</t>
  </si>
  <si>
    <t>Date:</t>
  </si>
  <si>
    <t>Page</t>
  </si>
  <si>
    <t>of</t>
  </si>
  <si>
    <t xml:space="preserve">Explanation: </t>
  </si>
  <si>
    <t>**************************************************</t>
  </si>
  <si>
    <r>
      <rPr>
        <sz val="10"/>
        <rFont val="Arial"/>
        <family val="2"/>
      </rPr>
      <t xml:space="preserve">Save and submit form with the following </t>
    </r>
    <r>
      <rPr>
        <b/>
        <sz val="10"/>
        <rFont val="Arial"/>
        <family val="2"/>
      </rPr>
      <t>file name:</t>
    </r>
    <r>
      <rPr>
        <b/>
        <i/>
        <sz val="10"/>
        <rFont val="Arial"/>
        <family val="2"/>
      </rPr>
      <t xml:space="preserve"> “Fund Number”, Form #, and date</t>
    </r>
    <r>
      <rPr>
        <sz val="10"/>
        <rFont val="Arial"/>
        <family val="2"/>
      </rPr>
      <t xml:space="preserve">. 
  </t>
    </r>
    <r>
      <rPr>
        <b/>
        <sz val="10"/>
        <rFont val="Arial"/>
        <family val="2"/>
      </rPr>
      <t>Example</t>
    </r>
    <r>
      <rPr>
        <sz val="10"/>
        <rFont val="Arial"/>
        <family val="2"/>
      </rPr>
      <t xml:space="preserve">: An Adjustment Form for Fund 990000-90-1-999999, on 4/9/2021 would be 
       submitted as:     </t>
    </r>
    <r>
      <rPr>
        <b/>
        <sz val="10"/>
        <rFont val="Arial"/>
        <family val="2"/>
      </rPr>
      <t>99-90-1-999999 Adjustment 04-09-2021</t>
    </r>
    <r>
      <rPr>
        <sz val="10"/>
        <rFont val="Arial"/>
        <family val="2"/>
      </rPr>
      <t xml:space="preserve">
</t>
    </r>
    <r>
      <rPr>
        <b/>
        <sz val="10"/>
        <rFont val="Arial"/>
        <family val="2"/>
      </rPr>
      <t xml:space="preserve">Note: </t>
    </r>
    <r>
      <rPr>
        <b/>
        <i/>
        <sz val="10"/>
        <rFont val="Arial"/>
        <family val="2"/>
      </rPr>
      <t>Adjustments must be submitted in Excel format using the proper naming format</t>
    </r>
    <r>
      <rPr>
        <b/>
        <sz val="10"/>
        <rFont val="Arial"/>
        <family val="2"/>
      </rPr>
      <t xml:space="preserve">.
          </t>
    </r>
    <r>
      <rPr>
        <b/>
        <i/>
        <sz val="10"/>
        <rFont val="Arial"/>
        <family val="2"/>
      </rPr>
      <t xml:space="preserve"> A separate form must be submitted for each fund.</t>
    </r>
  </si>
  <si>
    <t>GLName</t>
  </si>
  <si>
    <t>Form Name</t>
  </si>
  <si>
    <t>Form Name2</t>
  </si>
  <si>
    <t>FUND</t>
  </si>
  <si>
    <t>11100</t>
  </si>
  <si>
    <t>Form 29</t>
  </si>
  <si>
    <t>100000</t>
  </si>
  <si>
    <t>Form CU1</t>
  </si>
  <si>
    <t>11110</t>
  </si>
  <si>
    <t>Form 17</t>
  </si>
  <si>
    <t>Form CU2</t>
  </si>
  <si>
    <t>11120</t>
  </si>
  <si>
    <t>11200</t>
  </si>
  <si>
    <t>11201</t>
  </si>
  <si>
    <t>Cash in Bank - Money Market - Atlantic</t>
  </si>
  <si>
    <t>11203</t>
  </si>
  <si>
    <t>Cash in Bank-Held Elsewhere</t>
  </si>
  <si>
    <t>11205</t>
  </si>
  <si>
    <t>Cash - Certificate of Deposit</t>
  </si>
  <si>
    <t>11207</t>
  </si>
  <si>
    <t>Cash in Wells Fargo Bank</t>
  </si>
  <si>
    <t>11208</t>
  </si>
  <si>
    <t>Cash in Northern Trust</t>
  </si>
  <si>
    <t>509001</t>
  </si>
  <si>
    <t>11210</t>
  </si>
  <si>
    <t>Cash in Nationsbank</t>
  </si>
  <si>
    <t>Form CU4</t>
  </si>
  <si>
    <t>11211</t>
  </si>
  <si>
    <t>Cash in Bank - Cert of Deposit</t>
  </si>
  <si>
    <t>Form 18</t>
  </si>
  <si>
    <t>800000</t>
  </si>
  <si>
    <t>11213</t>
  </si>
  <si>
    <t>Cash in Bank - Lending Collateral</t>
  </si>
  <si>
    <t>11214</t>
  </si>
  <si>
    <t>Lendg Coll - Time Deposits</t>
  </si>
  <si>
    <t>Form 18 &amp; 29</t>
  </si>
  <si>
    <t>11215</t>
  </si>
  <si>
    <t>Cash Equiv - Time Deposits</t>
  </si>
  <si>
    <t>11230</t>
  </si>
  <si>
    <t>Cash in Bank-BNY Mellon</t>
  </si>
  <si>
    <t>11236</t>
  </si>
  <si>
    <t>Cash in Bzw Barclays</t>
  </si>
  <si>
    <t>11240</t>
  </si>
  <si>
    <t>Foreign Currency in Bank</t>
  </si>
  <si>
    <t>11249</t>
  </si>
  <si>
    <t>Frgn Curr - Apprec/ (Deprec)</t>
  </si>
  <si>
    <t>11252</t>
  </si>
  <si>
    <t>Foreign Curr at Northen Trust</t>
  </si>
  <si>
    <t>11300</t>
  </si>
  <si>
    <t>Cash with State Board of Administration</t>
  </si>
  <si>
    <t>11400</t>
  </si>
  <si>
    <t>Cash with Fiscal Agents</t>
  </si>
  <si>
    <t>Unreleased Cash in State Treasury</t>
  </si>
  <si>
    <t>Released Cash in State Treasury</t>
  </si>
  <si>
    <t>Form 3-INTRA</t>
  </si>
  <si>
    <t>Form CU4 &amp; CUR2</t>
  </si>
  <si>
    <t>12210</t>
  </si>
  <si>
    <t>Releases - Cash in State Treasury</t>
  </si>
  <si>
    <t>Component Unit Cash in Treasury</t>
  </si>
  <si>
    <t>Form 3-INTER</t>
  </si>
  <si>
    <t>Cash in State Treasury Unverified</t>
  </si>
  <si>
    <t>Unexpended General Revenue Releases</t>
  </si>
  <si>
    <t>13400</t>
  </si>
  <si>
    <t>Unexpended Infrastructure Fund Releases</t>
  </si>
  <si>
    <t>Pooled Investments with State Treasury</t>
  </si>
  <si>
    <t>14101</t>
  </si>
  <si>
    <t>Pooled Investments with St Treasury</t>
  </si>
  <si>
    <t xml:space="preserve">Form 3-INTRA &amp; Form 29 </t>
  </si>
  <si>
    <t>14110</t>
  </si>
  <si>
    <t>ERROR</t>
  </si>
  <si>
    <t>Form CU6</t>
  </si>
  <si>
    <t>14200</t>
  </si>
  <si>
    <t>Investments with State Board of Administration</t>
  </si>
  <si>
    <t>14205</t>
  </si>
  <si>
    <t>Investments at SBA - Rebate Fund</t>
  </si>
  <si>
    <t>14208</t>
  </si>
  <si>
    <t>Form CU6 &amp; CU7</t>
  </si>
  <si>
    <t>14210</t>
  </si>
  <si>
    <t>U.S. Gov't &amp; Federally Guaranteed Obligation</t>
  </si>
  <si>
    <t>14215</t>
  </si>
  <si>
    <t>14220</t>
  </si>
  <si>
    <t>Bankers Acceptances</t>
  </si>
  <si>
    <t>Form CU6 &amp; CU8</t>
  </si>
  <si>
    <t>14225</t>
  </si>
  <si>
    <t>14230</t>
  </si>
  <si>
    <t>14235</t>
  </si>
  <si>
    <t>Fixed Income Investments</t>
  </si>
  <si>
    <t>14236</t>
  </si>
  <si>
    <t>Form 45</t>
  </si>
  <si>
    <t>14240</t>
  </si>
  <si>
    <t>Options</t>
  </si>
  <si>
    <t>14245</t>
  </si>
  <si>
    <t>Real Estate Contracts</t>
  </si>
  <si>
    <t>14250</t>
  </si>
  <si>
    <t>Money Market and Mutual Funds</t>
  </si>
  <si>
    <t>14255</t>
  </si>
  <si>
    <t>Short Term Investment Funds</t>
  </si>
  <si>
    <t>14260</t>
  </si>
  <si>
    <t>Domestic Equity/ Domestic Equity Commingled</t>
  </si>
  <si>
    <t>14265</t>
  </si>
  <si>
    <t>Alternative Investments</t>
  </si>
  <si>
    <t>14266</t>
  </si>
  <si>
    <t>Alt. Investments - Domestic</t>
  </si>
  <si>
    <t>202000</t>
  </si>
  <si>
    <t>14267</t>
  </si>
  <si>
    <t>Alt. Investments - International</t>
  </si>
  <si>
    <t>14270</t>
  </si>
  <si>
    <t>Equity Group Trust</t>
  </si>
  <si>
    <t>14275</t>
  </si>
  <si>
    <t>International Equity/ Intl Equity Commingled</t>
  </si>
  <si>
    <t>14276</t>
  </si>
  <si>
    <t>International equity commingled</t>
  </si>
  <si>
    <t>Form 3-INTER &amp; 29</t>
  </si>
  <si>
    <t>14280</t>
  </si>
  <si>
    <t>Security Lending Collateral</t>
  </si>
  <si>
    <t>14285</t>
  </si>
  <si>
    <t>14299</t>
  </si>
  <si>
    <t>Special Investments with State Treasury</t>
  </si>
  <si>
    <t>14301</t>
  </si>
  <si>
    <t>St. Treasurer SPIA Investment - ST</t>
  </si>
  <si>
    <t xml:space="preserve">Form 24 </t>
  </si>
  <si>
    <t>Form 19</t>
  </si>
  <si>
    <t>14400</t>
  </si>
  <si>
    <t>Non-state and CU Investments with State Treasury</t>
  </si>
  <si>
    <t>Form 19 &amp; 29</t>
  </si>
  <si>
    <t>14401</t>
  </si>
  <si>
    <t>Equity Investments with Collateral Securities</t>
  </si>
  <si>
    <t>Debt Investments with Collateral Securities</t>
  </si>
  <si>
    <t>14700</t>
  </si>
  <si>
    <t>14705</t>
  </si>
  <si>
    <t>Canadian Bills ($ Dom)</t>
  </si>
  <si>
    <t>14706</t>
  </si>
  <si>
    <t>Certificates of Dep., Neg.</t>
  </si>
  <si>
    <t>14707</t>
  </si>
  <si>
    <t>Fed. Agencies (Short-Term)</t>
  </si>
  <si>
    <t>14709</t>
  </si>
  <si>
    <t>Form CU5</t>
  </si>
  <si>
    <t>14710</t>
  </si>
  <si>
    <t>14711</t>
  </si>
  <si>
    <t>Floating Rate Notes</t>
  </si>
  <si>
    <t>14712</t>
  </si>
  <si>
    <t>U.S. Treasury Bills</t>
  </si>
  <si>
    <t>14713</t>
  </si>
  <si>
    <t>Variable Rate Notes</t>
  </si>
  <si>
    <t>14714</t>
  </si>
  <si>
    <t>Short Term Invest Amortization</t>
  </si>
  <si>
    <t>14718</t>
  </si>
  <si>
    <t>St Inv - Reserve Offset</t>
  </si>
  <si>
    <t>14719</t>
  </si>
  <si>
    <t>St Investments - Reserve</t>
  </si>
  <si>
    <t>14720</t>
  </si>
  <si>
    <t>Short Term Investments</t>
  </si>
  <si>
    <t>14722</t>
  </si>
  <si>
    <t>Florida PRIME Investment-ST</t>
  </si>
  <si>
    <t>14724</t>
  </si>
  <si>
    <t>Fixed Income Invest Amortization</t>
  </si>
  <si>
    <t>14728</t>
  </si>
  <si>
    <t>Florida Prime Investments - ST</t>
  </si>
  <si>
    <t>14729</t>
  </si>
  <si>
    <t>Stip Participant Liability</t>
  </si>
  <si>
    <t>14730</t>
  </si>
  <si>
    <t>Equity Investments</t>
  </si>
  <si>
    <t>14731</t>
  </si>
  <si>
    <t>Form 20</t>
  </si>
  <si>
    <t>14735</t>
  </si>
  <si>
    <t>14740</t>
  </si>
  <si>
    <t>Option Investments</t>
  </si>
  <si>
    <t>14742</t>
  </si>
  <si>
    <t>Us Govt &amp; Federally Guaranteed</t>
  </si>
  <si>
    <t>14745</t>
  </si>
  <si>
    <t>14750</t>
  </si>
  <si>
    <t>Lending Collateral Investments</t>
  </si>
  <si>
    <t>14760</t>
  </si>
  <si>
    <t>14761</t>
  </si>
  <si>
    <t>Lending Collateral - Commercial Paper</t>
  </si>
  <si>
    <t xml:space="preserve">Form 3-INTRA &amp; 29 </t>
  </si>
  <si>
    <t>14762</t>
  </si>
  <si>
    <t>Lending Collateral - Notes &amp; Bonds</t>
  </si>
  <si>
    <t>14763</t>
  </si>
  <si>
    <t>Lending Collateral - Cert. of Deposit</t>
  </si>
  <si>
    <t xml:space="preserve">Form 3-INTER &amp; 29 </t>
  </si>
  <si>
    <t>14766</t>
  </si>
  <si>
    <t>Lending Collateral - Repos</t>
  </si>
  <si>
    <t>14767</t>
  </si>
  <si>
    <t>Lendg Collateral - Mutual Funds</t>
  </si>
  <si>
    <t>14768</t>
  </si>
  <si>
    <t>Lendg Collateral - Gics</t>
  </si>
  <si>
    <t>Form 4</t>
  </si>
  <si>
    <t>14782</t>
  </si>
  <si>
    <t>Short Term - Apprec/ Deprec</t>
  </si>
  <si>
    <t>14783</t>
  </si>
  <si>
    <t>Fixed Income - Apprec/ Deprec</t>
  </si>
  <si>
    <t>14784</t>
  </si>
  <si>
    <t>Equities - Apprec/ Deprec</t>
  </si>
  <si>
    <t>Form 20 &amp; 45</t>
  </si>
  <si>
    <t>14785</t>
  </si>
  <si>
    <t>Real Estate - Apprec/ Deprec</t>
  </si>
  <si>
    <t>14786</t>
  </si>
  <si>
    <t>Fi Options - Apprec/ Deprec</t>
  </si>
  <si>
    <t>14799</t>
  </si>
  <si>
    <t>Deferred compensation annuities</t>
  </si>
  <si>
    <t>14800</t>
  </si>
  <si>
    <t>SWFS Only - Fair Value Adjustment for Treasury Inv</t>
  </si>
  <si>
    <t>Form 20 &amp; 21</t>
  </si>
  <si>
    <t>Form 21 &amp; 29</t>
  </si>
  <si>
    <t>14900</t>
  </si>
  <si>
    <t>SWFS Only - Security lending for Treasury Investme</t>
  </si>
  <si>
    <t>Form 20 &amp; 49</t>
  </si>
  <si>
    <t>Form 29 &amp; 49</t>
  </si>
  <si>
    <t>Form 21</t>
  </si>
  <si>
    <t>15101</t>
  </si>
  <si>
    <t>Due from Employees</t>
  </si>
  <si>
    <t>15102</t>
  </si>
  <si>
    <t>Payroll Adjustment M-30</t>
  </si>
  <si>
    <t>15104</t>
  </si>
  <si>
    <t>Fica Adjustments</t>
  </si>
  <si>
    <t>15105</t>
  </si>
  <si>
    <t>Futures Initial Margin Receivable</t>
  </si>
  <si>
    <t>15106</t>
  </si>
  <si>
    <t>Retirement Adjustment</t>
  </si>
  <si>
    <t>15108</t>
  </si>
  <si>
    <t>Undistributed Expenses</t>
  </si>
  <si>
    <t>15109</t>
  </si>
  <si>
    <t>Discount On Forward Contract</t>
  </si>
  <si>
    <t>15110</t>
  </si>
  <si>
    <t>Receivable-Pending Sales</t>
  </si>
  <si>
    <t>15112</t>
  </si>
  <si>
    <t>Excess Benefit - Regular</t>
  </si>
  <si>
    <t>15114</t>
  </si>
  <si>
    <t>Deliquency Fees</t>
  </si>
  <si>
    <t>15115</t>
  </si>
  <si>
    <t>Pending Investment Sales</t>
  </si>
  <si>
    <t>15116</t>
  </si>
  <si>
    <t>Installment Contracts L/T</t>
  </si>
  <si>
    <t>15118</t>
  </si>
  <si>
    <t>Due From Inmantes - Banking Fees</t>
  </si>
  <si>
    <t>15120</t>
  </si>
  <si>
    <t>Forward Contract Receivable/Discount</t>
  </si>
  <si>
    <t>15122</t>
  </si>
  <si>
    <t>Forward Contract Rec - Apprec/Deprec</t>
  </si>
  <si>
    <t>15123</t>
  </si>
  <si>
    <t>Pending Spot FX Trades Receivable</t>
  </si>
  <si>
    <t>15124</t>
  </si>
  <si>
    <t>Pending Spot FX Rec-Apprec/Deprec</t>
  </si>
  <si>
    <t>15125</t>
  </si>
  <si>
    <t>15130</t>
  </si>
  <si>
    <t>Futures Trade Equity</t>
  </si>
  <si>
    <t>15140</t>
  </si>
  <si>
    <t>Accts Rec - Miscellaneous Revenue</t>
  </si>
  <si>
    <t>15150</t>
  </si>
  <si>
    <t>AR-Refunds in Progress</t>
  </si>
  <si>
    <t>15164</t>
  </si>
  <si>
    <t>AR- Electronic Monitoring</t>
  </si>
  <si>
    <t>15167</t>
  </si>
  <si>
    <t>Accounts receivable – Due from PRC subsist fees</t>
  </si>
  <si>
    <t>15190</t>
  </si>
  <si>
    <t>A/R Other</t>
  </si>
  <si>
    <t>15196</t>
  </si>
  <si>
    <t>Travel Advances</t>
  </si>
  <si>
    <t>15197</t>
  </si>
  <si>
    <t>A/R Legal</t>
  </si>
  <si>
    <t>15198</t>
  </si>
  <si>
    <t>Futures Trade Equity Rec.</t>
  </si>
  <si>
    <t>15199</t>
  </si>
  <si>
    <t>Rec From Broker-Forward K</t>
  </si>
  <si>
    <t>Form 51</t>
  </si>
  <si>
    <t>15200</t>
  </si>
  <si>
    <t>Taxes Receivable</t>
  </si>
  <si>
    <t>15205</t>
  </si>
  <si>
    <t>State Contributions Receivable</t>
  </si>
  <si>
    <t>15215</t>
  </si>
  <si>
    <t>Installment Contributions Receivable</t>
  </si>
  <si>
    <t>Interest and Dividends Receivable</t>
  </si>
  <si>
    <t>15301</t>
  </si>
  <si>
    <t>Interest Receivable</t>
  </si>
  <si>
    <t>15302</t>
  </si>
  <si>
    <t>Dividends Receivable</t>
  </si>
  <si>
    <t>15303</t>
  </si>
  <si>
    <t>Security Lending Inc Rec</t>
  </si>
  <si>
    <t>15305</t>
  </si>
  <si>
    <t>Accrued Int On Pndg Sales</t>
  </si>
  <si>
    <t>15306</t>
  </si>
  <si>
    <t>15308</t>
  </si>
  <si>
    <t>Interest Rec - Claims</t>
  </si>
  <si>
    <t>15321</t>
  </si>
  <si>
    <t>Dividends Receivable - Apprec/Deprec</t>
  </si>
  <si>
    <t>15360</t>
  </si>
  <si>
    <t>15410</t>
  </si>
  <si>
    <t>Loans &amp; Advances Receivables</t>
  </si>
  <si>
    <t>15420</t>
  </si>
  <si>
    <t>15440</t>
  </si>
  <si>
    <t>A/R - Fisl Escrow</t>
  </si>
  <si>
    <t>15450</t>
  </si>
  <si>
    <t>Settlements And Judgments Receivable</t>
  </si>
  <si>
    <t>15490</t>
  </si>
  <si>
    <t>Loans-Scholarships Susp, Rcpt Tran</t>
  </si>
  <si>
    <t>15500</t>
  </si>
  <si>
    <t>Contracts and Grants Receivable</t>
  </si>
  <si>
    <t>15600</t>
  </si>
  <si>
    <t>Pension Contributions Receivable</t>
  </si>
  <si>
    <t>15610</t>
  </si>
  <si>
    <t>15620</t>
  </si>
  <si>
    <t>Non-State Contributions Receivable</t>
  </si>
  <si>
    <t>15700</t>
  </si>
  <si>
    <t>Fees Receivable</t>
  </si>
  <si>
    <t>Form 28</t>
  </si>
  <si>
    <t>15901</t>
  </si>
  <si>
    <t>Allowance For Uncollectibles</t>
  </si>
  <si>
    <t>Form 24</t>
  </si>
  <si>
    <t>Due from State Funds, within Division</t>
  </si>
  <si>
    <t>Form 23</t>
  </si>
  <si>
    <t>Due from State Funds, within Department</t>
  </si>
  <si>
    <t>16201</t>
  </si>
  <si>
    <t>Due From Gas Tax</t>
  </si>
  <si>
    <t>Form 1</t>
  </si>
  <si>
    <t>16202</t>
  </si>
  <si>
    <t>Due From St Fnds W/In Dept Investments</t>
  </si>
  <si>
    <t>16203</t>
  </si>
  <si>
    <t>Due From Frs Pension</t>
  </si>
  <si>
    <t>16206</t>
  </si>
  <si>
    <t>Due From Ifas</t>
  </si>
  <si>
    <t>16208</t>
  </si>
  <si>
    <t>Due Fm Grants &amp; Donations Tf/339106</t>
  </si>
  <si>
    <t>16209</t>
  </si>
  <si>
    <t>Due From Admin Exp Fund</t>
  </si>
  <si>
    <t>16211</t>
  </si>
  <si>
    <t>Due from FL Prepaid Fund</t>
  </si>
  <si>
    <t>16220</t>
  </si>
  <si>
    <t>Due From Debt Svc Nonelim.</t>
  </si>
  <si>
    <t>16223</t>
  </si>
  <si>
    <t>Due Fm Cse Application &amp; User Fee Tf</t>
  </si>
  <si>
    <t>16229</t>
  </si>
  <si>
    <t>Due Fm St Alt Fuel User/618001</t>
  </si>
  <si>
    <t>Form 25</t>
  </si>
  <si>
    <t>16231</t>
  </si>
  <si>
    <t>Due From Audit Assessments/74-2-021045</t>
  </si>
  <si>
    <t>16232</t>
  </si>
  <si>
    <t>Due From FL Prepaid FDN Fund</t>
  </si>
  <si>
    <t>16235</t>
  </si>
  <si>
    <t>Due From Warrant Payments/74-2-021045</t>
  </si>
  <si>
    <t>16236</t>
  </si>
  <si>
    <t>Due Fm Gr Receipts/74-1-000405</t>
  </si>
  <si>
    <t>16244</t>
  </si>
  <si>
    <t>Due From Tobacco Clearing Trust Fund</t>
  </si>
  <si>
    <t>16250</t>
  </si>
  <si>
    <t>16261</t>
  </si>
  <si>
    <t>16262</t>
  </si>
  <si>
    <t>16263</t>
  </si>
  <si>
    <t>16265</t>
  </si>
  <si>
    <t>16300</t>
  </si>
  <si>
    <t>Due from Other Departments</t>
  </si>
  <si>
    <t>16305</t>
  </si>
  <si>
    <t>Due From Frs Pension Fd</t>
  </si>
  <si>
    <t>16306</t>
  </si>
  <si>
    <t>Due From Dpt Of Insurance</t>
  </si>
  <si>
    <t>16311</t>
  </si>
  <si>
    <t>Due From Blinds Services Tf</t>
  </si>
  <si>
    <t>16315</t>
  </si>
  <si>
    <t>Due From Dept of Mgt Services</t>
  </si>
  <si>
    <t>16319</t>
  </si>
  <si>
    <t>Due from AWI</t>
  </si>
  <si>
    <t>16320</t>
  </si>
  <si>
    <t>Due From Lottery</t>
  </si>
  <si>
    <t>16361</t>
  </si>
  <si>
    <t>Due From Dept. Of Revenue</t>
  </si>
  <si>
    <t>16365</t>
  </si>
  <si>
    <t>Due From Dept Of Hwy Safety</t>
  </si>
  <si>
    <t>16371</t>
  </si>
  <si>
    <t>Due From Dept. Of Mgt. Svc.</t>
  </si>
  <si>
    <t>16373</t>
  </si>
  <si>
    <t>Due from Dept of Education</t>
  </si>
  <si>
    <t>16400</t>
  </si>
  <si>
    <t>Due from Federal Government</t>
  </si>
  <si>
    <t>Due from Other Governmental Units</t>
  </si>
  <si>
    <t>16574</t>
  </si>
  <si>
    <t>Due From Local Governments</t>
  </si>
  <si>
    <t>Due from Component Units/Primary</t>
  </si>
  <si>
    <t>16701</t>
  </si>
  <si>
    <t>Due From Primary Govt.-Sba</t>
  </si>
  <si>
    <t>16800</t>
  </si>
  <si>
    <t>Due from State Funds - Revolving Fund (NOT VALID FOR FINANCIAL STATEMENTS)</t>
  </si>
  <si>
    <t>16900</t>
  </si>
  <si>
    <t>Due From Clearing Fund</t>
  </si>
  <si>
    <t>Goods Purchased for Resale</t>
  </si>
  <si>
    <t>Raw Materials</t>
  </si>
  <si>
    <t>Work in Process</t>
  </si>
  <si>
    <t>17500</t>
  </si>
  <si>
    <t>Finished Goods</t>
  </si>
  <si>
    <t>17600</t>
  </si>
  <si>
    <t>Overhead</t>
  </si>
  <si>
    <t>17700</t>
  </si>
  <si>
    <t>Overhead Applied</t>
  </si>
  <si>
    <t>17800</t>
  </si>
  <si>
    <t>Food Stamp Inventory</t>
  </si>
  <si>
    <t>Prepaid Items</t>
  </si>
  <si>
    <t>Prepaid Charges - Current</t>
  </si>
  <si>
    <t>Restricted Cash on Hand</t>
  </si>
  <si>
    <t>Restricted Cash with State Board of Administration</t>
  </si>
  <si>
    <t>Restricted Investment with State Treasury</t>
  </si>
  <si>
    <t>Restricted Investment with State Board of Administration</t>
  </si>
  <si>
    <t>22700</t>
  </si>
  <si>
    <t>Deferred Outflows - Dec in FV-Hedging Derivatives</t>
  </si>
  <si>
    <t>23200</t>
  </si>
  <si>
    <t>Deferred Outflows - Grants Paid in Advance</t>
  </si>
  <si>
    <t>Deferred Outflows - Amount Deferred on Refunding-Bonds Payable</t>
  </si>
  <si>
    <t>23400</t>
  </si>
  <si>
    <t>Deferred Outflows - Amount Deferred on Refunding-COP</t>
  </si>
  <si>
    <t>Deferred Outflows - Pension-related Items - FRS</t>
  </si>
  <si>
    <t>Deferred Outflows - Pension-related Items - HIS</t>
  </si>
  <si>
    <t>23700</t>
  </si>
  <si>
    <t>Deferred Outflows - Pension-related Items - NG</t>
  </si>
  <si>
    <t>Deferred Outflows - Other Postemployment Benefits</t>
  </si>
  <si>
    <t>Deferred Outflows - Asset Retirement Obligations</t>
  </si>
  <si>
    <t>24100</t>
  </si>
  <si>
    <t>Long Term Investments - State Treasury</t>
  </si>
  <si>
    <t>24101</t>
  </si>
  <si>
    <t>Long Term Investments With State Treasury</t>
  </si>
  <si>
    <t>24200</t>
  </si>
  <si>
    <t>Adjustment to Fair Market Value for Restricted Inv</t>
  </si>
  <si>
    <t>24400</t>
  </si>
  <si>
    <t>24500</t>
  </si>
  <si>
    <t>Equity Investment with Collateral Securities</t>
  </si>
  <si>
    <t>24600</t>
  </si>
  <si>
    <t>Debt Investment with Collateral Securities</t>
  </si>
  <si>
    <t>24700</t>
  </si>
  <si>
    <t>24701</t>
  </si>
  <si>
    <t>Certificates Of Deposit</t>
  </si>
  <si>
    <t>24702</t>
  </si>
  <si>
    <t>Us Govt And Fed Guarant - St</t>
  </si>
  <si>
    <t>24703</t>
  </si>
  <si>
    <t>Federal Agencies - St</t>
  </si>
  <si>
    <t>24704</t>
  </si>
  <si>
    <t>24705</t>
  </si>
  <si>
    <t>24706</t>
  </si>
  <si>
    <t>Bonds And Notes - St</t>
  </si>
  <si>
    <t>24707</t>
  </si>
  <si>
    <t>International Bonds And Notes</t>
  </si>
  <si>
    <t>24708</t>
  </si>
  <si>
    <t>Rehab- Marshaled Inventory-RE</t>
  </si>
  <si>
    <t>24709</t>
  </si>
  <si>
    <t>Domestic Equities</t>
  </si>
  <si>
    <t>24711</t>
  </si>
  <si>
    <t>Real Asset Commingled Funds</t>
  </si>
  <si>
    <t>24712</t>
  </si>
  <si>
    <t>International Equities</t>
  </si>
  <si>
    <t>24713</t>
  </si>
  <si>
    <t>Money Market Funds - St</t>
  </si>
  <si>
    <t>24715</t>
  </si>
  <si>
    <t>Security Lending Collateral Investments</t>
  </si>
  <si>
    <t>24716</t>
  </si>
  <si>
    <t>Mutual Fund - Fixed Income</t>
  </si>
  <si>
    <t>24717</t>
  </si>
  <si>
    <t>Mutual Fund - Equity</t>
  </si>
  <si>
    <t>24718</t>
  </si>
  <si>
    <t>Mutual Funds - International Equities</t>
  </si>
  <si>
    <t>24719</t>
  </si>
  <si>
    <t>Certificates Of Deposits - Lt</t>
  </si>
  <si>
    <t>24720</t>
  </si>
  <si>
    <t>Liquidity Notes - St</t>
  </si>
  <si>
    <t>24722</t>
  </si>
  <si>
    <t>US Government Fixed Income</t>
  </si>
  <si>
    <t>24723</t>
  </si>
  <si>
    <t>Us Agencies - Fixed Income</t>
  </si>
  <si>
    <t>24726</t>
  </si>
  <si>
    <t>Bonds &amp; Notes - Fixed Income</t>
  </si>
  <si>
    <t>24727</t>
  </si>
  <si>
    <t>24728</t>
  </si>
  <si>
    <t>Florida Prime Investments - LT</t>
  </si>
  <si>
    <t>24737</t>
  </si>
  <si>
    <t>Self Directed Brokerage Investments</t>
  </si>
  <si>
    <t>24770</t>
  </si>
  <si>
    <t>Option Contracts</t>
  </si>
  <si>
    <t>24771</t>
  </si>
  <si>
    <t>Swap Contracts</t>
  </si>
  <si>
    <t>24772</t>
  </si>
  <si>
    <t>Forward Contracts</t>
  </si>
  <si>
    <t>24775</t>
  </si>
  <si>
    <t>Futures Contracts</t>
  </si>
  <si>
    <t>24800</t>
  </si>
  <si>
    <t>Unamortized Premiums on Investments</t>
  </si>
  <si>
    <t>24900</t>
  </si>
  <si>
    <t>Unamortized Discounts on Investments</t>
  </si>
  <si>
    <t>Advances to Other Funds</t>
  </si>
  <si>
    <t>25200</t>
  </si>
  <si>
    <t>Prepaid Charges - Long-term</t>
  </si>
  <si>
    <t>25300</t>
  </si>
  <si>
    <t>Loans/Notes Receivable from Other Governments</t>
  </si>
  <si>
    <t>25400</t>
  </si>
  <si>
    <t>Other Loans and Notes Receivable</t>
  </si>
  <si>
    <t>25401</t>
  </si>
  <si>
    <t>Tuition &amp; Housing Receiv.</t>
  </si>
  <si>
    <t>25500</t>
  </si>
  <si>
    <t>Advances to Other Governments/Entities</t>
  </si>
  <si>
    <t>25600</t>
  </si>
  <si>
    <t>Long Term Interest Receivable</t>
  </si>
  <si>
    <t>25700</t>
  </si>
  <si>
    <t>Advances to Other Funds within Department</t>
  </si>
  <si>
    <t>25800</t>
  </si>
  <si>
    <t>Advances to Component Units</t>
  </si>
  <si>
    <t>25900</t>
  </si>
  <si>
    <t>26300</t>
  </si>
  <si>
    <t>Infrastructure - Nondepreciable</t>
  </si>
  <si>
    <t>26400</t>
  </si>
  <si>
    <t>Works of Art &amp; Historical Treasures - Depreciable</t>
  </si>
  <si>
    <t>26500</t>
  </si>
  <si>
    <t>Accumulated Depreciation Works of Art &amp; Historical</t>
  </si>
  <si>
    <t>26600</t>
  </si>
  <si>
    <t>26700</t>
  </si>
  <si>
    <t>26800</t>
  </si>
  <si>
    <t>200800</t>
  </si>
  <si>
    <t>Land and Land Improvements</t>
  </si>
  <si>
    <t>Accumulated Depreciation - Buildings &amp; Building Improvements</t>
  </si>
  <si>
    <t>201600</t>
  </si>
  <si>
    <t>27500</t>
  </si>
  <si>
    <t>Acc. Depreciation - Infrastructure and Other Improvements</t>
  </si>
  <si>
    <t>27600</t>
  </si>
  <si>
    <t>27601</t>
  </si>
  <si>
    <t>27610</t>
  </si>
  <si>
    <t>Furniture &amp; Equip-Soft $</t>
  </si>
  <si>
    <t>27640</t>
  </si>
  <si>
    <t>Motor Vehicles</t>
  </si>
  <si>
    <t>27700</t>
  </si>
  <si>
    <t>Accumulated Depreciation - Furniture &amp; Equipment</t>
  </si>
  <si>
    <t>27701</t>
  </si>
  <si>
    <t>Accum Deprec-Furniture &amp; Equip</t>
  </si>
  <si>
    <t>27710</t>
  </si>
  <si>
    <t>Accum Depr-Computer Equipment</t>
  </si>
  <si>
    <t>27740</t>
  </si>
  <si>
    <t>Accum Depr-Mtr Vehicles-Passenger</t>
  </si>
  <si>
    <t>27800</t>
  </si>
  <si>
    <t>Accumulated Depreciation - Library Resources</t>
  </si>
  <si>
    <t>Accum  Depreciation - Property Under Capital Lease</t>
  </si>
  <si>
    <t>Other Capital Assets</t>
  </si>
  <si>
    <t>900000</t>
  </si>
  <si>
    <t>28807</t>
  </si>
  <si>
    <t>503601</t>
  </si>
  <si>
    <t>28900</t>
  </si>
  <si>
    <t>Accumulated Depreciation - Other Fixed Assets</t>
  </si>
  <si>
    <t>28901</t>
  </si>
  <si>
    <t>Other Fixed Assets-Accum Depr</t>
  </si>
  <si>
    <t>Other non-current asset</t>
  </si>
  <si>
    <t>202600</t>
  </si>
  <si>
    <t>31101</t>
  </si>
  <si>
    <t>Broker Rebate Fees Payable</t>
  </si>
  <si>
    <t>31102</t>
  </si>
  <si>
    <t>Due To Dept Of Revenue - Sales Tax</t>
  </si>
  <si>
    <t>31103</t>
  </si>
  <si>
    <t>Travel Expense Payable</t>
  </si>
  <si>
    <t>31104</t>
  </si>
  <si>
    <t>Endow/Annual Appeal</t>
  </si>
  <si>
    <t>31105</t>
  </si>
  <si>
    <t>Endow/Accounts Payable - Audit</t>
  </si>
  <si>
    <t>31106</t>
  </si>
  <si>
    <t>Foreign Taxes Payable - Apprec/Deprec</t>
  </si>
  <si>
    <t>31108</t>
  </si>
  <si>
    <t>Distributions Payable</t>
  </si>
  <si>
    <t>31109</t>
  </si>
  <si>
    <t>Premium On Forward Contract</t>
  </si>
  <si>
    <t>Payable-Pending Purchases</t>
  </si>
  <si>
    <t>31113</t>
  </si>
  <si>
    <t>Endow/Accounts Payable - Ludwig</t>
  </si>
  <si>
    <t>31115</t>
  </si>
  <si>
    <t>Pending Investment Purchases</t>
  </si>
  <si>
    <t>Forward Contract Payable/Premium</t>
  </si>
  <si>
    <t>31121</t>
  </si>
  <si>
    <t>Salaries Payable</t>
  </si>
  <si>
    <t>31124</t>
  </si>
  <si>
    <t>Procurement Card Payable</t>
  </si>
  <si>
    <t>31125</t>
  </si>
  <si>
    <t>31126</t>
  </si>
  <si>
    <t>Pending Spot FX Trades Payable</t>
  </si>
  <si>
    <t>31127</t>
  </si>
  <si>
    <t>Pending Spot FX Pay-Apprec/Deprec</t>
  </si>
  <si>
    <t>Broker Rebate Fees</t>
  </si>
  <si>
    <t>31131</t>
  </si>
  <si>
    <t>Short Sell Olig-Fixed Income</t>
  </si>
  <si>
    <t>31132</t>
  </si>
  <si>
    <t>Short Sells-Fixed Income Apprec</t>
  </si>
  <si>
    <t>31133</t>
  </si>
  <si>
    <t>Short Sell Oblig-Equity</t>
  </si>
  <si>
    <t>31134</t>
  </si>
  <si>
    <t>Short Sells-Equity Apprec</t>
  </si>
  <si>
    <t>Retirement Benefits Payable</t>
  </si>
  <si>
    <t>Refund Of Contributions Payable</t>
  </si>
  <si>
    <t>31151</t>
  </si>
  <si>
    <t>AP- Accounts Payable- Allocated</t>
  </si>
  <si>
    <t>31153</t>
  </si>
  <si>
    <t>AP- Dormant Accounts Collected</t>
  </si>
  <si>
    <t>31154</t>
  </si>
  <si>
    <t>AP- Cops Surcharge</t>
  </si>
  <si>
    <t>253721</t>
  </si>
  <si>
    <t>31155</t>
  </si>
  <si>
    <t>AP- Cops Interest</t>
  </si>
  <si>
    <t>253722</t>
  </si>
  <si>
    <t>253723</t>
  </si>
  <si>
    <t>31171</t>
  </si>
  <si>
    <t>253724</t>
  </si>
  <si>
    <t>31172</t>
  </si>
  <si>
    <t>253710</t>
  </si>
  <si>
    <t>31175</t>
  </si>
  <si>
    <t>609001</t>
  </si>
  <si>
    <t>31190</t>
  </si>
  <si>
    <t>Accrued Drop Liability Current</t>
  </si>
  <si>
    <t>31195</t>
  </si>
  <si>
    <t>Accrued Drop Liability Non Current</t>
  </si>
  <si>
    <t>31198</t>
  </si>
  <si>
    <t>Futures Variation Margin Payable</t>
  </si>
  <si>
    <t>31199</t>
  </si>
  <si>
    <t>Pay. To Broker-Forward K</t>
  </si>
  <si>
    <t>Vouchers Payable</t>
  </si>
  <si>
    <t>31500</t>
  </si>
  <si>
    <t>Current Insurance Liability</t>
  </si>
  <si>
    <t>Accrued Salaries and Wages</t>
  </si>
  <si>
    <t>32200</t>
  </si>
  <si>
    <t>Accrued Prize Liability</t>
  </si>
  <si>
    <t>32300</t>
  </si>
  <si>
    <t>DROP Participants Pension Benefit - Current</t>
  </si>
  <si>
    <t>32400</t>
  </si>
  <si>
    <t>Accrued Insurance Claims</t>
  </si>
  <si>
    <t>151000</t>
  </si>
  <si>
    <t>32901</t>
  </si>
  <si>
    <t>Deposits Payable</t>
  </si>
  <si>
    <t>33101</t>
  </si>
  <si>
    <t>Dep Payable-Defeas Loans</t>
  </si>
  <si>
    <t>33102</t>
  </si>
  <si>
    <t>Deposits Payable-Fl Foundation</t>
  </si>
  <si>
    <t>33104</t>
  </si>
  <si>
    <t>Illegal Drugs/Escrow Account</t>
  </si>
  <si>
    <t>33110</t>
  </si>
  <si>
    <t>Security / Escrow Deposits - HMO</t>
  </si>
  <si>
    <t>201000</t>
  </si>
  <si>
    <t>33200</t>
  </si>
  <si>
    <t>Deposits Held to Retire Defeased Bonds</t>
  </si>
  <si>
    <t>33201</t>
  </si>
  <si>
    <t>Dep Held_Retire Def Bds</t>
  </si>
  <si>
    <t>35100</t>
  </si>
  <si>
    <t>Due To State Funds, within Division</t>
  </si>
  <si>
    <t>35200</t>
  </si>
  <si>
    <t>Due To State Funds, within Department</t>
  </si>
  <si>
    <t>35203</t>
  </si>
  <si>
    <t>Due To Frs Pension</t>
  </si>
  <si>
    <t>35204</t>
  </si>
  <si>
    <t>Due Tocse Incentive Tf/075001</t>
  </si>
  <si>
    <t>35206</t>
  </si>
  <si>
    <t>Due To Ifas</t>
  </si>
  <si>
    <t>35208</t>
  </si>
  <si>
    <t>Due To Revenue Bond Fee Fund</t>
  </si>
  <si>
    <t>35209</t>
  </si>
  <si>
    <t>Due To Admin Exp Fund</t>
  </si>
  <si>
    <t>35210</t>
  </si>
  <si>
    <t>Due To Other Funds</t>
  </si>
  <si>
    <t>35211</t>
  </si>
  <si>
    <t>Due To Fl Prepaid Tf</t>
  </si>
  <si>
    <t>35214</t>
  </si>
  <si>
    <t>Due To Tobacco Clearing Trust Fund</t>
  </si>
  <si>
    <t>208751</t>
  </si>
  <si>
    <t>35215</t>
  </si>
  <si>
    <t>Due To Chiles Endownment Fund</t>
  </si>
  <si>
    <t>208311</t>
  </si>
  <si>
    <t>35216</t>
  </si>
  <si>
    <t>Due To Campmm Investment Trust Fund</t>
  </si>
  <si>
    <t>507501</t>
  </si>
  <si>
    <t>35217</t>
  </si>
  <si>
    <t>Due To Gas Tax Collection Tf/319001</t>
  </si>
  <si>
    <t>35219</t>
  </si>
  <si>
    <t>Due To Information Svcs Program - Adm Costs</t>
  </si>
  <si>
    <t>508844</t>
  </si>
  <si>
    <t>35220</t>
  </si>
  <si>
    <t>Due To Debt Svc Noneliminated</t>
  </si>
  <si>
    <t>555201</t>
  </si>
  <si>
    <t>35221</t>
  </si>
  <si>
    <t>Due to FL Prepaid Savings Fund</t>
  </si>
  <si>
    <t>35222</t>
  </si>
  <si>
    <t>Due To Additional Court Costs Tf/013001</t>
  </si>
  <si>
    <t>35225</t>
  </si>
  <si>
    <t>Due To Debt Svc-Save Cst</t>
  </si>
  <si>
    <t>35230</t>
  </si>
  <si>
    <t>Due To Documentary Stamp Tf/166001</t>
  </si>
  <si>
    <t>35232</t>
  </si>
  <si>
    <t>Due To Fl Pp Foundation Fund</t>
  </si>
  <si>
    <t>35233</t>
  </si>
  <si>
    <t>Due To Fl Educ Foundation Fund</t>
  </si>
  <si>
    <t>201200</t>
  </si>
  <si>
    <t>35239</t>
  </si>
  <si>
    <t>Due To Solid Waste Mngt Clr Tf/645002</t>
  </si>
  <si>
    <t>35240</t>
  </si>
  <si>
    <t>Due To Operating Trust Fund</t>
  </si>
  <si>
    <t>35244</t>
  </si>
  <si>
    <t>Due To Local Communication Serv Tax Tf/662001</t>
  </si>
  <si>
    <t>35245</t>
  </si>
  <si>
    <t>Due To Community Service Tax</t>
  </si>
  <si>
    <t>35300</t>
  </si>
  <si>
    <t>Due To Other Departments</t>
  </si>
  <si>
    <t>35301</t>
  </si>
  <si>
    <t>Due To Dbpr</t>
  </si>
  <si>
    <t>35302</t>
  </si>
  <si>
    <t>Due To Dpt Of Hwy Sfty</t>
  </si>
  <si>
    <t>35303</t>
  </si>
  <si>
    <t>Due To Dpt Of Community Affairs</t>
  </si>
  <si>
    <t>35304</t>
  </si>
  <si>
    <t>Due To Dept. Of Transp.</t>
  </si>
  <si>
    <t>35305</t>
  </si>
  <si>
    <t>Due To Dept Of Law Enforcement</t>
  </si>
  <si>
    <t>749001</t>
  </si>
  <si>
    <t>35306</t>
  </si>
  <si>
    <t>Due To Board Of Regents</t>
  </si>
  <si>
    <t>35308</t>
  </si>
  <si>
    <t>Due To State Court System</t>
  </si>
  <si>
    <t>35310</t>
  </si>
  <si>
    <t>Due To Dept Of Mgt Svc</t>
  </si>
  <si>
    <t>35311</t>
  </si>
  <si>
    <t>Due to Dept of Management Services</t>
  </si>
  <si>
    <t>35312</t>
  </si>
  <si>
    <t>Due To Dept Of Banking &amp; Finance</t>
  </si>
  <si>
    <t>35314</t>
  </si>
  <si>
    <t>Due To Ifas Trst Fd</t>
  </si>
  <si>
    <t>35315</t>
  </si>
  <si>
    <t>Due To His Trst Fd</t>
  </si>
  <si>
    <t>35316</t>
  </si>
  <si>
    <t>Due To Blind Services Fund</t>
  </si>
  <si>
    <t>35318</t>
  </si>
  <si>
    <t>Due To Dpt. Of Bnkg &amp; Fin</t>
  </si>
  <si>
    <t>35319</t>
  </si>
  <si>
    <t>Due To Dept Of Insurance</t>
  </si>
  <si>
    <t>35320</t>
  </si>
  <si>
    <t>Due To Debt Svc-High Ed</t>
  </si>
  <si>
    <t>202800</t>
  </si>
  <si>
    <t>35321</t>
  </si>
  <si>
    <t>Due To Debt Svc-Bor Rev</t>
  </si>
  <si>
    <t>35326</t>
  </si>
  <si>
    <t>Due To Dept. Of State</t>
  </si>
  <si>
    <t>35327</t>
  </si>
  <si>
    <t>Due To Fl Dept Of Law Enforcement</t>
  </si>
  <si>
    <t>35328</t>
  </si>
  <si>
    <t>Due To Admin Exp From Other Agencies</t>
  </si>
  <si>
    <t>35329</t>
  </si>
  <si>
    <t>Due To Fish &amp; Wildfile Conservation Commission</t>
  </si>
  <si>
    <t>35330</t>
  </si>
  <si>
    <t>Accounts Payable-Other Depts-S Govt</t>
  </si>
  <si>
    <t>35331</t>
  </si>
  <si>
    <t>Due to Dept of Financial Services</t>
  </si>
  <si>
    <t>35355</t>
  </si>
  <si>
    <t>DOT - Deposits Payable</t>
  </si>
  <si>
    <t>35400</t>
  </si>
  <si>
    <t>Due To Federal Government</t>
  </si>
  <si>
    <t>Due To Other Governmental Units</t>
  </si>
  <si>
    <t>35502</t>
  </si>
  <si>
    <t>Due To Counties And Cities</t>
  </si>
  <si>
    <t>35503</t>
  </si>
  <si>
    <t>Due To Special Fire Districts</t>
  </si>
  <si>
    <t>35505</t>
  </si>
  <si>
    <t>Due To Local Governments</t>
  </si>
  <si>
    <t>35509</t>
  </si>
  <si>
    <t>Due To College Pp Found.</t>
  </si>
  <si>
    <t>35510</t>
  </si>
  <si>
    <t>Due To Counties</t>
  </si>
  <si>
    <t>35511</t>
  </si>
  <si>
    <t>Due To Local School Boards</t>
  </si>
  <si>
    <t>35520</t>
  </si>
  <si>
    <t>Due To Municipalities</t>
  </si>
  <si>
    <t>35600</t>
  </si>
  <si>
    <t>Due To General Revenue</t>
  </si>
  <si>
    <t>35630</t>
  </si>
  <si>
    <t>Due To Gr - Banking Fees</t>
  </si>
  <si>
    <t>201400</t>
  </si>
  <si>
    <t>35640</t>
  </si>
  <si>
    <t>Due To General Revenue - Copayments</t>
  </si>
  <si>
    <t>Due To Component Unit/Primary</t>
  </si>
  <si>
    <t>35701</t>
  </si>
  <si>
    <t>Due To Component Unit</t>
  </si>
  <si>
    <t>35800</t>
  </si>
  <si>
    <t>Due To Revolving Fnd -PriGov or Advances ST -DPCU</t>
  </si>
  <si>
    <t>35900</t>
  </si>
  <si>
    <t>Due To State Funds-Clearing Fund</t>
  </si>
  <si>
    <t>36100</t>
  </si>
  <si>
    <t>Matured Bonds Payable</t>
  </si>
  <si>
    <t>203600</t>
  </si>
  <si>
    <t>36200</t>
  </si>
  <si>
    <t>Matured Certificates of Participation</t>
  </si>
  <si>
    <t>36900</t>
  </si>
  <si>
    <t>Matured Interest Payable</t>
  </si>
  <si>
    <t>Current Bonds Payable</t>
  </si>
  <si>
    <t>37200</t>
  </si>
  <si>
    <t>Current Certificates of Participation</t>
  </si>
  <si>
    <t>37300</t>
  </si>
  <si>
    <t>Current Bonds Payable from Restricted Assets</t>
  </si>
  <si>
    <t>37900</t>
  </si>
  <si>
    <t>Current Accrued Interest</t>
  </si>
  <si>
    <t>203400</t>
  </si>
  <si>
    <t>Installment Purchase Contracts</t>
  </si>
  <si>
    <t>Current Compensated Absences Liability</t>
  </si>
  <si>
    <t>38601</t>
  </si>
  <si>
    <t>Current Compensated Absences Liab</t>
  </si>
  <si>
    <t>Capital Leases-Current Portion</t>
  </si>
  <si>
    <t>38800</t>
  </si>
  <si>
    <t>Unearned Revenue - Current</t>
  </si>
  <si>
    <t>Revenues Received in Advance - Current</t>
  </si>
  <si>
    <t>39200</t>
  </si>
  <si>
    <t>Tuition and Housing Benefits Payable</t>
  </si>
  <si>
    <t>39300</t>
  </si>
  <si>
    <t>SWFS Only - Oblig Under Rev Repo Agreements - Trea</t>
  </si>
  <si>
    <t>39400</t>
  </si>
  <si>
    <t>Oblig Under Rev Repo Agreements - SBA</t>
  </si>
  <si>
    <t>208461</t>
  </si>
  <si>
    <t>Pension Liability - HIS - Current</t>
  </si>
  <si>
    <t>208439</t>
  </si>
  <si>
    <t>39600</t>
  </si>
  <si>
    <t>Pension Liability - NG - Current</t>
  </si>
  <si>
    <t>39700</t>
  </si>
  <si>
    <t>SWFS Only - Oblig Under Security Lnd Trans - Treas</t>
  </si>
  <si>
    <t>39800</t>
  </si>
  <si>
    <t>Oblig Under Security Lnd Trans - SBA</t>
  </si>
  <si>
    <t>39801</t>
  </si>
  <si>
    <t>Oblig Under Sec Lending Agreement</t>
  </si>
  <si>
    <t>39850</t>
  </si>
  <si>
    <t>Oblig. Under Sec Lndg Agmnts</t>
  </si>
  <si>
    <t>39901</t>
  </si>
  <si>
    <t>Current Liabilities - Resident TF</t>
  </si>
  <si>
    <t>39902</t>
  </si>
  <si>
    <t>Tuition &amp; Housing Benefits Payable (Current)</t>
  </si>
  <si>
    <t>39903</t>
  </si>
  <si>
    <t>Due To - Withdrawals Resident TF</t>
  </si>
  <si>
    <t>39920</t>
  </si>
  <si>
    <t>Collections Due Others</t>
  </si>
  <si>
    <t>554601</t>
  </si>
  <si>
    <t>39925</t>
  </si>
  <si>
    <t>Assets Held Pending Settlement/Distribution</t>
  </si>
  <si>
    <t>714401</t>
  </si>
  <si>
    <t>42200</t>
  </si>
  <si>
    <t>42300</t>
  </si>
  <si>
    <t>DROP Participants Pension Benefit - Non-Current</t>
  </si>
  <si>
    <t>714601</t>
  </si>
  <si>
    <t>Loans from Primary</t>
  </si>
  <si>
    <t>44500</t>
  </si>
  <si>
    <t>734601</t>
  </si>
  <si>
    <t>44600</t>
  </si>
  <si>
    <t>Interest Payable from Restricted Assets</t>
  </si>
  <si>
    <t>45100</t>
  </si>
  <si>
    <t>Advances from Other Funds</t>
  </si>
  <si>
    <t>45500</t>
  </si>
  <si>
    <t>Long-Term Due to Other Governmental Unit</t>
  </si>
  <si>
    <t>Due to Federal Government - Arbitrage</t>
  </si>
  <si>
    <t>45700</t>
  </si>
  <si>
    <t>Advances from funds within the Department</t>
  </si>
  <si>
    <t>45800</t>
  </si>
  <si>
    <t>Advances from Primary</t>
  </si>
  <si>
    <t>46101</t>
  </si>
  <si>
    <t>46300</t>
  </si>
  <si>
    <t>Unamortized Premiums -  Bonds Payable</t>
  </si>
  <si>
    <t>Unamortized Discounts - Bonds Payable</t>
  </si>
  <si>
    <t>46401</t>
  </si>
  <si>
    <t>Premium/Discount On Bonds Payable</t>
  </si>
  <si>
    <t>46402</t>
  </si>
  <si>
    <t>Accum Amort Of Bond Premium/Discount</t>
  </si>
  <si>
    <t>Amount Deferred on Refunding - Bonds Payable</t>
  </si>
  <si>
    <t>Unamortized Premiums/Discounts - COP</t>
  </si>
  <si>
    <t>Amount Deferred on Refunding - COP</t>
  </si>
  <si>
    <t>Accrued Interest</t>
  </si>
  <si>
    <t>737201</t>
  </si>
  <si>
    <t>Interest Payable On Bonds</t>
  </si>
  <si>
    <t>Amount To Be Provided-Int.</t>
  </si>
  <si>
    <t>Deferred Inflows - Service Concession Arrangements</t>
  </si>
  <si>
    <t>Deferred Inflows - Inc in FV-Hedging Derivatives</t>
  </si>
  <si>
    <t>47300</t>
  </si>
  <si>
    <t>Deferred Inflows - Unavailable Revenue</t>
  </si>
  <si>
    <t>47400</t>
  </si>
  <si>
    <t>Deferred Inflows - Grants Received in Advance</t>
  </si>
  <si>
    <t>47500</t>
  </si>
  <si>
    <t>Deferred Inflows - Amount Deferred on Refunding-Bonds Payable</t>
  </si>
  <si>
    <t>47600</t>
  </si>
  <si>
    <t>Deferred Inflows - Amount Deferred on Refunding-COP</t>
  </si>
  <si>
    <t>Deferred Inflows - Pension-related Items - FRS</t>
  </si>
  <si>
    <t>Deferred Inflows - Pension-related Items - HIS</t>
  </si>
  <si>
    <t>47900</t>
  </si>
  <si>
    <t>Deferred Inflows - Pension-related items - NG</t>
  </si>
  <si>
    <t>Deferred Inflows - Other Postemployment Benefits</t>
  </si>
  <si>
    <t>Asset Retirement Obligations - LT</t>
  </si>
  <si>
    <t>Compensated Absences Liability</t>
  </si>
  <si>
    <t>48601</t>
  </si>
  <si>
    <t>48800</t>
  </si>
  <si>
    <t>Unearned Revenue - Long Term</t>
  </si>
  <si>
    <t>Revenues Received in Advance - Long-term</t>
  </si>
  <si>
    <t>Pension Liability - FRS</t>
  </si>
  <si>
    <t>Pension Liability - HIS</t>
  </si>
  <si>
    <t>200200</t>
  </si>
  <si>
    <t>Pension Liability - NG</t>
  </si>
  <si>
    <t>49800</t>
  </si>
  <si>
    <t>Long-term Insurance liability</t>
  </si>
  <si>
    <t>49901</t>
  </si>
  <si>
    <t>Tuition &amp; Housing Benefits Payable</t>
  </si>
  <si>
    <t>49902</t>
  </si>
  <si>
    <t>Other Post Employment Benefits Payable</t>
  </si>
  <si>
    <t>49910</t>
  </si>
  <si>
    <t>Unclaimed Property Payable</t>
  </si>
  <si>
    <t>Contributed Capital</t>
  </si>
  <si>
    <t>51800</t>
  </si>
  <si>
    <t>Residual Equity Transfer In</t>
  </si>
  <si>
    <t>51900</t>
  </si>
  <si>
    <t>Residual Equity Transfer Out</t>
  </si>
  <si>
    <t>Restricted for Lottery</t>
  </si>
  <si>
    <t>53201</t>
  </si>
  <si>
    <t>Adj To Beg Retained Earnings</t>
  </si>
  <si>
    <t>Restricted for Hurricane Cat Fund (Gov/Prop) or Debt Service (CU)</t>
  </si>
  <si>
    <t>Restricted for Prepaid College Program (Gov/Prop) or Permanent Fund-Expendable (CU)</t>
  </si>
  <si>
    <t>Restricted for Unemployment Compensation (Gov/Prop) or Permanent Fund-Nonexpendable (CU)</t>
  </si>
  <si>
    <t>53601</t>
  </si>
  <si>
    <t>Net Inv In Cap Assets</t>
  </si>
  <si>
    <t>53700</t>
  </si>
  <si>
    <t>Restricted for Pension and Other Employee Benefits</t>
  </si>
  <si>
    <t>53701</t>
  </si>
  <si>
    <t>Retained Earnings Reserved For Pension</t>
  </si>
  <si>
    <t>53702</t>
  </si>
  <si>
    <t>Net Assets Reserved For Pension</t>
  </si>
  <si>
    <t>Restricted Other</t>
  </si>
  <si>
    <t>53801</t>
  </si>
  <si>
    <t>Restricted Net Assets</t>
  </si>
  <si>
    <t>53840</t>
  </si>
  <si>
    <t>Reserved For Garden Club</t>
  </si>
  <si>
    <t>53850</t>
  </si>
  <si>
    <t>Reserved For Jaycees Club</t>
  </si>
  <si>
    <t>53890</t>
  </si>
  <si>
    <t>Reserved For Other</t>
  </si>
  <si>
    <t>53910</t>
  </si>
  <si>
    <t>Retained Earnings - 1996A</t>
  </si>
  <si>
    <t>53970</t>
  </si>
  <si>
    <t>Net Assets Unrestricted FRS</t>
  </si>
  <si>
    <t>602001</t>
  </si>
  <si>
    <t>53971</t>
  </si>
  <si>
    <t>714801</t>
  </si>
  <si>
    <t>53972</t>
  </si>
  <si>
    <t>727701</t>
  </si>
  <si>
    <t>53973</t>
  </si>
  <si>
    <t>53974</t>
  </si>
  <si>
    <t>53975</t>
  </si>
  <si>
    <t>53976</t>
  </si>
  <si>
    <t>53977</t>
  </si>
  <si>
    <t>53978</t>
  </si>
  <si>
    <t>53979</t>
  </si>
  <si>
    <t>53980</t>
  </si>
  <si>
    <t>54200</t>
  </si>
  <si>
    <t>Prior Period Adjustments to Beginning Fund Balance</t>
  </si>
  <si>
    <t>54201</t>
  </si>
  <si>
    <t>Prior Pd. Adjustment-Beg Fb</t>
  </si>
  <si>
    <t>54400</t>
  </si>
  <si>
    <t>54600</t>
  </si>
  <si>
    <t>Collections, General Revenue</t>
  </si>
  <si>
    <t>54900</t>
  </si>
  <si>
    <t>Committed Fund Balance</t>
  </si>
  <si>
    <t>54902</t>
  </si>
  <si>
    <t>Agency Fd Fb Elim Entry</t>
  </si>
  <si>
    <t>54909</t>
  </si>
  <si>
    <t>Beginning Fund Balance</t>
  </si>
  <si>
    <t>55100</t>
  </si>
  <si>
    <t>Reserved for Encumbrances (NOT VALID FOR FINANCIAL STATEMENTS)</t>
  </si>
  <si>
    <t>55105</t>
  </si>
  <si>
    <t>55121</t>
  </si>
  <si>
    <t>55200</t>
  </si>
  <si>
    <t>Fund Balance Reserved for Inventories (NOT VALID FOR FINANCIAL STATEMENTS)</t>
  </si>
  <si>
    <t>55300</t>
  </si>
  <si>
    <t>55400</t>
  </si>
  <si>
    <t>Fund Balance Reserved for Advances to Other Funds (NOT VALID FOR FINANCIAL STATEMENTS)</t>
  </si>
  <si>
    <t>954800</t>
  </si>
  <si>
    <t>55500</t>
  </si>
  <si>
    <t>Fund Balance Reserved for Long-Term Receivables (NOT VALID FOR FINANCIAL STATEMENTS)</t>
  </si>
  <si>
    <t>55600</t>
  </si>
  <si>
    <t>Reserved for Fixed Capital Outlay and Grants in Aid (NOT VALID FOR FINANCIAL STATEMENTS)</t>
  </si>
  <si>
    <t>55700</t>
  </si>
  <si>
    <t>Fund Balance Reserved for Debt Service (NOT VALID FOR FINANCIAL STATEMENTS)</t>
  </si>
  <si>
    <t>55710</t>
  </si>
  <si>
    <t>Fund Balance Reserved For Debt Service (NOT VALID FOR FINANCIAL STATEMENTS)</t>
  </si>
  <si>
    <t>55800</t>
  </si>
  <si>
    <t>Reserved for Permanent Fund (NOT VALID FOR FINANCIAL STATEMENTS)</t>
  </si>
  <si>
    <t>55801</t>
  </si>
  <si>
    <t>FB Reserved For Endowment (NOT VALID FOR FINANCIAL STATEMENTS)</t>
  </si>
  <si>
    <t>55900</t>
  </si>
  <si>
    <t>Other Fund Balance Reserved (NOT VALID FOR FINANCIAL STATEMENTS)</t>
  </si>
  <si>
    <t>55902</t>
  </si>
  <si>
    <t>Net Assets Held In Trust-Reserved (NOT VALID FOR FINANCIAL STATEMENTS)</t>
  </si>
  <si>
    <t>Nonspendable - Inventories and Prepaid Items</t>
  </si>
  <si>
    <t>56200</t>
  </si>
  <si>
    <t>Nonspendable - LT Receivables and Advances</t>
  </si>
  <si>
    <t>56300</t>
  </si>
  <si>
    <t>Nonspendable - Permanent Fund Principal</t>
  </si>
  <si>
    <t>57100</t>
  </si>
  <si>
    <t>Restricted by Creditors</t>
  </si>
  <si>
    <t>57200</t>
  </si>
  <si>
    <t>Restricted by Federal Government</t>
  </si>
  <si>
    <t>57300</t>
  </si>
  <si>
    <t>Restricted by Grantors and Contributors (Non-Federal)</t>
  </si>
  <si>
    <t>57400</t>
  </si>
  <si>
    <t>Restricted by Enabling Legislation</t>
  </si>
  <si>
    <t>57500</t>
  </si>
  <si>
    <t>Restricted by Constitutional Provisions or Court Order</t>
  </si>
  <si>
    <t>CAFR General Fund - Committed Fund Balance (SFRS USE ONLY)</t>
  </si>
  <si>
    <t>Unassigned Fund Balance (SFRS USE ONLY)</t>
  </si>
  <si>
    <t>61100</t>
  </si>
  <si>
    <t>Taxes</t>
  </si>
  <si>
    <t>61104</t>
  </si>
  <si>
    <t>No description - 13/Nov/2008</t>
  </si>
  <si>
    <t>61109</t>
  </si>
  <si>
    <t>Transfer Fm Communications Serv Tax Tf (465001)</t>
  </si>
  <si>
    <t>61120</t>
  </si>
  <si>
    <t>Other Taxes</t>
  </si>
  <si>
    <t>61122</t>
  </si>
  <si>
    <t>Taxes - Fuel Tax</t>
  </si>
  <si>
    <t>61200</t>
  </si>
  <si>
    <t>Licenses and Permits</t>
  </si>
  <si>
    <t>61201</t>
  </si>
  <si>
    <t>Licenses &amp; Permits - Prior Year</t>
  </si>
  <si>
    <t>61207</t>
  </si>
  <si>
    <t>Licenses &amp; Permits - TLS</t>
  </si>
  <si>
    <t>61300</t>
  </si>
  <si>
    <t>Fees, Charges, Commissions and Sales</t>
  </si>
  <si>
    <t>61301</t>
  </si>
  <si>
    <t>Bond Fees (Dbf)</t>
  </si>
  <si>
    <t>208489</t>
  </si>
  <si>
    <t>61317</t>
  </si>
  <si>
    <t>Circuit Civil Re-Open Fee, Clerk Of Court</t>
  </si>
  <si>
    <t>61321</t>
  </si>
  <si>
    <t>Refund Processing Fees</t>
  </si>
  <si>
    <t>61332</t>
  </si>
  <si>
    <t>Fees-Banking Savings-Loan Assessment</t>
  </si>
  <si>
    <t>304890</t>
  </si>
  <si>
    <t>61336</t>
  </si>
  <si>
    <t>Suspense Receipts</t>
  </si>
  <si>
    <t>61351</t>
  </si>
  <si>
    <t>Transfer From Cse Clearing Tf/081002</t>
  </si>
  <si>
    <t>61360</t>
  </si>
  <si>
    <t>Transfer From DS Escrow-Plug-SW</t>
  </si>
  <si>
    <t>61361</t>
  </si>
  <si>
    <t>1/3 Appellate Filing Fee &gt;50.00-28.241(2)</t>
  </si>
  <si>
    <t>744890</t>
  </si>
  <si>
    <t>61362</t>
  </si>
  <si>
    <t>1/3 Filing Fee &gt;50 For Claims &gt;2500-34041(1)(B)</t>
  </si>
  <si>
    <t>61363</t>
  </si>
  <si>
    <t>$4 Service Charge Fees</t>
  </si>
  <si>
    <t>981000</t>
  </si>
  <si>
    <t>61366</t>
  </si>
  <si>
    <t>Annual Remittance Of Cumulative Fees</t>
  </si>
  <si>
    <t>982000</t>
  </si>
  <si>
    <t>61370</t>
  </si>
  <si>
    <t>Article V Fees</t>
  </si>
  <si>
    <t>989930</t>
  </si>
  <si>
    <t>61382</t>
  </si>
  <si>
    <t>Transfer From Ds Nonescrow</t>
  </si>
  <si>
    <t>989940</t>
  </si>
  <si>
    <t>Grants and Donations - Non Capital</t>
  </si>
  <si>
    <t>989945</t>
  </si>
  <si>
    <t>61430</t>
  </si>
  <si>
    <t>Grants-Other</t>
  </si>
  <si>
    <t>985000</t>
  </si>
  <si>
    <t>61440</t>
  </si>
  <si>
    <t>Wage Withholding &amp; Repayment Of Loans</t>
  </si>
  <si>
    <t>989955</t>
  </si>
  <si>
    <t>Interest and Dividends</t>
  </si>
  <si>
    <t>989960</t>
  </si>
  <si>
    <t>61502</t>
  </si>
  <si>
    <t>Gain(Loss) On Inv (Govt'L)</t>
  </si>
  <si>
    <t>989970</t>
  </si>
  <si>
    <t>61504</t>
  </si>
  <si>
    <t>Interest On Investments (Govt'L)</t>
  </si>
  <si>
    <t>989980</t>
  </si>
  <si>
    <t>61509</t>
  </si>
  <si>
    <t>Earnings On Rights, Warrants</t>
  </si>
  <si>
    <t>989990</t>
  </si>
  <si>
    <t>61580</t>
  </si>
  <si>
    <t>Gain (Loss) on Investment (Govt'L)</t>
  </si>
  <si>
    <t>989995</t>
  </si>
  <si>
    <t>61581</t>
  </si>
  <si>
    <t>Net Apprec(Deprec) (Govt'L)</t>
  </si>
  <si>
    <t>61600</t>
  </si>
  <si>
    <t>Fines, Forfeits, Judgments, and Settlements</t>
  </si>
  <si>
    <t>203000</t>
  </si>
  <si>
    <t>61601</t>
  </si>
  <si>
    <t>Fines, Forfiets, Judgements &amp; Settlement accruals</t>
  </si>
  <si>
    <t>61602</t>
  </si>
  <si>
    <t>Fines - Toll Violation, Clerk Of Court</t>
  </si>
  <si>
    <t>61612</t>
  </si>
  <si>
    <t>Restitution</t>
  </si>
  <si>
    <t>61619</t>
  </si>
  <si>
    <t>1/3 of Fines, Fees, Svc Chgs-CT Related -28.37(2)</t>
  </si>
  <si>
    <t>61659</t>
  </si>
  <si>
    <t>Lawton Chiles Tobacco Settlement</t>
  </si>
  <si>
    <t>61700</t>
  </si>
  <si>
    <t>Flexible Benefits Contributions</t>
  </si>
  <si>
    <t>61701</t>
  </si>
  <si>
    <t>Flexible Benefit Contributions</t>
  </si>
  <si>
    <t>200400</t>
  </si>
  <si>
    <t>61800</t>
  </si>
  <si>
    <t>Refunds</t>
  </si>
  <si>
    <t>61807</t>
  </si>
  <si>
    <t>Reimbursements - Rehab and Liq</t>
  </si>
  <si>
    <t>61814</t>
  </si>
  <si>
    <t>Refund</t>
  </si>
  <si>
    <t>61826</t>
  </si>
  <si>
    <t>Refunds - Government Leaseholds</t>
  </si>
  <si>
    <t>61827</t>
  </si>
  <si>
    <t>Refunds - Sales Taxes On Mobile Homes</t>
  </si>
  <si>
    <t>61828</t>
  </si>
  <si>
    <t>Refunds - Property Taxes</t>
  </si>
  <si>
    <t>61900</t>
  </si>
  <si>
    <t>505501</t>
  </si>
  <si>
    <t>61901</t>
  </si>
  <si>
    <t>Other Revenues (Govt'L)</t>
  </si>
  <si>
    <t>61902</t>
  </si>
  <si>
    <t>Sale Of Goods And Service State</t>
  </si>
  <si>
    <t>61904</t>
  </si>
  <si>
    <t>Miscellaneous Receipts</t>
  </si>
  <si>
    <t>61905</t>
  </si>
  <si>
    <t>Rcvd For Debt Svc-Esc Agt</t>
  </si>
  <si>
    <t>61906</t>
  </si>
  <si>
    <t>Federal Subsidy</t>
  </si>
  <si>
    <t>61907</t>
  </si>
  <si>
    <t>Investigation Costs, Clerk Of Court</t>
  </si>
  <si>
    <t>61908</t>
  </si>
  <si>
    <t>Eft Clearing, Clerk Of Court</t>
  </si>
  <si>
    <t>61912</t>
  </si>
  <si>
    <t>Child Support Collections</t>
  </si>
  <si>
    <t>61915</t>
  </si>
  <si>
    <t>Unclaimed Property Interception Collections</t>
  </si>
  <si>
    <t>61917</t>
  </si>
  <si>
    <t>Bond Procds-Good Faith Dep.</t>
  </si>
  <si>
    <t>61920</t>
  </si>
  <si>
    <t>Sale Of Short Term Inv.</t>
  </si>
  <si>
    <t>61922</t>
  </si>
  <si>
    <t>Sale Of Stip-Offset</t>
  </si>
  <si>
    <t>61928</t>
  </si>
  <si>
    <t>Sale Of Options</t>
  </si>
  <si>
    <t>61929</t>
  </si>
  <si>
    <t>Cost Recovery</t>
  </si>
  <si>
    <t>61930</t>
  </si>
  <si>
    <t>Sale Of Equity Inv.</t>
  </si>
  <si>
    <t>555526</t>
  </si>
  <si>
    <t>61931</t>
  </si>
  <si>
    <t>Sale Of Fixed Income Inv.</t>
  </si>
  <si>
    <t>61936</t>
  </si>
  <si>
    <t>Collection Of Prepayments</t>
  </si>
  <si>
    <t>61937</t>
  </si>
  <si>
    <t>GR to CSE Clearing Trust Fund 74-2-081002</t>
  </si>
  <si>
    <t>61940</t>
  </si>
  <si>
    <t>Interest Repayment Assessment 12/2010</t>
  </si>
  <si>
    <t>61945</t>
  </si>
  <si>
    <t>Paying Bank Recalls</t>
  </si>
  <si>
    <t>61947</t>
  </si>
  <si>
    <t>Trsfr From Dbt Svc Escrow</t>
  </si>
  <si>
    <t>61956</t>
  </si>
  <si>
    <t>208571</t>
  </si>
  <si>
    <t>61960</t>
  </si>
  <si>
    <t>Sale Of Real Estate Inv.</t>
  </si>
  <si>
    <t>61961</t>
  </si>
  <si>
    <t>Contr Rcvd From Co Clerks</t>
  </si>
  <si>
    <t>61972</t>
  </si>
  <si>
    <t>Collection Agency Collections</t>
  </si>
  <si>
    <t>61973</t>
  </si>
  <si>
    <t>Collection Agency Distributions</t>
  </si>
  <si>
    <t>61974</t>
  </si>
  <si>
    <t>Transfer From Municipal Revenue Sharing Tf</t>
  </si>
  <si>
    <t>202400</t>
  </si>
  <si>
    <t>61975</t>
  </si>
  <si>
    <t>Contrib Rcvd-Outside Esc Agt</t>
  </si>
  <si>
    <t>61976</t>
  </si>
  <si>
    <t>Contrib Rcvd-Misc Govt'L-Sw</t>
  </si>
  <si>
    <t>61992</t>
  </si>
  <si>
    <t>Investment Sale Offset</t>
  </si>
  <si>
    <t>61995</t>
  </si>
  <si>
    <t>Sale Of Foreign Currency</t>
  </si>
  <si>
    <t>61997</t>
  </si>
  <si>
    <t>Income Summary</t>
  </si>
  <si>
    <t>61998</t>
  </si>
  <si>
    <t>Income Summary Offset</t>
  </si>
  <si>
    <t>Capital Grants and Donations</t>
  </si>
  <si>
    <t>62200</t>
  </si>
  <si>
    <t>Sale of Fixed Assets</t>
  </si>
  <si>
    <t>Interest non-program</t>
  </si>
  <si>
    <t>Released General Revenue Appropriation</t>
  </si>
  <si>
    <t>63300</t>
  </si>
  <si>
    <t>Released Working Capital Appropriation</t>
  </si>
  <si>
    <t>63400</t>
  </si>
  <si>
    <t>Released Infrastructure Fund Appropriation</t>
  </si>
  <si>
    <t>Reversion of Appropriation, 6/30</t>
  </si>
  <si>
    <t>63600</t>
  </si>
  <si>
    <t>Reversion of Appropriation, 12/31</t>
  </si>
  <si>
    <t>Other Reversion, Fixed Capital Outlay</t>
  </si>
  <si>
    <t>65100</t>
  </si>
  <si>
    <t>Transfers in From Component Units/Primary</t>
  </si>
  <si>
    <t>65200</t>
  </si>
  <si>
    <t>Property Transfer In</t>
  </si>
  <si>
    <t>Federal Funds Transfers within Department</t>
  </si>
  <si>
    <t>65600</t>
  </si>
  <si>
    <t>Federal Funds Transfer In from Other Agencies</t>
  </si>
  <si>
    <t>Transfers in from within The Agency</t>
  </si>
  <si>
    <t>65730</t>
  </si>
  <si>
    <t>Transfers Bwtn Banks</t>
  </si>
  <si>
    <t>65731</t>
  </si>
  <si>
    <t>Transfer Out Between Banks</t>
  </si>
  <si>
    <t>65739</t>
  </si>
  <si>
    <t>Transfer From Peorp</t>
  </si>
  <si>
    <t>65750</t>
  </si>
  <si>
    <t>Trsfr From Debt Svc Nonelimin</t>
  </si>
  <si>
    <t>65756</t>
  </si>
  <si>
    <t>Transfer from LGSF Pool</t>
  </si>
  <si>
    <t>65757</t>
  </si>
  <si>
    <t>Transfer from LGIP B</t>
  </si>
  <si>
    <t>65775</t>
  </si>
  <si>
    <t>Transfer Bwtn Accts-Cash</t>
  </si>
  <si>
    <t>65776</t>
  </si>
  <si>
    <t>Transfer Bwtn Accts-Secur</t>
  </si>
  <si>
    <t>65777</t>
  </si>
  <si>
    <t>Transfer Out Between Accts-Cash</t>
  </si>
  <si>
    <t>65778</t>
  </si>
  <si>
    <t>Transfer Out Between Accts-Securities</t>
  </si>
  <si>
    <t>65783</t>
  </si>
  <si>
    <t>Transfer From Gas Tax Fund</t>
  </si>
  <si>
    <t>65791</t>
  </si>
  <si>
    <t>Transfer From FL PP College Fund</t>
  </si>
  <si>
    <t>65800</t>
  </si>
  <si>
    <t>General Revenue Transfers In</t>
  </si>
  <si>
    <t>65832</t>
  </si>
  <si>
    <t>Transfer From GR to CSE Clearing TF</t>
  </si>
  <si>
    <t>65900</t>
  </si>
  <si>
    <t>Transfer In from Other Agencies</t>
  </si>
  <si>
    <t>65901</t>
  </si>
  <si>
    <t>Rcvd For Debt Svc-Dot</t>
  </si>
  <si>
    <t>65902</t>
  </si>
  <si>
    <t>Contributions Received From Doe</t>
  </si>
  <si>
    <t>65906</t>
  </si>
  <si>
    <t>Trsfr From Debt Svc Elimin.</t>
  </si>
  <si>
    <t>65913</t>
  </si>
  <si>
    <t>Rcvd For Dbt Svc-Bor</t>
  </si>
  <si>
    <t>65915</t>
  </si>
  <si>
    <t>Tolls Rcvd-Dot</t>
  </si>
  <si>
    <t>65949</t>
  </si>
  <si>
    <t>Contrib. Rcvd From Dol</t>
  </si>
  <si>
    <t>65959</t>
  </si>
  <si>
    <t>Contrib. Rcvd From Dms</t>
  </si>
  <si>
    <t>65962</t>
  </si>
  <si>
    <t>Contrib Rcvd - Dpt Of Revenue</t>
  </si>
  <si>
    <t>65963</t>
  </si>
  <si>
    <t>Contrib Rcvd - Dpt Of Hwy Safety</t>
  </si>
  <si>
    <t>65971</t>
  </si>
  <si>
    <t>Trsfr from DMS-Employer Contrib</t>
  </si>
  <si>
    <t>65972</t>
  </si>
  <si>
    <t>Trsfr from DMS-Employee Contrib</t>
  </si>
  <si>
    <t>65999</t>
  </si>
  <si>
    <t>Transfers/Other Agencies - Accrual Entries</t>
  </si>
  <si>
    <t>66100</t>
  </si>
  <si>
    <t>Tolls Facilities Revenue</t>
  </si>
  <si>
    <t>66200</t>
  </si>
  <si>
    <t>Interest on Loans</t>
  </si>
  <si>
    <t>66300</t>
  </si>
  <si>
    <t>Pension Fund Contributions - State</t>
  </si>
  <si>
    <t>66390</t>
  </si>
  <si>
    <t>Contributions-Admin Fee</t>
  </si>
  <si>
    <t>66400</t>
  </si>
  <si>
    <t>Pension Fund Contributions - Non-State</t>
  </si>
  <si>
    <t>66401</t>
  </si>
  <si>
    <t>Pension Fund Contrib - Non State</t>
  </si>
  <si>
    <t>66490</t>
  </si>
  <si>
    <t>Contr From Investment Plan To Pension Plan</t>
  </si>
  <si>
    <t>66495</t>
  </si>
  <si>
    <t>Pension Fund Contributions From Employees</t>
  </si>
  <si>
    <t>66499</t>
  </si>
  <si>
    <t>Purchase of Time - Employees</t>
  </si>
  <si>
    <t>Lottery Sales</t>
  </si>
  <si>
    <t>66600</t>
  </si>
  <si>
    <t>Deposits from Other Governments</t>
  </si>
  <si>
    <t>66601</t>
  </si>
  <si>
    <t>Inv Contrib-Local Govts</t>
  </si>
  <si>
    <t>66602</t>
  </si>
  <si>
    <t>Contrib Rcvd-Loc Gov (Gas Tax)</t>
  </si>
  <si>
    <t>66603</t>
  </si>
  <si>
    <t>Contrib Rcvd - Commingled Inv</t>
  </si>
  <si>
    <t>66608</t>
  </si>
  <si>
    <t>Bond Proceeds Allocations</t>
  </si>
  <si>
    <t>66620</t>
  </si>
  <si>
    <t>Reinvested Earning Distributed</t>
  </si>
  <si>
    <t>66623</t>
  </si>
  <si>
    <t>Contrib Rcvd - Flpp Savings</t>
  </si>
  <si>
    <t>66624</t>
  </si>
  <si>
    <t>Contrib Rcvd - Suspense - Flppsv</t>
  </si>
  <si>
    <t>66650</t>
  </si>
  <si>
    <t>Contributions Received - Miscellaneous</t>
  </si>
  <si>
    <t>66651</t>
  </si>
  <si>
    <t>Rehab-Receivership Billings</t>
  </si>
  <si>
    <t>66652</t>
  </si>
  <si>
    <t>Adjustments - Rehab</t>
  </si>
  <si>
    <t>66700</t>
  </si>
  <si>
    <t>66701</t>
  </si>
  <si>
    <t>Received For Overdraft Charges</t>
  </si>
  <si>
    <t>66706</t>
  </si>
  <si>
    <t>66725</t>
  </si>
  <si>
    <t>Exam Fees-Unclaimed Property Ch.</t>
  </si>
  <si>
    <t>66730</t>
  </si>
  <si>
    <t>Nsf Charge - Fl Prepaid</t>
  </si>
  <si>
    <t>66732</t>
  </si>
  <si>
    <t>Application Fees - Fl Prepaid</t>
  </si>
  <si>
    <t>66734</t>
  </si>
  <si>
    <t>Late Fees - Fl Prepaid</t>
  </si>
  <si>
    <t>66736</t>
  </si>
  <si>
    <t>Cancellation Fees-Fl Pp</t>
  </si>
  <si>
    <t>66737</t>
  </si>
  <si>
    <t>Reinstatement Fees-Flpp</t>
  </si>
  <si>
    <t>66739</t>
  </si>
  <si>
    <t>Maintenance Fees - Fl Pp</t>
  </si>
  <si>
    <t>66740</t>
  </si>
  <si>
    <t>Rollover Withdrwal Fees - Flpp</t>
  </si>
  <si>
    <t>66741</t>
  </si>
  <si>
    <t>Operating Revenue - Fees</t>
  </si>
  <si>
    <t>66742</t>
  </si>
  <si>
    <t>Redemption Fees - LGIP</t>
  </si>
  <si>
    <t>66743</t>
  </si>
  <si>
    <t>Mail delivery fee</t>
  </si>
  <si>
    <t>66744</t>
  </si>
  <si>
    <t>Excess withdrawals fee</t>
  </si>
  <si>
    <t>66779</t>
  </si>
  <si>
    <t>Change of Control License</t>
  </si>
  <si>
    <t>66900</t>
  </si>
  <si>
    <t>Dec. (Inc.) Actuarial NPV of Contract Premiums</t>
  </si>
  <si>
    <t>Sales of Goods and Services - State</t>
  </si>
  <si>
    <t>67103</t>
  </si>
  <si>
    <t>Sale of Real and Personal Property</t>
  </si>
  <si>
    <t>67196</t>
  </si>
  <si>
    <t>Statewide Post Closing Entry (Gf 60)</t>
  </si>
  <si>
    <t>67200</t>
  </si>
  <si>
    <t>Sales of Goods &amp; Services - Non-State</t>
  </si>
  <si>
    <t>67215</t>
  </si>
  <si>
    <t>Component Units-Non-State Sales Goods/Services</t>
  </si>
  <si>
    <t>67239</t>
  </si>
  <si>
    <t>Tuition &amp; Dorm Payments Rec'D-Flpp</t>
  </si>
  <si>
    <t>67240</t>
  </si>
  <si>
    <t>Sgs - Repayment Of Loans</t>
  </si>
  <si>
    <t>67241</t>
  </si>
  <si>
    <t>Sale Of Public Records Request</t>
  </si>
  <si>
    <t>67242</t>
  </si>
  <si>
    <t>67300</t>
  </si>
  <si>
    <t>Fines, Forfeits, Judgments and Settlements</t>
  </si>
  <si>
    <t>67303</t>
  </si>
  <si>
    <t>Penalty Fines-Unclaimed Property</t>
  </si>
  <si>
    <t>67304</t>
  </si>
  <si>
    <t>Fine -Returned Check Unclaimed Property</t>
  </si>
  <si>
    <t>67307</t>
  </si>
  <si>
    <t>Returned Checks and fines</t>
  </si>
  <si>
    <t>67309</t>
  </si>
  <si>
    <t>Receipts- Unclaimed Propertych.</t>
  </si>
  <si>
    <t>67310</t>
  </si>
  <si>
    <t>Unclaimed Property Receipts-12 Month W Cancell</t>
  </si>
  <si>
    <t>67314</t>
  </si>
  <si>
    <t>Unclaimed Property - DOR Receipts</t>
  </si>
  <si>
    <t>67327</t>
  </si>
  <si>
    <t>Security Deposits</t>
  </si>
  <si>
    <t>67350</t>
  </si>
  <si>
    <t>Miscellaneous Fines</t>
  </si>
  <si>
    <t>67399</t>
  </si>
  <si>
    <t>Financial Statement Accrual Entries</t>
  </si>
  <si>
    <t>67400</t>
  </si>
  <si>
    <t>Rents - State</t>
  </si>
  <si>
    <t>301000</t>
  </si>
  <si>
    <t>Rents and Royalties - Non-State</t>
  </si>
  <si>
    <t>Interest Earnings - Operating</t>
  </si>
  <si>
    <t>67601</t>
  </si>
  <si>
    <t>Interest On Investments</t>
  </si>
  <si>
    <t>67602</t>
  </si>
  <si>
    <t>Interest On Invest-Maturity</t>
  </si>
  <si>
    <t>67603</t>
  </si>
  <si>
    <t>Interest-TMPG Chgs Rec'd</t>
  </si>
  <si>
    <t>67604</t>
  </si>
  <si>
    <t>Interest on Overnight Cash Balance</t>
  </si>
  <si>
    <t>67605</t>
  </si>
  <si>
    <t>Interest On Cash Balances</t>
  </si>
  <si>
    <t>67606</t>
  </si>
  <si>
    <t>Interest on Claims</t>
  </si>
  <si>
    <t>67607</t>
  </si>
  <si>
    <t>Interest On Fail Float</t>
  </si>
  <si>
    <t>67608</t>
  </si>
  <si>
    <t>Interest-Miscellaneous</t>
  </si>
  <si>
    <t>67609</t>
  </si>
  <si>
    <t>Stip Income Distribution</t>
  </si>
  <si>
    <t>67610</t>
  </si>
  <si>
    <t>Cash Over/Short At Bank</t>
  </si>
  <si>
    <t>67612</t>
  </si>
  <si>
    <t>Interest - Amort/Accretion</t>
  </si>
  <si>
    <t>67614</t>
  </si>
  <si>
    <t>Interest Earnings-SPIA</t>
  </si>
  <si>
    <t>67615</t>
  </si>
  <si>
    <t>Security Lending Income</t>
  </si>
  <si>
    <t>67620</t>
  </si>
  <si>
    <t>Dividends</t>
  </si>
  <si>
    <t>67630</t>
  </si>
  <si>
    <t>Interest Paid On Investments</t>
  </si>
  <si>
    <t>67631</t>
  </si>
  <si>
    <t>Payment Of Interest Charge</t>
  </si>
  <si>
    <t>67632</t>
  </si>
  <si>
    <t>Foreign Overdraft &amp; Reimbursement</t>
  </si>
  <si>
    <t>67640</t>
  </si>
  <si>
    <t>Earnings Financing Agreements-Repurch/Sec Lend</t>
  </si>
  <si>
    <t>67650</t>
  </si>
  <si>
    <t>67651</t>
  </si>
  <si>
    <t>Earnings-Rights &amp; Warrants</t>
  </si>
  <si>
    <t>67660</t>
  </si>
  <si>
    <t>Return Of Manager'S Income</t>
  </si>
  <si>
    <t>67670</t>
  </si>
  <si>
    <t>Real Estate Income (Net)</t>
  </si>
  <si>
    <t>67680</t>
  </si>
  <si>
    <t>Fines And Foreits (Operating)</t>
  </si>
  <si>
    <t>67681</t>
  </si>
  <si>
    <t>Broker Commission Rebates</t>
  </si>
  <si>
    <t>67682</t>
  </si>
  <si>
    <t>Other Investment Income</t>
  </si>
  <si>
    <t>67683</t>
  </si>
  <si>
    <t>Investment G/L Due To Nsf</t>
  </si>
  <si>
    <t>67684</t>
  </si>
  <si>
    <t>Securities Litigation Proceeds</t>
  </si>
  <si>
    <t>67690</t>
  </si>
  <si>
    <t>Securities Lendg Income 676Xx</t>
  </si>
  <si>
    <t>67691</t>
  </si>
  <si>
    <t>Security Lending Rebate Income</t>
  </si>
  <si>
    <t>Gain on Sale of Investments</t>
  </si>
  <si>
    <t>67701</t>
  </si>
  <si>
    <t>Gain(Loss) On Foreign Currency</t>
  </si>
  <si>
    <t>67702</t>
  </si>
  <si>
    <t>Gain(Loss) On Short Term Inv.</t>
  </si>
  <si>
    <t>67703</t>
  </si>
  <si>
    <t>Gain(Loss) On Fixed Income Inv.</t>
  </si>
  <si>
    <t>67704</t>
  </si>
  <si>
    <t>Gain(Loss) On Equity Inv.</t>
  </si>
  <si>
    <t>67706</t>
  </si>
  <si>
    <t>Gain(Loss) On Real Estate Inv</t>
  </si>
  <si>
    <t>67707</t>
  </si>
  <si>
    <t>Gain(Loss) On Futures</t>
  </si>
  <si>
    <t>67708</t>
  </si>
  <si>
    <t>Gain(Loss) On Options</t>
  </si>
  <si>
    <t>67709</t>
  </si>
  <si>
    <t>Gain(Loss) On Rights &amp; Warrants</t>
  </si>
  <si>
    <t>67711</t>
  </si>
  <si>
    <t>Gain(Loss) on Security Lending Inv.</t>
  </si>
  <si>
    <t>67759</t>
  </si>
  <si>
    <t>Net Apprec/Dep In Fair Value Of Inv</t>
  </si>
  <si>
    <t>67790</t>
  </si>
  <si>
    <t>Net Apprec(Deprec) On Investments</t>
  </si>
  <si>
    <t>67792</t>
  </si>
  <si>
    <t>Net App(Dep) on Security Lending Inv.</t>
  </si>
  <si>
    <t>67799</t>
  </si>
  <si>
    <t>Net Appreciation/Depreciation In Fair Value</t>
  </si>
  <si>
    <t>67800</t>
  </si>
  <si>
    <t>Loss on Sale of Investments</t>
  </si>
  <si>
    <t>67900</t>
  </si>
  <si>
    <t>Other Operating Revenue</t>
  </si>
  <si>
    <t>67904</t>
  </si>
  <si>
    <t>Refund Of Prior Yr Budgeted Exp</t>
  </si>
  <si>
    <t>68100</t>
  </si>
  <si>
    <t>Gain or Loss on Early Extinguishment of Debt</t>
  </si>
  <si>
    <t>68200</t>
  </si>
  <si>
    <t>68300</t>
  </si>
  <si>
    <t>Non Capital Grants and Donations</t>
  </si>
  <si>
    <t>68301</t>
  </si>
  <si>
    <t>Noncapital Grants &amp; Donations</t>
  </si>
  <si>
    <t>68311</t>
  </si>
  <si>
    <t>Donations, Unrestricted</t>
  </si>
  <si>
    <t>68330</t>
  </si>
  <si>
    <t>Sgs - Guarantee Fees</t>
  </si>
  <si>
    <t>68340</t>
  </si>
  <si>
    <t>68601</t>
  </si>
  <si>
    <t>Interest - State Investment</t>
  </si>
  <si>
    <t>68605</t>
  </si>
  <si>
    <t>Interest- Capital City Bank</t>
  </si>
  <si>
    <t>68610</t>
  </si>
  <si>
    <t>Interest State Treasury Investments</t>
  </si>
  <si>
    <t>68630</t>
  </si>
  <si>
    <t>Dividend Receipts 686XX</t>
  </si>
  <si>
    <t>68631</t>
  </si>
  <si>
    <t>Mortgage Interest -  Rehab and Liquidation</t>
  </si>
  <si>
    <t>68637</t>
  </si>
  <si>
    <t>DEP Interest</t>
  </si>
  <si>
    <t>68655</t>
  </si>
  <si>
    <t>DOT Interest</t>
  </si>
  <si>
    <t>68660</t>
  </si>
  <si>
    <t>Securities Lending Income 686Xx</t>
  </si>
  <si>
    <t>201800</t>
  </si>
  <si>
    <t>68670</t>
  </si>
  <si>
    <t>Gain/(Loss) On Investments 686Xx</t>
  </si>
  <si>
    <t>68680</t>
  </si>
  <si>
    <t>Net Apprec (Deprec) On Invest 686Xx</t>
  </si>
  <si>
    <t>68700</t>
  </si>
  <si>
    <t>68800</t>
  </si>
  <si>
    <t>Emergency assessment funds received</t>
  </si>
  <si>
    <t>Other Non-Operating Revenues</t>
  </si>
  <si>
    <t>68901</t>
  </si>
  <si>
    <t>Furniture Surplus Proceeds</t>
  </si>
  <si>
    <t>68905</t>
  </si>
  <si>
    <t>Reimbursement of Prior Yr Legal Fees</t>
  </si>
  <si>
    <t>68907</t>
  </si>
  <si>
    <t>68908</t>
  </si>
  <si>
    <t>Prior Year Refunds</t>
  </si>
  <si>
    <t>208701</t>
  </si>
  <si>
    <t>68909</t>
  </si>
  <si>
    <t>Refund - Unclaimed Property</t>
  </si>
  <si>
    <t>68910</t>
  </si>
  <si>
    <t>Unclaimed Property-PY Warrant Canx</t>
  </si>
  <si>
    <t>69100</t>
  </si>
  <si>
    <t>Bond Proceeds</t>
  </si>
  <si>
    <t>69101</t>
  </si>
  <si>
    <t>69102</t>
  </si>
  <si>
    <t>Bond Proceeds Offset</t>
  </si>
  <si>
    <t>69200</t>
  </si>
  <si>
    <t>SWFS Only - Insurance Recoveries</t>
  </si>
  <si>
    <t>69300</t>
  </si>
  <si>
    <t>Installment Purchase Note Proceeds</t>
  </si>
  <si>
    <t>Capital Lease Inceptions</t>
  </si>
  <si>
    <t>Proceeds of Refunding Bonds</t>
  </si>
  <si>
    <t>69501</t>
  </si>
  <si>
    <t>Refunding Bond Proceeds</t>
  </si>
  <si>
    <t>SWFS Only - Contributions to Permanent Funds</t>
  </si>
  <si>
    <t>69900</t>
  </si>
  <si>
    <t>Other Non-Revenue Receipts</t>
  </si>
  <si>
    <t>69901</t>
  </si>
  <si>
    <t>Trf From Gr/74-1-000405</t>
  </si>
  <si>
    <t>69902</t>
  </si>
  <si>
    <t>Trf Fromfuel Tax/319001</t>
  </si>
  <si>
    <t>69903</t>
  </si>
  <si>
    <t>Trf From State Alternative Fuel/618001</t>
  </si>
  <si>
    <t>69904</t>
  </si>
  <si>
    <t>Trf From Dept Of Highway Safety &amp; Motor Veh</t>
  </si>
  <si>
    <t>69905</t>
  </si>
  <si>
    <t>Tourist Impact Tax</t>
  </si>
  <si>
    <t>69906</t>
  </si>
  <si>
    <t>Local Govn'T Infrastructure Surtax</t>
  </si>
  <si>
    <t>69907</t>
  </si>
  <si>
    <t>9Th Cent Gas Tax</t>
  </si>
  <si>
    <t>69908</t>
  </si>
  <si>
    <t>Local Option Gas Tax</t>
  </si>
  <si>
    <t>69909</t>
  </si>
  <si>
    <t>Charter County Transit Tax</t>
  </si>
  <si>
    <t>69910</t>
  </si>
  <si>
    <t>Indigent Health Care Surtax</t>
  </si>
  <si>
    <t>69911</t>
  </si>
  <si>
    <t>School Capital Outlay Surtax</t>
  </si>
  <si>
    <t>69912</t>
  </si>
  <si>
    <t>Infrastructure Surtax Ii</t>
  </si>
  <si>
    <t>69913</t>
  </si>
  <si>
    <t>Trf From Dept Of Business &amp; Prof Reg</t>
  </si>
  <si>
    <t>69914</t>
  </si>
  <si>
    <t>Transer From Dfs</t>
  </si>
  <si>
    <t>69918</t>
  </si>
  <si>
    <t>Local Alternative Fuel User Fees      (D4-24-02)</t>
  </si>
  <si>
    <t>69919</t>
  </si>
  <si>
    <t>Local Option Tourist Development Tax</t>
  </si>
  <si>
    <t>69920</t>
  </si>
  <si>
    <t>Distribution from DMS (Department of Management)</t>
  </si>
  <si>
    <t>69927</t>
  </si>
  <si>
    <t>Security Deposits &amp; Non Revenue Receipts</t>
  </si>
  <si>
    <t>69930</t>
  </si>
  <si>
    <t>Premium Collections-Rehab and Liquidation</t>
  </si>
  <si>
    <t>69931</t>
  </si>
  <si>
    <t>Asset Recoveries-Rehab and Liquidation</t>
  </si>
  <si>
    <t>69932</t>
  </si>
  <si>
    <t>Advance-IRTF to Rehab and Liquidation</t>
  </si>
  <si>
    <t>69933</t>
  </si>
  <si>
    <t>Advances to Guraranty Assoc-Rehab</t>
  </si>
  <si>
    <t>71100</t>
  </si>
  <si>
    <t>Expenditures, Current</t>
  </si>
  <si>
    <t>71102</t>
  </si>
  <si>
    <t>Social Security Payments</t>
  </si>
  <si>
    <t>208721</t>
  </si>
  <si>
    <t>71104</t>
  </si>
  <si>
    <t>St. Health Insurance Pmts.</t>
  </si>
  <si>
    <t>71105</t>
  </si>
  <si>
    <t>St. Life Insurance Pmts.</t>
  </si>
  <si>
    <t>71108</t>
  </si>
  <si>
    <t>Ocs-Modeling</t>
  </si>
  <si>
    <t>71114</t>
  </si>
  <si>
    <t>In-State Travel Adv. Cncil</t>
  </si>
  <si>
    <t>607201</t>
  </si>
  <si>
    <t>71115</t>
  </si>
  <si>
    <t>Out-Of-State Travel</t>
  </si>
  <si>
    <t>71116</t>
  </si>
  <si>
    <t>Investment Svc Charges (Govt'L)</t>
  </si>
  <si>
    <t>71117</t>
  </si>
  <si>
    <t>Moving Expenses-Employee</t>
  </si>
  <si>
    <t>71118</t>
  </si>
  <si>
    <t>Office Mat. &amp; Supp. - Other</t>
  </si>
  <si>
    <t>71120</t>
  </si>
  <si>
    <t>Return Of Paying Bk Reclls</t>
  </si>
  <si>
    <t>71127</t>
  </si>
  <si>
    <t>Bond Proceeds Allocation</t>
  </si>
  <si>
    <t>309001</t>
  </si>
  <si>
    <t>71129</t>
  </si>
  <si>
    <t>Other Contractual Svcs (Govt)</t>
  </si>
  <si>
    <t>71131</t>
  </si>
  <si>
    <t>Refunds - Sales Tax Security Deposits</t>
  </si>
  <si>
    <t>71136</t>
  </si>
  <si>
    <t>Refunds - Loop Tourist Development</t>
  </si>
  <si>
    <t>71138</t>
  </si>
  <si>
    <t>Repairs &amp; Maint.-Other</t>
  </si>
  <si>
    <t>71139</t>
  </si>
  <si>
    <t>Office Mat.-Books&lt;$250</t>
  </si>
  <si>
    <t>71141</t>
  </si>
  <si>
    <t>Bank Fees (Govt)</t>
  </si>
  <si>
    <t>71146</t>
  </si>
  <si>
    <t>Other Cont. Svcs - Consult.</t>
  </si>
  <si>
    <t>71147</t>
  </si>
  <si>
    <t>State Treasurer Service Charges</t>
  </si>
  <si>
    <t>71149</t>
  </si>
  <si>
    <t>Management Fees (Govt)</t>
  </si>
  <si>
    <t>71155</t>
  </si>
  <si>
    <t>Re-Reg. Fees, Postage, Ins.</t>
  </si>
  <si>
    <t>71156</t>
  </si>
  <si>
    <t>Sales Tax Returned To Jta</t>
  </si>
  <si>
    <t>737205</t>
  </si>
  <si>
    <t>71157</t>
  </si>
  <si>
    <t>Rule 19 Fees &amp; Charges</t>
  </si>
  <si>
    <t>71158</t>
  </si>
  <si>
    <t>Sba Administrative Svc Chgs (Govt'L)</t>
  </si>
  <si>
    <t>737202</t>
  </si>
  <si>
    <t>71159</t>
  </si>
  <si>
    <t>Invest Service Chg - Eliminated</t>
  </si>
  <si>
    <t>737204</t>
  </si>
  <si>
    <t>71160</t>
  </si>
  <si>
    <t>Insurance &amp; Surety Bonds</t>
  </si>
  <si>
    <t>71161</t>
  </si>
  <si>
    <t>Other Nonbudget Expense (Govt)</t>
  </si>
  <si>
    <t>601001</t>
  </si>
  <si>
    <t>71165</t>
  </si>
  <si>
    <t>Other Nonbudgeted Expenses</t>
  </si>
  <si>
    <t>71166</t>
  </si>
  <si>
    <t>Trf Adm Costs To Gta</t>
  </si>
  <si>
    <t>737203</t>
  </si>
  <si>
    <t>71167</t>
  </si>
  <si>
    <t>Ocs-Methodology Commission</t>
  </si>
  <si>
    <t>737206</t>
  </si>
  <si>
    <t>71168</t>
  </si>
  <si>
    <t>Refunds, Clerk Of Court</t>
  </si>
  <si>
    <t>71169</t>
  </si>
  <si>
    <t>Management Fees-Foreign Equity</t>
  </si>
  <si>
    <t>71171</t>
  </si>
  <si>
    <t>Tax Payment</t>
  </si>
  <si>
    <t>71173</t>
  </si>
  <si>
    <t>Withdrawal-Misc Govt'L Sw</t>
  </si>
  <si>
    <t>71174</t>
  </si>
  <si>
    <t>Trf To Doe Comm Service Tax (08/03)</t>
  </si>
  <si>
    <t>71178</t>
  </si>
  <si>
    <t>Distribution to Department of Transportation</t>
  </si>
  <si>
    <t>71179</t>
  </si>
  <si>
    <t>Distribution to Department of Insurance</t>
  </si>
  <si>
    <t>71180</t>
  </si>
  <si>
    <t>Transfer To Ds Nonescrow</t>
  </si>
  <si>
    <t>71185</t>
  </si>
  <si>
    <t>Gas Tax To Lgsf Pool</t>
  </si>
  <si>
    <t>71186</t>
  </si>
  <si>
    <t>Returned To Local Govts</t>
  </si>
  <si>
    <t>71187</t>
  </si>
  <si>
    <t>Undistributable CSE Collections - Federal Share</t>
  </si>
  <si>
    <t>71189</t>
  </si>
  <si>
    <t>Other Charges - Nonbudgeted</t>
  </si>
  <si>
    <t>71199</t>
  </si>
  <si>
    <t>Expenditure Accrual Entries</t>
  </si>
  <si>
    <t>71800</t>
  </si>
  <si>
    <t>Special Items</t>
  </si>
  <si>
    <t>71900</t>
  </si>
  <si>
    <t>Extraordinary Items</t>
  </si>
  <si>
    <t>71929</t>
  </si>
  <si>
    <t>72100</t>
  </si>
  <si>
    <t>Expend.- Operating Capital Outlay</t>
  </si>
  <si>
    <t>72200</t>
  </si>
  <si>
    <t>Expend.- Fixed Capital Outlay</t>
  </si>
  <si>
    <t>72300</t>
  </si>
  <si>
    <t>Installment Purchase Acquisitions</t>
  </si>
  <si>
    <t>72400</t>
  </si>
  <si>
    <t>Capital Lease Acquisitions</t>
  </si>
  <si>
    <t>72500</t>
  </si>
  <si>
    <t>General Fixed Asset Depreciation Expense</t>
  </si>
  <si>
    <t>Gain or Loss on Disposal of General Fixed Assets</t>
  </si>
  <si>
    <t>Principal Retirement</t>
  </si>
  <si>
    <t>73101</t>
  </si>
  <si>
    <t>Payment Of Principal</t>
  </si>
  <si>
    <t>73102</t>
  </si>
  <si>
    <t>Payment Of Principal Offset</t>
  </si>
  <si>
    <t>73200</t>
  </si>
  <si>
    <t>Interest and Fiscal Charges</t>
  </si>
  <si>
    <t>73201</t>
  </si>
  <si>
    <t>Payment Of Interest Due</t>
  </si>
  <si>
    <t>73202</t>
  </si>
  <si>
    <t>Accrued Interest On Bond Sale</t>
  </si>
  <si>
    <t>73203</t>
  </si>
  <si>
    <t>Payment Of Premium Due</t>
  </si>
  <si>
    <t>73204</t>
  </si>
  <si>
    <t>Notice Of Redemp/Defeasance</t>
  </si>
  <si>
    <t>73205</t>
  </si>
  <si>
    <t>Bank Handling Charges</t>
  </si>
  <si>
    <t>73206</t>
  </si>
  <si>
    <t>Miscellaneous Bond Charges</t>
  </si>
  <si>
    <t>73210</t>
  </si>
  <si>
    <t>Amortization Of Bond Premium/Discount</t>
  </si>
  <si>
    <t>73300</t>
  </si>
  <si>
    <t>Advance Refunding Escrow Payment</t>
  </si>
  <si>
    <t>73301</t>
  </si>
  <si>
    <t>Pmt/Refund Bd Esc Agt - Exp</t>
  </si>
  <si>
    <t>73302</t>
  </si>
  <si>
    <t>Pmt-Outside Esc Agt-Exp</t>
  </si>
  <si>
    <t>73303</t>
  </si>
  <si>
    <t>Trsfr To Ds Esc Rd &amp; Br</t>
  </si>
  <si>
    <t>73312</t>
  </si>
  <si>
    <t>Adv Refunding Esc Pmt-SPIA</t>
  </si>
  <si>
    <t>75100</t>
  </si>
  <si>
    <t>Transfers Out to Component Units/Primary</t>
  </si>
  <si>
    <t>75101</t>
  </si>
  <si>
    <t>Wire To Fl Foundation</t>
  </si>
  <si>
    <t>75200</t>
  </si>
  <si>
    <t>Property Transfer Out</t>
  </si>
  <si>
    <t>75500</t>
  </si>
  <si>
    <t>Federal Funds Transfer Out within the Agency</t>
  </si>
  <si>
    <t>75600</t>
  </si>
  <si>
    <t>Federal Funds Transfers Out to Other Agencies</t>
  </si>
  <si>
    <t>75700</t>
  </si>
  <si>
    <t>Transfers Out within the Agency</t>
  </si>
  <si>
    <t>75720</t>
  </si>
  <si>
    <t>Transfer To Debt Svc Nonelim</t>
  </si>
  <si>
    <t>75739</t>
  </si>
  <si>
    <t>Transfer To Peorp</t>
  </si>
  <si>
    <t>75745</t>
  </si>
  <si>
    <t>Transfers To Reg Trust Fund Unclaimed Property</t>
  </si>
  <si>
    <t>75747</t>
  </si>
  <si>
    <t>Transfer To Ipfc Funds</t>
  </si>
  <si>
    <t>75748</t>
  </si>
  <si>
    <t>Cost Allocation Transfers - 021002</t>
  </si>
  <si>
    <t>75762</t>
  </si>
  <si>
    <t>Transfer to LGSF Pool</t>
  </si>
  <si>
    <t>75763</t>
  </si>
  <si>
    <t>Transfer to LGIP B</t>
  </si>
  <si>
    <t>75770</t>
  </si>
  <si>
    <t>Investment Service Charge</t>
  </si>
  <si>
    <t>719001</t>
  </si>
  <si>
    <t>75800</t>
  </si>
  <si>
    <t>General Revenue Transfers Out</t>
  </si>
  <si>
    <t>75801</t>
  </si>
  <si>
    <t>75802</t>
  </si>
  <si>
    <t>Trf Service Charges To General Revenue</t>
  </si>
  <si>
    <t>747301</t>
  </si>
  <si>
    <t>75804</t>
  </si>
  <si>
    <t>Trf To General Revenue (74-1-000405)</t>
  </si>
  <si>
    <t>75807</t>
  </si>
  <si>
    <t>Trf 3% Ser Chr To General Revenue</t>
  </si>
  <si>
    <t>75900</t>
  </si>
  <si>
    <t>Transfers Out to Other Agencies</t>
  </si>
  <si>
    <t>75903</t>
  </si>
  <si>
    <t>Trf to Dept of Insurance</t>
  </si>
  <si>
    <t>75911</t>
  </si>
  <si>
    <t>Unemployment Comp - Dept Of Labor</t>
  </si>
  <si>
    <t>75912</t>
  </si>
  <si>
    <t>Returned To Doe</t>
  </si>
  <si>
    <t>75914</t>
  </si>
  <si>
    <t>Returned To Dep</t>
  </si>
  <si>
    <t>75915</t>
  </si>
  <si>
    <t>Drop Payments Returned To Dms</t>
  </si>
  <si>
    <t>75916</t>
  </si>
  <si>
    <t>Other Payments Returned To Dms</t>
  </si>
  <si>
    <t>75917</t>
  </si>
  <si>
    <t>Frs Benefit Payments Returned To Dms</t>
  </si>
  <si>
    <t>75928</t>
  </si>
  <si>
    <t>Trf To Department Of Education</t>
  </si>
  <si>
    <t>75940</t>
  </si>
  <si>
    <t>Returned To Dpt Of Fin Svcs</t>
  </si>
  <si>
    <t>75943</t>
  </si>
  <si>
    <t>Returned To Dot-Other</t>
  </si>
  <si>
    <t>75946</t>
  </si>
  <si>
    <t>Transfers To Departmart Of Education</t>
  </si>
  <si>
    <t>75948</t>
  </si>
  <si>
    <t>Returned To Dpt Mgt Svc</t>
  </si>
  <si>
    <t>75949</t>
  </si>
  <si>
    <t>Returned To Dept Of Lottery</t>
  </si>
  <si>
    <t>75990</t>
  </si>
  <si>
    <t>Returned To Bor</t>
  </si>
  <si>
    <t>76100</t>
  </si>
  <si>
    <t>Repairs and Maintenance Expense</t>
  </si>
  <si>
    <t>76101</t>
  </si>
  <si>
    <t>Repairs &amp; Maintance-Building</t>
  </si>
  <si>
    <t>76102</t>
  </si>
  <si>
    <t>Repairs And Maintenance - Edp</t>
  </si>
  <si>
    <t>76103</t>
  </si>
  <si>
    <t>Repairs &amp; Maintenance - Other</t>
  </si>
  <si>
    <t>76200</t>
  </si>
  <si>
    <t>Fiscal Charges Expense</t>
  </si>
  <si>
    <t>76201</t>
  </si>
  <si>
    <t>Bank Fees-Capital City</t>
  </si>
  <si>
    <t>76206</t>
  </si>
  <si>
    <t>Bank Fees-Commingled</t>
  </si>
  <si>
    <t>76207</t>
  </si>
  <si>
    <t>Bank Fees-Group Trust</t>
  </si>
  <si>
    <t>76208</t>
  </si>
  <si>
    <t>Bank Fees-State Street</t>
  </si>
  <si>
    <t>76209</t>
  </si>
  <si>
    <t>Bank Fee-Melon</t>
  </si>
  <si>
    <t>76210</t>
  </si>
  <si>
    <t>Bank Fees - Sun Trust Bank</t>
  </si>
  <si>
    <t>76212</t>
  </si>
  <si>
    <t>Mellon MAS &amp; Incentive Fees</t>
  </si>
  <si>
    <t>76214</t>
  </si>
  <si>
    <t>Bank Accounting Fees - BNYM</t>
  </si>
  <si>
    <t>76215</t>
  </si>
  <si>
    <t>Bank Domest Custody Fees - BNYM</t>
  </si>
  <si>
    <t>76216</t>
  </si>
  <si>
    <t>Bank Intl Custody Fees - BNYM</t>
  </si>
  <si>
    <t>76230</t>
  </si>
  <si>
    <t>Taxes-Rehab and Liquidation</t>
  </si>
  <si>
    <t>76231</t>
  </si>
  <si>
    <t>Rehab and Liq-Accounting Fees</t>
  </si>
  <si>
    <t>76270</t>
  </si>
  <si>
    <t>76271</t>
  </si>
  <si>
    <t>Re-Reg Fees, Postage, Insurance</t>
  </si>
  <si>
    <t>76272</t>
  </si>
  <si>
    <t>Foreign Capital Gain Taxes</t>
  </si>
  <si>
    <t>76273</t>
  </si>
  <si>
    <t>Consulting Fees-Nonbudgeted</t>
  </si>
  <si>
    <t>76275</t>
  </si>
  <si>
    <t>Bankruptcy Expenses</t>
  </si>
  <si>
    <t>76276</t>
  </si>
  <si>
    <t>Futures &amp; Option Commissions</t>
  </si>
  <si>
    <t>76299</t>
  </si>
  <si>
    <t>Bank Fees-Bank Of America</t>
  </si>
  <si>
    <t>76300</t>
  </si>
  <si>
    <t>Payment of Lottery Winnings</t>
  </si>
  <si>
    <t>76400</t>
  </si>
  <si>
    <t>Commissions on Lottery Sales</t>
  </si>
  <si>
    <t>76500</t>
  </si>
  <si>
    <t>SWFS Only - Capital Asset Impairment</t>
  </si>
  <si>
    <t>76600</t>
  </si>
  <si>
    <t>Withdrawal of Funds by Investing Governments</t>
  </si>
  <si>
    <t>76601</t>
  </si>
  <si>
    <t>Inv Withdrawal-Local Govts</t>
  </si>
  <si>
    <t>76602</t>
  </si>
  <si>
    <t>Distributions Paid/Payable</t>
  </si>
  <si>
    <t>76603</t>
  </si>
  <si>
    <t>Withdrawal - Commingled Inv</t>
  </si>
  <si>
    <t>76605</t>
  </si>
  <si>
    <t>Increase In Northern Trust</t>
  </si>
  <si>
    <t>76606</t>
  </si>
  <si>
    <t>Returned To Northern Trust</t>
  </si>
  <si>
    <t>76612</t>
  </si>
  <si>
    <t>Return To Fefvr</t>
  </si>
  <si>
    <t>76613</t>
  </si>
  <si>
    <t>Return To Fl Foundation</t>
  </si>
  <si>
    <t>76623</t>
  </si>
  <si>
    <t>Withdrawal - Flpp Savings</t>
  </si>
  <si>
    <t>76624</t>
  </si>
  <si>
    <t>Withdrawal - Cash</t>
  </si>
  <si>
    <t>76625</t>
  </si>
  <si>
    <t>Withdrawal - Securities</t>
  </si>
  <si>
    <t>76700</t>
  </si>
  <si>
    <t>Basic Services</t>
  </si>
  <si>
    <t>76701</t>
  </si>
  <si>
    <t>Rental Of Building</t>
  </si>
  <si>
    <t>76710</t>
  </si>
  <si>
    <t>Travel - In State</t>
  </si>
  <si>
    <t>76711</t>
  </si>
  <si>
    <t>Travel - Adv Council In-State</t>
  </si>
  <si>
    <t>76712</t>
  </si>
  <si>
    <t>Travel - Out Of State</t>
  </si>
  <si>
    <t>76713</t>
  </si>
  <si>
    <t>Travel - In Town Training</t>
  </si>
  <si>
    <t>76720</t>
  </si>
  <si>
    <t>Communications - Other (Us Chg)</t>
  </si>
  <si>
    <t>76800</t>
  </si>
  <si>
    <t>Scholarships and Fellowships</t>
  </si>
  <si>
    <t>76801</t>
  </si>
  <si>
    <t>Scholarships - Fl Foundation</t>
  </si>
  <si>
    <t>76900</t>
  </si>
  <si>
    <t>(Dec.) Inc. Actuarial NPV of Contract Benefit Payments</t>
  </si>
  <si>
    <t>Oper. Exp.- Personal Services</t>
  </si>
  <si>
    <t>77101</t>
  </si>
  <si>
    <t>77102</t>
  </si>
  <si>
    <t>State Retirement Payments</t>
  </si>
  <si>
    <t>77103</t>
  </si>
  <si>
    <t>St. Health Insurance Payments</t>
  </si>
  <si>
    <t>77104</t>
  </si>
  <si>
    <t>St. Life Insurance Payments</t>
  </si>
  <si>
    <t>77105</t>
  </si>
  <si>
    <t>St. Disability Insurance Pymts</t>
  </si>
  <si>
    <t>77106</t>
  </si>
  <si>
    <t>Dental Insurance Payments</t>
  </si>
  <si>
    <t>77109</t>
  </si>
  <si>
    <t>Compensated Absences expense</t>
  </si>
  <si>
    <t>77110</t>
  </si>
  <si>
    <t>Compensated Absences:Annual, Sick, Compn</t>
  </si>
  <si>
    <t>77112</t>
  </si>
  <si>
    <t>Other Post Employment Benefits Expense</t>
  </si>
  <si>
    <t>77113</t>
  </si>
  <si>
    <t>HIS Pension Expense</t>
  </si>
  <si>
    <t>77114</t>
  </si>
  <si>
    <t>FRS Pension Expense</t>
  </si>
  <si>
    <t>77196</t>
  </si>
  <si>
    <t>Expenditures - Current Compensated Absences</t>
  </si>
  <si>
    <t>77199</t>
  </si>
  <si>
    <t>Salaries</t>
  </si>
  <si>
    <t>508842</t>
  </si>
  <si>
    <t>77200</t>
  </si>
  <si>
    <t>Oper. Exp.- Contractual Services</t>
  </si>
  <si>
    <t>77201</t>
  </si>
  <si>
    <t>Loan Disbursements-Rehab and Liquidation</t>
  </si>
  <si>
    <t>77202</t>
  </si>
  <si>
    <t>Sec-Lend Bank Fees</t>
  </si>
  <si>
    <t>77203</t>
  </si>
  <si>
    <t>Ocs-Advertising</t>
  </si>
  <si>
    <t>202200</t>
  </si>
  <si>
    <t>77204</t>
  </si>
  <si>
    <t>Ocs-Boc/Lockbox</t>
  </si>
  <si>
    <t>77206</t>
  </si>
  <si>
    <t>Ocs-College Bound</t>
  </si>
  <si>
    <t>77207</t>
  </si>
  <si>
    <t>Ocs-Consulting</t>
  </si>
  <si>
    <t>77209</t>
  </si>
  <si>
    <t>Ocs-Information Services</t>
  </si>
  <si>
    <t>77210</t>
  </si>
  <si>
    <t>Ocs-Legal</t>
  </si>
  <si>
    <t>77211</t>
  </si>
  <si>
    <t>Ocs-Management Fees Fixed Inc</t>
  </si>
  <si>
    <t>77212</t>
  </si>
  <si>
    <t>Ocs-Management Fees Equities</t>
  </si>
  <si>
    <t>77213</t>
  </si>
  <si>
    <t>Ocs-Marketing Agent</t>
  </si>
  <si>
    <t>77215</t>
  </si>
  <si>
    <t>Ocs-Miscellaneous</t>
  </si>
  <si>
    <t>208841</t>
  </si>
  <si>
    <t>77217</t>
  </si>
  <si>
    <t>Ocs-Records</t>
  </si>
  <si>
    <t>208843</t>
  </si>
  <si>
    <t>77218</t>
  </si>
  <si>
    <t>Ocs - Trustee</t>
  </si>
  <si>
    <t>208842</t>
  </si>
  <si>
    <t>77220</t>
  </si>
  <si>
    <t>Participant Refunds-Flpp</t>
  </si>
  <si>
    <t>77221</t>
  </si>
  <si>
    <t>Tuition Payments</t>
  </si>
  <si>
    <t>208845</t>
  </si>
  <si>
    <t>77222</t>
  </si>
  <si>
    <t>Housing Payments</t>
  </si>
  <si>
    <t>77223</t>
  </si>
  <si>
    <t>Local Fee Payments</t>
  </si>
  <si>
    <t>77224</t>
  </si>
  <si>
    <t>Remittances To Annuity Companies</t>
  </si>
  <si>
    <t>408841</t>
  </si>
  <si>
    <t>77225</t>
  </si>
  <si>
    <t>Hmo Payments</t>
  </si>
  <si>
    <t>77226</t>
  </si>
  <si>
    <t>Supplemental Insurance Payments</t>
  </si>
  <si>
    <t>508841</t>
  </si>
  <si>
    <t>77227</t>
  </si>
  <si>
    <t>Flexible Reimbursement Payments</t>
  </si>
  <si>
    <t>508843</t>
  </si>
  <si>
    <t>77228</t>
  </si>
  <si>
    <t>Life Insurance Premium Payments</t>
  </si>
  <si>
    <t>718841</t>
  </si>
  <si>
    <t>77229</t>
  </si>
  <si>
    <t>OCS - Accounting/Auditing</t>
  </si>
  <si>
    <t>77230</t>
  </si>
  <si>
    <t>Investment Service Charges</t>
  </si>
  <si>
    <t>77240</t>
  </si>
  <si>
    <t>Management Fees</t>
  </si>
  <si>
    <t>77241</t>
  </si>
  <si>
    <t>Management Fees-Stif</t>
  </si>
  <si>
    <t>790000</t>
  </si>
  <si>
    <t>77242</t>
  </si>
  <si>
    <t>FLPP Admin Service Charges</t>
  </si>
  <si>
    <t>748841</t>
  </si>
  <si>
    <t>77250</t>
  </si>
  <si>
    <t>Sba Administrative Expense</t>
  </si>
  <si>
    <t>77270</t>
  </si>
  <si>
    <t>Consulting Fees - Nonbudgeted</t>
  </si>
  <si>
    <t>77271</t>
  </si>
  <si>
    <t>Legal Fees - Nonbudgeted</t>
  </si>
  <si>
    <t>768842</t>
  </si>
  <si>
    <t>77277</t>
  </si>
  <si>
    <t>Acct Maintenance Fee Expense</t>
  </si>
  <si>
    <t>768843</t>
  </si>
  <si>
    <t>77278</t>
  </si>
  <si>
    <t>Purchaser Reimbursement</t>
  </si>
  <si>
    <t>77279</t>
  </si>
  <si>
    <t>Third Party Administration Fee</t>
  </si>
  <si>
    <t>77280</t>
  </si>
  <si>
    <t>Student Loan Default Payments</t>
  </si>
  <si>
    <t>77281</t>
  </si>
  <si>
    <t>Communications Consultant Fees</t>
  </si>
  <si>
    <t>77282</t>
  </si>
  <si>
    <t>Myfrs Fin Guidance Line Fees</t>
  </si>
  <si>
    <t>77283</t>
  </si>
  <si>
    <t>Payroll Administration Fees</t>
  </si>
  <si>
    <t>77284</t>
  </si>
  <si>
    <t>S&amp;P Rating Maintenance Fees</t>
  </si>
  <si>
    <t>77285</t>
  </si>
  <si>
    <t>Audit Fees</t>
  </si>
  <si>
    <t>77286</t>
  </si>
  <si>
    <t>Professional Fees and Expense</t>
  </si>
  <si>
    <t>77290</t>
  </si>
  <si>
    <t>Sec Lendg Bank Fees 772Xx</t>
  </si>
  <si>
    <t>77291</t>
  </si>
  <si>
    <t>Sec Lendg Broker Rebates 772Xx</t>
  </si>
  <si>
    <t>77293</t>
  </si>
  <si>
    <t>Compliance Review Svcs - Non budgeted</t>
  </si>
  <si>
    <t>77296</t>
  </si>
  <si>
    <t>Posting Closing Entry Gaafr 73</t>
  </si>
  <si>
    <t>77299</t>
  </si>
  <si>
    <t>Ocs-Temporary Employment</t>
  </si>
  <si>
    <t>77300</t>
  </si>
  <si>
    <t>Oper. Exp.- Materials &amp; Supplies</t>
  </si>
  <si>
    <t>77301</t>
  </si>
  <si>
    <t>Freight</t>
  </si>
  <si>
    <t>77302</t>
  </si>
  <si>
    <t>77303</t>
  </si>
  <si>
    <t>Moving Expenses-Empoyee</t>
  </si>
  <si>
    <t>77310</t>
  </si>
  <si>
    <t>Office Materials &amp; Supplies</t>
  </si>
  <si>
    <t>77311</t>
  </si>
  <si>
    <t>Off Sup-Furn &amp; Noncomp&lt;$1000</t>
  </si>
  <si>
    <t>77312</t>
  </si>
  <si>
    <t>Office Materials Books - &lt;$250</t>
  </si>
  <si>
    <t>77313</t>
  </si>
  <si>
    <t>Office Materials - Training Aids</t>
  </si>
  <si>
    <t>77314</t>
  </si>
  <si>
    <t>Office Supp-Comp Equip&lt;$1000</t>
  </si>
  <si>
    <t>77320</t>
  </si>
  <si>
    <t>Other Charges &amp; Obligations</t>
  </si>
  <si>
    <t>77321</t>
  </si>
  <si>
    <t>77325</t>
  </si>
  <si>
    <t>77331</t>
  </si>
  <si>
    <t>Repairs &amp; Maintenance-Edp</t>
  </si>
  <si>
    <t>77350</t>
  </si>
  <si>
    <t>77351</t>
  </si>
  <si>
    <t>Travel-Adv Council In State</t>
  </si>
  <si>
    <t>77352</t>
  </si>
  <si>
    <t>77396</t>
  </si>
  <si>
    <t>Expense - Donated Food</t>
  </si>
  <si>
    <t>77399</t>
  </si>
  <si>
    <t>Communications-Other</t>
  </si>
  <si>
    <t>77400</t>
  </si>
  <si>
    <t>Oper. Exp.- Amortization &amp; Write-Offs</t>
  </si>
  <si>
    <t>77401</t>
  </si>
  <si>
    <t>OCO-Furn/Equip=&gt;$1K Bks=&gt;$250</t>
  </si>
  <si>
    <t>77402</t>
  </si>
  <si>
    <t>OCO Edp =/&gt; $1000</t>
  </si>
  <si>
    <t>77410</t>
  </si>
  <si>
    <t>Other Capital Outlay Offset</t>
  </si>
  <si>
    <t>77499</t>
  </si>
  <si>
    <t>OCO - Books=/&gt; $250</t>
  </si>
  <si>
    <t>Oper. Exp.- Depreciation &amp; Amortization</t>
  </si>
  <si>
    <t>77501</t>
  </si>
  <si>
    <t>Depreciation Exp-Furn &amp; Equip</t>
  </si>
  <si>
    <t>77600</t>
  </si>
  <si>
    <t>Interest Expense Operating</t>
  </si>
  <si>
    <t>77700</t>
  </si>
  <si>
    <t>Insurance Claims Expense</t>
  </si>
  <si>
    <t>77800</t>
  </si>
  <si>
    <t>Cost of Goods</t>
  </si>
  <si>
    <t>77900</t>
  </si>
  <si>
    <t>Benefit Payments</t>
  </si>
  <si>
    <t>77901</t>
  </si>
  <si>
    <t>78100</t>
  </si>
  <si>
    <t>Property Disposition Gain or Loss</t>
  </si>
  <si>
    <t>78101</t>
  </si>
  <si>
    <t>Gain/Loss On Sale Of Furniture</t>
  </si>
  <si>
    <t>78200</t>
  </si>
  <si>
    <t>Escrow Distributions</t>
  </si>
  <si>
    <t>78300</t>
  </si>
  <si>
    <t>Interest Expense Non-Operating</t>
  </si>
  <si>
    <t>78400</t>
  </si>
  <si>
    <t>Grant Expense</t>
  </si>
  <si>
    <t>78401</t>
  </si>
  <si>
    <t>FLPP Client Foundation</t>
  </si>
  <si>
    <t>78500</t>
  </si>
  <si>
    <t>Amortization and Fiscal Charges</t>
  </si>
  <si>
    <t>78501</t>
  </si>
  <si>
    <t>Fiscal Charges Non-Operating</t>
  </si>
  <si>
    <t>78502</t>
  </si>
  <si>
    <t>Sec Lending Bank Fees 785Xx</t>
  </si>
  <si>
    <t>78503</t>
  </si>
  <si>
    <t>Receivership Impaired Assets Expense</t>
  </si>
  <si>
    <t>78509</t>
  </si>
  <si>
    <t>Investment Mgmt Fees 785XX</t>
  </si>
  <si>
    <t>78510</t>
  </si>
  <si>
    <t>Administrative Fees - State Treasury Investments</t>
  </si>
  <si>
    <t>78537</t>
  </si>
  <si>
    <t>DEP Administrative Fees</t>
  </si>
  <si>
    <t>78555</t>
  </si>
  <si>
    <t>DOT Administrative Fees</t>
  </si>
  <si>
    <t>78600</t>
  </si>
  <si>
    <t>Amortization - Non-Operating</t>
  </si>
  <si>
    <t>78700</t>
  </si>
  <si>
    <t>Special Item</t>
  </si>
  <si>
    <t>78800</t>
  </si>
  <si>
    <t>Extraordinary Gain/Loss</t>
  </si>
  <si>
    <t>78900</t>
  </si>
  <si>
    <t>Other Non-Operating Expenses</t>
  </si>
  <si>
    <t>78901</t>
  </si>
  <si>
    <t>Other Non-Operating Expense</t>
  </si>
  <si>
    <t>78912</t>
  </si>
  <si>
    <t>Service Charges</t>
  </si>
  <si>
    <t>78920</t>
  </si>
  <si>
    <t>Payments To Unclaimed Property Claimants</t>
  </si>
  <si>
    <t>78921</t>
  </si>
  <si>
    <t>Distribution To State School Fund</t>
  </si>
  <si>
    <t>78922</t>
  </si>
  <si>
    <t>DOE Payments - Estimated Liability</t>
  </si>
  <si>
    <t>78940</t>
  </si>
  <si>
    <t>Refunds Of Contributions</t>
  </si>
  <si>
    <t>78950</t>
  </si>
  <si>
    <t>Other Non-Operating Expenses - Payroll Adjustments</t>
  </si>
  <si>
    <t>79100</t>
  </si>
  <si>
    <t>Non-Appropriated Expenditures</t>
  </si>
  <si>
    <t>79120</t>
  </si>
  <si>
    <t>Purchase of Short Term Investments</t>
  </si>
  <si>
    <t>79121</t>
  </si>
  <si>
    <t>Purchase Of Stip-Offset</t>
  </si>
  <si>
    <t>79128</t>
  </si>
  <si>
    <t>Purch. Of Options-Fi</t>
  </si>
  <si>
    <t>79130</t>
  </si>
  <si>
    <t>Purch. Of Equity Inv.</t>
  </si>
  <si>
    <t>79131</t>
  </si>
  <si>
    <t>Purch. Of Fixed Inc. Inv</t>
  </si>
  <si>
    <t>79160</t>
  </si>
  <si>
    <t>Purch. Of Real Estate</t>
  </si>
  <si>
    <t>79181</t>
  </si>
  <si>
    <t>Frgn Currency - Apprec/Deprec</t>
  </si>
  <si>
    <t>79182</t>
  </si>
  <si>
    <t>Short Term-Apprec/Deprec</t>
  </si>
  <si>
    <t>79183</t>
  </si>
  <si>
    <t>Fixed Income-Apprec/Deprec</t>
  </si>
  <si>
    <t>79184</t>
  </si>
  <si>
    <t>Equities - Apprec/Deprec</t>
  </si>
  <si>
    <t>79186</t>
  </si>
  <si>
    <t>Fi Options - Apprec/Deprec</t>
  </si>
  <si>
    <t>79192</t>
  </si>
  <si>
    <t>Investment Purch Offset</t>
  </si>
  <si>
    <t>79195</t>
  </si>
  <si>
    <t>Purch. Of Foreign Currency</t>
  </si>
  <si>
    <t>79300</t>
  </si>
  <si>
    <t>Change in Reserve for Prepaids (NOT VALID FOR FINA</t>
  </si>
  <si>
    <t>79400</t>
  </si>
  <si>
    <t>79500</t>
  </si>
  <si>
    <t>Payments to Refunded Bond Escrow Agent</t>
  </si>
  <si>
    <t>79501</t>
  </si>
  <si>
    <t>Pmt - Refund. Bd Esc Agt - Ofu</t>
  </si>
  <si>
    <t>79600</t>
  </si>
  <si>
    <t>Capitalized Transfers</t>
  </si>
  <si>
    <t>79900</t>
  </si>
  <si>
    <t>Purchase Of Foreign Currency</t>
  </si>
  <si>
    <t>81100</t>
  </si>
  <si>
    <t>Est. Taxes</t>
  </si>
  <si>
    <t>81200</t>
  </si>
  <si>
    <t>Est. Licenses And Permits</t>
  </si>
  <si>
    <t>81300</t>
  </si>
  <si>
    <t>Est. Fees</t>
  </si>
  <si>
    <t>81301</t>
  </si>
  <si>
    <t>81400</t>
  </si>
  <si>
    <t>Est. Grants and Donations Non Capital</t>
  </si>
  <si>
    <t>81500</t>
  </si>
  <si>
    <t>Est. Interest</t>
  </si>
  <si>
    <t>81600</t>
  </si>
  <si>
    <t>Est. Fines, Forfeits, Judgments and Settlements</t>
  </si>
  <si>
    <t>81700</t>
  </si>
  <si>
    <t>Est. Insurance Contributions</t>
  </si>
  <si>
    <t>81800</t>
  </si>
  <si>
    <t>Est. Refunds</t>
  </si>
  <si>
    <t>81900</t>
  </si>
  <si>
    <t>Est. Other Revenues</t>
  </si>
  <si>
    <t>82100</t>
  </si>
  <si>
    <t>Est. Capital Grants and Donations</t>
  </si>
  <si>
    <t>82200</t>
  </si>
  <si>
    <t>Est. Sale of Fixed Assets</t>
  </si>
  <si>
    <t>83100</t>
  </si>
  <si>
    <t>Est-Released Gen Rev Appropriations</t>
  </si>
  <si>
    <t>83300</t>
  </si>
  <si>
    <t>Est Released Working Capital Approp</t>
  </si>
  <si>
    <t>85100</t>
  </si>
  <si>
    <t>Est. Transfers in from Component Units</t>
  </si>
  <si>
    <t>85500</t>
  </si>
  <si>
    <t>Est Federal Funds Transfers in From within Agency</t>
  </si>
  <si>
    <t>85600</t>
  </si>
  <si>
    <t>Est Federal Funds Trans in From Other Agencies</t>
  </si>
  <si>
    <t>85700</t>
  </si>
  <si>
    <t>Est. Trans. in From  within The Agency</t>
  </si>
  <si>
    <t>85800</t>
  </si>
  <si>
    <t>Est. Gen Revenue Transfers In</t>
  </si>
  <si>
    <t>85900</t>
  </si>
  <si>
    <t>Est. Transfers in From Other Agencies</t>
  </si>
  <si>
    <t>86100</t>
  </si>
  <si>
    <t>Est Toll Facilities Revenue</t>
  </si>
  <si>
    <t>86200</t>
  </si>
  <si>
    <t>Est Interest on Loans</t>
  </si>
  <si>
    <t>86300</t>
  </si>
  <si>
    <t>Est Pension Fund Contrib. - State</t>
  </si>
  <si>
    <t>86400</t>
  </si>
  <si>
    <t>Est Pension Fund Contrib. - Non-state</t>
  </si>
  <si>
    <t>86700</t>
  </si>
  <si>
    <t>Est Fees</t>
  </si>
  <si>
    <t>87100</t>
  </si>
  <si>
    <t>Est. Sale of Goods &amp; Services - State</t>
  </si>
  <si>
    <t>87200</t>
  </si>
  <si>
    <t>Est. Sale of Goods &amp; Services - Non-State</t>
  </si>
  <si>
    <t>87300</t>
  </si>
  <si>
    <t>87400</t>
  </si>
  <si>
    <t>Est. Rent - State</t>
  </si>
  <si>
    <t>87500</t>
  </si>
  <si>
    <t>Est. Rents and Royalties - Non-State</t>
  </si>
  <si>
    <t>87600</t>
  </si>
  <si>
    <t>87700</t>
  </si>
  <si>
    <t>Est Gain on Sale of Investments (NOT VALID FOR FIN</t>
  </si>
  <si>
    <t>87900</t>
  </si>
  <si>
    <t>Est. Other Operating Revenue</t>
  </si>
  <si>
    <t>88300</t>
  </si>
  <si>
    <t>Est. Non-Capital Grants and Donations</t>
  </si>
  <si>
    <t>88400</t>
  </si>
  <si>
    <t>Est. Non-Op Rents-State</t>
  </si>
  <si>
    <t>88500</t>
  </si>
  <si>
    <t>Est. Non-Op Rents &amp; Royalties- Non-State</t>
  </si>
  <si>
    <t>88600</t>
  </si>
  <si>
    <t>Est. Non-Operating  Interest</t>
  </si>
  <si>
    <t>88700</t>
  </si>
  <si>
    <t>Est Capital Grants and Donations</t>
  </si>
  <si>
    <t>88900</t>
  </si>
  <si>
    <t>Est. Other Non-Operating Revenues</t>
  </si>
  <si>
    <t>89100</t>
  </si>
  <si>
    <t>Est. Bond Proceeds</t>
  </si>
  <si>
    <t>89300</t>
  </si>
  <si>
    <t>Est Installment Purch. Note Proceeds</t>
  </si>
  <si>
    <t>89400</t>
  </si>
  <si>
    <t>Est Capital Lease Inceptions</t>
  </si>
  <si>
    <t>91100</t>
  </si>
  <si>
    <t>Appropriations (NOT VALID FOR FINANCIAL STATEMENTS</t>
  </si>
  <si>
    <t>91200</t>
  </si>
  <si>
    <t>Appropriations, Allocated (NOT VALID FOR FINANCIAL</t>
  </si>
  <si>
    <t>92100</t>
  </si>
  <si>
    <t>Approved Budget (NOT VALID FOR FINANCIAL STATEMENT</t>
  </si>
  <si>
    <t>92200</t>
  </si>
  <si>
    <t>Approved Budget, Allotted (NOT VALID FOR FINANCIAL</t>
  </si>
  <si>
    <t>92300</t>
  </si>
  <si>
    <t>Budget Allotted, C &amp; G Subsystem (NOT VALID FOR FI</t>
  </si>
  <si>
    <t>93100</t>
  </si>
  <si>
    <t>Allotments (NOT VALID FOR FINANCIAL STATEMENTS)</t>
  </si>
  <si>
    <t>93200</t>
  </si>
  <si>
    <t>Allotments, C &amp; G Subsystem (NOT VALID FOR FINANCI</t>
  </si>
  <si>
    <t>94100</t>
  </si>
  <si>
    <t>Encumbrances (NOT VALID FOR FINANCIAL STATEMENTS)</t>
  </si>
  <si>
    <t>98100</t>
  </si>
  <si>
    <t>Budgetary Fund Bal Reserved/Encumbrance (NOT VALID</t>
  </si>
  <si>
    <t>99100</t>
  </si>
  <si>
    <t>Budgetary Fund Balance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</si>
</sst>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mm/dd/yyyy"/>
    <numFmt numFmtId="166" formatCode="&quot;$&quot;#,##0"/>
    <numFmt numFmtId="167" formatCode="_(* #,##0_);_(* \(#,##0\);_(* &quot;-&quot;??_);_(@_)"/>
    <numFmt numFmtId="168" formatCode="_(* #,##0.00_);_(* \(#,##0.00\)"/>
    <numFmt numFmtId="169" formatCode="0.0%"/>
    <numFmt numFmtId="170" formatCode="_(&quot;$&quot;\ #,##0.00_);_(&quot;$&quot;\ \(#,##0.00\)"/>
    <numFmt numFmtId="171" formatCode="_(&quot;$&quot;* #,##0.00_);_(&quot;$&quot;* \(#,##0.00\)"/>
    <numFmt numFmtId="172" formatCode="m/d/yy;@"/>
    <numFmt numFmtId="173" formatCode="[$-409]mmmm\ d\,\ yyyy;@"/>
    <numFmt numFmtId="174" formatCode="_(&quot;$&quot;* #,##0_);_(&quot;$&quot;* \(#,##0\);_(&quot;$&quot;* &quot;-&quot;??_);_(@_)"/>
    <numFmt numFmtId="175" formatCode="_(&quot;$&quot;* #,##0.0_);_(&quot;$&quot;* \(#,##0.0\);_(&quot;$&quot;* &quot;-&quot;??_);_(@_)"/>
    <numFmt numFmtId="176" formatCode="_(* #,##0.0_);_(* \(#,##0.0\);_(* &quot;-&quot;??_);_(@_)"/>
    <numFmt numFmtId="177" formatCode="m\-d\-yy;@"/>
    <numFmt numFmtId="178" formatCode="0.0"/>
    <numFmt numFmtId="179" formatCode="_(* #,##0.0_);_(* \(#,##0.0\);_(* &quot;-&quot;?_);_(@_)"/>
    <numFmt numFmtId="180" formatCode="_(&quot;$&quot;* #,##0.00_);_(&quot;$&quot;* \(#,##0.00\);_(&quot;$&quot;* &quot;-&quot;_);_(@_)"/>
    <numFmt numFmtId="181" formatCode="_(&quot;$&quot;* #,##0.0_);_(&quot;$&quot;* \(#,##0.0\);_(&quot;$&quot;* &quot;-&quot;_);_(@_)"/>
    <numFmt numFmtId="182" formatCode="#,##0.0_);\(#,##0.0\)"/>
    <numFmt numFmtId="183" formatCode="_(&quot;$&quot;* #,##0_);_(&quot;$&quot;* \(#,##0\);_(&quot;$&quot;* &quot;&quot;??_);_(@_)"/>
    <numFmt numFmtId="184" formatCode="_(&quot;$&quot;* #,##0_);_(&quot;$&quot;* \(#,##0\);_(&quot;$&quot;* &quot;&quot;_);_(@_)"/>
    <numFmt numFmtId="185" formatCode="_(* #,##0_);_(* \(#,##0\);_(* &quot;&quot;??_);_(@_)"/>
    <numFmt numFmtId="186" formatCode="m\-d\-yy"/>
    <numFmt numFmtId="187" formatCode="_(* #,##0_);_(* \(#,##0\);_(* &quot;&quot;_);_(@_)"/>
    <numFmt numFmtId="188" formatCode="_(&quot;$&quot;\ #,##0.0_);_(&quot;$&quot;\ \(#,##0.0\);_(&quot;$&quot;\ &quot;-&quot;??_);_(@_)"/>
    <numFmt numFmtId="189" formatCode="_(#,##0_);_(\(#,##0\);_(\ &quot;-&quot;_);_(@_)"/>
    <numFmt numFmtId="190" formatCode="#,##0.0%_);[Red]\(#,##0.0%\)"/>
    <numFmt numFmtId="191" formatCode="#,##0.000%_);[Red]\(#,##0.000%\)"/>
    <numFmt numFmtId="192" formatCode="_(&quot;$&quot;* #,##0.00_);_(&quot;$&quot;* \(#,##0.00\);_(&quot;$&quot;* &quot;0.00&quot;??_);_(@_)"/>
    <numFmt numFmtId="193" formatCode="0.000%"/>
    <numFmt numFmtId="194" formatCode="0.0000%"/>
    <numFmt numFmtId="195" formatCode="######\-##\-#\-######"/>
    <numFmt numFmtId="196" formatCode="\(#\)"/>
    <numFmt numFmtId="197" formatCode="0.00_);[Red]\(0.00\)"/>
    <numFmt numFmtId="198" formatCode="\(#.\)"/>
    <numFmt numFmtId="199" formatCode="_(* #,##0.00;_(* \(#,##0.00\);_(* &quot;......&quot;_);_(@&quot;......&quot;_)"/>
    <numFmt numFmtId="200" formatCode="_(&quot;$&quot;* #,##0.00_);_(&quot;$&quot;* \(#,##0.00\);_(&quot;$&quot;* &quot;&quot;??_);_(@_)"/>
    <numFmt numFmtId="201" formatCode="_(* #,##0.00_);_(* \(#,##0.00\);_(* &quot;&quot;??_);_(@_)"/>
    <numFmt numFmtId="202" formatCode="#,##0.00%_);[Red]\(#,##0.00%\)"/>
    <numFmt numFmtId="203" formatCode="_(* #,##0.000_);_(* \(#,##0.000\);_(* &quot;-&quot;??_);_(@_)"/>
    <numFmt numFmtId="204" formatCode="0.000"/>
    <numFmt numFmtId="205" formatCode="#,##0.0_);[Red]\(#,##0.0\)"/>
    <numFmt numFmtId="206" formatCode="mm/dd/yy;@"/>
  </numFmts>
  <fonts count="277">
    <font>
      <sz val="11"/>
      <color theme="1"/>
      <name val="Calibri"/>
      <family val="2"/>
      <scheme val="minor"/>
    </font>
    <font>
      <sz val="11"/>
      <color indexed="8"/>
      <name val="Calibri"/>
      <family val="2"/>
    </font>
    <font>
      <sz val="10"/>
      <color indexed="8"/>
      <name val="Arial"/>
      <family val="2"/>
    </font>
    <font>
      <sz val="10"/>
      <name val="Arial"/>
      <family val="2"/>
    </font>
    <font>
      <b/>
      <sz val="10"/>
      <color indexed="8"/>
      <name val="Arial"/>
      <family val="2"/>
    </font>
    <font>
      <sz val="12"/>
      <name val="Arial"/>
      <family val="2"/>
    </font>
    <font>
      <sz val="9"/>
      <color indexed="10"/>
      <name val="Arial"/>
      <family val="2"/>
    </font>
    <font>
      <sz val="10"/>
      <color indexed="10"/>
      <name val="Arial"/>
      <family val="2"/>
    </font>
    <font>
      <sz val="8"/>
      <color indexed="8"/>
      <name val="Arial"/>
      <family val="2"/>
    </font>
    <font>
      <b/>
      <sz val="10"/>
      <name val="Arial"/>
      <family val="2"/>
    </font>
    <font>
      <sz val="8"/>
      <color indexed="10"/>
      <name val="Arial"/>
      <family val="2"/>
    </font>
    <font>
      <sz val="9"/>
      <name val="Arial"/>
      <family val="2"/>
    </font>
    <font>
      <sz val="8"/>
      <name val="Arial"/>
      <family val="2"/>
    </font>
    <font>
      <sz val="10"/>
      <name val="Arial"/>
      <family val="2"/>
    </font>
    <font>
      <sz val="11"/>
      <color indexed="8"/>
      <name val="Calibri"/>
      <family val="2"/>
    </font>
    <font>
      <sz val="8"/>
      <color indexed="81"/>
      <name val="Tahoma"/>
      <family val="2"/>
    </font>
    <font>
      <b/>
      <sz val="18"/>
      <color indexed="56"/>
      <name val="Cambria"/>
      <family val="2"/>
    </font>
    <font>
      <sz val="10"/>
      <color indexed="81"/>
      <name val="Tahoma"/>
      <family val="2"/>
    </font>
    <font>
      <b/>
      <sz val="10"/>
      <color indexed="81"/>
      <name val="Tahoma"/>
      <family val="2"/>
    </font>
    <font>
      <b/>
      <i/>
      <sz val="10"/>
      <name val="Arial"/>
      <family val="2"/>
    </font>
    <font>
      <sz val="14"/>
      <name val="Arial"/>
      <family val="2"/>
    </font>
    <font>
      <u/>
      <sz val="14"/>
      <color indexed="12"/>
      <name val="Arial"/>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1"/>
      <color theme="1"/>
      <name val="Calibri"/>
      <family val="2"/>
      <scheme val="minor"/>
    </font>
    <font>
      <b/>
      <sz val="11"/>
      <color theme="1"/>
      <name val="Calibri"/>
      <family val="2"/>
      <scheme val="minor"/>
    </font>
    <font>
      <b/>
      <sz val="12"/>
      <color theme="1"/>
      <name val="Calibri"/>
      <family val="2"/>
      <scheme val="minor"/>
    </font>
    <font>
      <b/>
      <sz val="18"/>
      <color theme="1"/>
      <name val="Calibri"/>
      <family val="2"/>
      <scheme val="minor"/>
    </font>
    <font>
      <sz val="8"/>
      <color theme="1"/>
      <name val="Calibri"/>
      <family val="2"/>
      <scheme val="minor"/>
    </font>
    <font>
      <sz val="8"/>
      <color indexed="8"/>
      <name val="Calibri"/>
      <family val="2"/>
    </font>
    <font>
      <sz val="10"/>
      <color theme="1"/>
      <name val="Arial"/>
      <family val="2"/>
    </font>
    <font>
      <b/>
      <sz val="10"/>
      <name val="Calibri"/>
      <family val="2"/>
      <scheme val="minor"/>
    </font>
    <font>
      <sz val="10"/>
      <name val="Calibri"/>
      <family val="2"/>
      <scheme val="minor"/>
    </font>
    <font>
      <b/>
      <sz val="10"/>
      <color indexed="8"/>
      <name val="Calibri"/>
      <family val="2"/>
      <scheme val="minor"/>
    </font>
    <font>
      <sz val="11"/>
      <color theme="1"/>
      <name val="Garamond"/>
      <family val="1"/>
    </font>
    <font>
      <sz val="11"/>
      <name val="Garamond"/>
      <family val="1"/>
    </font>
    <font>
      <sz val="11"/>
      <color rgb="FF000000"/>
      <name val="Garamond"/>
      <family val="1"/>
    </font>
    <font>
      <b/>
      <sz val="11"/>
      <color rgb="FF3333FF"/>
      <name val="Garamond"/>
      <family val="1"/>
    </font>
    <font>
      <sz val="11"/>
      <color rgb="FFFF0000"/>
      <name val="Garamond"/>
      <family val="1"/>
    </font>
    <font>
      <sz val="10"/>
      <color theme="3"/>
      <name val="Arial"/>
      <family val="2"/>
    </font>
    <font>
      <sz val="8"/>
      <color theme="1"/>
      <name val="Arial"/>
      <family val="2"/>
    </font>
    <font>
      <b/>
      <u/>
      <sz val="11"/>
      <color rgb="FF000080"/>
      <name val="Garamond"/>
      <family val="1"/>
    </font>
    <font>
      <sz val="7"/>
      <color indexed="8"/>
      <name val="Calibri"/>
      <family val="2"/>
    </font>
    <font>
      <b/>
      <sz val="8"/>
      <color indexed="81"/>
      <name val="Tahoma"/>
      <family val="2"/>
    </font>
    <font>
      <b/>
      <sz val="9"/>
      <name val="Arial"/>
      <family val="2"/>
    </font>
    <font>
      <b/>
      <sz val="10"/>
      <color theme="1"/>
      <name val="Arial"/>
      <family val="2"/>
    </font>
    <font>
      <sz val="10"/>
      <color rgb="FF00B0F0"/>
      <name val="Arial"/>
      <family val="2"/>
    </font>
    <font>
      <sz val="9"/>
      <color theme="1"/>
      <name val="Arial"/>
      <family val="2"/>
    </font>
    <font>
      <b/>
      <sz val="11"/>
      <color theme="1"/>
      <name val="Garamond"/>
      <family val="1"/>
    </font>
    <font>
      <b/>
      <i/>
      <sz val="10"/>
      <color theme="1"/>
      <name val="Arial"/>
      <family val="2"/>
    </font>
    <font>
      <b/>
      <sz val="9"/>
      <color indexed="81"/>
      <name val="Tahoma"/>
      <family val="2"/>
    </font>
    <font>
      <b/>
      <sz val="10"/>
      <color rgb="FFFF0000"/>
      <name val="Arial"/>
      <family val="2"/>
    </font>
    <font>
      <sz val="10"/>
      <color rgb="FFFF0000"/>
      <name val="Arial"/>
      <family val="2"/>
    </font>
    <font>
      <b/>
      <sz val="12"/>
      <name val="Garamond"/>
      <family val="1"/>
    </font>
    <font>
      <b/>
      <sz val="9"/>
      <color indexed="8"/>
      <name val="Arial"/>
      <family val="2"/>
    </font>
    <font>
      <sz val="9"/>
      <color indexed="8"/>
      <name val="Arial"/>
      <family val="2"/>
    </font>
    <font>
      <i/>
      <sz val="9"/>
      <color indexed="10"/>
      <name val="Arial"/>
      <family val="2"/>
    </font>
    <font>
      <b/>
      <sz val="9"/>
      <color indexed="10"/>
      <name val="Arial"/>
      <family val="2"/>
    </font>
    <font>
      <b/>
      <sz val="9"/>
      <color indexed="12"/>
      <name val="Arial"/>
      <family val="2"/>
    </font>
    <font>
      <sz val="10"/>
      <color theme="1"/>
      <name val="Calibri"/>
      <family val="2"/>
      <scheme val="minor"/>
    </font>
    <font>
      <b/>
      <u/>
      <sz val="10"/>
      <color indexed="8"/>
      <name val="Arial"/>
      <family val="2"/>
    </font>
    <font>
      <sz val="10"/>
      <color indexed="12"/>
      <name val="Arial"/>
      <family val="2"/>
    </font>
    <font>
      <b/>
      <sz val="11"/>
      <name val="Garamond"/>
      <family val="1"/>
    </font>
    <font>
      <b/>
      <sz val="11"/>
      <color indexed="8"/>
      <name val="Garamond"/>
      <family val="1"/>
    </font>
    <font>
      <sz val="9"/>
      <color theme="1"/>
      <name val="Garamond"/>
      <family val="1"/>
    </font>
    <font>
      <sz val="11"/>
      <color theme="1"/>
      <name val="Arial"/>
      <family val="2"/>
    </font>
    <font>
      <sz val="10"/>
      <color theme="0"/>
      <name val="Arial"/>
      <family val="2"/>
    </font>
    <font>
      <b/>
      <u/>
      <sz val="10"/>
      <color theme="1"/>
      <name val="Arial"/>
      <family val="2"/>
    </font>
    <font>
      <b/>
      <sz val="11"/>
      <color rgb="FF000080"/>
      <name val="Garamond"/>
      <family val="1"/>
    </font>
    <font>
      <sz val="11"/>
      <color theme="1"/>
      <name val="Wingdings"/>
      <charset val="2"/>
    </font>
    <font>
      <sz val="7"/>
      <color theme="1"/>
      <name val="Times New Roman"/>
      <family val="1"/>
    </font>
    <font>
      <sz val="9"/>
      <color theme="1"/>
      <name val="Calibri"/>
      <family val="2"/>
      <scheme val="minor"/>
    </font>
    <font>
      <b/>
      <sz val="12"/>
      <color theme="1"/>
      <name val="Garamond"/>
      <family val="1"/>
    </font>
    <font>
      <sz val="12"/>
      <color theme="1"/>
      <name val="Calibri"/>
      <family val="2"/>
      <scheme val="minor"/>
    </font>
    <font>
      <sz val="12"/>
      <color theme="1"/>
      <name val="Garamond"/>
      <family val="1"/>
    </font>
    <font>
      <b/>
      <u/>
      <sz val="10"/>
      <color rgb="FFFF0000"/>
      <name val="Arial"/>
      <family val="2"/>
    </font>
    <font>
      <b/>
      <sz val="9"/>
      <color theme="1"/>
      <name val="Arial"/>
      <family val="2"/>
    </font>
    <font>
      <b/>
      <sz val="9"/>
      <color rgb="FFFF0000"/>
      <name val="Arial"/>
      <family val="2"/>
    </font>
    <font>
      <i/>
      <sz val="9"/>
      <name val="Arial"/>
      <family val="2"/>
    </font>
    <font>
      <b/>
      <sz val="9"/>
      <color rgb="FFC00000"/>
      <name val="Arial"/>
      <family val="2"/>
    </font>
    <font>
      <u/>
      <sz val="9"/>
      <color rgb="FF0070C0"/>
      <name val="Arial"/>
      <family val="2"/>
    </font>
    <font>
      <b/>
      <u/>
      <sz val="10"/>
      <name val="Arial"/>
      <family val="2"/>
    </font>
    <font>
      <b/>
      <sz val="12"/>
      <color theme="1"/>
      <name val="Arial"/>
      <family val="2"/>
    </font>
    <font>
      <u/>
      <sz val="10"/>
      <color theme="1"/>
      <name val="Arial"/>
      <family val="2"/>
    </font>
    <font>
      <i/>
      <sz val="10"/>
      <color theme="1"/>
      <name val="Arial"/>
      <family val="2"/>
    </font>
    <font>
      <i/>
      <u/>
      <sz val="10"/>
      <color theme="0"/>
      <name val="Arial"/>
      <family val="2"/>
    </font>
    <font>
      <i/>
      <u/>
      <sz val="10"/>
      <color theme="1"/>
      <name val="Arial"/>
      <family val="2"/>
    </font>
    <font>
      <b/>
      <u val="singleAccounting"/>
      <sz val="9"/>
      <name val="Arial"/>
      <family val="2"/>
    </font>
    <font>
      <b/>
      <sz val="11"/>
      <name val="Arial"/>
      <family val="2"/>
    </font>
    <font>
      <sz val="11"/>
      <color theme="0"/>
      <name val="Cambria"/>
      <family val="1"/>
    </font>
    <font>
      <sz val="10"/>
      <color theme="0"/>
      <name val="Cambria"/>
      <family val="1"/>
    </font>
    <font>
      <sz val="12"/>
      <color theme="1"/>
      <name val="Arial"/>
      <family val="2"/>
    </font>
    <font>
      <b/>
      <sz val="12"/>
      <name val="Arial"/>
      <family val="2"/>
    </font>
    <font>
      <sz val="16"/>
      <name val="Arial"/>
      <family val="2"/>
    </font>
    <font>
      <b/>
      <u/>
      <sz val="9"/>
      <name val="Arial"/>
      <family val="2"/>
    </font>
    <font>
      <b/>
      <sz val="11"/>
      <color theme="1"/>
      <name val="Arial"/>
      <family val="2"/>
    </font>
    <font>
      <sz val="9"/>
      <color theme="8" tint="-0.499984740745262"/>
      <name val="Arial"/>
      <family val="2"/>
    </font>
    <font>
      <b/>
      <sz val="14"/>
      <color theme="1"/>
      <name val="Calibri"/>
      <family val="2"/>
    </font>
    <font>
      <b/>
      <u/>
      <sz val="9"/>
      <color theme="1"/>
      <name val="Arial"/>
      <family val="2"/>
    </font>
    <font>
      <sz val="9"/>
      <color theme="0"/>
      <name val="Arial"/>
      <family val="2"/>
    </font>
    <font>
      <u/>
      <sz val="9"/>
      <color theme="1"/>
      <name val="Arial"/>
      <family val="2"/>
    </font>
    <font>
      <sz val="9"/>
      <color theme="9" tint="-0.499984740745262"/>
      <name val="Arial"/>
      <family val="2"/>
    </font>
    <font>
      <sz val="9"/>
      <color theme="7" tint="-0.499984740745262"/>
      <name val="Arial"/>
      <family val="2"/>
    </font>
    <font>
      <sz val="11"/>
      <color theme="0"/>
      <name val="Calibri"/>
      <family val="2"/>
      <scheme val="minor"/>
    </font>
    <font>
      <sz val="9"/>
      <color indexed="81"/>
      <name val="Tahoma"/>
      <family val="2"/>
    </font>
    <font>
      <b/>
      <u/>
      <sz val="11"/>
      <color theme="1"/>
      <name val="Garamond"/>
      <family val="1"/>
    </font>
    <font>
      <b/>
      <sz val="9"/>
      <color theme="1"/>
      <name val="Garamond"/>
      <family val="1"/>
    </font>
    <font>
      <sz val="12"/>
      <color theme="0"/>
      <name val="Garamond"/>
      <family val="1"/>
    </font>
    <font>
      <sz val="10"/>
      <color theme="1"/>
      <name val="Cambria"/>
      <family val="1"/>
    </font>
    <font>
      <i/>
      <sz val="12"/>
      <color theme="1"/>
      <name val="Arial"/>
      <family val="2"/>
    </font>
    <font>
      <sz val="12"/>
      <color theme="1"/>
      <name val="Arial Rounded MT Bold"/>
      <family val="2"/>
    </font>
    <font>
      <i/>
      <sz val="12"/>
      <color theme="1"/>
      <name val="Arial Rounded MT Bold"/>
      <family val="2"/>
    </font>
    <font>
      <i/>
      <sz val="11"/>
      <color theme="1"/>
      <name val="Arial Rounded MT Bold"/>
      <family val="2"/>
    </font>
    <font>
      <sz val="14"/>
      <color theme="1"/>
      <name val="Calibri"/>
      <family val="2"/>
      <scheme val="minor"/>
    </font>
    <font>
      <b/>
      <sz val="10"/>
      <color theme="1"/>
      <name val="Calibri"/>
      <family val="2"/>
      <scheme val="minor"/>
    </font>
    <font>
      <b/>
      <sz val="14"/>
      <color theme="1"/>
      <name val="Calibri"/>
      <family val="2"/>
      <scheme val="minor"/>
    </font>
    <font>
      <sz val="18"/>
      <color theme="1"/>
      <name val="Calibri"/>
      <family val="2"/>
      <scheme val="minor"/>
    </font>
    <font>
      <b/>
      <u/>
      <sz val="10"/>
      <color theme="1"/>
      <name val="Calibri"/>
      <family val="2"/>
      <scheme val="minor"/>
    </font>
    <font>
      <i/>
      <sz val="10"/>
      <color theme="1"/>
      <name val="Calibri"/>
      <family val="2"/>
      <scheme val="minor"/>
    </font>
    <font>
      <b/>
      <u/>
      <sz val="10"/>
      <color rgb="FF000066"/>
      <name val="Calibri"/>
      <family val="2"/>
      <scheme val="minor"/>
    </font>
    <font>
      <sz val="10"/>
      <color rgb="FF000066"/>
      <name val="Calibri"/>
      <family val="2"/>
      <scheme val="minor"/>
    </font>
    <font>
      <b/>
      <i/>
      <u/>
      <sz val="10"/>
      <color rgb="FF000066"/>
      <name val="Calibri"/>
      <family val="2"/>
      <scheme val="minor"/>
    </font>
    <font>
      <b/>
      <sz val="10"/>
      <color rgb="FF000066"/>
      <name val="Calibri"/>
      <family val="2"/>
      <scheme val="minor"/>
    </font>
    <font>
      <sz val="10"/>
      <color theme="0"/>
      <name val="Calibri"/>
      <family val="2"/>
      <scheme val="minor"/>
    </font>
    <font>
      <u/>
      <sz val="10"/>
      <color theme="1"/>
      <name val="Calibri"/>
      <family val="2"/>
      <scheme val="minor"/>
    </font>
    <font>
      <sz val="11"/>
      <color theme="0"/>
      <name val="Arial"/>
      <family val="2"/>
    </font>
    <font>
      <b/>
      <sz val="11"/>
      <color theme="0"/>
      <name val="Arial"/>
      <family val="2"/>
    </font>
    <font>
      <b/>
      <sz val="9"/>
      <color theme="0"/>
      <name val="Arial"/>
      <family val="2"/>
    </font>
    <font>
      <b/>
      <sz val="12"/>
      <color theme="0"/>
      <name val="Arial"/>
      <family val="2"/>
    </font>
    <font>
      <b/>
      <sz val="10"/>
      <color theme="0"/>
      <name val="Arial"/>
      <family val="2"/>
    </font>
    <font>
      <b/>
      <sz val="10"/>
      <color rgb="FF000066"/>
      <name val="Arial"/>
      <family val="2"/>
    </font>
    <font>
      <sz val="11"/>
      <name val="Calibri"/>
      <family val="2"/>
      <scheme val="minor"/>
    </font>
    <font>
      <b/>
      <u/>
      <sz val="11"/>
      <color rgb="FF000066"/>
      <name val="Arial"/>
      <family val="2"/>
    </font>
    <font>
      <i/>
      <sz val="10"/>
      <name val="Arial"/>
      <family val="2"/>
    </font>
    <font>
      <b/>
      <u/>
      <sz val="10"/>
      <color rgb="FF000066"/>
      <name val="Arial"/>
      <family val="2"/>
    </font>
    <font>
      <b/>
      <sz val="10"/>
      <color rgb="FFC00000"/>
      <name val="Arial"/>
      <family val="2"/>
    </font>
    <font>
      <b/>
      <i/>
      <u/>
      <sz val="9"/>
      <color rgb="FF002060"/>
      <name val="Arial"/>
      <family val="2"/>
    </font>
    <font>
      <sz val="9"/>
      <color rgb="FF002060"/>
      <name val="Arial"/>
      <family val="2"/>
    </font>
    <font>
      <i/>
      <sz val="9"/>
      <color theme="1"/>
      <name val="Arial"/>
      <family val="2"/>
    </font>
    <font>
      <sz val="10"/>
      <color theme="1"/>
      <name val="Garamond"/>
      <family val="1"/>
    </font>
    <font>
      <b/>
      <sz val="9"/>
      <color rgb="FF000099"/>
      <name val="Arial"/>
      <family val="2"/>
    </font>
    <font>
      <sz val="10"/>
      <color rgb="FF000099"/>
      <name val="Arial"/>
      <family val="2"/>
    </font>
    <font>
      <i/>
      <sz val="10"/>
      <color theme="1"/>
      <name val="Arial Rounded MT Bold"/>
      <family val="2"/>
    </font>
    <font>
      <i/>
      <sz val="8"/>
      <color indexed="10"/>
      <name val="Arial"/>
      <family val="2"/>
    </font>
    <font>
      <i/>
      <sz val="8"/>
      <color rgb="FFFF0000"/>
      <name val="Arial"/>
      <family val="2"/>
    </font>
    <font>
      <b/>
      <i/>
      <sz val="8"/>
      <name val="Arial"/>
      <family val="2"/>
    </font>
    <font>
      <sz val="10"/>
      <color indexed="8"/>
      <name val="Arial"/>
      <family val="2"/>
    </font>
    <font>
      <sz val="9"/>
      <color indexed="8"/>
      <name val="Calibri"/>
      <family val="2"/>
    </font>
    <font>
      <sz val="11"/>
      <name val="Arial"/>
      <family val="2"/>
    </font>
    <font>
      <b/>
      <i/>
      <sz val="10"/>
      <color indexed="10"/>
      <name val="Arial"/>
      <family val="2"/>
    </font>
    <font>
      <b/>
      <sz val="10"/>
      <color indexed="10"/>
      <name val="Arial"/>
      <family val="2"/>
    </font>
    <font>
      <u/>
      <sz val="10"/>
      <name val="Arial"/>
      <family val="2"/>
    </font>
    <font>
      <i/>
      <sz val="12"/>
      <name val="Arial"/>
      <family val="2"/>
    </font>
    <font>
      <b/>
      <i/>
      <sz val="12"/>
      <name val="Arial"/>
      <family val="2"/>
    </font>
    <font>
      <b/>
      <vertAlign val="superscript"/>
      <sz val="12"/>
      <name val="Arial"/>
      <family val="2"/>
    </font>
    <font>
      <b/>
      <i/>
      <sz val="11"/>
      <name val="Arial"/>
      <family val="2"/>
    </font>
    <font>
      <i/>
      <sz val="11"/>
      <name val="Arial"/>
      <family val="2"/>
    </font>
    <font>
      <sz val="10"/>
      <color rgb="FFFF0000"/>
      <name val="Times New Roman"/>
      <family val="1"/>
    </font>
    <font>
      <b/>
      <i/>
      <sz val="12"/>
      <color indexed="9"/>
      <name val="Arial"/>
      <family val="2"/>
    </font>
    <font>
      <vertAlign val="superscript"/>
      <sz val="10"/>
      <name val="Arial"/>
      <family val="2"/>
    </font>
    <font>
      <b/>
      <sz val="14"/>
      <name val="Arial"/>
      <family val="2"/>
    </font>
    <font>
      <sz val="9"/>
      <color rgb="FFFF0000"/>
      <name val="Arial"/>
      <family val="2"/>
    </font>
    <font>
      <u/>
      <sz val="11"/>
      <color theme="10"/>
      <name val="Calibri"/>
      <family val="2"/>
      <scheme val="minor"/>
    </font>
    <font>
      <b/>
      <sz val="12"/>
      <color indexed="8"/>
      <name val="Arial"/>
      <family val="2"/>
    </font>
    <font>
      <b/>
      <sz val="11"/>
      <color indexed="8"/>
      <name val="Arial"/>
      <family val="2"/>
    </font>
    <font>
      <sz val="11"/>
      <color rgb="FF0061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7"/>
      <color theme="1"/>
      <name val="Calibri"/>
      <family val="2"/>
      <scheme val="minor"/>
    </font>
    <font>
      <sz val="12"/>
      <name val="Arial MT"/>
    </font>
    <font>
      <sz val="10"/>
      <name val="MS Sans Serif"/>
      <family val="2"/>
    </font>
    <font>
      <sz val="8"/>
      <name val="Calibri"/>
      <family val="2"/>
    </font>
    <font>
      <b/>
      <sz val="9"/>
      <color theme="1"/>
      <name val="Calibri"/>
      <family val="2"/>
      <scheme val="minor"/>
    </font>
    <font>
      <b/>
      <sz val="7"/>
      <color theme="1"/>
      <name val="Calibri"/>
      <family val="2"/>
      <scheme val="minor"/>
    </font>
    <font>
      <b/>
      <sz val="9"/>
      <name val="Calibri"/>
      <family val="2"/>
      <scheme val="minor"/>
    </font>
    <font>
      <b/>
      <sz val="11"/>
      <name val="Calibri"/>
      <family val="2"/>
      <scheme val="minor"/>
    </font>
    <font>
      <sz val="8"/>
      <name val="Calibri"/>
      <family val="2"/>
      <scheme val="minor"/>
    </font>
    <font>
      <b/>
      <sz val="11"/>
      <color indexed="8"/>
      <name val="Calibri"/>
      <family val="2"/>
      <scheme val="minor"/>
    </font>
    <font>
      <b/>
      <sz val="8"/>
      <color indexed="8"/>
      <name val="Calibri"/>
      <family val="2"/>
    </font>
    <font>
      <sz val="11"/>
      <color indexed="8"/>
      <name val="Calibri"/>
      <family val="2"/>
      <scheme val="minor"/>
    </font>
    <font>
      <sz val="9"/>
      <name val="Calibri"/>
      <family val="2"/>
      <scheme val="minor"/>
    </font>
    <font>
      <sz val="9"/>
      <color indexed="8"/>
      <name val="Calibri"/>
      <family val="2"/>
      <scheme val="minor"/>
    </font>
    <font>
      <b/>
      <sz val="10"/>
      <color theme="0" tint="-4.9989318521683403E-2"/>
      <name val="Arial"/>
      <family val="2"/>
    </font>
    <font>
      <u/>
      <sz val="14"/>
      <color theme="10"/>
      <name val="Calibri"/>
      <family val="2"/>
      <scheme val="minor"/>
    </font>
    <font>
      <sz val="10"/>
      <color indexed="8"/>
      <name val="Calibri"/>
      <family val="2"/>
      <scheme val="minor"/>
    </font>
    <font>
      <sz val="10"/>
      <color indexed="8"/>
      <name val="Calibri"/>
      <family val="2"/>
    </font>
    <font>
      <u/>
      <sz val="9"/>
      <color theme="10"/>
      <name val="Calibri"/>
      <family val="2"/>
      <scheme val="minor"/>
    </font>
    <font>
      <b/>
      <sz val="12"/>
      <color theme="0"/>
      <name val="Calibri"/>
      <family val="2"/>
      <scheme val="minor"/>
    </font>
    <font>
      <b/>
      <sz val="10"/>
      <color indexed="8"/>
      <name val="Calibri"/>
      <family val="2"/>
    </font>
    <font>
      <b/>
      <sz val="20"/>
      <color rgb="FFFF0000"/>
      <name val="Calibri"/>
      <family val="2"/>
      <scheme val="minor"/>
    </font>
    <font>
      <b/>
      <sz val="10"/>
      <color rgb="FF0070C0"/>
      <name val="Calibri"/>
      <family val="2"/>
      <scheme val="minor"/>
    </font>
    <font>
      <b/>
      <sz val="9"/>
      <color rgb="FF0070C0"/>
      <name val="Arial"/>
      <family val="2"/>
    </font>
    <font>
      <b/>
      <sz val="12"/>
      <color rgb="FFFF0000"/>
      <name val="Calibri"/>
      <family val="2"/>
      <scheme val="minor"/>
    </font>
    <font>
      <b/>
      <sz val="10"/>
      <color rgb="FFFF0000"/>
      <name val="Calibri"/>
      <family val="2"/>
      <scheme val="minor"/>
    </font>
    <font>
      <sz val="14"/>
      <color rgb="FFFF0000"/>
      <name val="Calibri"/>
      <family val="2"/>
      <scheme val="minor"/>
    </font>
    <font>
      <b/>
      <i/>
      <sz val="9"/>
      <color theme="1"/>
      <name val="Calibri"/>
      <family val="2"/>
      <scheme val="minor"/>
    </font>
    <font>
      <b/>
      <u val="singleAccounting"/>
      <sz val="9"/>
      <color theme="1"/>
      <name val="Arial"/>
      <family val="2"/>
    </font>
    <font>
      <b/>
      <sz val="16"/>
      <color theme="0"/>
      <name val="Calibri"/>
      <family val="2"/>
      <scheme val="minor"/>
    </font>
    <font>
      <b/>
      <u/>
      <sz val="11"/>
      <color theme="1"/>
      <name val="Calibri"/>
      <family val="2"/>
      <scheme val="minor"/>
    </font>
    <font>
      <b/>
      <u/>
      <sz val="11"/>
      <name val="Calibri"/>
      <family val="2"/>
      <scheme val="minor"/>
    </font>
    <font>
      <b/>
      <sz val="14"/>
      <color theme="0"/>
      <name val="Calibri"/>
      <family val="2"/>
      <scheme val="minor"/>
    </font>
    <font>
      <b/>
      <i/>
      <sz val="9"/>
      <color rgb="FFFF0000"/>
      <name val="Arial"/>
      <family val="2"/>
    </font>
    <font>
      <b/>
      <sz val="8"/>
      <color theme="1"/>
      <name val="Arial"/>
      <family val="2"/>
    </font>
    <font>
      <b/>
      <i/>
      <sz val="10"/>
      <color rgb="FFFF0000"/>
      <name val="Calibri"/>
      <family val="2"/>
      <scheme val="minor"/>
    </font>
    <font>
      <b/>
      <sz val="8"/>
      <name val="Calibri"/>
      <family val="2"/>
      <scheme val="minor"/>
    </font>
    <font>
      <b/>
      <sz val="8"/>
      <color rgb="FFFF0000"/>
      <name val="Calibri"/>
      <family val="2"/>
      <scheme val="minor"/>
    </font>
    <font>
      <sz val="8"/>
      <color rgb="FFFF0000"/>
      <name val="Calibri"/>
      <family val="2"/>
      <scheme val="minor"/>
    </font>
    <font>
      <sz val="7"/>
      <color theme="1"/>
      <name val="Arial"/>
      <family val="2"/>
    </font>
    <font>
      <b/>
      <sz val="11"/>
      <color indexed="8"/>
      <name val="Calibri"/>
      <family val="2"/>
    </font>
    <font>
      <b/>
      <sz val="10"/>
      <color rgb="FF000099"/>
      <name val="Arial"/>
      <family val="2"/>
    </font>
    <font>
      <b/>
      <sz val="14"/>
      <color theme="1"/>
      <name val="Arial"/>
      <family val="2"/>
    </font>
    <font>
      <b/>
      <sz val="11"/>
      <color rgb="FF000080"/>
      <name val="Arial"/>
      <family val="2"/>
    </font>
    <font>
      <sz val="10"/>
      <color rgb="FF000000"/>
      <name val="Arial"/>
      <family val="2"/>
    </font>
    <font>
      <sz val="16"/>
      <name val="Times New Roman"/>
      <family val="1"/>
    </font>
    <font>
      <b/>
      <sz val="16"/>
      <name val="Times New Roman"/>
      <family val="1"/>
    </font>
    <font>
      <sz val="10"/>
      <name val="Times New Roman"/>
      <family val="1"/>
    </font>
    <font>
      <b/>
      <sz val="14"/>
      <color indexed="8"/>
      <name val="Times New Roman"/>
      <family val="1"/>
    </font>
    <font>
      <b/>
      <sz val="10"/>
      <name val="Times New Roman"/>
      <family val="1"/>
    </font>
    <font>
      <b/>
      <sz val="14"/>
      <color indexed="8"/>
      <name val="Arial"/>
      <family val="2"/>
    </font>
    <font>
      <b/>
      <sz val="16"/>
      <color theme="1"/>
      <name val="Calibri"/>
      <family val="2"/>
      <scheme val="minor"/>
    </font>
    <font>
      <b/>
      <sz val="14"/>
      <color theme="0"/>
      <name val="Arial"/>
      <family val="2"/>
    </font>
    <font>
      <b/>
      <sz val="16"/>
      <color theme="0"/>
      <name val="Arial"/>
      <family val="2"/>
    </font>
    <font>
      <b/>
      <sz val="11"/>
      <color rgb="FFFF0000"/>
      <name val="Calibri"/>
      <family val="2"/>
      <scheme val="minor"/>
    </font>
    <font>
      <sz val="10"/>
      <color rgb="FFFF0000"/>
      <name val="Calibri"/>
      <family val="2"/>
      <scheme val="minor"/>
    </font>
    <font>
      <b/>
      <sz val="14"/>
      <name val="Calibri"/>
      <family val="2"/>
      <scheme val="minor"/>
    </font>
    <font>
      <sz val="12"/>
      <name val="Calibri"/>
      <family val="2"/>
      <scheme val="minor"/>
    </font>
    <font>
      <b/>
      <sz val="12"/>
      <name val="Calibri"/>
      <family val="2"/>
      <scheme val="minor"/>
    </font>
    <font>
      <b/>
      <u/>
      <sz val="12"/>
      <name val="Calibri"/>
      <family val="2"/>
      <scheme val="minor"/>
    </font>
    <font>
      <b/>
      <u/>
      <sz val="12"/>
      <color rgb="FFFF0000"/>
      <name val="Calibri"/>
      <family val="2"/>
      <scheme val="minor"/>
    </font>
    <font>
      <sz val="12"/>
      <color indexed="8"/>
      <name val="Calibri"/>
      <family val="2"/>
      <scheme val="minor"/>
    </font>
    <font>
      <b/>
      <sz val="11"/>
      <color theme="1"/>
      <name val="Calibri"/>
      <family val="2"/>
    </font>
    <font>
      <sz val="13"/>
      <color theme="1"/>
      <name val="Arial"/>
      <family val="2"/>
    </font>
    <font>
      <sz val="8"/>
      <color indexed="8"/>
      <name val="Calibri"/>
      <family val="2"/>
      <scheme val="minor"/>
    </font>
    <font>
      <sz val="10"/>
      <color theme="1"/>
      <name val="Calibri"/>
      <family val="2"/>
    </font>
    <font>
      <sz val="9"/>
      <color theme="1"/>
      <name val="Calibri"/>
      <family val="2"/>
    </font>
    <font>
      <sz val="8"/>
      <color rgb="FFFF0000"/>
      <name val="Calibri"/>
      <family val="2"/>
    </font>
    <font>
      <b/>
      <i/>
      <sz val="10"/>
      <color indexed="9"/>
      <name val="Arial"/>
      <family val="2"/>
    </font>
    <font>
      <u/>
      <sz val="10"/>
      <color indexed="12"/>
      <name val="Arial"/>
      <family val="2"/>
    </font>
    <font>
      <sz val="10"/>
      <name val="Wingdings 2"/>
      <family val="1"/>
      <charset val="2"/>
    </font>
    <font>
      <sz val="9"/>
      <name val="Calibri"/>
      <family val="2"/>
    </font>
    <font>
      <b/>
      <sz val="10"/>
      <color rgb="FFFF0000"/>
      <name val="Calibri"/>
      <family val="2"/>
    </font>
    <font>
      <b/>
      <i/>
      <sz val="12"/>
      <name val="Arial"/>
      <family val="2"/>
    </font>
    <font>
      <sz val="12"/>
      <name val="Arial"/>
      <family val="2"/>
    </font>
    <font>
      <i/>
      <sz val="12"/>
      <name val="Arial"/>
      <family val="2"/>
    </font>
    <font>
      <b/>
      <u/>
      <sz val="12"/>
      <name val="Arial"/>
      <family val="2"/>
    </font>
    <font>
      <sz val="10"/>
      <name val="Verdana"/>
      <family val="2"/>
    </font>
    <font>
      <sz val="10"/>
      <name val="Calibri"/>
      <family val="2"/>
    </font>
    <font>
      <b/>
      <sz val="8"/>
      <name val="Arial"/>
      <family val="2"/>
    </font>
    <font>
      <sz val="10"/>
      <name val="Arial"/>
    </font>
    <font>
      <i/>
      <sz val="8"/>
      <name val="Arial"/>
      <family val="2"/>
    </font>
    <font>
      <b/>
      <sz val="10"/>
      <color rgb="FF1B0C86"/>
      <name val="Arial"/>
      <family val="2"/>
    </font>
    <font>
      <sz val="11"/>
      <color rgb="FF000000"/>
      <name val="Calibri"/>
      <family val="2"/>
    </font>
    <font>
      <sz val="9"/>
      <color indexed="81"/>
      <name val="Tahoma"/>
      <charset val="1"/>
    </font>
    <font>
      <b/>
      <sz val="9"/>
      <color indexed="81"/>
      <name val="Tahoma"/>
      <charset val="1"/>
    </font>
  </fonts>
  <fills count="12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0"/>
      </patternFill>
    </fill>
    <fill>
      <patternFill patternType="solid">
        <fgColor indexed="9"/>
        <bgColor indexed="9"/>
      </patternFill>
    </fill>
    <fill>
      <patternFill patternType="solid">
        <fgColor indexed="22"/>
        <bgColor indexed="64"/>
      </patternFill>
    </fill>
    <fill>
      <patternFill patternType="solid">
        <fgColor indexed="23"/>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CC"/>
        <bgColor indexed="64"/>
      </patternFill>
    </fill>
    <fill>
      <patternFill patternType="solid">
        <fgColor theme="3" tint="0.59999389629810485"/>
        <bgColor indexed="64"/>
      </patternFill>
    </fill>
    <fill>
      <patternFill patternType="solid">
        <fgColor rgb="FFFFFF99"/>
        <bgColor indexed="64"/>
      </patternFill>
    </fill>
    <fill>
      <patternFill patternType="solid">
        <fgColor theme="4" tint="0.59999389629810485"/>
        <bgColor indexed="64"/>
      </patternFill>
    </fill>
    <fill>
      <patternFill patternType="solid">
        <fgColor rgb="FFFFFFCC"/>
        <bgColor indexed="9"/>
      </patternFill>
    </fill>
    <fill>
      <patternFill patternType="solid">
        <fgColor theme="4" tint="0.79998168889431442"/>
        <bgColor indexed="64"/>
      </patternFill>
    </fill>
    <fill>
      <patternFill patternType="solid">
        <fgColor theme="0" tint="-0.14999847407452621"/>
        <bgColor indexed="64"/>
      </patternFill>
    </fill>
    <fill>
      <patternFill patternType="solid">
        <fgColor theme="3" tint="0.59999389629810485"/>
        <bgColor indexed="9"/>
      </patternFill>
    </fill>
    <fill>
      <patternFill patternType="solid">
        <fgColor theme="6"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66CCFF"/>
        <bgColor indexed="64"/>
      </patternFill>
    </fill>
    <fill>
      <patternFill patternType="solid">
        <fgColor rgb="FFBECEE4"/>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rgb="FFE1F4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00B050"/>
        <bgColor indexed="64"/>
      </patternFill>
    </fill>
    <fill>
      <patternFill patternType="solid">
        <fgColor theme="7" tint="0.79998168889431442"/>
        <bgColor indexed="64"/>
      </patternFill>
    </fill>
    <fill>
      <patternFill patternType="solid">
        <fgColor rgb="FFFFC000"/>
        <bgColor indexed="64"/>
      </patternFill>
    </fill>
    <fill>
      <patternFill patternType="solid">
        <fgColor theme="9" tint="0.79998168889431442"/>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theme="0" tint="-0.34998626667073579"/>
        <bgColor indexed="64"/>
      </patternFill>
    </fill>
    <fill>
      <patternFill patternType="solid">
        <fgColor indexed="8"/>
        <bgColor indexed="64"/>
      </patternFill>
    </fill>
    <fill>
      <patternFill patternType="solid">
        <fgColor rgb="FFCCFFCC"/>
        <bgColor indexed="64"/>
      </patternFill>
    </fill>
    <fill>
      <patternFill patternType="solid">
        <fgColor rgb="FF92D050"/>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rgb="FF00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theme="2" tint="-0.249977111117893"/>
        <bgColor indexed="64"/>
      </patternFill>
    </fill>
    <fill>
      <patternFill patternType="solid">
        <fgColor theme="5"/>
        <bgColor indexed="64"/>
      </patternFill>
    </fill>
    <fill>
      <patternFill patternType="solid">
        <fgColor rgb="FF66FF99"/>
        <bgColor indexed="64"/>
      </patternFill>
    </fill>
    <fill>
      <patternFill patternType="solid">
        <fgColor rgb="FF92D050"/>
        <bgColor indexed="0"/>
      </patternFill>
    </fill>
    <fill>
      <patternFill patternType="solid">
        <fgColor theme="1"/>
        <bgColor indexed="64"/>
      </patternFill>
    </fill>
    <fill>
      <patternFill patternType="solid">
        <fgColor rgb="FF0070C0"/>
        <bgColor indexed="64"/>
      </patternFill>
    </fill>
    <fill>
      <patternFill patternType="solid">
        <fgColor theme="9"/>
        <bgColor indexed="64"/>
      </patternFill>
    </fill>
    <fill>
      <patternFill patternType="solid">
        <fgColor rgb="FFFF00FF"/>
        <bgColor indexed="64"/>
      </patternFill>
    </fill>
    <fill>
      <patternFill patternType="solid">
        <fgColor theme="3"/>
        <bgColor indexed="64"/>
      </patternFill>
    </fill>
    <fill>
      <patternFill patternType="solid">
        <fgColor rgb="FFFF66FF"/>
        <bgColor indexed="64"/>
      </patternFill>
    </fill>
    <fill>
      <patternFill patternType="solid">
        <fgColor rgb="FFFFCC00"/>
        <bgColor indexed="64"/>
      </patternFill>
    </fill>
    <fill>
      <patternFill patternType="solid">
        <fgColor theme="6"/>
        <bgColor indexed="64"/>
      </patternFill>
    </fill>
    <fill>
      <patternFill patternType="solid">
        <fgColor theme="3" tint="-0.249977111117893"/>
        <bgColor indexed="64"/>
      </patternFill>
    </fill>
    <fill>
      <patternFill patternType="solid">
        <fgColor rgb="FFC6EFCE"/>
        <bgColor indexed="64"/>
      </patternFill>
    </fill>
    <fill>
      <patternFill patternType="solid">
        <fgColor theme="1" tint="0.499984740745262"/>
        <bgColor indexed="64"/>
      </patternFill>
    </fill>
    <fill>
      <patternFill patternType="solid">
        <fgColor theme="4" tint="-0.249977111117893"/>
        <bgColor indexed="64"/>
      </patternFill>
    </fill>
    <fill>
      <patternFill patternType="solid">
        <fgColor rgb="FFE6B8B7"/>
        <bgColor indexed="64"/>
      </patternFill>
    </fill>
    <fill>
      <patternFill patternType="solid">
        <fgColor theme="4" tint="-0.499984740745262"/>
        <bgColor indexed="64"/>
      </patternFill>
    </fill>
    <fill>
      <patternFill patternType="darkUp"/>
    </fill>
  </fills>
  <borders count="33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
      <left/>
      <right/>
      <top/>
      <bottom style="thin">
        <color indexed="64"/>
      </bottom>
      <diagonal/>
    </border>
    <border>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8"/>
      </left>
      <right/>
      <top/>
      <bottom/>
      <diagonal/>
    </border>
    <border>
      <left style="medium">
        <color indexed="8"/>
      </left>
      <right/>
      <top style="medium">
        <color indexed="8"/>
      </top>
      <bottom/>
      <diagonal/>
    </border>
    <border>
      <left/>
      <right/>
      <top style="medium">
        <color indexed="8"/>
      </top>
      <bottom/>
      <diagonal/>
    </border>
    <border>
      <left style="thin">
        <color indexed="8"/>
      </left>
      <right style="thin">
        <color indexed="8"/>
      </right>
      <top style="medium">
        <color indexed="8"/>
      </top>
      <bottom/>
      <diagonal/>
    </border>
    <border>
      <left style="medium">
        <color indexed="8"/>
      </left>
      <right/>
      <top/>
      <bottom/>
      <diagonal/>
    </border>
    <border>
      <left style="thin">
        <color indexed="8"/>
      </left>
      <right style="thin">
        <color indexed="8"/>
      </right>
      <top/>
      <bottom/>
      <diagonal/>
    </border>
    <border>
      <left/>
      <right style="medium">
        <color indexed="8"/>
      </right>
      <top/>
      <bottom/>
      <diagonal/>
    </border>
    <border>
      <left style="medium">
        <color indexed="8"/>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diagonal/>
    </border>
    <border>
      <left style="thin">
        <color indexed="8"/>
      </left>
      <right style="medium">
        <color indexed="8"/>
      </right>
      <top/>
      <bottom style="medium">
        <color indexed="8"/>
      </bottom>
      <diagonal/>
    </border>
    <border>
      <left style="medium">
        <color indexed="64"/>
      </left>
      <right/>
      <top/>
      <bottom/>
      <diagonal/>
    </border>
    <border>
      <left/>
      <right style="medium">
        <color indexed="64"/>
      </right>
      <top/>
      <bottom/>
      <diagonal/>
    </border>
    <border>
      <left style="medium">
        <color indexed="64"/>
      </left>
      <right/>
      <top style="medium">
        <color indexed="8"/>
      </top>
      <bottom style="thin">
        <color indexed="64"/>
      </bottom>
      <diagonal/>
    </border>
    <border>
      <left style="thin">
        <color indexed="8"/>
      </left>
      <right/>
      <top style="medium">
        <color indexed="8"/>
      </top>
      <bottom style="thin">
        <color indexed="64"/>
      </bottom>
      <diagonal/>
    </border>
    <border>
      <left style="thin">
        <color indexed="8"/>
      </left>
      <right style="medium">
        <color indexed="64"/>
      </right>
      <top style="medium">
        <color indexed="8"/>
      </top>
      <bottom style="thin">
        <color indexed="64"/>
      </bottom>
      <diagonal/>
    </border>
    <border>
      <left style="medium">
        <color indexed="64"/>
      </left>
      <right/>
      <top style="thin">
        <color indexed="64"/>
      </top>
      <bottom style="thin">
        <color indexed="64"/>
      </bottom>
      <diagonal/>
    </border>
    <border>
      <left style="thin">
        <color indexed="8"/>
      </left>
      <right style="medium">
        <color indexed="64"/>
      </right>
      <top/>
      <bottom/>
      <diagonal/>
    </border>
    <border>
      <left style="medium">
        <color indexed="8"/>
      </left>
      <right style="thin">
        <color indexed="8"/>
      </right>
      <top style="medium">
        <color indexed="8"/>
      </top>
      <bottom/>
      <diagonal/>
    </border>
    <border>
      <left style="thin">
        <color indexed="8"/>
      </left>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style="medium">
        <color indexed="8"/>
      </left>
      <right style="thin">
        <color indexed="8"/>
      </right>
      <top/>
      <bottom/>
      <diagonal/>
    </border>
    <border>
      <left style="medium">
        <color indexed="8"/>
      </left>
      <right style="medium">
        <color indexed="8"/>
      </right>
      <top/>
      <bottom/>
      <diagonal/>
    </border>
    <border>
      <left style="medium">
        <color indexed="8"/>
      </left>
      <right style="thin">
        <color indexed="8"/>
      </right>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64"/>
      </right>
      <top/>
      <bottom style="double">
        <color indexed="64"/>
      </bottom>
      <diagonal/>
    </border>
    <border>
      <left style="thin">
        <color indexed="64"/>
      </left>
      <right style="thin">
        <color indexed="64"/>
      </right>
      <top/>
      <bottom style="thin">
        <color indexed="64"/>
      </bottom>
      <diagonal/>
    </border>
    <border>
      <left style="thin">
        <color indexed="8"/>
      </left>
      <right/>
      <top/>
      <bottom style="double">
        <color indexed="64"/>
      </bottom>
      <diagonal/>
    </border>
    <border>
      <left/>
      <right/>
      <top/>
      <bottom style="double">
        <color indexed="8"/>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top/>
      <bottom style="double">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thin">
        <color indexed="64"/>
      </right>
      <top/>
      <bottom style="thin">
        <color indexed="8"/>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8"/>
      </right>
      <top/>
      <bottom style="thin">
        <color indexed="8"/>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8"/>
      </top>
      <bottom/>
      <diagonal/>
    </border>
    <border>
      <left/>
      <right/>
      <top style="double">
        <color indexed="64"/>
      </top>
      <bottom style="double">
        <color indexed="64"/>
      </bottom>
      <diagonal/>
    </border>
    <border>
      <left/>
      <right/>
      <top style="double">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8"/>
      </top>
      <bottom/>
      <diagonal/>
    </border>
    <border>
      <left style="medium">
        <color indexed="64"/>
      </left>
      <right style="medium">
        <color indexed="64"/>
      </right>
      <top style="medium">
        <color indexed="8"/>
      </top>
      <bottom/>
      <diagonal/>
    </border>
    <border>
      <left style="thick">
        <color theme="1"/>
      </left>
      <right style="thin">
        <color indexed="8"/>
      </right>
      <top style="thick">
        <color theme="1"/>
      </top>
      <bottom/>
      <diagonal/>
    </border>
    <border>
      <left style="thin">
        <color indexed="8"/>
      </left>
      <right/>
      <top style="thick">
        <color theme="1"/>
      </top>
      <bottom/>
      <diagonal/>
    </border>
    <border>
      <left/>
      <right style="thick">
        <color theme="1"/>
      </right>
      <top style="thick">
        <color theme="1"/>
      </top>
      <bottom/>
      <diagonal/>
    </border>
    <border>
      <left style="thick">
        <color theme="1"/>
      </left>
      <right style="thin">
        <color indexed="8"/>
      </right>
      <top/>
      <bottom style="thin">
        <color indexed="8"/>
      </bottom>
      <diagonal/>
    </border>
    <border>
      <left/>
      <right style="thick">
        <color theme="1"/>
      </right>
      <top/>
      <bottom style="thin">
        <color indexed="8"/>
      </bottom>
      <diagonal/>
    </border>
    <border>
      <left style="thick">
        <color theme="1"/>
      </left>
      <right style="thin">
        <color indexed="8"/>
      </right>
      <top/>
      <bottom/>
      <diagonal/>
    </border>
    <border>
      <left/>
      <right style="thick">
        <color theme="1"/>
      </right>
      <top/>
      <bottom/>
      <diagonal/>
    </border>
    <border>
      <left style="thick">
        <color theme="1"/>
      </left>
      <right/>
      <top/>
      <bottom/>
      <diagonal/>
    </border>
    <border>
      <left/>
      <right style="thick">
        <color theme="1"/>
      </right>
      <top/>
      <bottom style="double">
        <color indexed="8"/>
      </bottom>
      <diagonal/>
    </border>
    <border>
      <left style="thick">
        <color theme="1"/>
      </left>
      <right/>
      <top/>
      <bottom style="thick">
        <color theme="1"/>
      </bottom>
      <diagonal/>
    </border>
    <border>
      <left style="thin">
        <color indexed="8"/>
      </left>
      <right/>
      <top/>
      <bottom style="thick">
        <color theme="1"/>
      </bottom>
      <diagonal/>
    </border>
    <border>
      <left/>
      <right style="thick">
        <color theme="1"/>
      </right>
      <top/>
      <bottom style="thick">
        <color theme="1"/>
      </bottom>
      <diagonal/>
    </border>
    <border>
      <left/>
      <right style="thin">
        <color indexed="64"/>
      </right>
      <top style="medium">
        <color indexed="64"/>
      </top>
      <bottom/>
      <diagonal/>
    </border>
    <border>
      <left style="thin">
        <color indexed="64"/>
      </left>
      <right/>
      <top style="medium">
        <color indexed="64"/>
      </top>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thin">
        <color theme="1"/>
      </bottom>
      <diagonal/>
    </border>
    <border>
      <left style="thin">
        <color theme="1"/>
      </left>
      <right/>
      <top style="thin">
        <color theme="1"/>
      </top>
      <bottom/>
      <diagonal/>
    </border>
    <border>
      <left/>
      <right/>
      <top style="thin">
        <color theme="1"/>
      </top>
      <bottom/>
      <diagonal/>
    </border>
    <border>
      <left style="thin">
        <color theme="1"/>
      </left>
      <right/>
      <top/>
      <bottom/>
      <diagonal/>
    </border>
    <border>
      <left style="thin">
        <color theme="1"/>
      </left>
      <right/>
      <top/>
      <bottom style="medium">
        <color indexed="8"/>
      </bottom>
      <diagonal/>
    </border>
    <border>
      <left style="thin">
        <color theme="1"/>
      </left>
      <right/>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indexed="64"/>
      </left>
      <right style="medium">
        <color theme="1"/>
      </right>
      <top style="medium">
        <color indexed="64"/>
      </top>
      <bottom style="medium">
        <color indexed="64"/>
      </bottom>
      <diagonal/>
    </border>
    <border>
      <left/>
      <right style="medium">
        <color theme="1"/>
      </right>
      <top/>
      <bottom style="medium">
        <color indexed="64"/>
      </bottom>
      <diagonal/>
    </border>
    <border>
      <left style="medium">
        <color theme="1"/>
      </left>
      <right/>
      <top/>
      <bottom style="medium">
        <color theme="1"/>
      </bottom>
      <diagonal/>
    </border>
    <border>
      <left/>
      <right/>
      <top/>
      <bottom style="medium">
        <color theme="1"/>
      </bottom>
      <diagonal/>
    </border>
    <border>
      <left style="medium">
        <color theme="1"/>
      </left>
      <right/>
      <top/>
      <bottom style="thin">
        <color theme="1"/>
      </bottom>
      <diagonal/>
    </border>
    <border>
      <left/>
      <right style="medium">
        <color theme="1"/>
      </right>
      <top/>
      <bottom style="thin">
        <color theme="1"/>
      </bottom>
      <diagonal/>
    </border>
    <border>
      <left/>
      <right style="medium">
        <color theme="1"/>
      </right>
      <top/>
      <bottom style="double">
        <color theme="1"/>
      </bottom>
      <diagonal/>
    </border>
    <border>
      <left style="medium">
        <color theme="1"/>
      </left>
      <right style="medium">
        <color theme="1"/>
      </right>
      <top style="medium">
        <color theme="1"/>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right style="medium">
        <color theme="1"/>
      </right>
      <top style="double">
        <color theme="1"/>
      </top>
      <bottom/>
      <diagonal/>
    </border>
    <border>
      <left/>
      <right style="medium">
        <color theme="1"/>
      </right>
      <top/>
      <bottom style="medium">
        <color theme="1"/>
      </bottom>
      <diagonal/>
    </border>
    <border>
      <left/>
      <right style="thin">
        <color indexed="64"/>
      </right>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hair">
        <color indexed="64"/>
      </bottom>
      <diagonal/>
    </border>
    <border>
      <left/>
      <right/>
      <top style="hair">
        <color indexed="64"/>
      </top>
      <bottom style="hair">
        <color indexed="64"/>
      </bottom>
      <diagonal/>
    </border>
    <border>
      <left/>
      <right/>
      <top style="hair">
        <color indexed="64"/>
      </top>
      <bottom style="dotted">
        <color indexed="64"/>
      </bottom>
      <diagonal/>
    </border>
    <border>
      <left/>
      <right/>
      <top style="hair">
        <color indexed="64"/>
      </top>
      <bottom/>
      <diagonal/>
    </border>
    <border>
      <left style="thin">
        <color indexed="22"/>
      </left>
      <right style="thin">
        <color indexed="22"/>
      </right>
      <top style="thin">
        <color indexed="22"/>
      </top>
      <bottom style="thin">
        <color indexed="22"/>
      </bottom>
      <diagonal/>
    </border>
    <border>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medium">
        <color indexed="64"/>
      </bottom>
      <diagonal/>
    </border>
    <border>
      <left/>
      <right/>
      <top/>
      <bottom style="thin">
        <color indexed="63"/>
      </bottom>
      <diagonal/>
    </border>
    <border>
      <left/>
      <right/>
      <top style="medium">
        <color indexed="64"/>
      </top>
      <bottom style="thin">
        <color indexed="63"/>
      </bottom>
      <diagonal/>
    </border>
    <border>
      <left/>
      <right style="thin">
        <color indexed="64"/>
      </right>
      <top style="medium">
        <color indexed="64"/>
      </top>
      <bottom style="thin">
        <color indexed="63"/>
      </bottom>
      <diagonal/>
    </border>
    <border>
      <left style="thin">
        <color indexed="64"/>
      </left>
      <right/>
      <top/>
      <bottom style="thin">
        <color indexed="63"/>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thin">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top/>
      <bottom style="medium">
        <color indexed="8"/>
      </bottom>
      <diagonal/>
    </border>
    <border>
      <left style="thin">
        <color indexed="64"/>
      </left>
      <right style="thin">
        <color auto="1"/>
      </right>
      <top style="thin">
        <color indexed="64"/>
      </top>
      <bottom style="thin">
        <color indexed="8"/>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medium">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8"/>
      </left>
      <right style="thin">
        <color indexed="64"/>
      </right>
      <top style="thin">
        <color indexed="8"/>
      </top>
      <bottom/>
      <diagonal/>
    </border>
    <border>
      <left/>
      <right style="thin">
        <color indexed="64"/>
      </right>
      <top style="thin">
        <color indexed="64"/>
      </top>
      <bottom style="thin">
        <color indexed="64"/>
      </bottom>
      <diagonal/>
    </border>
    <border>
      <left style="thin">
        <color indexed="8"/>
      </left>
      <right style="thin">
        <color indexed="64"/>
      </right>
      <top style="thin">
        <color indexed="8"/>
      </top>
      <bottom style="double">
        <color indexed="64"/>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ck">
        <color theme="1"/>
      </left>
      <right style="thin">
        <color indexed="8"/>
      </right>
      <top style="thin">
        <color indexed="8"/>
      </top>
      <bottom/>
      <diagonal/>
    </border>
    <border>
      <left/>
      <right style="thick">
        <color theme="1"/>
      </right>
      <top style="thin">
        <color indexed="8"/>
      </top>
      <bottom/>
      <diagonal/>
    </border>
    <border>
      <left style="thick">
        <color theme="1"/>
      </left>
      <right/>
      <top style="thin">
        <color indexed="8"/>
      </top>
      <bottom style="medium">
        <color indexed="8"/>
      </bottom>
      <diagonal/>
    </border>
    <border>
      <left style="thin">
        <color indexed="8"/>
      </left>
      <right/>
      <top style="thin">
        <color indexed="8"/>
      </top>
      <bottom style="medium">
        <color indexed="8"/>
      </bottom>
      <diagonal/>
    </border>
    <border>
      <left/>
      <right style="thick">
        <color theme="1"/>
      </right>
      <top style="thin">
        <color indexed="8"/>
      </top>
      <bottom style="medium">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diagonal/>
    </border>
    <border>
      <left style="medium">
        <color indexed="64"/>
      </left>
      <right/>
      <top style="thin">
        <color indexed="64"/>
      </top>
      <bottom/>
      <diagonal/>
    </border>
    <border>
      <left style="medium">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indexed="8"/>
      </right>
      <top style="thin">
        <color indexed="8"/>
      </top>
      <bottom/>
      <diagonal/>
    </border>
    <border>
      <left style="medium">
        <color theme="1"/>
      </left>
      <right/>
      <top style="thin">
        <color indexed="64"/>
      </top>
      <bottom/>
      <diagonal/>
    </border>
    <border>
      <left style="thin">
        <color indexed="22"/>
      </left>
      <right/>
      <top style="thin">
        <color indexed="22"/>
      </top>
      <bottom style="thin">
        <color indexed="22"/>
      </bottom>
      <diagonal/>
    </border>
    <border>
      <left/>
      <right/>
      <top style="thin">
        <color indexed="64"/>
      </top>
      <bottom/>
      <diagonal/>
    </border>
    <border>
      <left style="thin">
        <color auto="1"/>
      </left>
      <right/>
      <top style="thin">
        <color auto="1"/>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style="thin">
        <color auto="1"/>
      </left>
      <right style="thin">
        <color auto="1"/>
      </right>
      <top style="thin">
        <color auto="1"/>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8"/>
      </left>
      <right/>
      <top style="thin">
        <color indexed="64"/>
      </top>
      <bottom/>
      <diagonal/>
    </border>
    <border>
      <left style="thin">
        <color indexed="8"/>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3"/>
      </top>
      <bottom/>
      <diagonal/>
    </border>
    <border>
      <left/>
      <right/>
      <top style="thin">
        <color indexed="63"/>
      </top>
      <bottom style="thin">
        <color indexed="63"/>
      </bottom>
      <diagonal/>
    </border>
    <border>
      <left/>
      <right style="thin">
        <color indexed="64"/>
      </right>
      <top style="thin">
        <color indexed="63"/>
      </top>
      <bottom style="thin">
        <color indexed="63"/>
      </bottom>
      <diagonal/>
    </border>
    <border>
      <left/>
      <right style="medium">
        <color theme="1"/>
      </right>
      <top style="thin">
        <color indexed="64"/>
      </top>
      <bottom/>
      <diagonal/>
    </border>
    <border>
      <left/>
      <right style="medium">
        <color indexed="64"/>
      </right>
      <top style="thin">
        <color indexed="64"/>
      </top>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thin">
        <color indexed="22"/>
      </left>
      <right style="thin">
        <color indexed="22"/>
      </right>
      <top style="thin">
        <color indexed="22"/>
      </top>
      <bottom style="thin">
        <color indexed="22"/>
      </bottom>
      <diagonal/>
    </border>
    <border>
      <left style="thin">
        <color rgb="FFD0D7E5"/>
      </left>
      <right style="thin">
        <color rgb="FFD0D7E5"/>
      </right>
      <top style="thin">
        <color rgb="FFD0D7E5"/>
      </top>
      <bottom style="thin">
        <color rgb="FFD0D7E5"/>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thin">
        <color rgb="FFD0D7E5"/>
      </left>
      <right style="thin">
        <color rgb="FFD0D7E5"/>
      </right>
      <top style="thin">
        <color rgb="FFD0D7E5"/>
      </top>
      <bottom/>
      <diagonal/>
    </border>
  </borders>
  <cellStyleXfs count="4842">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43" fontId="3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4"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6" fillId="0" borderId="0" applyFon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21" fillId="0" borderId="0" applyNumberFormat="0" applyFill="0" applyBorder="0" applyAlignment="0" applyProtection="0">
      <alignment vertical="top"/>
      <protection locked="0"/>
    </xf>
    <xf numFmtId="0" fontId="31" fillId="7" borderId="1" applyNumberFormat="0" applyAlignment="0" applyProtection="0"/>
    <xf numFmtId="0" fontId="32" fillId="0" borderId="6" applyNumberFormat="0" applyFill="0" applyAlignment="0" applyProtection="0"/>
    <xf numFmtId="0" fontId="33" fillId="22" borderId="0" applyNumberFormat="0" applyBorder="0" applyAlignment="0" applyProtection="0"/>
    <xf numFmtId="0" fontId="5" fillId="0" borderId="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20" fillId="0" borderId="0"/>
    <xf numFmtId="0" fontId="20" fillId="0" borderId="0"/>
    <xf numFmtId="0" fontId="20" fillId="0" borderId="0"/>
    <xf numFmtId="0" fontId="20"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20" fillId="0" borderId="0"/>
    <xf numFmtId="0" fontId="3" fillId="0" borderId="0"/>
    <xf numFmtId="0" fontId="20" fillId="0" borderId="0"/>
    <xf numFmtId="0" fontId="3" fillId="0" borderId="0"/>
    <xf numFmtId="0" fontId="20" fillId="0" borderId="0"/>
    <xf numFmtId="0" fontId="3" fillId="0" borderId="0"/>
    <xf numFmtId="0" fontId="20" fillId="0" borderId="0"/>
    <xf numFmtId="0" fontId="20" fillId="0" borderId="0"/>
    <xf numFmtId="0" fontId="20" fillId="0" borderId="0"/>
    <xf numFmtId="0" fontId="20" fillId="0" borderId="0"/>
    <xf numFmtId="0" fontId="3" fillId="0" borderId="0"/>
    <xf numFmtId="0" fontId="20" fillId="0" borderId="0"/>
    <xf numFmtId="0" fontId="3" fillId="0" borderId="0"/>
    <xf numFmtId="0" fontId="3" fillId="0" borderId="0"/>
    <xf numFmtId="0" fontId="5" fillId="0" borderId="0"/>
    <xf numFmtId="0" fontId="36" fillId="0" borderId="0"/>
    <xf numFmtId="0" fontId="5" fillId="0" borderId="0"/>
    <xf numFmtId="171"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23" borderId="7" applyNumberFormat="0" applyFont="0" applyAlignment="0" applyProtection="0"/>
    <xf numFmtId="0" fontId="34" fillId="20" borderId="8" applyNumberFormat="0" applyAlignment="0" applyProtection="0"/>
    <xf numFmtId="0" fontId="16" fillId="0" borderId="0" applyNumberFormat="0" applyFill="0" applyBorder="0" applyAlignment="0" applyProtection="0"/>
    <xf numFmtId="0" fontId="35" fillId="0" borderId="9" applyNumberFormat="0" applyFill="0" applyAlignment="0" applyProtection="0"/>
    <xf numFmtId="0" fontId="10" fillId="0" borderId="0" applyNumberFormat="0" applyFill="0" applyBorder="0" applyAlignment="0" applyProtection="0"/>
    <xf numFmtId="43" fontId="36" fillId="0" borderId="0" applyFont="0" applyFill="0" applyBorder="0" applyAlignment="0" applyProtection="0"/>
    <xf numFmtId="0" fontId="2" fillId="0" borderId="0"/>
    <xf numFmtId="44" fontId="1" fillId="0" borderId="0" applyFont="0" applyFill="0" applyBorder="0" applyAlignment="0" applyProtection="0"/>
    <xf numFmtId="9" fontId="36" fillId="0" borderId="0" applyFont="0" applyFill="0" applyBorder="0" applyAlignment="0" applyProtection="0"/>
    <xf numFmtId="0" fontId="2" fillId="0" borderId="0"/>
    <xf numFmtId="0" fontId="3" fillId="0" borderId="0"/>
    <xf numFmtId="0" fontId="158" fillId="0" borderId="0"/>
    <xf numFmtId="0" fontId="158" fillId="0" borderId="0"/>
    <xf numFmtId="0" fontId="2" fillId="0" borderId="0"/>
    <xf numFmtId="0" fontId="2" fillId="0" borderId="0"/>
    <xf numFmtId="0" fontId="158" fillId="0" borderId="0"/>
    <xf numFmtId="0" fontId="20" fillId="0" borderId="0"/>
    <xf numFmtId="0" fontId="42" fillId="0" borderId="0"/>
    <xf numFmtId="0" fontId="174" fillId="0" borderId="0" applyNumberFormat="0" applyFill="0" applyBorder="0" applyAlignment="0" applyProtection="0"/>
    <xf numFmtId="0" fontId="178" fillId="0" borderId="0" applyNumberFormat="0" applyFill="0" applyBorder="0" applyAlignment="0" applyProtection="0"/>
    <xf numFmtId="0" fontId="179" fillId="0" borderId="150" applyNumberFormat="0" applyFill="0" applyAlignment="0" applyProtection="0"/>
    <xf numFmtId="0" fontId="180" fillId="0" borderId="151" applyNumberFormat="0" applyFill="0" applyAlignment="0" applyProtection="0"/>
    <xf numFmtId="0" fontId="181" fillId="0" borderId="152" applyNumberFormat="0" applyFill="0" applyAlignment="0" applyProtection="0"/>
    <xf numFmtId="0" fontId="181" fillId="0" borderId="0" applyNumberFormat="0" applyFill="0" applyBorder="0" applyAlignment="0" applyProtection="0"/>
    <xf numFmtId="0" fontId="177" fillId="71" borderId="0" applyNumberFormat="0" applyBorder="0" applyAlignment="0" applyProtection="0"/>
    <xf numFmtId="0" fontId="182" fillId="72" borderId="0" applyNumberFormat="0" applyBorder="0" applyAlignment="0" applyProtection="0"/>
    <xf numFmtId="0" fontId="183" fillId="73" borderId="0" applyNumberFormat="0" applyBorder="0" applyAlignment="0" applyProtection="0"/>
    <xf numFmtId="0" fontId="184" fillId="74" borderId="153" applyNumberFormat="0" applyAlignment="0" applyProtection="0"/>
    <xf numFmtId="0" fontId="185" fillId="75" borderId="154" applyNumberFormat="0" applyAlignment="0" applyProtection="0"/>
    <xf numFmtId="0" fontId="186" fillId="75" borderId="153" applyNumberFormat="0" applyAlignment="0" applyProtection="0"/>
    <xf numFmtId="0" fontId="187" fillId="0" borderId="155" applyNumberFormat="0" applyFill="0" applyAlignment="0" applyProtection="0"/>
    <xf numFmtId="0" fontId="188" fillId="76" borderId="156" applyNumberFormat="0" applyAlignment="0" applyProtection="0"/>
    <xf numFmtId="0" fontId="189" fillId="0" borderId="0" applyNumberFormat="0" applyFill="0" applyBorder="0" applyAlignment="0" applyProtection="0"/>
    <xf numFmtId="0" fontId="190" fillId="0" borderId="0" applyNumberFormat="0" applyFill="0" applyBorder="0" applyAlignment="0" applyProtection="0"/>
    <xf numFmtId="0" fontId="37" fillId="0" borderId="158" applyNumberFormat="0" applyFill="0" applyAlignment="0" applyProtection="0"/>
    <xf numFmtId="0" fontId="115" fillId="78" borderId="0" applyNumberFormat="0" applyBorder="0" applyAlignment="0" applyProtection="0"/>
    <xf numFmtId="0" fontId="36" fillId="79" borderId="0" applyNumberFormat="0" applyBorder="0" applyAlignment="0" applyProtection="0"/>
    <xf numFmtId="0" fontId="36" fillId="80" borderId="0" applyNumberFormat="0" applyBorder="0" applyAlignment="0" applyProtection="0"/>
    <xf numFmtId="0" fontId="115" fillId="81" borderId="0" applyNumberFormat="0" applyBorder="0" applyAlignment="0" applyProtection="0"/>
    <xf numFmtId="0" fontId="115" fillId="82" borderId="0" applyNumberFormat="0" applyBorder="0" applyAlignment="0" applyProtection="0"/>
    <xf numFmtId="0" fontId="36" fillId="83" borderId="0" applyNumberFormat="0" applyBorder="0" applyAlignment="0" applyProtection="0"/>
    <xf numFmtId="0" fontId="36" fillId="84" borderId="0" applyNumberFormat="0" applyBorder="0" applyAlignment="0" applyProtection="0"/>
    <xf numFmtId="0" fontId="115" fillId="85" borderId="0" applyNumberFormat="0" applyBorder="0" applyAlignment="0" applyProtection="0"/>
    <xf numFmtId="0" fontId="115" fillId="86" borderId="0" applyNumberFormat="0" applyBorder="0" applyAlignment="0" applyProtection="0"/>
    <xf numFmtId="0" fontId="36" fillId="87" borderId="0" applyNumberFormat="0" applyBorder="0" applyAlignment="0" applyProtection="0"/>
    <xf numFmtId="0" fontId="36" fillId="88" borderId="0" applyNumberFormat="0" applyBorder="0" applyAlignment="0" applyProtection="0"/>
    <xf numFmtId="0" fontId="115" fillId="89" borderId="0" applyNumberFormat="0" applyBorder="0" applyAlignment="0" applyProtection="0"/>
    <xf numFmtId="0" fontId="115" fillId="90" borderId="0" applyNumberFormat="0" applyBorder="0" applyAlignment="0" applyProtection="0"/>
    <xf numFmtId="0" fontId="36" fillId="91" borderId="0" applyNumberFormat="0" applyBorder="0" applyAlignment="0" applyProtection="0"/>
    <xf numFmtId="0" fontId="36" fillId="92" borderId="0" applyNumberFormat="0" applyBorder="0" applyAlignment="0" applyProtection="0"/>
    <xf numFmtId="0" fontId="115" fillId="93" borderId="0" applyNumberFormat="0" applyBorder="0" applyAlignment="0" applyProtection="0"/>
    <xf numFmtId="0" fontId="115" fillId="94" borderId="0" applyNumberFormat="0" applyBorder="0" applyAlignment="0" applyProtection="0"/>
    <xf numFmtId="0" fontId="36" fillId="95" borderId="0" applyNumberFormat="0" applyBorder="0" applyAlignment="0" applyProtection="0"/>
    <xf numFmtId="0" fontId="36" fillId="96" borderId="0" applyNumberFormat="0" applyBorder="0" applyAlignment="0" applyProtection="0"/>
    <xf numFmtId="0" fontId="115" fillId="97" borderId="0" applyNumberFormat="0" applyBorder="0" applyAlignment="0" applyProtection="0"/>
    <xf numFmtId="0" fontId="115" fillId="98" borderId="0" applyNumberFormat="0" applyBorder="0" applyAlignment="0" applyProtection="0"/>
    <xf numFmtId="0" fontId="36" fillId="99" borderId="0" applyNumberFormat="0" applyBorder="0" applyAlignment="0" applyProtection="0"/>
    <xf numFmtId="0" fontId="36" fillId="100" borderId="0" applyNumberFormat="0" applyBorder="0" applyAlignment="0" applyProtection="0"/>
    <xf numFmtId="0" fontId="115" fillId="101" borderId="0" applyNumberFormat="0" applyBorder="0" applyAlignment="0" applyProtection="0"/>
    <xf numFmtId="0" fontId="3" fillId="23" borderId="148" applyNumberFormat="0" applyFont="0" applyAlignment="0" applyProtection="0"/>
    <xf numFmtId="0" fontId="3" fillId="0" borderId="0"/>
    <xf numFmtId="0" fontId="192" fillId="0" borderId="0"/>
    <xf numFmtId="43" fontId="3" fillId="0" borderId="0" applyFont="0" applyFill="0" applyBorder="0" applyAlignment="0" applyProtection="0"/>
    <xf numFmtId="0" fontId="36" fillId="0" borderId="0"/>
    <xf numFmtId="43" fontId="36" fillId="0" borderId="0" applyFont="0" applyFill="0" applyBorder="0" applyAlignment="0" applyProtection="0"/>
    <xf numFmtId="0" fontId="192" fillId="0" borderId="0"/>
    <xf numFmtId="0" fontId="192" fillId="0" borderId="0"/>
    <xf numFmtId="0" fontId="192" fillId="0" borderId="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193" fillId="0" borderId="0"/>
    <xf numFmtId="44" fontId="193" fillId="0" borderId="0" applyFont="0" applyFill="0" applyBorder="0" applyAlignment="0" applyProtection="0"/>
    <xf numFmtId="0" fontId="193" fillId="0" borderId="0"/>
    <xf numFmtId="9" fontId="193" fillId="0" borderId="0" applyFont="0" applyFill="0" applyBorder="0" applyAlignment="0" applyProtection="0"/>
    <xf numFmtId="43" fontId="193"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77" borderId="157" applyNumberFormat="0" applyFont="0" applyAlignment="0" applyProtection="0"/>
    <xf numFmtId="0" fontId="36" fillId="0" borderId="0"/>
    <xf numFmtId="0" fontId="36" fillId="77" borderId="157" applyNumberFormat="0" applyFont="0" applyAlignment="0" applyProtection="0"/>
    <xf numFmtId="0" fontId="36" fillId="79" borderId="0" applyNumberFormat="0" applyBorder="0" applyAlignment="0" applyProtection="0"/>
    <xf numFmtId="0" fontId="36" fillId="80" borderId="0" applyNumberFormat="0" applyBorder="0" applyAlignment="0" applyProtection="0"/>
    <xf numFmtId="0" fontId="36" fillId="83" borderId="0" applyNumberFormat="0" applyBorder="0" applyAlignment="0" applyProtection="0"/>
    <xf numFmtId="0" fontId="36" fillId="84" borderId="0" applyNumberFormat="0" applyBorder="0" applyAlignment="0" applyProtection="0"/>
    <xf numFmtId="0" fontId="36" fillId="87" borderId="0" applyNumberFormat="0" applyBorder="0" applyAlignment="0" applyProtection="0"/>
    <xf numFmtId="0" fontId="36" fillId="88" borderId="0" applyNumberFormat="0" applyBorder="0" applyAlignment="0" applyProtection="0"/>
    <xf numFmtId="0" fontId="36" fillId="91" borderId="0" applyNumberFormat="0" applyBorder="0" applyAlignment="0" applyProtection="0"/>
    <xf numFmtId="0" fontId="36" fillId="92" borderId="0" applyNumberFormat="0" applyBorder="0" applyAlignment="0" applyProtection="0"/>
    <xf numFmtId="0" fontId="36" fillId="95" borderId="0" applyNumberFormat="0" applyBorder="0" applyAlignment="0" applyProtection="0"/>
    <xf numFmtId="0" fontId="36" fillId="96" borderId="0" applyNumberFormat="0" applyBorder="0" applyAlignment="0" applyProtection="0"/>
    <xf numFmtId="0" fontId="36" fillId="99" borderId="0" applyNumberFormat="0" applyBorder="0" applyAlignment="0" applyProtection="0"/>
    <xf numFmtId="0" fontId="36" fillId="100" borderId="0" applyNumberFormat="0" applyBorder="0" applyAlignment="0" applyProtection="0"/>
    <xf numFmtId="0" fontId="3" fillId="0" borderId="0"/>
    <xf numFmtId="0" fontId="35" fillId="0" borderId="162" applyNumberFormat="0" applyFill="0" applyAlignment="0" applyProtection="0"/>
    <xf numFmtId="0" fontId="34" fillId="20" borderId="161" applyNumberFormat="0" applyAlignment="0" applyProtection="0"/>
    <xf numFmtId="0" fontId="3" fillId="23" borderId="159" applyNumberFormat="0" applyFont="0" applyAlignment="0" applyProtection="0"/>
    <xf numFmtId="0" fontId="31" fillId="7" borderId="160" applyNumberFormat="0" applyAlignment="0" applyProtection="0"/>
    <xf numFmtId="0" fontId="24" fillId="20" borderId="160" applyNumberFormat="0" applyAlignment="0" applyProtection="0"/>
    <xf numFmtId="0" fontId="24" fillId="20" borderId="164" applyNumberFormat="0" applyAlignment="0" applyProtection="0"/>
    <xf numFmtId="0" fontId="31" fillId="7" borderId="164" applyNumberFormat="0" applyAlignment="0" applyProtection="0"/>
    <xf numFmtId="0" fontId="3" fillId="23" borderId="165" applyNumberFormat="0" applyFont="0" applyAlignment="0" applyProtection="0"/>
    <xf numFmtId="0" fontId="34" fillId="20" borderId="166" applyNumberFormat="0" applyAlignment="0" applyProtection="0"/>
    <xf numFmtId="0" fontId="35" fillId="0" borderId="167" applyNumberFormat="0" applyFill="0" applyAlignment="0" applyProtection="0"/>
    <xf numFmtId="0" fontId="2" fillId="0" borderId="0"/>
    <xf numFmtId="0" fontId="3" fillId="23" borderId="165" applyNumberFormat="0" applyFont="0" applyAlignment="0" applyProtection="0"/>
    <xf numFmtId="0" fontId="35" fillId="0" borderId="167" applyNumberFormat="0" applyFill="0" applyAlignment="0" applyProtection="0"/>
    <xf numFmtId="0" fontId="34" fillId="20" borderId="166" applyNumberFormat="0" applyAlignment="0" applyProtection="0"/>
    <xf numFmtId="0" fontId="3" fillId="23" borderId="165" applyNumberFormat="0" applyFont="0" applyAlignment="0" applyProtection="0"/>
    <xf numFmtId="0" fontId="31" fillId="7" borderId="164" applyNumberFormat="0" applyAlignment="0" applyProtection="0"/>
    <xf numFmtId="0" fontId="24" fillId="20" borderId="164" applyNumberFormat="0" applyAlignment="0" applyProtection="0"/>
    <xf numFmtId="0" fontId="3" fillId="23" borderId="165" applyNumberFormat="0" applyFont="0" applyAlignment="0" applyProtection="0"/>
    <xf numFmtId="0" fontId="3" fillId="23" borderId="165" applyNumberFormat="0" applyFont="0" applyAlignment="0" applyProtection="0"/>
    <xf numFmtId="0" fontId="3" fillId="23" borderId="165" applyNumberFormat="0" applyFont="0" applyAlignment="0" applyProtection="0"/>
    <xf numFmtId="0" fontId="31" fillId="7" borderId="164" applyNumberFormat="0" applyAlignment="0" applyProtection="0"/>
    <xf numFmtId="0" fontId="35" fillId="0" borderId="167" applyNumberFormat="0" applyFill="0" applyAlignment="0" applyProtection="0"/>
    <xf numFmtId="0" fontId="31" fillId="7" borderId="164" applyNumberFormat="0" applyAlignment="0" applyProtection="0"/>
    <xf numFmtId="0" fontId="34" fillId="20" borderId="166" applyNumberFormat="0" applyAlignment="0" applyProtection="0"/>
    <xf numFmtId="0" fontId="3" fillId="23" borderId="165" applyNumberFormat="0" applyFont="0" applyAlignment="0" applyProtection="0"/>
    <xf numFmtId="0" fontId="24" fillId="20" borderId="164" applyNumberFormat="0" applyAlignment="0" applyProtection="0"/>
    <xf numFmtId="0" fontId="3" fillId="23" borderId="165" applyNumberFormat="0" applyFont="0" applyAlignment="0" applyProtection="0"/>
    <xf numFmtId="0" fontId="3" fillId="23" borderId="165" applyNumberFormat="0" applyFont="0" applyAlignment="0" applyProtection="0"/>
    <xf numFmtId="0" fontId="3" fillId="23" borderId="165" applyNumberFormat="0" applyFont="0" applyAlignment="0" applyProtection="0"/>
    <xf numFmtId="0" fontId="34" fillId="20" borderId="166" applyNumberFormat="0" applyAlignment="0" applyProtection="0"/>
    <xf numFmtId="0" fontId="3" fillId="23" borderId="165" applyNumberFormat="0" applyFont="0" applyAlignment="0" applyProtection="0"/>
    <xf numFmtId="0" fontId="3" fillId="23" borderId="165" applyNumberFormat="0" applyFont="0" applyAlignment="0" applyProtection="0"/>
    <xf numFmtId="0" fontId="24" fillId="20" borderId="164" applyNumberFormat="0" applyAlignment="0" applyProtection="0"/>
    <xf numFmtId="0" fontId="34" fillId="20" borderId="166" applyNumberFormat="0" applyAlignment="0" applyProtection="0"/>
    <xf numFmtId="0" fontId="3" fillId="23" borderId="165" applyNumberFormat="0" applyFont="0" applyAlignment="0" applyProtection="0"/>
    <xf numFmtId="0" fontId="3" fillId="23" borderId="165" applyNumberFormat="0" applyFont="0" applyAlignment="0" applyProtection="0"/>
    <xf numFmtId="0" fontId="24" fillId="20" borderId="164" applyNumberFormat="0" applyAlignment="0" applyProtection="0"/>
    <xf numFmtId="0" fontId="3" fillId="23" borderId="165" applyNumberFormat="0" applyFont="0" applyAlignment="0" applyProtection="0"/>
    <xf numFmtId="0" fontId="35" fillId="0" borderId="167" applyNumberFormat="0" applyFill="0" applyAlignment="0" applyProtection="0"/>
    <xf numFmtId="0" fontId="34" fillId="20" borderId="166" applyNumberFormat="0" applyAlignment="0" applyProtection="0"/>
    <xf numFmtId="0" fontId="31" fillId="7" borderId="164" applyNumberFormat="0" applyAlignment="0" applyProtection="0"/>
    <xf numFmtId="0" fontId="24" fillId="20" borderId="164" applyNumberFormat="0" applyAlignment="0" applyProtection="0"/>
    <xf numFmtId="0" fontId="34" fillId="20" borderId="166" applyNumberFormat="0" applyAlignment="0" applyProtection="0"/>
    <xf numFmtId="0" fontId="35" fillId="0" borderId="167" applyNumberFormat="0" applyFill="0" applyAlignment="0" applyProtection="0"/>
    <xf numFmtId="0" fontId="35" fillId="0" borderId="167" applyNumberFormat="0" applyFill="0" applyAlignment="0" applyProtection="0"/>
    <xf numFmtId="0" fontId="31" fillId="7" borderId="164" applyNumberFormat="0" applyAlignment="0" applyProtection="0"/>
    <xf numFmtId="0" fontId="31" fillId="7" borderId="164" applyNumberFormat="0" applyAlignment="0" applyProtection="0"/>
    <xf numFmtId="0" fontId="35" fillId="0" borderId="167" applyNumberFormat="0" applyFill="0" applyAlignment="0" applyProtection="0"/>
    <xf numFmtId="0" fontId="24" fillId="20" borderId="164" applyNumberFormat="0" applyAlignment="0" applyProtection="0"/>
    <xf numFmtId="0" fontId="35" fillId="0" borderId="167" applyNumberFormat="0" applyFill="0" applyAlignment="0" applyProtection="0"/>
    <xf numFmtId="0" fontId="34" fillId="20" borderId="166" applyNumberFormat="0" applyAlignment="0" applyProtection="0"/>
    <xf numFmtId="0" fontId="3" fillId="23" borderId="165" applyNumberFormat="0" applyFont="0" applyAlignment="0" applyProtection="0"/>
    <xf numFmtId="0" fontId="31" fillId="7" borderId="164" applyNumberFormat="0" applyAlignment="0" applyProtection="0"/>
    <xf numFmtId="0" fontId="24" fillId="20" borderId="164" applyNumberFormat="0" applyAlignment="0" applyProtection="0"/>
    <xf numFmtId="0" fontId="35" fillId="0" borderId="237" applyNumberFormat="0" applyFill="0" applyAlignment="0" applyProtection="0"/>
    <xf numFmtId="0" fontId="3" fillId="23" borderId="235" applyNumberFormat="0" applyFont="0" applyAlignment="0" applyProtection="0"/>
    <xf numFmtId="0" fontId="34" fillId="20" borderId="206" applyNumberFormat="0" applyAlignment="0" applyProtection="0"/>
    <xf numFmtId="0" fontId="24" fillId="20" borderId="222" applyNumberFormat="0" applyAlignment="0" applyProtection="0"/>
    <xf numFmtId="0" fontId="31" fillId="7" borderId="192" applyNumberFormat="0" applyAlignment="0" applyProtection="0"/>
    <xf numFmtId="0" fontId="24" fillId="20" borderId="198" applyNumberFormat="0" applyAlignment="0" applyProtection="0"/>
    <xf numFmtId="0" fontId="24" fillId="20" borderId="208" applyNumberFormat="0" applyAlignment="0" applyProtection="0"/>
    <xf numFmtId="0" fontId="34" fillId="20" borderId="236" applyNumberFormat="0" applyAlignment="0" applyProtection="0"/>
    <xf numFmtId="0" fontId="24" fillId="20" borderId="238" applyNumberFormat="0" applyAlignment="0" applyProtection="0"/>
    <xf numFmtId="0" fontId="24" fillId="20" borderId="226" applyNumberFormat="0" applyAlignment="0" applyProtection="0"/>
    <xf numFmtId="0" fontId="34" fillId="20" borderId="196" applyNumberFormat="0" applyAlignment="0" applyProtection="0"/>
    <xf numFmtId="0" fontId="31" fillId="7" borderId="180" applyNumberFormat="0" applyAlignment="0" applyProtection="0"/>
    <xf numFmtId="0" fontId="31" fillId="7" borderId="208" applyNumberFormat="0" applyAlignment="0" applyProtection="0"/>
    <xf numFmtId="0" fontId="31" fillId="7" borderId="222" applyNumberFormat="0" applyAlignment="0" applyProtection="0"/>
    <xf numFmtId="0" fontId="3" fillId="23" borderId="213" applyNumberFormat="0" applyFont="0" applyAlignment="0" applyProtection="0"/>
    <xf numFmtId="0" fontId="31" fillId="7" borderId="184" applyNumberFormat="0" applyAlignment="0" applyProtection="0"/>
    <xf numFmtId="0" fontId="31" fillId="7" borderId="226" applyNumberFormat="0" applyAlignment="0" applyProtection="0"/>
    <xf numFmtId="0" fontId="35" fillId="0" borderId="207" applyNumberFormat="0" applyFill="0" applyAlignment="0" applyProtection="0"/>
    <xf numFmtId="0" fontId="31" fillId="7" borderId="198" applyNumberFormat="0" applyAlignment="0" applyProtection="0"/>
    <xf numFmtId="0" fontId="24" fillId="20" borderId="180" applyNumberFormat="0" applyAlignment="0" applyProtection="0"/>
    <xf numFmtId="0" fontId="35" fillId="0" borderId="207" applyNumberFormat="0" applyFill="0" applyAlignment="0" applyProtection="0"/>
    <xf numFmtId="0" fontId="24" fillId="20" borderId="188" applyNumberFormat="0" applyAlignment="0" applyProtection="0"/>
    <xf numFmtId="0" fontId="24" fillId="20" borderId="192" applyNumberFormat="0" applyAlignment="0" applyProtection="0"/>
    <xf numFmtId="0" fontId="24" fillId="20" borderId="184" applyNumberFormat="0" applyAlignment="0" applyProtection="0"/>
    <xf numFmtId="0" fontId="3" fillId="23" borderId="159" applyNumberFormat="0" applyFont="0" applyAlignment="0" applyProtection="0"/>
    <xf numFmtId="0" fontId="35" fillId="0" borderId="197" applyNumberFormat="0" applyFill="0" applyAlignment="0" applyProtection="0"/>
    <xf numFmtId="0" fontId="24" fillId="20" borderId="234" applyNumberFormat="0" applyAlignment="0" applyProtection="0"/>
    <xf numFmtId="0" fontId="31" fillId="7" borderId="188" applyNumberFormat="0" applyAlignment="0" applyProtection="0"/>
    <xf numFmtId="0" fontId="24" fillId="20" borderId="209" applyNumberFormat="0" applyAlignment="0" applyProtection="0"/>
    <xf numFmtId="0" fontId="3" fillId="23" borderId="213" applyNumberFormat="0" applyFont="0" applyAlignment="0" applyProtection="0"/>
    <xf numFmtId="0" fontId="31" fillId="7" borderId="209" applyNumberFormat="0" applyAlignment="0" applyProtection="0"/>
    <xf numFmtId="0" fontId="24" fillId="20" borderId="168" applyNumberFormat="0" applyAlignment="0" applyProtection="0"/>
    <xf numFmtId="0" fontId="31" fillId="7" borderId="168" applyNumberFormat="0" applyAlignment="0" applyProtection="0"/>
    <xf numFmtId="0" fontId="3" fillId="23" borderId="169" applyNumberFormat="0" applyFont="0" applyAlignment="0" applyProtection="0"/>
    <xf numFmtId="0" fontId="34" fillId="20" borderId="170" applyNumberFormat="0" applyAlignment="0" applyProtection="0"/>
    <xf numFmtId="0" fontId="35" fillId="0" borderId="171" applyNumberFormat="0" applyFill="0" applyAlignment="0" applyProtection="0"/>
    <xf numFmtId="0" fontId="3" fillId="23" borderId="169" applyNumberFormat="0" applyFont="0" applyAlignment="0" applyProtection="0"/>
    <xf numFmtId="0" fontId="35" fillId="0" borderId="171" applyNumberFormat="0" applyFill="0" applyAlignment="0" applyProtection="0"/>
    <xf numFmtId="0" fontId="34" fillId="20" borderId="170" applyNumberFormat="0" applyAlignment="0" applyProtection="0"/>
    <xf numFmtId="0" fontId="3" fillId="23" borderId="169" applyNumberFormat="0" applyFont="0" applyAlignment="0" applyProtection="0"/>
    <xf numFmtId="0" fontId="31" fillId="7" borderId="168" applyNumberFormat="0" applyAlignment="0" applyProtection="0"/>
    <xf numFmtId="0" fontId="24" fillId="20" borderId="168" applyNumberFormat="0" applyAlignment="0" applyProtection="0"/>
    <xf numFmtId="0" fontId="3" fillId="23" borderId="169" applyNumberFormat="0" applyFont="0" applyAlignment="0" applyProtection="0"/>
    <xf numFmtId="0" fontId="3" fillId="23" borderId="169" applyNumberFormat="0" applyFont="0" applyAlignment="0" applyProtection="0"/>
    <xf numFmtId="0" fontId="3" fillId="23" borderId="169" applyNumberFormat="0" applyFont="0" applyAlignment="0" applyProtection="0"/>
    <xf numFmtId="0" fontId="31" fillId="7" borderId="168" applyNumberFormat="0" applyAlignment="0" applyProtection="0"/>
    <xf numFmtId="0" fontId="35" fillId="0" borderId="171" applyNumberFormat="0" applyFill="0" applyAlignment="0" applyProtection="0"/>
    <xf numFmtId="0" fontId="31" fillId="7" borderId="168" applyNumberFormat="0" applyAlignment="0" applyProtection="0"/>
    <xf numFmtId="0" fontId="34" fillId="20" borderId="170" applyNumberFormat="0" applyAlignment="0" applyProtection="0"/>
    <xf numFmtId="0" fontId="3" fillId="23" borderId="169" applyNumberFormat="0" applyFont="0" applyAlignment="0" applyProtection="0"/>
    <xf numFmtId="0" fontId="24" fillId="20" borderId="168" applyNumberFormat="0" applyAlignment="0" applyProtection="0"/>
    <xf numFmtId="0" fontId="3" fillId="23" borderId="169" applyNumberFormat="0" applyFont="0" applyAlignment="0" applyProtection="0"/>
    <xf numFmtId="0" fontId="3" fillId="23" borderId="169" applyNumberFormat="0" applyFont="0" applyAlignment="0" applyProtection="0"/>
    <xf numFmtId="0" fontId="3" fillId="23" borderId="169" applyNumberFormat="0" applyFont="0" applyAlignment="0" applyProtection="0"/>
    <xf numFmtId="0" fontId="34" fillId="20" borderId="170" applyNumberFormat="0" applyAlignment="0" applyProtection="0"/>
    <xf numFmtId="0" fontId="3" fillId="23" borderId="169" applyNumberFormat="0" applyFont="0" applyAlignment="0" applyProtection="0"/>
    <xf numFmtId="0" fontId="3" fillId="23" borderId="169" applyNumberFormat="0" applyFont="0" applyAlignment="0" applyProtection="0"/>
    <xf numFmtId="0" fontId="24" fillId="20" borderId="168" applyNumberFormat="0" applyAlignment="0" applyProtection="0"/>
    <xf numFmtId="0" fontId="34" fillId="20" borderId="170" applyNumberFormat="0" applyAlignment="0" applyProtection="0"/>
    <xf numFmtId="0" fontId="3" fillId="23" borderId="169" applyNumberFormat="0" applyFont="0" applyAlignment="0" applyProtection="0"/>
    <xf numFmtId="0" fontId="3" fillId="23" borderId="169" applyNumberFormat="0" applyFont="0" applyAlignment="0" applyProtection="0"/>
    <xf numFmtId="0" fontId="24" fillId="20" borderId="168" applyNumberFormat="0" applyAlignment="0" applyProtection="0"/>
    <xf numFmtId="0" fontId="3" fillId="23" borderId="169" applyNumberFormat="0" applyFont="0" applyAlignment="0" applyProtection="0"/>
    <xf numFmtId="0" fontId="35" fillId="0" borderId="171" applyNumberFormat="0" applyFill="0" applyAlignment="0" applyProtection="0"/>
    <xf numFmtId="0" fontId="34" fillId="20" borderId="170" applyNumberFormat="0" applyAlignment="0" applyProtection="0"/>
    <xf numFmtId="0" fontId="31" fillId="7" borderId="168" applyNumberFormat="0" applyAlignment="0" applyProtection="0"/>
    <xf numFmtId="0" fontId="24" fillId="20" borderId="168" applyNumberFormat="0" applyAlignment="0" applyProtection="0"/>
    <xf numFmtId="0" fontId="34" fillId="20" borderId="170" applyNumberFormat="0" applyAlignment="0" applyProtection="0"/>
    <xf numFmtId="0" fontId="35" fillId="0" borderId="171" applyNumberFormat="0" applyFill="0" applyAlignment="0" applyProtection="0"/>
    <xf numFmtId="0" fontId="35" fillId="0" borderId="171" applyNumberFormat="0" applyFill="0" applyAlignment="0" applyProtection="0"/>
    <xf numFmtId="0" fontId="31" fillId="7" borderId="168" applyNumberFormat="0" applyAlignment="0" applyProtection="0"/>
    <xf numFmtId="0" fontId="31" fillId="7" borderId="168" applyNumberFormat="0" applyAlignment="0" applyProtection="0"/>
    <xf numFmtId="0" fontId="35" fillId="0" borderId="171" applyNumberFormat="0" applyFill="0" applyAlignment="0" applyProtection="0"/>
    <xf numFmtId="0" fontId="24" fillId="20" borderId="168" applyNumberFormat="0" applyAlignment="0" applyProtection="0"/>
    <xf numFmtId="0" fontId="35" fillId="0" borderId="171" applyNumberFormat="0" applyFill="0" applyAlignment="0" applyProtection="0"/>
    <xf numFmtId="0" fontId="34" fillId="20" borderId="170" applyNumberFormat="0" applyAlignment="0" applyProtection="0"/>
    <xf numFmtId="0" fontId="3" fillId="23" borderId="169" applyNumberFormat="0" applyFont="0" applyAlignment="0" applyProtection="0"/>
    <xf numFmtId="0" fontId="31" fillId="7" borderId="168" applyNumberFormat="0" applyAlignment="0" applyProtection="0"/>
    <xf numFmtId="0" fontId="24" fillId="20" borderId="168" applyNumberFormat="0" applyAlignment="0" applyProtection="0"/>
    <xf numFmtId="0" fontId="3" fillId="23" borderId="159" applyNumberFormat="0" applyFont="0" applyAlignment="0" applyProtection="0"/>
    <xf numFmtId="0" fontId="24" fillId="20" borderId="168" applyNumberFormat="0" applyAlignment="0" applyProtection="0"/>
    <xf numFmtId="0" fontId="31" fillId="7" borderId="168" applyNumberFormat="0" applyAlignment="0" applyProtection="0"/>
    <xf numFmtId="0" fontId="3" fillId="23" borderId="169" applyNumberFormat="0" applyFont="0" applyAlignment="0" applyProtection="0"/>
    <xf numFmtId="0" fontId="34" fillId="20" borderId="170" applyNumberFormat="0" applyAlignment="0" applyProtection="0"/>
    <xf numFmtId="0" fontId="35" fillId="0" borderId="171" applyNumberFormat="0" applyFill="0" applyAlignment="0" applyProtection="0"/>
    <xf numFmtId="0" fontId="3" fillId="23" borderId="169" applyNumberFormat="0" applyFont="0" applyAlignment="0" applyProtection="0"/>
    <xf numFmtId="0" fontId="35" fillId="0" borderId="171" applyNumberFormat="0" applyFill="0" applyAlignment="0" applyProtection="0"/>
    <xf numFmtId="0" fontId="34" fillId="20" borderId="170" applyNumberFormat="0" applyAlignment="0" applyProtection="0"/>
    <xf numFmtId="0" fontId="3" fillId="23" borderId="169" applyNumberFormat="0" applyFont="0" applyAlignment="0" applyProtection="0"/>
    <xf numFmtId="0" fontId="31" fillId="7" borderId="168" applyNumberFormat="0" applyAlignment="0" applyProtection="0"/>
    <xf numFmtId="0" fontId="24" fillId="20" borderId="168" applyNumberFormat="0" applyAlignment="0" applyProtection="0"/>
    <xf numFmtId="0" fontId="3" fillId="23" borderId="169" applyNumberFormat="0" applyFont="0" applyAlignment="0" applyProtection="0"/>
    <xf numFmtId="0" fontId="3" fillId="23" borderId="169" applyNumberFormat="0" applyFont="0" applyAlignment="0" applyProtection="0"/>
    <xf numFmtId="0" fontId="3" fillId="23" borderId="169" applyNumberFormat="0" applyFont="0" applyAlignment="0" applyProtection="0"/>
    <xf numFmtId="0" fontId="31" fillId="7" borderId="168" applyNumberFormat="0" applyAlignment="0" applyProtection="0"/>
    <xf numFmtId="0" fontId="35" fillId="0" borderId="171" applyNumberFormat="0" applyFill="0" applyAlignment="0" applyProtection="0"/>
    <xf numFmtId="0" fontId="31" fillId="7" borderId="168" applyNumberFormat="0" applyAlignment="0" applyProtection="0"/>
    <xf numFmtId="0" fontId="34" fillId="20" borderId="170" applyNumberFormat="0" applyAlignment="0" applyProtection="0"/>
    <xf numFmtId="0" fontId="3" fillId="23" borderId="169" applyNumberFormat="0" applyFont="0" applyAlignment="0" applyProtection="0"/>
    <xf numFmtId="0" fontId="24" fillId="20" borderId="168" applyNumberFormat="0" applyAlignment="0" applyProtection="0"/>
    <xf numFmtId="0" fontId="3" fillId="23" borderId="169" applyNumberFormat="0" applyFont="0" applyAlignment="0" applyProtection="0"/>
    <xf numFmtId="0" fontId="3" fillId="23" borderId="169" applyNumberFormat="0" applyFont="0" applyAlignment="0" applyProtection="0"/>
    <xf numFmtId="0" fontId="3" fillId="23" borderId="169" applyNumberFormat="0" applyFont="0" applyAlignment="0" applyProtection="0"/>
    <xf numFmtId="0" fontId="34" fillId="20" borderId="170" applyNumberFormat="0" applyAlignment="0" applyProtection="0"/>
    <xf numFmtId="0" fontId="3" fillId="23" borderId="169" applyNumberFormat="0" applyFont="0" applyAlignment="0" applyProtection="0"/>
    <xf numFmtId="0" fontId="3" fillId="23" borderId="169" applyNumberFormat="0" applyFont="0" applyAlignment="0" applyProtection="0"/>
    <xf numFmtId="0" fontId="24" fillId="20" borderId="168" applyNumberFormat="0" applyAlignment="0" applyProtection="0"/>
    <xf numFmtId="0" fontId="34" fillId="20" borderId="170" applyNumberFormat="0" applyAlignment="0" applyProtection="0"/>
    <xf numFmtId="0" fontId="3" fillId="23" borderId="169" applyNumberFormat="0" applyFont="0" applyAlignment="0" applyProtection="0"/>
    <xf numFmtId="0" fontId="3" fillId="23" borderId="169" applyNumberFormat="0" applyFont="0" applyAlignment="0" applyProtection="0"/>
    <xf numFmtId="0" fontId="24" fillId="20" borderId="168" applyNumberFormat="0" applyAlignment="0" applyProtection="0"/>
    <xf numFmtId="0" fontId="3" fillId="23" borderId="169" applyNumberFormat="0" applyFont="0" applyAlignment="0" applyProtection="0"/>
    <xf numFmtId="0" fontId="35" fillId="0" borderId="171" applyNumberFormat="0" applyFill="0" applyAlignment="0" applyProtection="0"/>
    <xf numFmtId="0" fontId="34" fillId="20" borderId="170" applyNumberFormat="0" applyAlignment="0" applyProtection="0"/>
    <xf numFmtId="0" fontId="31" fillId="7" borderId="168" applyNumberFormat="0" applyAlignment="0" applyProtection="0"/>
    <xf numFmtId="0" fontId="24" fillId="20" borderId="168" applyNumberFormat="0" applyAlignment="0" applyProtection="0"/>
    <xf numFmtId="0" fontId="34" fillId="20" borderId="170" applyNumberFormat="0" applyAlignment="0" applyProtection="0"/>
    <xf numFmtId="0" fontId="35" fillId="0" borderId="171" applyNumberFormat="0" applyFill="0" applyAlignment="0" applyProtection="0"/>
    <xf numFmtId="0" fontId="35" fillId="0" borderId="171" applyNumberFormat="0" applyFill="0" applyAlignment="0" applyProtection="0"/>
    <xf numFmtId="0" fontId="31" fillId="7" borderId="168" applyNumberFormat="0" applyAlignment="0" applyProtection="0"/>
    <xf numFmtId="0" fontId="31" fillId="7" borderId="168" applyNumberFormat="0" applyAlignment="0" applyProtection="0"/>
    <xf numFmtId="0" fontId="35" fillId="0" borderId="171" applyNumberFormat="0" applyFill="0" applyAlignment="0" applyProtection="0"/>
    <xf numFmtId="0" fontId="24" fillId="20" borderId="168" applyNumberFormat="0" applyAlignment="0" applyProtection="0"/>
    <xf numFmtId="0" fontId="35" fillId="0" borderId="171" applyNumberFormat="0" applyFill="0" applyAlignment="0" applyProtection="0"/>
    <xf numFmtId="0" fontId="34" fillId="20" borderId="170" applyNumberFormat="0" applyAlignment="0" applyProtection="0"/>
    <xf numFmtId="0" fontId="3" fillId="23" borderId="169" applyNumberFormat="0" applyFont="0" applyAlignment="0" applyProtection="0"/>
    <xf numFmtId="0" fontId="31" fillId="7" borderId="168" applyNumberFormat="0" applyAlignment="0" applyProtection="0"/>
    <xf numFmtId="0" fontId="24" fillId="20" borderId="168" applyNumberFormat="0" applyAlignment="0" applyProtection="0"/>
    <xf numFmtId="0" fontId="3" fillId="23" borderId="169" applyNumberFormat="0" applyFont="0" applyAlignment="0" applyProtection="0"/>
    <xf numFmtId="0" fontId="35" fillId="0" borderId="171" applyNumberFormat="0" applyFill="0" applyAlignment="0" applyProtection="0"/>
    <xf numFmtId="0" fontId="34" fillId="20" borderId="170" applyNumberFormat="0" applyAlignment="0" applyProtection="0"/>
    <xf numFmtId="0" fontId="3" fillId="23" borderId="169" applyNumberFormat="0" applyFont="0" applyAlignment="0" applyProtection="0"/>
    <xf numFmtId="0" fontId="31" fillId="7" borderId="168" applyNumberFormat="0" applyAlignment="0" applyProtection="0"/>
    <xf numFmtId="0" fontId="24" fillId="20" borderId="168" applyNumberFormat="0" applyAlignment="0" applyProtection="0"/>
    <xf numFmtId="0" fontId="24" fillId="20" borderId="168" applyNumberFormat="0" applyAlignment="0" applyProtection="0"/>
    <xf numFmtId="0" fontId="31" fillId="7" borderId="168" applyNumberFormat="0" applyAlignment="0" applyProtection="0"/>
    <xf numFmtId="0" fontId="3" fillId="23" borderId="169" applyNumberFormat="0" applyFont="0" applyAlignment="0" applyProtection="0"/>
    <xf numFmtId="0" fontId="34" fillId="20" borderId="170" applyNumberFormat="0" applyAlignment="0" applyProtection="0"/>
    <xf numFmtId="0" fontId="35" fillId="0" borderId="171" applyNumberFormat="0" applyFill="0" applyAlignment="0" applyProtection="0"/>
    <xf numFmtId="0" fontId="3" fillId="23" borderId="169" applyNumberFormat="0" applyFont="0" applyAlignment="0" applyProtection="0"/>
    <xf numFmtId="0" fontId="35" fillId="0" borderId="171" applyNumberFormat="0" applyFill="0" applyAlignment="0" applyProtection="0"/>
    <xf numFmtId="0" fontId="34" fillId="20" borderId="170" applyNumberFormat="0" applyAlignment="0" applyProtection="0"/>
    <xf numFmtId="0" fontId="3" fillId="23" borderId="169" applyNumberFormat="0" applyFont="0" applyAlignment="0" applyProtection="0"/>
    <xf numFmtId="0" fontId="31" fillId="7" borderId="168" applyNumberFormat="0" applyAlignment="0" applyProtection="0"/>
    <xf numFmtId="0" fontId="24" fillId="20" borderId="168" applyNumberFormat="0" applyAlignment="0" applyProtection="0"/>
    <xf numFmtId="0" fontId="3" fillId="23" borderId="169" applyNumberFormat="0" applyFont="0" applyAlignment="0" applyProtection="0"/>
    <xf numFmtId="0" fontId="3" fillId="23" borderId="169" applyNumberFormat="0" applyFont="0" applyAlignment="0" applyProtection="0"/>
    <xf numFmtId="0" fontId="3" fillId="23" borderId="169" applyNumberFormat="0" applyFont="0" applyAlignment="0" applyProtection="0"/>
    <xf numFmtId="0" fontId="31" fillId="7" borderId="168" applyNumberFormat="0" applyAlignment="0" applyProtection="0"/>
    <xf numFmtId="0" fontId="35" fillId="0" borderId="171" applyNumberFormat="0" applyFill="0" applyAlignment="0" applyProtection="0"/>
    <xf numFmtId="0" fontId="31" fillId="7" borderId="168" applyNumberFormat="0" applyAlignment="0" applyProtection="0"/>
    <xf numFmtId="0" fontId="34" fillId="20" borderId="170" applyNumberFormat="0" applyAlignment="0" applyProtection="0"/>
    <xf numFmtId="0" fontId="3" fillId="23" borderId="169" applyNumberFormat="0" applyFont="0" applyAlignment="0" applyProtection="0"/>
    <xf numFmtId="0" fontId="24" fillId="20" borderId="168" applyNumberFormat="0" applyAlignment="0" applyProtection="0"/>
    <xf numFmtId="0" fontId="3" fillId="23" borderId="169" applyNumberFormat="0" applyFont="0" applyAlignment="0" applyProtection="0"/>
    <xf numFmtId="0" fontId="3" fillId="23" borderId="169" applyNumberFormat="0" applyFont="0" applyAlignment="0" applyProtection="0"/>
    <xf numFmtId="0" fontId="3" fillId="23" borderId="169" applyNumberFormat="0" applyFont="0" applyAlignment="0" applyProtection="0"/>
    <xf numFmtId="0" fontId="34" fillId="20" borderId="170" applyNumberFormat="0" applyAlignment="0" applyProtection="0"/>
    <xf numFmtId="0" fontId="3" fillId="23" borderId="169" applyNumberFormat="0" applyFont="0" applyAlignment="0" applyProtection="0"/>
    <xf numFmtId="0" fontId="3" fillId="23" borderId="169" applyNumberFormat="0" applyFont="0" applyAlignment="0" applyProtection="0"/>
    <xf numFmtId="0" fontId="24" fillId="20" borderId="168" applyNumberFormat="0" applyAlignment="0" applyProtection="0"/>
    <xf numFmtId="0" fontId="34" fillId="20" borderId="170" applyNumberFormat="0" applyAlignment="0" applyProtection="0"/>
    <xf numFmtId="0" fontId="3" fillId="23" borderId="169" applyNumberFormat="0" applyFont="0" applyAlignment="0" applyProtection="0"/>
    <xf numFmtId="0" fontId="3" fillId="23" borderId="169" applyNumberFormat="0" applyFont="0" applyAlignment="0" applyProtection="0"/>
    <xf numFmtId="0" fontId="24" fillId="20" borderId="168" applyNumberFormat="0" applyAlignment="0" applyProtection="0"/>
    <xf numFmtId="0" fontId="3" fillId="23" borderId="169" applyNumberFormat="0" applyFont="0" applyAlignment="0" applyProtection="0"/>
    <xf numFmtId="0" fontId="35" fillId="0" borderId="171" applyNumberFormat="0" applyFill="0" applyAlignment="0" applyProtection="0"/>
    <xf numFmtId="0" fontId="34" fillId="20" borderId="170" applyNumberFormat="0" applyAlignment="0" applyProtection="0"/>
    <xf numFmtId="0" fontId="31" fillId="7" borderId="168" applyNumberFormat="0" applyAlignment="0" applyProtection="0"/>
    <xf numFmtId="0" fontId="24" fillId="20" borderId="168" applyNumberFormat="0" applyAlignment="0" applyProtection="0"/>
    <xf numFmtId="0" fontId="34" fillId="20" borderId="170" applyNumberFormat="0" applyAlignment="0" applyProtection="0"/>
    <xf numFmtId="0" fontId="35" fillId="0" borderId="171" applyNumberFormat="0" applyFill="0" applyAlignment="0" applyProtection="0"/>
    <xf numFmtId="0" fontId="35" fillId="0" borderId="171" applyNumberFormat="0" applyFill="0" applyAlignment="0" applyProtection="0"/>
    <xf numFmtId="0" fontId="31" fillId="7" borderId="168" applyNumberFormat="0" applyAlignment="0" applyProtection="0"/>
    <xf numFmtId="0" fontId="31" fillId="7" borderId="168" applyNumberFormat="0" applyAlignment="0" applyProtection="0"/>
    <xf numFmtId="0" fontId="35" fillId="0" borderId="171" applyNumberFormat="0" applyFill="0" applyAlignment="0" applyProtection="0"/>
    <xf numFmtId="0" fontId="24" fillId="20" borderId="168" applyNumberFormat="0" applyAlignment="0" applyProtection="0"/>
    <xf numFmtId="0" fontId="35" fillId="0" borderId="171" applyNumberFormat="0" applyFill="0" applyAlignment="0" applyProtection="0"/>
    <xf numFmtId="0" fontId="34" fillId="20" borderId="170" applyNumberFormat="0" applyAlignment="0" applyProtection="0"/>
    <xf numFmtId="0" fontId="3" fillId="23" borderId="169" applyNumberFormat="0" applyFont="0" applyAlignment="0" applyProtection="0"/>
    <xf numFmtId="0" fontId="31" fillId="7" borderId="168" applyNumberFormat="0" applyAlignment="0" applyProtection="0"/>
    <xf numFmtId="0" fontId="24" fillId="20" borderId="168" applyNumberFormat="0" applyAlignment="0" applyProtection="0"/>
    <xf numFmtId="0" fontId="3" fillId="23" borderId="169" applyNumberFormat="0" applyFont="0" applyAlignment="0" applyProtection="0"/>
    <xf numFmtId="0" fontId="35" fillId="0" borderId="171" applyNumberFormat="0" applyFill="0" applyAlignment="0" applyProtection="0"/>
    <xf numFmtId="0" fontId="34" fillId="20" borderId="170" applyNumberFormat="0" applyAlignment="0" applyProtection="0"/>
    <xf numFmtId="0" fontId="3" fillId="23" borderId="169" applyNumberFormat="0" applyFont="0" applyAlignment="0" applyProtection="0"/>
    <xf numFmtId="0" fontId="31" fillId="7" borderId="168" applyNumberFormat="0" applyAlignment="0" applyProtection="0"/>
    <xf numFmtId="0" fontId="24" fillId="20" borderId="168" applyNumberFormat="0" applyAlignment="0" applyProtection="0"/>
    <xf numFmtId="0" fontId="24" fillId="20" borderId="168" applyNumberFormat="0" applyAlignment="0" applyProtection="0"/>
    <xf numFmtId="0" fontId="31" fillId="7" borderId="168" applyNumberFormat="0" applyAlignment="0" applyProtection="0"/>
    <xf numFmtId="0" fontId="3" fillId="23" borderId="169" applyNumberFormat="0" applyFont="0" applyAlignment="0" applyProtection="0"/>
    <xf numFmtId="0" fontId="34" fillId="20" borderId="170" applyNumberFormat="0" applyAlignment="0" applyProtection="0"/>
    <xf numFmtId="0" fontId="35" fillId="0" borderId="171" applyNumberFormat="0" applyFill="0" applyAlignment="0" applyProtection="0"/>
    <xf numFmtId="0" fontId="3" fillId="23" borderId="169" applyNumberFormat="0" applyFont="0" applyAlignment="0" applyProtection="0"/>
    <xf numFmtId="0" fontId="35" fillId="0" borderId="171" applyNumberFormat="0" applyFill="0" applyAlignment="0" applyProtection="0"/>
    <xf numFmtId="0" fontId="34" fillId="20" borderId="170" applyNumberFormat="0" applyAlignment="0" applyProtection="0"/>
    <xf numFmtId="0" fontId="3" fillId="23" borderId="169" applyNumberFormat="0" applyFont="0" applyAlignment="0" applyProtection="0"/>
    <xf numFmtId="0" fontId="31" fillId="7" borderId="168" applyNumberFormat="0" applyAlignment="0" applyProtection="0"/>
    <xf numFmtId="0" fontId="24" fillId="20" borderId="168" applyNumberFormat="0" applyAlignment="0" applyProtection="0"/>
    <xf numFmtId="0" fontId="3" fillId="23" borderId="169" applyNumberFormat="0" applyFont="0" applyAlignment="0" applyProtection="0"/>
    <xf numFmtId="0" fontId="3" fillId="23" borderId="169" applyNumberFormat="0" applyFont="0" applyAlignment="0" applyProtection="0"/>
    <xf numFmtId="0" fontId="3" fillId="23" borderId="169" applyNumberFormat="0" applyFont="0" applyAlignment="0" applyProtection="0"/>
    <xf numFmtId="0" fontId="31" fillId="7" borderId="168" applyNumberFormat="0" applyAlignment="0" applyProtection="0"/>
    <xf numFmtId="0" fontId="35" fillId="0" borderId="171" applyNumberFormat="0" applyFill="0" applyAlignment="0" applyProtection="0"/>
    <xf numFmtId="0" fontId="31" fillId="7" borderId="168" applyNumberFormat="0" applyAlignment="0" applyProtection="0"/>
    <xf numFmtId="0" fontId="34" fillId="20" borderId="170" applyNumberFormat="0" applyAlignment="0" applyProtection="0"/>
    <xf numFmtId="0" fontId="3" fillId="23" borderId="169" applyNumberFormat="0" applyFont="0" applyAlignment="0" applyProtection="0"/>
    <xf numFmtId="0" fontId="24" fillId="20" borderId="168" applyNumberFormat="0" applyAlignment="0" applyProtection="0"/>
    <xf numFmtId="0" fontId="3" fillId="23" borderId="169" applyNumberFormat="0" applyFont="0" applyAlignment="0" applyProtection="0"/>
    <xf numFmtId="0" fontId="3" fillId="23" borderId="169" applyNumberFormat="0" applyFont="0" applyAlignment="0" applyProtection="0"/>
    <xf numFmtId="0" fontId="3" fillId="23" borderId="169" applyNumberFormat="0" applyFont="0" applyAlignment="0" applyProtection="0"/>
    <xf numFmtId="0" fontId="34" fillId="20" borderId="170" applyNumberFormat="0" applyAlignment="0" applyProtection="0"/>
    <xf numFmtId="0" fontId="3" fillId="23" borderId="169" applyNumberFormat="0" applyFont="0" applyAlignment="0" applyProtection="0"/>
    <xf numFmtId="0" fontId="3" fillId="23" borderId="169" applyNumberFormat="0" applyFont="0" applyAlignment="0" applyProtection="0"/>
    <xf numFmtId="0" fontId="24" fillId="20" borderId="168" applyNumberFormat="0" applyAlignment="0" applyProtection="0"/>
    <xf numFmtId="0" fontId="34" fillId="20" borderId="170" applyNumberFormat="0" applyAlignment="0" applyProtection="0"/>
    <xf numFmtId="0" fontId="3" fillId="23" borderId="169" applyNumberFormat="0" applyFont="0" applyAlignment="0" applyProtection="0"/>
    <xf numFmtId="0" fontId="3" fillId="23" borderId="169" applyNumberFormat="0" applyFont="0" applyAlignment="0" applyProtection="0"/>
    <xf numFmtId="0" fontId="24" fillId="20" borderId="168" applyNumberFormat="0" applyAlignment="0" applyProtection="0"/>
    <xf numFmtId="0" fontId="3" fillId="23" borderId="169" applyNumberFormat="0" applyFont="0" applyAlignment="0" applyProtection="0"/>
    <xf numFmtId="0" fontId="35" fillId="0" borderId="171" applyNumberFormat="0" applyFill="0" applyAlignment="0" applyProtection="0"/>
    <xf numFmtId="0" fontId="34" fillId="20" borderId="170" applyNumberFormat="0" applyAlignment="0" applyProtection="0"/>
    <xf numFmtId="0" fontId="31" fillId="7" borderId="168" applyNumberFormat="0" applyAlignment="0" applyProtection="0"/>
    <xf numFmtId="0" fontId="24" fillId="20" borderId="168" applyNumberFormat="0" applyAlignment="0" applyProtection="0"/>
    <xf numFmtId="0" fontId="34" fillId="20" borderId="170" applyNumberFormat="0" applyAlignment="0" applyProtection="0"/>
    <xf numFmtId="0" fontId="35" fillId="0" borderId="171" applyNumberFormat="0" applyFill="0" applyAlignment="0" applyProtection="0"/>
    <xf numFmtId="0" fontId="35" fillId="0" borderId="171" applyNumberFormat="0" applyFill="0" applyAlignment="0" applyProtection="0"/>
    <xf numFmtId="0" fontId="31" fillId="7" borderId="168" applyNumberFormat="0" applyAlignment="0" applyProtection="0"/>
    <xf numFmtId="0" fontId="31" fillId="7" borderId="168" applyNumberFormat="0" applyAlignment="0" applyProtection="0"/>
    <xf numFmtId="0" fontId="35" fillId="0" borderId="171" applyNumberFormat="0" applyFill="0" applyAlignment="0" applyProtection="0"/>
    <xf numFmtId="0" fontId="24" fillId="20" borderId="168" applyNumberFormat="0" applyAlignment="0" applyProtection="0"/>
    <xf numFmtId="0" fontId="35" fillId="0" borderId="171" applyNumberFormat="0" applyFill="0" applyAlignment="0" applyProtection="0"/>
    <xf numFmtId="0" fontId="34" fillId="20" borderId="170" applyNumberFormat="0" applyAlignment="0" applyProtection="0"/>
    <xf numFmtId="0" fontId="3" fillId="23" borderId="169" applyNumberFormat="0" applyFont="0" applyAlignment="0" applyProtection="0"/>
    <xf numFmtId="0" fontId="31" fillId="7" borderId="168" applyNumberFormat="0" applyAlignment="0" applyProtection="0"/>
    <xf numFmtId="0" fontId="24" fillId="20" borderId="168" applyNumberFormat="0" applyAlignment="0" applyProtection="0"/>
    <xf numFmtId="0" fontId="24" fillId="20" borderId="168" applyNumberFormat="0" applyAlignment="0" applyProtection="0"/>
    <xf numFmtId="0" fontId="31" fillId="7" borderId="168" applyNumberFormat="0" applyAlignment="0" applyProtection="0"/>
    <xf numFmtId="0" fontId="3" fillId="23" borderId="169" applyNumberFormat="0" applyFont="0" applyAlignment="0" applyProtection="0"/>
    <xf numFmtId="0" fontId="34" fillId="20" borderId="170" applyNumberFormat="0" applyAlignment="0" applyProtection="0"/>
    <xf numFmtId="0" fontId="35" fillId="0" borderId="171" applyNumberFormat="0" applyFill="0" applyAlignment="0" applyProtection="0"/>
    <xf numFmtId="0" fontId="3" fillId="23" borderId="169" applyNumberFormat="0" applyFont="0" applyAlignment="0" applyProtection="0"/>
    <xf numFmtId="0" fontId="35" fillId="0" borderId="171" applyNumberFormat="0" applyFill="0" applyAlignment="0" applyProtection="0"/>
    <xf numFmtId="0" fontId="34" fillId="20" borderId="170" applyNumberFormat="0" applyAlignment="0" applyProtection="0"/>
    <xf numFmtId="0" fontId="3" fillId="23" borderId="169" applyNumberFormat="0" applyFont="0" applyAlignment="0" applyProtection="0"/>
    <xf numFmtId="0" fontId="31" fillId="7" borderId="168" applyNumberFormat="0" applyAlignment="0" applyProtection="0"/>
    <xf numFmtId="0" fontId="24" fillId="20" borderId="168" applyNumberFormat="0" applyAlignment="0" applyProtection="0"/>
    <xf numFmtId="0" fontId="3" fillId="23" borderId="169" applyNumberFormat="0" applyFont="0" applyAlignment="0" applyProtection="0"/>
    <xf numFmtId="0" fontId="3" fillId="23" borderId="169" applyNumberFormat="0" applyFont="0" applyAlignment="0" applyProtection="0"/>
    <xf numFmtId="0" fontId="3" fillId="23" borderId="169" applyNumberFormat="0" applyFont="0" applyAlignment="0" applyProtection="0"/>
    <xf numFmtId="0" fontId="31" fillId="7" borderId="168" applyNumberFormat="0" applyAlignment="0" applyProtection="0"/>
    <xf numFmtId="0" fontId="35" fillId="0" borderId="171" applyNumberFormat="0" applyFill="0" applyAlignment="0" applyProtection="0"/>
    <xf numFmtId="0" fontId="31" fillId="7" borderId="168" applyNumberFormat="0" applyAlignment="0" applyProtection="0"/>
    <xf numFmtId="0" fontId="34" fillId="20" borderId="170" applyNumberFormat="0" applyAlignment="0" applyProtection="0"/>
    <xf numFmtId="0" fontId="3" fillId="23" borderId="169" applyNumberFormat="0" applyFont="0" applyAlignment="0" applyProtection="0"/>
    <xf numFmtId="0" fontId="24" fillId="20" borderId="168" applyNumberFormat="0" applyAlignment="0" applyProtection="0"/>
    <xf numFmtId="0" fontId="3" fillId="23" borderId="169" applyNumberFormat="0" applyFont="0" applyAlignment="0" applyProtection="0"/>
    <xf numFmtId="0" fontId="3" fillId="23" borderId="169" applyNumberFormat="0" applyFont="0" applyAlignment="0" applyProtection="0"/>
    <xf numFmtId="0" fontId="3" fillId="23" borderId="169" applyNumberFormat="0" applyFont="0" applyAlignment="0" applyProtection="0"/>
    <xf numFmtId="0" fontId="34" fillId="20" borderId="170" applyNumberFormat="0" applyAlignment="0" applyProtection="0"/>
    <xf numFmtId="0" fontId="3" fillId="23" borderId="169" applyNumberFormat="0" applyFont="0" applyAlignment="0" applyProtection="0"/>
    <xf numFmtId="0" fontId="3" fillId="23" borderId="169" applyNumberFormat="0" applyFont="0" applyAlignment="0" applyProtection="0"/>
    <xf numFmtId="0" fontId="24" fillId="20" borderId="168" applyNumberFormat="0" applyAlignment="0" applyProtection="0"/>
    <xf numFmtId="0" fontId="34" fillId="20" borderId="170" applyNumberFormat="0" applyAlignment="0" applyProtection="0"/>
    <xf numFmtId="0" fontId="3" fillId="23" borderId="169" applyNumberFormat="0" applyFont="0" applyAlignment="0" applyProtection="0"/>
    <xf numFmtId="0" fontId="3" fillId="23" borderId="169" applyNumberFormat="0" applyFont="0" applyAlignment="0" applyProtection="0"/>
    <xf numFmtId="0" fontId="24" fillId="20" borderId="168" applyNumberFormat="0" applyAlignment="0" applyProtection="0"/>
    <xf numFmtId="0" fontId="3" fillId="23" borderId="169" applyNumberFormat="0" applyFont="0" applyAlignment="0" applyProtection="0"/>
    <xf numFmtId="0" fontId="35" fillId="0" borderId="171" applyNumberFormat="0" applyFill="0" applyAlignment="0" applyProtection="0"/>
    <xf numFmtId="0" fontId="34" fillId="20" borderId="170" applyNumberFormat="0" applyAlignment="0" applyProtection="0"/>
    <xf numFmtId="0" fontId="31" fillId="7" borderId="168" applyNumberFormat="0" applyAlignment="0" applyProtection="0"/>
    <xf numFmtId="0" fontId="24" fillId="20" borderId="168" applyNumberFormat="0" applyAlignment="0" applyProtection="0"/>
    <xf numFmtId="0" fontId="34" fillId="20" borderId="170" applyNumberFormat="0" applyAlignment="0" applyProtection="0"/>
    <xf numFmtId="0" fontId="35" fillId="0" borderId="171" applyNumberFormat="0" applyFill="0" applyAlignment="0" applyProtection="0"/>
    <xf numFmtId="0" fontId="35" fillId="0" borderId="171" applyNumberFormat="0" applyFill="0" applyAlignment="0" applyProtection="0"/>
    <xf numFmtId="0" fontId="31" fillId="7" borderId="168" applyNumberFormat="0" applyAlignment="0" applyProtection="0"/>
    <xf numFmtId="0" fontId="31" fillId="7" borderId="168" applyNumberFormat="0" applyAlignment="0" applyProtection="0"/>
    <xf numFmtId="0" fontId="35" fillId="0" borderId="171" applyNumberFormat="0" applyFill="0" applyAlignment="0" applyProtection="0"/>
    <xf numFmtId="0" fontId="24" fillId="20" borderId="168" applyNumberFormat="0" applyAlignment="0" applyProtection="0"/>
    <xf numFmtId="0" fontId="35" fillId="0" borderId="171" applyNumberFormat="0" applyFill="0" applyAlignment="0" applyProtection="0"/>
    <xf numFmtId="0" fontId="34" fillId="20" borderId="170" applyNumberFormat="0" applyAlignment="0" applyProtection="0"/>
    <xf numFmtId="0" fontId="3" fillId="23" borderId="169" applyNumberFormat="0" applyFont="0" applyAlignment="0" applyProtection="0"/>
    <xf numFmtId="0" fontId="31" fillId="7" borderId="168" applyNumberFormat="0" applyAlignment="0" applyProtection="0"/>
    <xf numFmtId="0" fontId="24" fillId="20" borderId="168" applyNumberFormat="0" applyAlignment="0" applyProtection="0"/>
    <xf numFmtId="0" fontId="31" fillId="7" borderId="238" applyNumberFormat="0" applyAlignment="0" applyProtection="0"/>
    <xf numFmtId="0" fontId="24" fillId="20" borderId="172" applyNumberFormat="0" applyAlignment="0" applyProtection="0"/>
    <xf numFmtId="0" fontId="31" fillId="7" borderId="172" applyNumberFormat="0" applyAlignment="0" applyProtection="0"/>
    <xf numFmtId="0" fontId="3" fillId="23" borderId="173" applyNumberFormat="0" applyFont="0" applyAlignment="0" applyProtection="0"/>
    <xf numFmtId="0" fontId="34" fillId="20" borderId="174" applyNumberFormat="0" applyAlignment="0" applyProtection="0"/>
    <xf numFmtId="0" fontId="35" fillId="0" borderId="175" applyNumberFormat="0" applyFill="0" applyAlignment="0" applyProtection="0"/>
    <xf numFmtId="0" fontId="3" fillId="23" borderId="173" applyNumberFormat="0" applyFont="0" applyAlignment="0" applyProtection="0"/>
    <xf numFmtId="0" fontId="35" fillId="0" borderId="175" applyNumberFormat="0" applyFill="0" applyAlignment="0" applyProtection="0"/>
    <xf numFmtId="0" fontId="34" fillId="20" borderId="174" applyNumberFormat="0" applyAlignment="0" applyProtection="0"/>
    <xf numFmtId="0" fontId="3" fillId="23" borderId="173" applyNumberFormat="0" applyFont="0" applyAlignment="0" applyProtection="0"/>
    <xf numFmtId="0" fontId="31" fillId="7" borderId="172" applyNumberFormat="0" applyAlignment="0" applyProtection="0"/>
    <xf numFmtId="0" fontId="24" fillId="20" borderId="172" applyNumberFormat="0" applyAlignment="0" applyProtection="0"/>
    <xf numFmtId="0" fontId="3" fillId="23" borderId="173" applyNumberFormat="0" applyFont="0" applyAlignment="0" applyProtection="0"/>
    <xf numFmtId="0" fontId="3" fillId="23" borderId="173" applyNumberFormat="0" applyFont="0" applyAlignment="0" applyProtection="0"/>
    <xf numFmtId="0" fontId="3" fillId="23" borderId="173" applyNumberFormat="0" applyFont="0" applyAlignment="0" applyProtection="0"/>
    <xf numFmtId="0" fontId="31" fillId="7" borderId="172" applyNumberFormat="0" applyAlignment="0" applyProtection="0"/>
    <xf numFmtId="0" fontId="35" fillId="0" borderId="175" applyNumberFormat="0" applyFill="0" applyAlignment="0" applyProtection="0"/>
    <xf numFmtId="0" fontId="31" fillId="7" borderId="172" applyNumberFormat="0" applyAlignment="0" applyProtection="0"/>
    <xf numFmtId="0" fontId="34" fillId="20" borderId="174" applyNumberFormat="0" applyAlignment="0" applyProtection="0"/>
    <xf numFmtId="0" fontId="3" fillId="23" borderId="173" applyNumberFormat="0" applyFont="0" applyAlignment="0" applyProtection="0"/>
    <xf numFmtId="0" fontId="24" fillId="20" borderId="172" applyNumberFormat="0" applyAlignment="0" applyProtection="0"/>
    <xf numFmtId="0" fontId="3" fillId="23" borderId="173" applyNumberFormat="0" applyFont="0" applyAlignment="0" applyProtection="0"/>
    <xf numFmtId="0" fontId="3" fillId="23" borderId="173" applyNumberFormat="0" applyFont="0" applyAlignment="0" applyProtection="0"/>
    <xf numFmtId="0" fontId="3" fillId="23" borderId="173" applyNumberFormat="0" applyFont="0" applyAlignment="0" applyProtection="0"/>
    <xf numFmtId="0" fontId="34" fillId="20" borderId="174" applyNumberFormat="0" applyAlignment="0" applyProtection="0"/>
    <xf numFmtId="0" fontId="3" fillId="23" borderId="173" applyNumberFormat="0" applyFont="0" applyAlignment="0" applyProtection="0"/>
    <xf numFmtId="0" fontId="3" fillId="23" borderId="173" applyNumberFormat="0" applyFont="0" applyAlignment="0" applyProtection="0"/>
    <xf numFmtId="0" fontId="24" fillId="20" borderId="172" applyNumberFormat="0" applyAlignment="0" applyProtection="0"/>
    <xf numFmtId="0" fontId="34" fillId="20" borderId="174" applyNumberFormat="0" applyAlignment="0" applyProtection="0"/>
    <xf numFmtId="0" fontId="3" fillId="23" borderId="173" applyNumberFormat="0" applyFont="0" applyAlignment="0" applyProtection="0"/>
    <xf numFmtId="0" fontId="3" fillId="23" borderId="173" applyNumberFormat="0" applyFont="0" applyAlignment="0" applyProtection="0"/>
    <xf numFmtId="0" fontId="24" fillId="20" borderId="172" applyNumberFormat="0" applyAlignment="0" applyProtection="0"/>
    <xf numFmtId="0" fontId="3" fillId="23" borderId="173" applyNumberFormat="0" applyFont="0" applyAlignment="0" applyProtection="0"/>
    <xf numFmtId="0" fontId="35" fillId="0" borderId="175" applyNumberFormat="0" applyFill="0" applyAlignment="0" applyProtection="0"/>
    <xf numFmtId="0" fontId="34" fillId="20" borderId="174" applyNumberFormat="0" applyAlignment="0" applyProtection="0"/>
    <xf numFmtId="0" fontId="31" fillId="7" borderId="172" applyNumberFormat="0" applyAlignment="0" applyProtection="0"/>
    <xf numFmtId="0" fontId="24" fillId="20" borderId="172" applyNumberFormat="0" applyAlignment="0" applyProtection="0"/>
    <xf numFmtId="0" fontId="34" fillId="20" borderId="174" applyNumberFormat="0" applyAlignment="0" applyProtection="0"/>
    <xf numFmtId="0" fontId="35" fillId="0" borderId="175" applyNumberFormat="0" applyFill="0" applyAlignment="0" applyProtection="0"/>
    <xf numFmtId="0" fontId="35" fillId="0" borderId="175" applyNumberFormat="0" applyFill="0" applyAlignment="0" applyProtection="0"/>
    <xf numFmtId="0" fontId="31" fillId="7" borderId="172" applyNumberFormat="0" applyAlignment="0" applyProtection="0"/>
    <xf numFmtId="0" fontId="31" fillId="7" borderId="172" applyNumberFormat="0" applyAlignment="0" applyProtection="0"/>
    <xf numFmtId="0" fontId="35" fillId="0" borderId="175" applyNumberFormat="0" applyFill="0" applyAlignment="0" applyProtection="0"/>
    <xf numFmtId="0" fontId="24" fillId="20" borderId="172" applyNumberFormat="0" applyAlignment="0" applyProtection="0"/>
    <xf numFmtId="0" fontId="35" fillId="0" borderId="175" applyNumberFormat="0" applyFill="0" applyAlignment="0" applyProtection="0"/>
    <xf numFmtId="0" fontId="34" fillId="20" borderId="174" applyNumberFormat="0" applyAlignment="0" applyProtection="0"/>
    <xf numFmtId="0" fontId="3" fillId="23" borderId="173" applyNumberFormat="0" applyFont="0" applyAlignment="0" applyProtection="0"/>
    <xf numFmtId="0" fontId="31" fillId="7" borderId="172" applyNumberFormat="0" applyAlignment="0" applyProtection="0"/>
    <xf numFmtId="0" fontId="24" fillId="20" borderId="172" applyNumberFormat="0" applyAlignment="0" applyProtection="0"/>
    <xf numFmtId="0" fontId="24" fillId="20" borderId="172" applyNumberFormat="0" applyAlignment="0" applyProtection="0"/>
    <xf numFmtId="0" fontId="31" fillId="7" borderId="172" applyNumberFormat="0" applyAlignment="0" applyProtection="0"/>
    <xf numFmtId="0" fontId="3" fillId="23" borderId="173" applyNumberFormat="0" applyFont="0" applyAlignment="0" applyProtection="0"/>
    <xf numFmtId="0" fontId="34" fillId="20" borderId="174" applyNumberFormat="0" applyAlignment="0" applyProtection="0"/>
    <xf numFmtId="0" fontId="35" fillId="0" borderId="175" applyNumberFormat="0" applyFill="0" applyAlignment="0" applyProtection="0"/>
    <xf numFmtId="0" fontId="3" fillId="23" borderId="173" applyNumberFormat="0" applyFont="0" applyAlignment="0" applyProtection="0"/>
    <xf numFmtId="0" fontId="35" fillId="0" borderId="175" applyNumberFormat="0" applyFill="0" applyAlignment="0" applyProtection="0"/>
    <xf numFmtId="0" fontId="34" fillId="20" borderId="174" applyNumberFormat="0" applyAlignment="0" applyProtection="0"/>
    <xf numFmtId="0" fontId="3" fillId="23" borderId="173" applyNumberFormat="0" applyFont="0" applyAlignment="0" applyProtection="0"/>
    <xf numFmtId="0" fontId="31" fillId="7" borderId="172" applyNumberFormat="0" applyAlignment="0" applyProtection="0"/>
    <xf numFmtId="0" fontId="24" fillId="20" borderId="172" applyNumberFormat="0" applyAlignment="0" applyProtection="0"/>
    <xf numFmtId="0" fontId="3" fillId="23" borderId="173" applyNumberFormat="0" applyFont="0" applyAlignment="0" applyProtection="0"/>
    <xf numFmtId="0" fontId="3" fillId="23" borderId="173" applyNumberFormat="0" applyFont="0" applyAlignment="0" applyProtection="0"/>
    <xf numFmtId="0" fontId="3" fillId="23" borderId="173" applyNumberFormat="0" applyFont="0" applyAlignment="0" applyProtection="0"/>
    <xf numFmtId="0" fontId="31" fillId="7" borderId="172" applyNumberFormat="0" applyAlignment="0" applyProtection="0"/>
    <xf numFmtId="0" fontId="35" fillId="0" borderId="175" applyNumberFormat="0" applyFill="0" applyAlignment="0" applyProtection="0"/>
    <xf numFmtId="0" fontId="31" fillId="7" borderId="172" applyNumberFormat="0" applyAlignment="0" applyProtection="0"/>
    <xf numFmtId="0" fontId="34" fillId="20" borderId="174" applyNumberFormat="0" applyAlignment="0" applyProtection="0"/>
    <xf numFmtId="0" fontId="3" fillId="23" borderId="173" applyNumberFormat="0" applyFont="0" applyAlignment="0" applyProtection="0"/>
    <xf numFmtId="0" fontId="24" fillId="20" borderId="172" applyNumberFormat="0" applyAlignment="0" applyProtection="0"/>
    <xf numFmtId="0" fontId="3" fillId="23" borderId="173" applyNumberFormat="0" applyFont="0" applyAlignment="0" applyProtection="0"/>
    <xf numFmtId="0" fontId="3" fillId="23" borderId="173" applyNumberFormat="0" applyFont="0" applyAlignment="0" applyProtection="0"/>
    <xf numFmtId="0" fontId="3" fillId="23" borderId="173" applyNumberFormat="0" applyFont="0" applyAlignment="0" applyProtection="0"/>
    <xf numFmtId="0" fontId="34" fillId="20" borderId="174" applyNumberFormat="0" applyAlignment="0" applyProtection="0"/>
    <xf numFmtId="0" fontId="3" fillId="23" borderId="173" applyNumberFormat="0" applyFont="0" applyAlignment="0" applyProtection="0"/>
    <xf numFmtId="0" fontId="3" fillId="23" borderId="173" applyNumberFormat="0" applyFont="0" applyAlignment="0" applyProtection="0"/>
    <xf numFmtId="0" fontId="24" fillId="20" borderId="172" applyNumberFormat="0" applyAlignment="0" applyProtection="0"/>
    <xf numFmtId="0" fontId="34" fillId="20" borderId="174" applyNumberFormat="0" applyAlignment="0" applyProtection="0"/>
    <xf numFmtId="0" fontId="3" fillId="23" borderId="173" applyNumberFormat="0" applyFont="0" applyAlignment="0" applyProtection="0"/>
    <xf numFmtId="0" fontId="3" fillId="23" borderId="173" applyNumberFormat="0" applyFont="0" applyAlignment="0" applyProtection="0"/>
    <xf numFmtId="0" fontId="24" fillId="20" borderId="172" applyNumberFormat="0" applyAlignment="0" applyProtection="0"/>
    <xf numFmtId="0" fontId="3" fillId="23" borderId="173" applyNumberFormat="0" applyFont="0" applyAlignment="0" applyProtection="0"/>
    <xf numFmtId="0" fontId="35" fillId="0" borderId="175" applyNumberFormat="0" applyFill="0" applyAlignment="0" applyProtection="0"/>
    <xf numFmtId="0" fontId="34" fillId="20" borderId="174" applyNumberFormat="0" applyAlignment="0" applyProtection="0"/>
    <xf numFmtId="0" fontId="31" fillId="7" borderId="172" applyNumberFormat="0" applyAlignment="0" applyProtection="0"/>
    <xf numFmtId="0" fontId="24" fillId="20" borderId="172" applyNumberFormat="0" applyAlignment="0" applyProtection="0"/>
    <xf numFmtId="0" fontId="34" fillId="20" borderId="174" applyNumberFormat="0" applyAlignment="0" applyProtection="0"/>
    <xf numFmtId="0" fontId="35" fillId="0" borderId="175" applyNumberFormat="0" applyFill="0" applyAlignment="0" applyProtection="0"/>
    <xf numFmtId="0" fontId="35" fillId="0" borderId="175" applyNumberFormat="0" applyFill="0" applyAlignment="0" applyProtection="0"/>
    <xf numFmtId="0" fontId="31" fillId="7" borderId="172" applyNumberFormat="0" applyAlignment="0" applyProtection="0"/>
    <xf numFmtId="0" fontId="31" fillId="7" borderId="172" applyNumberFormat="0" applyAlignment="0" applyProtection="0"/>
    <xf numFmtId="0" fontId="35" fillId="0" borderId="175" applyNumberFormat="0" applyFill="0" applyAlignment="0" applyProtection="0"/>
    <xf numFmtId="0" fontId="24" fillId="20" borderId="172" applyNumberFormat="0" applyAlignment="0" applyProtection="0"/>
    <xf numFmtId="0" fontId="35" fillId="0" borderId="175" applyNumberFormat="0" applyFill="0" applyAlignment="0" applyProtection="0"/>
    <xf numFmtId="0" fontId="34" fillId="20" borderId="174" applyNumberFormat="0" applyAlignment="0" applyProtection="0"/>
    <xf numFmtId="0" fontId="3" fillId="23" borderId="173" applyNumberFormat="0" applyFont="0" applyAlignment="0" applyProtection="0"/>
    <xf numFmtId="0" fontId="31" fillId="7" borderId="172" applyNumberFormat="0" applyAlignment="0" applyProtection="0"/>
    <xf numFmtId="0" fontId="24" fillId="20" borderId="172" applyNumberFormat="0" applyAlignment="0" applyProtection="0"/>
    <xf numFmtId="0" fontId="3" fillId="23" borderId="173" applyNumberFormat="0" applyFont="0" applyAlignment="0" applyProtection="0"/>
    <xf numFmtId="0" fontId="35" fillId="0" borderId="175" applyNumberFormat="0" applyFill="0" applyAlignment="0" applyProtection="0"/>
    <xf numFmtId="0" fontId="34" fillId="20" borderId="174" applyNumberFormat="0" applyAlignment="0" applyProtection="0"/>
    <xf numFmtId="0" fontId="3" fillId="23" borderId="173" applyNumberFormat="0" applyFont="0" applyAlignment="0" applyProtection="0"/>
    <xf numFmtId="0" fontId="31" fillId="7" borderId="172" applyNumberFormat="0" applyAlignment="0" applyProtection="0"/>
    <xf numFmtId="0" fontId="24" fillId="20" borderId="172" applyNumberFormat="0" applyAlignment="0" applyProtection="0"/>
    <xf numFmtId="0" fontId="24" fillId="20" borderId="172" applyNumberFormat="0" applyAlignment="0" applyProtection="0"/>
    <xf numFmtId="0" fontId="31" fillId="7" borderId="172" applyNumberFormat="0" applyAlignment="0" applyProtection="0"/>
    <xf numFmtId="0" fontId="3" fillId="23" borderId="173" applyNumberFormat="0" applyFont="0" applyAlignment="0" applyProtection="0"/>
    <xf numFmtId="0" fontId="34" fillId="20" borderId="174" applyNumberFormat="0" applyAlignment="0" applyProtection="0"/>
    <xf numFmtId="0" fontId="35" fillId="0" borderId="175" applyNumberFormat="0" applyFill="0" applyAlignment="0" applyProtection="0"/>
    <xf numFmtId="0" fontId="3" fillId="23" borderId="173" applyNumberFormat="0" applyFont="0" applyAlignment="0" applyProtection="0"/>
    <xf numFmtId="0" fontId="35" fillId="0" borderId="175" applyNumberFormat="0" applyFill="0" applyAlignment="0" applyProtection="0"/>
    <xf numFmtId="0" fontId="34" fillId="20" borderId="174" applyNumberFormat="0" applyAlignment="0" applyProtection="0"/>
    <xf numFmtId="0" fontId="3" fillId="23" borderId="173" applyNumberFormat="0" applyFont="0" applyAlignment="0" applyProtection="0"/>
    <xf numFmtId="0" fontId="31" fillId="7" borderId="172" applyNumberFormat="0" applyAlignment="0" applyProtection="0"/>
    <xf numFmtId="0" fontId="24" fillId="20" borderId="172" applyNumberFormat="0" applyAlignment="0" applyProtection="0"/>
    <xf numFmtId="0" fontId="3" fillId="23" borderId="173" applyNumberFormat="0" applyFont="0" applyAlignment="0" applyProtection="0"/>
    <xf numFmtId="0" fontId="3" fillId="23" borderId="173" applyNumberFormat="0" applyFont="0" applyAlignment="0" applyProtection="0"/>
    <xf numFmtId="0" fontId="3" fillId="23" borderId="173" applyNumberFormat="0" applyFont="0" applyAlignment="0" applyProtection="0"/>
    <xf numFmtId="0" fontId="31" fillId="7" borderId="172" applyNumberFormat="0" applyAlignment="0" applyProtection="0"/>
    <xf numFmtId="0" fontId="35" fillId="0" borderId="175" applyNumberFormat="0" applyFill="0" applyAlignment="0" applyProtection="0"/>
    <xf numFmtId="0" fontId="31" fillId="7" borderId="172" applyNumberFormat="0" applyAlignment="0" applyProtection="0"/>
    <xf numFmtId="0" fontId="34" fillId="20" borderId="174" applyNumberFormat="0" applyAlignment="0" applyProtection="0"/>
    <xf numFmtId="0" fontId="3" fillId="23" borderId="173" applyNumberFormat="0" applyFont="0" applyAlignment="0" applyProtection="0"/>
    <xf numFmtId="0" fontId="24" fillId="20" borderId="172" applyNumberFormat="0" applyAlignment="0" applyProtection="0"/>
    <xf numFmtId="0" fontId="3" fillId="23" borderId="173" applyNumberFormat="0" applyFont="0" applyAlignment="0" applyProtection="0"/>
    <xf numFmtId="0" fontId="3" fillId="23" borderId="173" applyNumberFormat="0" applyFont="0" applyAlignment="0" applyProtection="0"/>
    <xf numFmtId="0" fontId="3" fillId="23" borderId="173" applyNumberFormat="0" applyFont="0" applyAlignment="0" applyProtection="0"/>
    <xf numFmtId="0" fontId="34" fillId="20" borderId="174" applyNumberFormat="0" applyAlignment="0" applyProtection="0"/>
    <xf numFmtId="0" fontId="3" fillId="23" borderId="173" applyNumberFormat="0" applyFont="0" applyAlignment="0" applyProtection="0"/>
    <xf numFmtId="0" fontId="3" fillId="23" borderId="173" applyNumberFormat="0" applyFont="0" applyAlignment="0" applyProtection="0"/>
    <xf numFmtId="0" fontId="24" fillId="20" borderId="172" applyNumberFormat="0" applyAlignment="0" applyProtection="0"/>
    <xf numFmtId="0" fontId="34" fillId="20" borderId="174" applyNumberFormat="0" applyAlignment="0" applyProtection="0"/>
    <xf numFmtId="0" fontId="3" fillId="23" borderId="173" applyNumberFormat="0" applyFont="0" applyAlignment="0" applyProtection="0"/>
    <xf numFmtId="0" fontId="3" fillId="23" borderId="173" applyNumberFormat="0" applyFont="0" applyAlignment="0" applyProtection="0"/>
    <xf numFmtId="0" fontId="24" fillId="20" borderId="172" applyNumberFormat="0" applyAlignment="0" applyProtection="0"/>
    <xf numFmtId="0" fontId="3" fillId="23" borderId="173" applyNumberFormat="0" applyFont="0" applyAlignment="0" applyProtection="0"/>
    <xf numFmtId="0" fontId="35" fillId="0" borderId="175" applyNumberFormat="0" applyFill="0" applyAlignment="0" applyProtection="0"/>
    <xf numFmtId="0" fontId="34" fillId="20" borderId="174" applyNumberFormat="0" applyAlignment="0" applyProtection="0"/>
    <xf numFmtId="0" fontId="31" fillId="7" borderId="172" applyNumberFormat="0" applyAlignment="0" applyProtection="0"/>
    <xf numFmtId="0" fontId="24" fillId="20" borderId="172" applyNumberFormat="0" applyAlignment="0" applyProtection="0"/>
    <xf numFmtId="0" fontId="34" fillId="20" borderId="174" applyNumberFormat="0" applyAlignment="0" applyProtection="0"/>
    <xf numFmtId="0" fontId="35" fillId="0" borderId="175" applyNumberFormat="0" applyFill="0" applyAlignment="0" applyProtection="0"/>
    <xf numFmtId="0" fontId="35" fillId="0" borderId="175" applyNumberFormat="0" applyFill="0" applyAlignment="0" applyProtection="0"/>
    <xf numFmtId="0" fontId="31" fillId="7" borderId="172" applyNumberFormat="0" applyAlignment="0" applyProtection="0"/>
    <xf numFmtId="0" fontId="31" fillId="7" borderId="172" applyNumberFormat="0" applyAlignment="0" applyProtection="0"/>
    <xf numFmtId="0" fontId="35" fillId="0" borderId="175" applyNumberFormat="0" applyFill="0" applyAlignment="0" applyProtection="0"/>
    <xf numFmtId="0" fontId="24" fillId="20" borderId="172" applyNumberFormat="0" applyAlignment="0" applyProtection="0"/>
    <xf numFmtId="0" fontId="35" fillId="0" borderId="175" applyNumberFormat="0" applyFill="0" applyAlignment="0" applyProtection="0"/>
    <xf numFmtId="0" fontId="34" fillId="20" borderId="174" applyNumberFormat="0" applyAlignment="0" applyProtection="0"/>
    <xf numFmtId="0" fontId="3" fillId="23" borderId="173" applyNumberFormat="0" applyFont="0" applyAlignment="0" applyProtection="0"/>
    <xf numFmtId="0" fontId="31" fillId="7" borderId="172" applyNumberFormat="0" applyAlignment="0" applyProtection="0"/>
    <xf numFmtId="0" fontId="24" fillId="20" borderId="172" applyNumberFormat="0" applyAlignment="0" applyProtection="0"/>
    <xf numFmtId="0" fontId="3" fillId="23" borderId="173" applyNumberFormat="0" applyFont="0" applyAlignment="0" applyProtection="0"/>
    <xf numFmtId="0" fontId="35" fillId="0" borderId="175" applyNumberFormat="0" applyFill="0" applyAlignment="0" applyProtection="0"/>
    <xf numFmtId="0" fontId="34" fillId="20" borderId="174" applyNumberFormat="0" applyAlignment="0" applyProtection="0"/>
    <xf numFmtId="0" fontId="3" fillId="23" borderId="173" applyNumberFormat="0" applyFont="0" applyAlignment="0" applyProtection="0"/>
    <xf numFmtId="0" fontId="31" fillId="7" borderId="172" applyNumberFormat="0" applyAlignment="0" applyProtection="0"/>
    <xf numFmtId="0" fontId="24" fillId="20" borderId="172" applyNumberFormat="0" applyAlignment="0" applyProtection="0"/>
    <xf numFmtId="0" fontId="24" fillId="20" borderId="172" applyNumberFormat="0" applyAlignment="0" applyProtection="0"/>
    <xf numFmtId="0" fontId="31" fillId="7" borderId="172" applyNumberFormat="0" applyAlignment="0" applyProtection="0"/>
    <xf numFmtId="0" fontId="3" fillId="23" borderId="173" applyNumberFormat="0" applyFont="0" applyAlignment="0" applyProtection="0"/>
    <xf numFmtId="0" fontId="34" fillId="20" borderId="174" applyNumberFormat="0" applyAlignment="0" applyProtection="0"/>
    <xf numFmtId="0" fontId="35" fillId="0" borderId="175" applyNumberFormat="0" applyFill="0" applyAlignment="0" applyProtection="0"/>
    <xf numFmtId="0" fontId="3" fillId="23" borderId="173" applyNumberFormat="0" applyFont="0" applyAlignment="0" applyProtection="0"/>
    <xf numFmtId="0" fontId="35" fillId="0" borderId="175" applyNumberFormat="0" applyFill="0" applyAlignment="0" applyProtection="0"/>
    <xf numFmtId="0" fontId="34" fillId="20" borderId="174" applyNumberFormat="0" applyAlignment="0" applyProtection="0"/>
    <xf numFmtId="0" fontId="3" fillId="23" borderId="173" applyNumberFormat="0" applyFont="0" applyAlignment="0" applyProtection="0"/>
    <xf numFmtId="0" fontId="31" fillId="7" borderId="172" applyNumberFormat="0" applyAlignment="0" applyProtection="0"/>
    <xf numFmtId="0" fontId="24" fillId="20" borderId="172" applyNumberFormat="0" applyAlignment="0" applyProtection="0"/>
    <xf numFmtId="0" fontId="3" fillId="23" borderId="173" applyNumberFormat="0" applyFont="0" applyAlignment="0" applyProtection="0"/>
    <xf numFmtId="0" fontId="3" fillId="23" borderId="173" applyNumberFormat="0" applyFont="0" applyAlignment="0" applyProtection="0"/>
    <xf numFmtId="0" fontId="3" fillId="23" borderId="173" applyNumberFormat="0" applyFont="0" applyAlignment="0" applyProtection="0"/>
    <xf numFmtId="0" fontId="31" fillId="7" borderId="172" applyNumberFormat="0" applyAlignment="0" applyProtection="0"/>
    <xf numFmtId="0" fontId="35" fillId="0" borderId="175" applyNumberFormat="0" applyFill="0" applyAlignment="0" applyProtection="0"/>
    <xf numFmtId="0" fontId="31" fillId="7" borderId="172" applyNumberFormat="0" applyAlignment="0" applyProtection="0"/>
    <xf numFmtId="0" fontId="34" fillId="20" borderId="174" applyNumberFormat="0" applyAlignment="0" applyProtection="0"/>
    <xf numFmtId="0" fontId="3" fillId="23" borderId="173" applyNumberFormat="0" applyFont="0" applyAlignment="0" applyProtection="0"/>
    <xf numFmtId="0" fontId="24" fillId="20" borderId="172" applyNumberFormat="0" applyAlignment="0" applyProtection="0"/>
    <xf numFmtId="0" fontId="3" fillId="23" borderId="173" applyNumberFormat="0" applyFont="0" applyAlignment="0" applyProtection="0"/>
    <xf numFmtId="0" fontId="3" fillId="23" borderId="173" applyNumberFormat="0" applyFont="0" applyAlignment="0" applyProtection="0"/>
    <xf numFmtId="0" fontId="3" fillId="23" borderId="173" applyNumberFormat="0" applyFont="0" applyAlignment="0" applyProtection="0"/>
    <xf numFmtId="0" fontId="34" fillId="20" borderId="174" applyNumberFormat="0" applyAlignment="0" applyProtection="0"/>
    <xf numFmtId="0" fontId="3" fillId="23" borderId="173" applyNumberFormat="0" applyFont="0" applyAlignment="0" applyProtection="0"/>
    <xf numFmtId="0" fontId="3" fillId="23" borderId="173" applyNumberFormat="0" applyFont="0" applyAlignment="0" applyProtection="0"/>
    <xf numFmtId="0" fontId="24" fillId="20" borderId="172" applyNumberFormat="0" applyAlignment="0" applyProtection="0"/>
    <xf numFmtId="0" fontId="34" fillId="20" borderId="174" applyNumberFormat="0" applyAlignment="0" applyProtection="0"/>
    <xf numFmtId="0" fontId="3" fillId="23" borderId="173" applyNumberFormat="0" applyFont="0" applyAlignment="0" applyProtection="0"/>
    <xf numFmtId="0" fontId="3" fillId="23" borderId="173" applyNumberFormat="0" applyFont="0" applyAlignment="0" applyProtection="0"/>
    <xf numFmtId="0" fontId="24" fillId="20" borderId="172" applyNumberFormat="0" applyAlignment="0" applyProtection="0"/>
    <xf numFmtId="0" fontId="3" fillId="23" borderId="173" applyNumberFormat="0" applyFont="0" applyAlignment="0" applyProtection="0"/>
    <xf numFmtId="0" fontId="35" fillId="0" borderId="175" applyNumberFormat="0" applyFill="0" applyAlignment="0" applyProtection="0"/>
    <xf numFmtId="0" fontId="34" fillId="20" borderId="174" applyNumberFormat="0" applyAlignment="0" applyProtection="0"/>
    <xf numFmtId="0" fontId="31" fillId="7" borderId="172" applyNumberFormat="0" applyAlignment="0" applyProtection="0"/>
    <xf numFmtId="0" fontId="24" fillId="20" borderId="172" applyNumberFormat="0" applyAlignment="0" applyProtection="0"/>
    <xf numFmtId="0" fontId="34" fillId="20" borderId="174" applyNumberFormat="0" applyAlignment="0" applyProtection="0"/>
    <xf numFmtId="0" fontId="35" fillId="0" borderId="175" applyNumberFormat="0" applyFill="0" applyAlignment="0" applyProtection="0"/>
    <xf numFmtId="0" fontId="35" fillId="0" borderId="175" applyNumberFormat="0" applyFill="0" applyAlignment="0" applyProtection="0"/>
    <xf numFmtId="0" fontId="31" fillId="7" borderId="172" applyNumberFormat="0" applyAlignment="0" applyProtection="0"/>
    <xf numFmtId="0" fontId="31" fillId="7" borderId="172" applyNumberFormat="0" applyAlignment="0" applyProtection="0"/>
    <xf numFmtId="0" fontId="35" fillId="0" borderId="175" applyNumberFormat="0" applyFill="0" applyAlignment="0" applyProtection="0"/>
    <xf numFmtId="0" fontId="24" fillId="20" borderId="172" applyNumberFormat="0" applyAlignment="0" applyProtection="0"/>
    <xf numFmtId="0" fontId="35" fillId="0" borderId="175" applyNumberFormat="0" applyFill="0" applyAlignment="0" applyProtection="0"/>
    <xf numFmtId="0" fontId="34" fillId="20" borderId="174" applyNumberFormat="0" applyAlignment="0" applyProtection="0"/>
    <xf numFmtId="0" fontId="3" fillId="23" borderId="173" applyNumberFormat="0" applyFont="0" applyAlignment="0" applyProtection="0"/>
    <xf numFmtId="0" fontId="31" fillId="7" borderId="172" applyNumberFormat="0" applyAlignment="0" applyProtection="0"/>
    <xf numFmtId="0" fontId="24" fillId="20" borderId="172" applyNumberFormat="0" applyAlignment="0" applyProtection="0"/>
    <xf numFmtId="0" fontId="24" fillId="20" borderId="172" applyNumberFormat="0" applyAlignment="0" applyProtection="0"/>
    <xf numFmtId="0" fontId="31" fillId="7" borderId="172" applyNumberFormat="0" applyAlignment="0" applyProtection="0"/>
    <xf numFmtId="0" fontId="3" fillId="23" borderId="173" applyNumberFormat="0" applyFont="0" applyAlignment="0" applyProtection="0"/>
    <xf numFmtId="0" fontId="34" fillId="20" borderId="174" applyNumberFormat="0" applyAlignment="0" applyProtection="0"/>
    <xf numFmtId="0" fontId="35" fillId="0" borderId="175" applyNumberFormat="0" applyFill="0" applyAlignment="0" applyProtection="0"/>
    <xf numFmtId="0" fontId="3" fillId="23" borderId="173" applyNumberFormat="0" applyFont="0" applyAlignment="0" applyProtection="0"/>
    <xf numFmtId="0" fontId="35" fillId="0" borderId="175" applyNumberFormat="0" applyFill="0" applyAlignment="0" applyProtection="0"/>
    <xf numFmtId="0" fontId="34" fillId="20" borderId="174" applyNumberFormat="0" applyAlignment="0" applyProtection="0"/>
    <xf numFmtId="0" fontId="3" fillId="23" borderId="173" applyNumberFormat="0" applyFont="0" applyAlignment="0" applyProtection="0"/>
    <xf numFmtId="0" fontId="31" fillId="7" borderId="172" applyNumberFormat="0" applyAlignment="0" applyProtection="0"/>
    <xf numFmtId="0" fontId="24" fillId="20" borderId="172" applyNumberFormat="0" applyAlignment="0" applyProtection="0"/>
    <xf numFmtId="0" fontId="3" fillId="23" borderId="173" applyNumberFormat="0" applyFont="0" applyAlignment="0" applyProtection="0"/>
    <xf numFmtId="0" fontId="3" fillId="23" borderId="173" applyNumberFormat="0" applyFont="0" applyAlignment="0" applyProtection="0"/>
    <xf numFmtId="0" fontId="3" fillId="23" borderId="173" applyNumberFormat="0" applyFont="0" applyAlignment="0" applyProtection="0"/>
    <xf numFmtId="0" fontId="31" fillId="7" borderId="172" applyNumberFormat="0" applyAlignment="0" applyProtection="0"/>
    <xf numFmtId="0" fontId="35" fillId="0" borderId="175" applyNumberFormat="0" applyFill="0" applyAlignment="0" applyProtection="0"/>
    <xf numFmtId="0" fontId="31" fillId="7" borderId="172" applyNumberFormat="0" applyAlignment="0" applyProtection="0"/>
    <xf numFmtId="0" fontId="34" fillId="20" borderId="174" applyNumberFormat="0" applyAlignment="0" applyProtection="0"/>
    <xf numFmtId="0" fontId="3" fillId="23" borderId="173" applyNumberFormat="0" applyFont="0" applyAlignment="0" applyProtection="0"/>
    <xf numFmtId="0" fontId="24" fillId="20" borderId="172" applyNumberFormat="0" applyAlignment="0" applyProtection="0"/>
    <xf numFmtId="0" fontId="3" fillId="23" borderId="173" applyNumberFormat="0" applyFont="0" applyAlignment="0" applyProtection="0"/>
    <xf numFmtId="0" fontId="3" fillId="23" borderId="173" applyNumberFormat="0" applyFont="0" applyAlignment="0" applyProtection="0"/>
    <xf numFmtId="0" fontId="3" fillId="23" borderId="173" applyNumberFormat="0" applyFont="0" applyAlignment="0" applyProtection="0"/>
    <xf numFmtId="0" fontId="34" fillId="20" borderId="174" applyNumberFormat="0" applyAlignment="0" applyProtection="0"/>
    <xf numFmtId="0" fontId="3" fillId="23" borderId="173" applyNumberFormat="0" applyFont="0" applyAlignment="0" applyProtection="0"/>
    <xf numFmtId="0" fontId="3" fillId="23" borderId="173" applyNumberFormat="0" applyFont="0" applyAlignment="0" applyProtection="0"/>
    <xf numFmtId="0" fontId="24" fillId="20" borderId="172" applyNumberFormat="0" applyAlignment="0" applyProtection="0"/>
    <xf numFmtId="0" fontId="34" fillId="20" borderId="174" applyNumberFormat="0" applyAlignment="0" applyProtection="0"/>
    <xf numFmtId="0" fontId="3" fillId="23" borderId="173" applyNumberFormat="0" applyFont="0" applyAlignment="0" applyProtection="0"/>
    <xf numFmtId="0" fontId="3" fillId="23" borderId="173" applyNumberFormat="0" applyFont="0" applyAlignment="0" applyProtection="0"/>
    <xf numFmtId="0" fontId="24" fillId="20" borderId="172" applyNumberFormat="0" applyAlignment="0" applyProtection="0"/>
    <xf numFmtId="0" fontId="3" fillId="23" borderId="173" applyNumberFormat="0" applyFont="0" applyAlignment="0" applyProtection="0"/>
    <xf numFmtId="0" fontId="35" fillId="0" borderId="175" applyNumberFormat="0" applyFill="0" applyAlignment="0" applyProtection="0"/>
    <xf numFmtId="0" fontId="34" fillId="20" borderId="174" applyNumberFormat="0" applyAlignment="0" applyProtection="0"/>
    <xf numFmtId="0" fontId="31" fillId="7" borderId="172" applyNumberFormat="0" applyAlignment="0" applyProtection="0"/>
    <xf numFmtId="0" fontId="24" fillId="20" borderId="172" applyNumberFormat="0" applyAlignment="0" applyProtection="0"/>
    <xf numFmtId="0" fontId="34" fillId="20" borderId="174" applyNumberFormat="0" applyAlignment="0" applyProtection="0"/>
    <xf numFmtId="0" fontId="35" fillId="0" borderId="175" applyNumberFormat="0" applyFill="0" applyAlignment="0" applyProtection="0"/>
    <xf numFmtId="0" fontId="35" fillId="0" borderId="175" applyNumberFormat="0" applyFill="0" applyAlignment="0" applyProtection="0"/>
    <xf numFmtId="0" fontId="31" fillId="7" borderId="172" applyNumberFormat="0" applyAlignment="0" applyProtection="0"/>
    <xf numFmtId="0" fontId="31" fillId="7" borderId="172" applyNumberFormat="0" applyAlignment="0" applyProtection="0"/>
    <xf numFmtId="0" fontId="35" fillId="0" borderId="175" applyNumberFormat="0" applyFill="0" applyAlignment="0" applyProtection="0"/>
    <xf numFmtId="0" fontId="24" fillId="20" borderId="172" applyNumberFormat="0" applyAlignment="0" applyProtection="0"/>
    <xf numFmtId="0" fontId="35" fillId="0" borderId="175" applyNumberFormat="0" applyFill="0" applyAlignment="0" applyProtection="0"/>
    <xf numFmtId="0" fontId="34" fillId="20" borderId="174" applyNumberFormat="0" applyAlignment="0" applyProtection="0"/>
    <xf numFmtId="0" fontId="3" fillId="23" borderId="173" applyNumberFormat="0" applyFont="0" applyAlignment="0" applyProtection="0"/>
    <xf numFmtId="0" fontId="31" fillId="7" borderId="172" applyNumberFormat="0" applyAlignment="0" applyProtection="0"/>
    <xf numFmtId="0" fontId="24" fillId="20" borderId="172" applyNumberFormat="0" applyAlignment="0" applyProtection="0"/>
    <xf numFmtId="0" fontId="24" fillId="20" borderId="176" applyNumberFormat="0" applyAlignment="0" applyProtection="0"/>
    <xf numFmtId="0" fontId="31" fillId="7" borderId="176" applyNumberFormat="0" applyAlignment="0" applyProtection="0"/>
    <xf numFmtId="0" fontId="3" fillId="23" borderId="177" applyNumberFormat="0" applyFont="0" applyAlignment="0" applyProtection="0"/>
    <xf numFmtId="0" fontId="34" fillId="20" borderId="178" applyNumberFormat="0" applyAlignment="0" applyProtection="0"/>
    <xf numFmtId="0" fontId="35" fillId="0" borderId="179" applyNumberFormat="0" applyFill="0" applyAlignment="0" applyProtection="0"/>
    <xf numFmtId="0" fontId="3" fillId="23" borderId="177" applyNumberFormat="0" applyFont="0" applyAlignment="0" applyProtection="0"/>
    <xf numFmtId="0" fontId="35" fillId="0" borderId="179" applyNumberFormat="0" applyFill="0" applyAlignment="0" applyProtection="0"/>
    <xf numFmtId="0" fontId="34" fillId="20" borderId="178" applyNumberFormat="0" applyAlignment="0" applyProtection="0"/>
    <xf numFmtId="0" fontId="3" fillId="23" borderId="177" applyNumberFormat="0" applyFont="0" applyAlignment="0" applyProtection="0"/>
    <xf numFmtId="0" fontId="31" fillId="7" borderId="176" applyNumberFormat="0" applyAlignment="0" applyProtection="0"/>
    <xf numFmtId="0" fontId="24" fillId="20" borderId="176" applyNumberFormat="0" applyAlignment="0" applyProtection="0"/>
    <xf numFmtId="0" fontId="3" fillId="23" borderId="177" applyNumberFormat="0" applyFont="0" applyAlignment="0" applyProtection="0"/>
    <xf numFmtId="0" fontId="3" fillId="23" borderId="177" applyNumberFormat="0" applyFont="0" applyAlignment="0" applyProtection="0"/>
    <xf numFmtId="0" fontId="3" fillId="23" borderId="177" applyNumberFormat="0" applyFont="0" applyAlignment="0" applyProtection="0"/>
    <xf numFmtId="0" fontId="31" fillId="7" borderId="176" applyNumberFormat="0" applyAlignment="0" applyProtection="0"/>
    <xf numFmtId="0" fontId="35" fillId="0" borderId="179" applyNumberFormat="0" applyFill="0" applyAlignment="0" applyProtection="0"/>
    <xf numFmtId="0" fontId="31" fillId="7" borderId="176" applyNumberFormat="0" applyAlignment="0" applyProtection="0"/>
    <xf numFmtId="0" fontId="34" fillId="20" borderId="178" applyNumberFormat="0" applyAlignment="0" applyProtection="0"/>
    <xf numFmtId="0" fontId="3" fillId="23" borderId="177" applyNumberFormat="0" applyFont="0" applyAlignment="0" applyProtection="0"/>
    <xf numFmtId="0" fontId="24" fillId="20" borderId="176" applyNumberFormat="0" applyAlignment="0" applyProtection="0"/>
    <xf numFmtId="0" fontId="3" fillId="23" borderId="177" applyNumberFormat="0" applyFont="0" applyAlignment="0" applyProtection="0"/>
    <xf numFmtId="0" fontId="3" fillId="23" borderId="177" applyNumberFormat="0" applyFont="0" applyAlignment="0" applyProtection="0"/>
    <xf numFmtId="0" fontId="3" fillId="23" borderId="177" applyNumberFormat="0" applyFont="0" applyAlignment="0" applyProtection="0"/>
    <xf numFmtId="0" fontId="34" fillId="20" borderId="178" applyNumberFormat="0" applyAlignment="0" applyProtection="0"/>
    <xf numFmtId="0" fontId="3" fillId="23" borderId="177" applyNumberFormat="0" applyFont="0" applyAlignment="0" applyProtection="0"/>
    <xf numFmtId="0" fontId="3" fillId="23" borderId="177" applyNumberFormat="0" applyFont="0" applyAlignment="0" applyProtection="0"/>
    <xf numFmtId="0" fontId="24" fillId="20" borderId="176" applyNumberFormat="0" applyAlignment="0" applyProtection="0"/>
    <xf numFmtId="0" fontId="34" fillId="20" borderId="178" applyNumberFormat="0" applyAlignment="0" applyProtection="0"/>
    <xf numFmtId="0" fontId="3" fillId="23" borderId="177" applyNumberFormat="0" applyFont="0" applyAlignment="0" applyProtection="0"/>
    <xf numFmtId="0" fontId="3" fillId="23" borderId="177" applyNumberFormat="0" applyFont="0" applyAlignment="0" applyProtection="0"/>
    <xf numFmtId="0" fontId="24" fillId="20" borderId="176" applyNumberFormat="0" applyAlignment="0" applyProtection="0"/>
    <xf numFmtId="0" fontId="3" fillId="23" borderId="177" applyNumberFormat="0" applyFont="0" applyAlignment="0" applyProtection="0"/>
    <xf numFmtId="0" fontId="35" fillId="0" borderId="179" applyNumberFormat="0" applyFill="0" applyAlignment="0" applyProtection="0"/>
    <xf numFmtId="0" fontId="34" fillId="20" borderId="178" applyNumberFormat="0" applyAlignment="0" applyProtection="0"/>
    <xf numFmtId="0" fontId="31" fillId="7" borderId="176" applyNumberFormat="0" applyAlignment="0" applyProtection="0"/>
    <xf numFmtId="0" fontId="24" fillId="20" borderId="176" applyNumberFormat="0" applyAlignment="0" applyProtection="0"/>
    <xf numFmtId="0" fontId="34" fillId="20" borderId="178" applyNumberFormat="0" applyAlignment="0" applyProtection="0"/>
    <xf numFmtId="0" fontId="35" fillId="0" borderId="179" applyNumberFormat="0" applyFill="0" applyAlignment="0" applyProtection="0"/>
    <xf numFmtId="0" fontId="35" fillId="0" borderId="179" applyNumberFormat="0" applyFill="0" applyAlignment="0" applyProtection="0"/>
    <xf numFmtId="0" fontId="31" fillId="7" borderId="176" applyNumberFormat="0" applyAlignment="0" applyProtection="0"/>
    <xf numFmtId="0" fontId="31" fillId="7" borderId="176" applyNumberFormat="0" applyAlignment="0" applyProtection="0"/>
    <xf numFmtId="0" fontId="35" fillId="0" borderId="179" applyNumberFormat="0" applyFill="0" applyAlignment="0" applyProtection="0"/>
    <xf numFmtId="0" fontId="24" fillId="20" borderId="176" applyNumberFormat="0" applyAlignment="0" applyProtection="0"/>
    <xf numFmtId="0" fontId="35" fillId="0" borderId="179" applyNumberFormat="0" applyFill="0" applyAlignment="0" applyProtection="0"/>
    <xf numFmtId="0" fontId="34" fillId="20" borderId="178" applyNumberFormat="0" applyAlignment="0" applyProtection="0"/>
    <xf numFmtId="0" fontId="3" fillId="23" borderId="177" applyNumberFormat="0" applyFont="0" applyAlignment="0" applyProtection="0"/>
    <xf numFmtId="0" fontId="31" fillId="7" borderId="176" applyNumberFormat="0" applyAlignment="0" applyProtection="0"/>
    <xf numFmtId="0" fontId="24" fillId="20" borderId="176" applyNumberFormat="0" applyAlignment="0" applyProtection="0"/>
    <xf numFmtId="0" fontId="24" fillId="20" borderId="176" applyNumberFormat="0" applyAlignment="0" applyProtection="0"/>
    <xf numFmtId="0" fontId="31" fillId="7" borderId="176" applyNumberFormat="0" applyAlignment="0" applyProtection="0"/>
    <xf numFmtId="0" fontId="3" fillId="23" borderId="177" applyNumberFormat="0" applyFont="0" applyAlignment="0" applyProtection="0"/>
    <xf numFmtId="0" fontId="34" fillId="20" borderId="178" applyNumberFormat="0" applyAlignment="0" applyProtection="0"/>
    <xf numFmtId="0" fontId="35" fillId="0" borderId="179" applyNumberFormat="0" applyFill="0" applyAlignment="0" applyProtection="0"/>
    <xf numFmtId="0" fontId="3" fillId="23" borderId="177" applyNumberFormat="0" applyFont="0" applyAlignment="0" applyProtection="0"/>
    <xf numFmtId="0" fontId="35" fillId="0" borderId="179" applyNumberFormat="0" applyFill="0" applyAlignment="0" applyProtection="0"/>
    <xf numFmtId="0" fontId="34" fillId="20" borderId="178" applyNumberFormat="0" applyAlignment="0" applyProtection="0"/>
    <xf numFmtId="0" fontId="3" fillId="23" borderId="177" applyNumberFormat="0" applyFont="0" applyAlignment="0" applyProtection="0"/>
    <xf numFmtId="0" fontId="31" fillId="7" borderId="176" applyNumberFormat="0" applyAlignment="0" applyProtection="0"/>
    <xf numFmtId="0" fontId="24" fillId="20" borderId="176" applyNumberFormat="0" applyAlignment="0" applyProtection="0"/>
    <xf numFmtId="0" fontId="3" fillId="23" borderId="177" applyNumberFormat="0" applyFont="0" applyAlignment="0" applyProtection="0"/>
    <xf numFmtId="0" fontId="3" fillId="23" borderId="177" applyNumberFormat="0" applyFont="0" applyAlignment="0" applyProtection="0"/>
    <xf numFmtId="0" fontId="3" fillId="23" borderId="177" applyNumberFormat="0" applyFont="0" applyAlignment="0" applyProtection="0"/>
    <xf numFmtId="0" fontId="31" fillId="7" borderId="176" applyNumberFormat="0" applyAlignment="0" applyProtection="0"/>
    <xf numFmtId="0" fontId="35" fillId="0" borderId="179" applyNumberFormat="0" applyFill="0" applyAlignment="0" applyProtection="0"/>
    <xf numFmtId="0" fontId="31" fillId="7" borderId="176" applyNumberFormat="0" applyAlignment="0" applyProtection="0"/>
    <xf numFmtId="0" fontId="34" fillId="20" borderId="178" applyNumberFormat="0" applyAlignment="0" applyProtection="0"/>
    <xf numFmtId="0" fontId="3" fillId="23" borderId="177" applyNumberFormat="0" applyFont="0" applyAlignment="0" applyProtection="0"/>
    <xf numFmtId="0" fontId="24" fillId="20" borderId="176" applyNumberFormat="0" applyAlignment="0" applyProtection="0"/>
    <xf numFmtId="0" fontId="3" fillId="23" borderId="177" applyNumberFormat="0" applyFont="0" applyAlignment="0" applyProtection="0"/>
    <xf numFmtId="0" fontId="3" fillId="23" borderId="177" applyNumberFormat="0" applyFont="0" applyAlignment="0" applyProtection="0"/>
    <xf numFmtId="0" fontId="3" fillId="23" borderId="177" applyNumberFormat="0" applyFont="0" applyAlignment="0" applyProtection="0"/>
    <xf numFmtId="0" fontId="34" fillId="20" borderId="178" applyNumberFormat="0" applyAlignment="0" applyProtection="0"/>
    <xf numFmtId="0" fontId="3" fillId="23" borderId="177" applyNumberFormat="0" applyFont="0" applyAlignment="0" applyProtection="0"/>
    <xf numFmtId="0" fontId="3" fillId="23" borderId="177" applyNumberFormat="0" applyFont="0" applyAlignment="0" applyProtection="0"/>
    <xf numFmtId="0" fontId="24" fillId="20" borderId="176" applyNumberFormat="0" applyAlignment="0" applyProtection="0"/>
    <xf numFmtId="0" fontId="34" fillId="20" borderId="178" applyNumberFormat="0" applyAlignment="0" applyProtection="0"/>
    <xf numFmtId="0" fontId="3" fillId="23" borderId="177" applyNumberFormat="0" applyFont="0" applyAlignment="0" applyProtection="0"/>
    <xf numFmtId="0" fontId="3" fillId="23" borderId="177" applyNumberFormat="0" applyFont="0" applyAlignment="0" applyProtection="0"/>
    <xf numFmtId="0" fontId="24" fillId="20" borderId="176" applyNumberFormat="0" applyAlignment="0" applyProtection="0"/>
    <xf numFmtId="0" fontId="3" fillId="23" borderId="177" applyNumberFormat="0" applyFont="0" applyAlignment="0" applyProtection="0"/>
    <xf numFmtId="0" fontId="35" fillId="0" borderId="179" applyNumberFormat="0" applyFill="0" applyAlignment="0" applyProtection="0"/>
    <xf numFmtId="0" fontId="34" fillId="20" borderId="178" applyNumberFormat="0" applyAlignment="0" applyProtection="0"/>
    <xf numFmtId="0" fontId="31" fillId="7" borderId="176" applyNumberFormat="0" applyAlignment="0" applyProtection="0"/>
    <xf numFmtId="0" fontId="24" fillId="20" borderId="176" applyNumberFormat="0" applyAlignment="0" applyProtection="0"/>
    <xf numFmtId="0" fontId="34" fillId="20" borderId="178" applyNumberFormat="0" applyAlignment="0" applyProtection="0"/>
    <xf numFmtId="0" fontId="35" fillId="0" borderId="179" applyNumberFormat="0" applyFill="0" applyAlignment="0" applyProtection="0"/>
    <xf numFmtId="0" fontId="35" fillId="0" borderId="179" applyNumberFormat="0" applyFill="0" applyAlignment="0" applyProtection="0"/>
    <xf numFmtId="0" fontId="31" fillId="7" borderId="176" applyNumberFormat="0" applyAlignment="0" applyProtection="0"/>
    <xf numFmtId="0" fontId="31" fillId="7" borderId="176" applyNumberFormat="0" applyAlignment="0" applyProtection="0"/>
    <xf numFmtId="0" fontId="35" fillId="0" borderId="179" applyNumberFormat="0" applyFill="0" applyAlignment="0" applyProtection="0"/>
    <xf numFmtId="0" fontId="24" fillId="20" borderId="176" applyNumberFormat="0" applyAlignment="0" applyProtection="0"/>
    <xf numFmtId="0" fontId="35" fillId="0" borderId="179" applyNumberFormat="0" applyFill="0" applyAlignment="0" applyProtection="0"/>
    <xf numFmtId="0" fontId="34" fillId="20" borderId="178" applyNumberFormat="0" applyAlignment="0" applyProtection="0"/>
    <xf numFmtId="0" fontId="3" fillId="23" borderId="177" applyNumberFormat="0" applyFont="0" applyAlignment="0" applyProtection="0"/>
    <xf numFmtId="0" fontId="31" fillId="7" borderId="176" applyNumberFormat="0" applyAlignment="0" applyProtection="0"/>
    <xf numFmtId="0" fontId="24" fillId="20" borderId="176" applyNumberFormat="0" applyAlignment="0" applyProtection="0"/>
    <xf numFmtId="0" fontId="3" fillId="23" borderId="177" applyNumberFormat="0" applyFont="0" applyAlignment="0" applyProtection="0"/>
    <xf numFmtId="0" fontId="35" fillId="0" borderId="179" applyNumberFormat="0" applyFill="0" applyAlignment="0" applyProtection="0"/>
    <xf numFmtId="0" fontId="34" fillId="20" borderId="178" applyNumberFormat="0" applyAlignment="0" applyProtection="0"/>
    <xf numFmtId="0" fontId="3" fillId="23" borderId="177" applyNumberFormat="0" applyFont="0" applyAlignment="0" applyProtection="0"/>
    <xf numFmtId="0" fontId="31" fillId="7" borderId="176" applyNumberFormat="0" applyAlignment="0" applyProtection="0"/>
    <xf numFmtId="0" fontId="24" fillId="20" borderId="176" applyNumberFormat="0" applyAlignment="0" applyProtection="0"/>
    <xf numFmtId="0" fontId="24" fillId="20" borderId="176" applyNumberFormat="0" applyAlignment="0" applyProtection="0"/>
    <xf numFmtId="0" fontId="31" fillId="7" borderId="176" applyNumberFormat="0" applyAlignment="0" applyProtection="0"/>
    <xf numFmtId="0" fontId="3" fillId="23" borderId="177" applyNumberFormat="0" applyFont="0" applyAlignment="0" applyProtection="0"/>
    <xf numFmtId="0" fontId="34" fillId="20" borderId="178" applyNumberFormat="0" applyAlignment="0" applyProtection="0"/>
    <xf numFmtId="0" fontId="35" fillId="0" borderId="179" applyNumberFormat="0" applyFill="0" applyAlignment="0" applyProtection="0"/>
    <xf numFmtId="0" fontId="3" fillId="23" borderId="177" applyNumberFormat="0" applyFont="0" applyAlignment="0" applyProtection="0"/>
    <xf numFmtId="0" fontId="35" fillId="0" borderId="179" applyNumberFormat="0" applyFill="0" applyAlignment="0" applyProtection="0"/>
    <xf numFmtId="0" fontId="34" fillId="20" borderId="178" applyNumberFormat="0" applyAlignment="0" applyProtection="0"/>
    <xf numFmtId="0" fontId="3" fillId="23" borderId="177" applyNumberFormat="0" applyFont="0" applyAlignment="0" applyProtection="0"/>
    <xf numFmtId="0" fontId="31" fillId="7" borderId="176" applyNumberFormat="0" applyAlignment="0" applyProtection="0"/>
    <xf numFmtId="0" fontId="24" fillId="20" borderId="176" applyNumberFormat="0" applyAlignment="0" applyProtection="0"/>
    <xf numFmtId="0" fontId="3" fillId="23" borderId="177" applyNumberFormat="0" applyFont="0" applyAlignment="0" applyProtection="0"/>
    <xf numFmtId="0" fontId="3" fillId="23" borderId="177" applyNumberFormat="0" applyFont="0" applyAlignment="0" applyProtection="0"/>
    <xf numFmtId="0" fontId="3" fillId="23" borderId="177" applyNumberFormat="0" applyFont="0" applyAlignment="0" applyProtection="0"/>
    <xf numFmtId="0" fontId="31" fillId="7" borderId="176" applyNumberFormat="0" applyAlignment="0" applyProtection="0"/>
    <xf numFmtId="0" fontId="35" fillId="0" borderId="179" applyNumberFormat="0" applyFill="0" applyAlignment="0" applyProtection="0"/>
    <xf numFmtId="0" fontId="31" fillId="7" borderId="176" applyNumberFormat="0" applyAlignment="0" applyProtection="0"/>
    <xf numFmtId="0" fontId="34" fillId="20" borderId="178" applyNumberFormat="0" applyAlignment="0" applyProtection="0"/>
    <xf numFmtId="0" fontId="3" fillId="23" borderId="177" applyNumberFormat="0" applyFont="0" applyAlignment="0" applyProtection="0"/>
    <xf numFmtId="0" fontId="24" fillId="20" borderId="176" applyNumberFormat="0" applyAlignment="0" applyProtection="0"/>
    <xf numFmtId="0" fontId="3" fillId="23" borderId="177" applyNumberFormat="0" applyFont="0" applyAlignment="0" applyProtection="0"/>
    <xf numFmtId="0" fontId="3" fillId="23" borderId="177" applyNumberFormat="0" applyFont="0" applyAlignment="0" applyProtection="0"/>
    <xf numFmtId="0" fontId="3" fillId="23" borderId="177" applyNumberFormat="0" applyFont="0" applyAlignment="0" applyProtection="0"/>
    <xf numFmtId="0" fontId="34" fillId="20" borderId="178" applyNumberFormat="0" applyAlignment="0" applyProtection="0"/>
    <xf numFmtId="0" fontId="3" fillId="23" borderId="177" applyNumberFormat="0" applyFont="0" applyAlignment="0" applyProtection="0"/>
    <xf numFmtId="0" fontId="3" fillId="23" borderId="177" applyNumberFormat="0" applyFont="0" applyAlignment="0" applyProtection="0"/>
    <xf numFmtId="0" fontId="24" fillId="20" borderId="176" applyNumberFormat="0" applyAlignment="0" applyProtection="0"/>
    <xf numFmtId="0" fontId="34" fillId="20" borderId="178" applyNumberFormat="0" applyAlignment="0" applyProtection="0"/>
    <xf numFmtId="0" fontId="3" fillId="23" borderId="177" applyNumberFormat="0" applyFont="0" applyAlignment="0" applyProtection="0"/>
    <xf numFmtId="0" fontId="3" fillId="23" borderId="177" applyNumberFormat="0" applyFont="0" applyAlignment="0" applyProtection="0"/>
    <xf numFmtId="0" fontId="24" fillId="20" borderId="176" applyNumberFormat="0" applyAlignment="0" applyProtection="0"/>
    <xf numFmtId="0" fontId="3" fillId="23" borderId="177" applyNumberFormat="0" applyFont="0" applyAlignment="0" applyProtection="0"/>
    <xf numFmtId="0" fontId="35" fillId="0" borderId="179" applyNumberFormat="0" applyFill="0" applyAlignment="0" applyProtection="0"/>
    <xf numFmtId="0" fontId="34" fillId="20" borderId="178" applyNumberFormat="0" applyAlignment="0" applyProtection="0"/>
    <xf numFmtId="0" fontId="31" fillId="7" borderId="176" applyNumberFormat="0" applyAlignment="0" applyProtection="0"/>
    <xf numFmtId="0" fontId="24" fillId="20" borderId="176" applyNumberFormat="0" applyAlignment="0" applyProtection="0"/>
    <xf numFmtId="0" fontId="34" fillId="20" borderId="178" applyNumberFormat="0" applyAlignment="0" applyProtection="0"/>
    <xf numFmtId="0" fontId="35" fillId="0" borderId="179" applyNumberFormat="0" applyFill="0" applyAlignment="0" applyProtection="0"/>
    <xf numFmtId="0" fontId="35" fillId="0" borderId="179" applyNumberFormat="0" applyFill="0" applyAlignment="0" applyProtection="0"/>
    <xf numFmtId="0" fontId="31" fillId="7" borderId="176" applyNumberFormat="0" applyAlignment="0" applyProtection="0"/>
    <xf numFmtId="0" fontId="31" fillId="7" borderId="176" applyNumberFormat="0" applyAlignment="0" applyProtection="0"/>
    <xf numFmtId="0" fontId="35" fillId="0" borderId="179" applyNumberFormat="0" applyFill="0" applyAlignment="0" applyProtection="0"/>
    <xf numFmtId="0" fontId="24" fillId="20" borderId="176" applyNumberFormat="0" applyAlignment="0" applyProtection="0"/>
    <xf numFmtId="0" fontId="35" fillId="0" borderId="179" applyNumberFormat="0" applyFill="0" applyAlignment="0" applyProtection="0"/>
    <xf numFmtId="0" fontId="34" fillId="20" borderId="178" applyNumberFormat="0" applyAlignment="0" applyProtection="0"/>
    <xf numFmtId="0" fontId="3" fillId="23" borderId="177" applyNumberFormat="0" applyFont="0" applyAlignment="0" applyProtection="0"/>
    <xf numFmtId="0" fontId="31" fillId="7" borderId="176" applyNumberFormat="0" applyAlignment="0" applyProtection="0"/>
    <xf numFmtId="0" fontId="24" fillId="20" borderId="176" applyNumberFormat="0" applyAlignment="0" applyProtection="0"/>
    <xf numFmtId="0" fontId="3" fillId="23" borderId="177" applyNumberFormat="0" applyFont="0" applyAlignment="0" applyProtection="0"/>
    <xf numFmtId="0" fontId="35" fillId="0" borderId="179" applyNumberFormat="0" applyFill="0" applyAlignment="0" applyProtection="0"/>
    <xf numFmtId="0" fontId="34" fillId="20" borderId="178" applyNumberFormat="0" applyAlignment="0" applyProtection="0"/>
    <xf numFmtId="0" fontId="3" fillId="23" borderId="177" applyNumberFormat="0" applyFont="0" applyAlignment="0" applyProtection="0"/>
    <xf numFmtId="0" fontId="31" fillId="7" borderId="176" applyNumberFormat="0" applyAlignment="0" applyProtection="0"/>
    <xf numFmtId="0" fontId="24" fillId="20" borderId="176" applyNumberFormat="0" applyAlignment="0" applyProtection="0"/>
    <xf numFmtId="0" fontId="24" fillId="20" borderId="176" applyNumberFormat="0" applyAlignment="0" applyProtection="0"/>
    <xf numFmtId="0" fontId="31" fillId="7" borderId="176" applyNumberFormat="0" applyAlignment="0" applyProtection="0"/>
    <xf numFmtId="0" fontId="3" fillId="23" borderId="177" applyNumberFormat="0" applyFont="0" applyAlignment="0" applyProtection="0"/>
    <xf numFmtId="0" fontId="34" fillId="20" borderId="178" applyNumberFormat="0" applyAlignment="0" applyProtection="0"/>
    <xf numFmtId="0" fontId="35" fillId="0" borderId="179" applyNumberFormat="0" applyFill="0" applyAlignment="0" applyProtection="0"/>
    <xf numFmtId="0" fontId="3" fillId="23" borderId="177" applyNumberFormat="0" applyFont="0" applyAlignment="0" applyProtection="0"/>
    <xf numFmtId="0" fontId="35" fillId="0" borderId="179" applyNumberFormat="0" applyFill="0" applyAlignment="0" applyProtection="0"/>
    <xf numFmtId="0" fontId="34" fillId="20" borderId="178" applyNumberFormat="0" applyAlignment="0" applyProtection="0"/>
    <xf numFmtId="0" fontId="3" fillId="23" borderId="177" applyNumberFormat="0" applyFont="0" applyAlignment="0" applyProtection="0"/>
    <xf numFmtId="0" fontId="31" fillId="7" borderId="176" applyNumberFormat="0" applyAlignment="0" applyProtection="0"/>
    <xf numFmtId="0" fontId="24" fillId="20" borderId="176" applyNumberFormat="0" applyAlignment="0" applyProtection="0"/>
    <xf numFmtId="0" fontId="3" fillId="23" borderId="177" applyNumberFormat="0" applyFont="0" applyAlignment="0" applyProtection="0"/>
    <xf numFmtId="0" fontId="3" fillId="23" borderId="177" applyNumberFormat="0" applyFont="0" applyAlignment="0" applyProtection="0"/>
    <xf numFmtId="0" fontId="3" fillId="23" borderId="177" applyNumberFormat="0" applyFont="0" applyAlignment="0" applyProtection="0"/>
    <xf numFmtId="0" fontId="31" fillId="7" borderId="176" applyNumberFormat="0" applyAlignment="0" applyProtection="0"/>
    <xf numFmtId="0" fontId="35" fillId="0" borderId="179" applyNumberFormat="0" applyFill="0" applyAlignment="0" applyProtection="0"/>
    <xf numFmtId="0" fontId="31" fillId="7" borderId="176" applyNumberFormat="0" applyAlignment="0" applyProtection="0"/>
    <xf numFmtId="0" fontId="34" fillId="20" borderId="178" applyNumberFormat="0" applyAlignment="0" applyProtection="0"/>
    <xf numFmtId="0" fontId="3" fillId="23" borderId="177" applyNumberFormat="0" applyFont="0" applyAlignment="0" applyProtection="0"/>
    <xf numFmtId="0" fontId="24" fillId="20" borderId="176" applyNumberFormat="0" applyAlignment="0" applyProtection="0"/>
    <xf numFmtId="0" fontId="3" fillId="23" borderId="177" applyNumberFormat="0" applyFont="0" applyAlignment="0" applyProtection="0"/>
    <xf numFmtId="0" fontId="3" fillId="23" borderId="177" applyNumberFormat="0" applyFont="0" applyAlignment="0" applyProtection="0"/>
    <xf numFmtId="0" fontId="3" fillId="23" borderId="177" applyNumberFormat="0" applyFont="0" applyAlignment="0" applyProtection="0"/>
    <xf numFmtId="0" fontId="34" fillId="20" borderId="178" applyNumberFormat="0" applyAlignment="0" applyProtection="0"/>
    <xf numFmtId="0" fontId="3" fillId="23" borderId="177" applyNumberFormat="0" applyFont="0" applyAlignment="0" applyProtection="0"/>
    <xf numFmtId="0" fontId="3" fillId="23" borderId="177" applyNumberFormat="0" applyFont="0" applyAlignment="0" applyProtection="0"/>
    <xf numFmtId="0" fontId="24" fillId="20" borderId="176" applyNumberFormat="0" applyAlignment="0" applyProtection="0"/>
    <xf numFmtId="0" fontId="34" fillId="20" borderId="178" applyNumberFormat="0" applyAlignment="0" applyProtection="0"/>
    <xf numFmtId="0" fontId="3" fillId="23" borderId="177" applyNumberFormat="0" applyFont="0" applyAlignment="0" applyProtection="0"/>
    <xf numFmtId="0" fontId="3" fillId="23" borderId="177" applyNumberFormat="0" applyFont="0" applyAlignment="0" applyProtection="0"/>
    <xf numFmtId="0" fontId="24" fillId="20" borderId="176" applyNumberFormat="0" applyAlignment="0" applyProtection="0"/>
    <xf numFmtId="0" fontId="3" fillId="23" borderId="177" applyNumberFormat="0" applyFont="0" applyAlignment="0" applyProtection="0"/>
    <xf numFmtId="0" fontId="35" fillId="0" borderId="179" applyNumberFormat="0" applyFill="0" applyAlignment="0" applyProtection="0"/>
    <xf numFmtId="0" fontId="34" fillId="20" borderId="178" applyNumberFormat="0" applyAlignment="0" applyProtection="0"/>
    <xf numFmtId="0" fontId="31" fillId="7" borderId="176" applyNumberFormat="0" applyAlignment="0" applyProtection="0"/>
    <xf numFmtId="0" fontId="24" fillId="20" borderId="176" applyNumberFormat="0" applyAlignment="0" applyProtection="0"/>
    <xf numFmtId="0" fontId="34" fillId="20" borderId="178" applyNumberFormat="0" applyAlignment="0" applyProtection="0"/>
    <xf numFmtId="0" fontId="35" fillId="0" borderId="179" applyNumberFormat="0" applyFill="0" applyAlignment="0" applyProtection="0"/>
    <xf numFmtId="0" fontId="35" fillId="0" borderId="179" applyNumberFormat="0" applyFill="0" applyAlignment="0" applyProtection="0"/>
    <xf numFmtId="0" fontId="31" fillId="7" borderId="176" applyNumberFormat="0" applyAlignment="0" applyProtection="0"/>
    <xf numFmtId="0" fontId="31" fillId="7" borderId="176" applyNumberFormat="0" applyAlignment="0" applyProtection="0"/>
    <xf numFmtId="0" fontId="35" fillId="0" borderId="179" applyNumberFormat="0" applyFill="0" applyAlignment="0" applyProtection="0"/>
    <xf numFmtId="0" fontId="24" fillId="20" borderId="176" applyNumberFormat="0" applyAlignment="0" applyProtection="0"/>
    <xf numFmtId="0" fontId="35" fillId="0" borderId="179" applyNumberFormat="0" applyFill="0" applyAlignment="0" applyProtection="0"/>
    <xf numFmtId="0" fontId="34" fillId="20" borderId="178" applyNumberFormat="0" applyAlignment="0" applyProtection="0"/>
    <xf numFmtId="0" fontId="3" fillId="23" borderId="177" applyNumberFormat="0" applyFont="0" applyAlignment="0" applyProtection="0"/>
    <xf numFmtId="0" fontId="31" fillId="7" borderId="176" applyNumberFormat="0" applyAlignment="0" applyProtection="0"/>
    <xf numFmtId="0" fontId="24" fillId="20" borderId="176" applyNumberFormat="0" applyAlignment="0" applyProtection="0"/>
    <xf numFmtId="0" fontId="24" fillId="20" borderId="176" applyNumberFormat="0" applyAlignment="0" applyProtection="0"/>
    <xf numFmtId="0" fontId="31" fillId="7" borderId="176" applyNumberFormat="0" applyAlignment="0" applyProtection="0"/>
    <xf numFmtId="0" fontId="3" fillId="23" borderId="177" applyNumberFormat="0" applyFont="0" applyAlignment="0" applyProtection="0"/>
    <xf numFmtId="0" fontId="34" fillId="20" borderId="178" applyNumberFormat="0" applyAlignment="0" applyProtection="0"/>
    <xf numFmtId="0" fontId="35" fillId="0" borderId="179" applyNumberFormat="0" applyFill="0" applyAlignment="0" applyProtection="0"/>
    <xf numFmtId="0" fontId="3" fillId="23" borderId="177" applyNumberFormat="0" applyFont="0" applyAlignment="0" applyProtection="0"/>
    <xf numFmtId="0" fontId="35" fillId="0" borderId="179" applyNumberFormat="0" applyFill="0" applyAlignment="0" applyProtection="0"/>
    <xf numFmtId="0" fontId="34" fillId="20" borderId="178" applyNumberFormat="0" applyAlignment="0" applyProtection="0"/>
    <xf numFmtId="0" fontId="3" fillId="23" borderId="177" applyNumberFormat="0" applyFont="0" applyAlignment="0" applyProtection="0"/>
    <xf numFmtId="0" fontId="31" fillId="7" borderId="176" applyNumberFormat="0" applyAlignment="0" applyProtection="0"/>
    <xf numFmtId="0" fontId="24" fillId="20" borderId="176" applyNumberFormat="0" applyAlignment="0" applyProtection="0"/>
    <xf numFmtId="0" fontId="3" fillId="23" borderId="177" applyNumberFormat="0" applyFont="0" applyAlignment="0" applyProtection="0"/>
    <xf numFmtId="0" fontId="3" fillId="23" borderId="177" applyNumberFormat="0" applyFont="0" applyAlignment="0" applyProtection="0"/>
    <xf numFmtId="0" fontId="3" fillId="23" borderId="177" applyNumberFormat="0" applyFont="0" applyAlignment="0" applyProtection="0"/>
    <xf numFmtId="0" fontId="31" fillId="7" borderId="176" applyNumberFormat="0" applyAlignment="0" applyProtection="0"/>
    <xf numFmtId="0" fontId="35" fillId="0" borderId="179" applyNumberFormat="0" applyFill="0" applyAlignment="0" applyProtection="0"/>
    <xf numFmtId="0" fontId="31" fillId="7" borderId="176" applyNumberFormat="0" applyAlignment="0" applyProtection="0"/>
    <xf numFmtId="0" fontId="34" fillId="20" borderId="178" applyNumberFormat="0" applyAlignment="0" applyProtection="0"/>
    <xf numFmtId="0" fontId="3" fillId="23" borderId="177" applyNumberFormat="0" applyFont="0" applyAlignment="0" applyProtection="0"/>
    <xf numFmtId="0" fontId="24" fillId="20" borderId="176" applyNumberFormat="0" applyAlignment="0" applyProtection="0"/>
    <xf numFmtId="0" fontId="3" fillId="23" borderId="177" applyNumberFormat="0" applyFont="0" applyAlignment="0" applyProtection="0"/>
    <xf numFmtId="0" fontId="3" fillId="23" borderId="177" applyNumberFormat="0" applyFont="0" applyAlignment="0" applyProtection="0"/>
    <xf numFmtId="0" fontId="3" fillId="23" borderId="177" applyNumberFormat="0" applyFont="0" applyAlignment="0" applyProtection="0"/>
    <xf numFmtId="0" fontId="34" fillId="20" borderId="178" applyNumberFormat="0" applyAlignment="0" applyProtection="0"/>
    <xf numFmtId="0" fontId="3" fillId="23" borderId="177" applyNumberFormat="0" applyFont="0" applyAlignment="0" applyProtection="0"/>
    <xf numFmtId="0" fontId="3" fillId="23" borderId="177" applyNumberFormat="0" applyFont="0" applyAlignment="0" applyProtection="0"/>
    <xf numFmtId="0" fontId="24" fillId="20" borderId="176" applyNumberFormat="0" applyAlignment="0" applyProtection="0"/>
    <xf numFmtId="0" fontId="34" fillId="20" borderId="178" applyNumberFormat="0" applyAlignment="0" applyProtection="0"/>
    <xf numFmtId="0" fontId="3" fillId="23" borderId="177" applyNumberFormat="0" applyFont="0" applyAlignment="0" applyProtection="0"/>
    <xf numFmtId="0" fontId="3" fillId="23" borderId="177" applyNumberFormat="0" applyFont="0" applyAlignment="0" applyProtection="0"/>
    <xf numFmtId="0" fontId="24" fillId="20" borderId="176" applyNumberFormat="0" applyAlignment="0" applyProtection="0"/>
    <xf numFmtId="0" fontId="3" fillId="23" borderId="177" applyNumberFormat="0" applyFont="0" applyAlignment="0" applyProtection="0"/>
    <xf numFmtId="0" fontId="35" fillId="0" borderId="179" applyNumberFormat="0" applyFill="0" applyAlignment="0" applyProtection="0"/>
    <xf numFmtId="0" fontId="34" fillId="20" borderId="178" applyNumberFormat="0" applyAlignment="0" applyProtection="0"/>
    <xf numFmtId="0" fontId="31" fillId="7" borderId="176" applyNumberFormat="0" applyAlignment="0" applyProtection="0"/>
    <xf numFmtId="0" fontId="24" fillId="20" borderId="176" applyNumberFormat="0" applyAlignment="0" applyProtection="0"/>
    <xf numFmtId="0" fontId="34" fillId="20" borderId="178" applyNumberFormat="0" applyAlignment="0" applyProtection="0"/>
    <xf numFmtId="0" fontId="35" fillId="0" borderId="179" applyNumberFormat="0" applyFill="0" applyAlignment="0" applyProtection="0"/>
    <xf numFmtId="0" fontId="35" fillId="0" borderId="179" applyNumberFormat="0" applyFill="0" applyAlignment="0" applyProtection="0"/>
    <xf numFmtId="0" fontId="31" fillId="7" borderId="176" applyNumberFormat="0" applyAlignment="0" applyProtection="0"/>
    <xf numFmtId="0" fontId="31" fillId="7" borderId="176" applyNumberFormat="0" applyAlignment="0" applyProtection="0"/>
    <xf numFmtId="0" fontId="35" fillId="0" borderId="179" applyNumberFormat="0" applyFill="0" applyAlignment="0" applyProtection="0"/>
    <xf numFmtId="0" fontId="24" fillId="20" borderId="176" applyNumberFormat="0" applyAlignment="0" applyProtection="0"/>
    <xf numFmtId="0" fontId="35" fillId="0" borderId="179" applyNumberFormat="0" applyFill="0" applyAlignment="0" applyProtection="0"/>
    <xf numFmtId="0" fontId="34" fillId="20" borderId="178" applyNumberFormat="0" applyAlignment="0" applyProtection="0"/>
    <xf numFmtId="0" fontId="3" fillId="23" borderId="177" applyNumberFormat="0" applyFont="0" applyAlignment="0" applyProtection="0"/>
    <xf numFmtId="0" fontId="31" fillId="7" borderId="176" applyNumberFormat="0" applyAlignment="0" applyProtection="0"/>
    <xf numFmtId="0" fontId="24" fillId="20" borderId="176" applyNumberFormat="0" applyAlignment="0" applyProtection="0"/>
    <xf numFmtId="0" fontId="3" fillId="23" borderId="181" applyNumberFormat="0" applyFont="0" applyAlignment="0" applyProtection="0"/>
    <xf numFmtId="0" fontId="34" fillId="20" borderId="182" applyNumberFormat="0" applyAlignment="0" applyProtection="0"/>
    <xf numFmtId="0" fontId="35" fillId="0" borderId="183" applyNumberFormat="0" applyFill="0" applyAlignment="0" applyProtection="0"/>
    <xf numFmtId="0" fontId="34" fillId="20" borderId="206" applyNumberFormat="0" applyAlignment="0" applyProtection="0"/>
    <xf numFmtId="0" fontId="3" fillId="23" borderId="181" applyNumberFormat="0" applyFont="0" applyAlignment="0" applyProtection="0"/>
    <xf numFmtId="0" fontId="35" fillId="0" borderId="183" applyNumberFormat="0" applyFill="0" applyAlignment="0" applyProtection="0"/>
    <xf numFmtId="0" fontId="34" fillId="20" borderId="182" applyNumberFormat="0" applyAlignment="0" applyProtection="0"/>
    <xf numFmtId="0" fontId="3" fillId="23" borderId="181" applyNumberFormat="0" applyFont="0" applyAlignment="0" applyProtection="0"/>
    <xf numFmtId="0" fontId="31" fillId="7" borderId="180" applyNumberFormat="0" applyAlignment="0" applyProtection="0"/>
    <xf numFmtId="0" fontId="24" fillId="20" borderId="180" applyNumberFormat="0" applyAlignment="0" applyProtection="0"/>
    <xf numFmtId="0" fontId="3" fillId="23" borderId="181" applyNumberFormat="0" applyFont="0" applyAlignment="0" applyProtection="0"/>
    <xf numFmtId="0" fontId="3" fillId="23" borderId="181" applyNumberFormat="0" applyFont="0" applyAlignment="0" applyProtection="0"/>
    <xf numFmtId="0" fontId="3" fillId="23" borderId="181" applyNumberFormat="0" applyFont="0" applyAlignment="0" applyProtection="0"/>
    <xf numFmtId="0" fontId="31" fillId="7" borderId="180" applyNumberFormat="0" applyAlignment="0" applyProtection="0"/>
    <xf numFmtId="0" fontId="35" fillId="0" borderId="183" applyNumberFormat="0" applyFill="0" applyAlignment="0" applyProtection="0"/>
    <xf numFmtId="0" fontId="31" fillId="7" borderId="180" applyNumberFormat="0" applyAlignment="0" applyProtection="0"/>
    <xf numFmtId="0" fontId="34" fillId="20" borderId="182" applyNumberFormat="0" applyAlignment="0" applyProtection="0"/>
    <xf numFmtId="0" fontId="3" fillId="23" borderId="181" applyNumberFormat="0" applyFont="0" applyAlignment="0" applyProtection="0"/>
    <xf numFmtId="0" fontId="24" fillId="20" borderId="180" applyNumberFormat="0" applyAlignment="0" applyProtection="0"/>
    <xf numFmtId="0" fontId="3" fillId="23" borderId="181" applyNumberFormat="0" applyFont="0" applyAlignment="0" applyProtection="0"/>
    <xf numFmtId="0" fontId="3" fillId="23" borderId="181" applyNumberFormat="0" applyFont="0" applyAlignment="0" applyProtection="0"/>
    <xf numFmtId="0" fontId="3" fillId="23" borderId="181" applyNumberFormat="0" applyFont="0" applyAlignment="0" applyProtection="0"/>
    <xf numFmtId="0" fontId="34" fillId="20" borderId="182" applyNumberFormat="0" applyAlignment="0" applyProtection="0"/>
    <xf numFmtId="0" fontId="3" fillId="23" borderId="181" applyNumberFormat="0" applyFont="0" applyAlignment="0" applyProtection="0"/>
    <xf numFmtId="0" fontId="3" fillId="23" borderId="181" applyNumberFormat="0" applyFont="0" applyAlignment="0" applyProtection="0"/>
    <xf numFmtId="0" fontId="24" fillId="20" borderId="180" applyNumberFormat="0" applyAlignment="0" applyProtection="0"/>
    <xf numFmtId="0" fontId="34" fillId="20" borderId="182" applyNumberFormat="0" applyAlignment="0" applyProtection="0"/>
    <xf numFmtId="0" fontId="3" fillId="23" borderId="181" applyNumberFormat="0" applyFont="0" applyAlignment="0" applyProtection="0"/>
    <xf numFmtId="0" fontId="3" fillId="23" borderId="181" applyNumberFormat="0" applyFont="0" applyAlignment="0" applyProtection="0"/>
    <xf numFmtId="0" fontId="24" fillId="20" borderId="180" applyNumberFormat="0" applyAlignment="0" applyProtection="0"/>
    <xf numFmtId="0" fontId="3" fillId="23" borderId="181" applyNumberFormat="0" applyFont="0" applyAlignment="0" applyProtection="0"/>
    <xf numFmtId="0" fontId="35" fillId="0" borderId="183" applyNumberFormat="0" applyFill="0" applyAlignment="0" applyProtection="0"/>
    <xf numFmtId="0" fontId="34" fillId="20" borderId="182" applyNumberFormat="0" applyAlignment="0" applyProtection="0"/>
    <xf numFmtId="0" fontId="31" fillId="7" borderId="180" applyNumberFormat="0" applyAlignment="0" applyProtection="0"/>
    <xf numFmtId="0" fontId="24" fillId="20" borderId="180" applyNumberFormat="0" applyAlignment="0" applyProtection="0"/>
    <xf numFmtId="0" fontId="34" fillId="20" borderId="182" applyNumberFormat="0" applyAlignment="0" applyProtection="0"/>
    <xf numFmtId="0" fontId="35" fillId="0" borderId="183" applyNumberFormat="0" applyFill="0" applyAlignment="0" applyProtection="0"/>
    <xf numFmtId="0" fontId="35" fillId="0" borderId="183" applyNumberFormat="0" applyFill="0" applyAlignment="0" applyProtection="0"/>
    <xf numFmtId="0" fontId="31" fillId="7" borderId="180" applyNumberFormat="0" applyAlignment="0" applyProtection="0"/>
    <xf numFmtId="0" fontId="31" fillId="7" borderId="180" applyNumberFormat="0" applyAlignment="0" applyProtection="0"/>
    <xf numFmtId="0" fontId="35" fillId="0" borderId="183" applyNumberFormat="0" applyFill="0" applyAlignment="0" applyProtection="0"/>
    <xf numFmtId="0" fontId="24" fillId="20" borderId="180" applyNumberFormat="0" applyAlignment="0" applyProtection="0"/>
    <xf numFmtId="0" fontId="35" fillId="0" borderId="183" applyNumberFormat="0" applyFill="0" applyAlignment="0" applyProtection="0"/>
    <xf numFmtId="0" fontId="34" fillId="20" borderId="182" applyNumberFormat="0" applyAlignment="0" applyProtection="0"/>
    <xf numFmtId="0" fontId="3" fillId="23" borderId="181" applyNumberFormat="0" applyFont="0" applyAlignment="0" applyProtection="0"/>
    <xf numFmtId="0" fontId="31" fillId="7" borderId="180" applyNumberFormat="0" applyAlignment="0" applyProtection="0"/>
    <xf numFmtId="0" fontId="24" fillId="20" borderId="180" applyNumberFormat="0" applyAlignment="0" applyProtection="0"/>
    <xf numFmtId="0" fontId="24" fillId="20" borderId="180" applyNumberFormat="0" applyAlignment="0" applyProtection="0"/>
    <xf numFmtId="0" fontId="31" fillId="7" borderId="180" applyNumberFormat="0" applyAlignment="0" applyProtection="0"/>
    <xf numFmtId="0" fontId="3" fillId="23" borderId="181" applyNumberFormat="0" applyFont="0" applyAlignment="0" applyProtection="0"/>
    <xf numFmtId="0" fontId="34" fillId="20" borderId="182" applyNumberFormat="0" applyAlignment="0" applyProtection="0"/>
    <xf numFmtId="0" fontId="35" fillId="0" borderId="183" applyNumberFormat="0" applyFill="0" applyAlignment="0" applyProtection="0"/>
    <xf numFmtId="0" fontId="3" fillId="23" borderId="181" applyNumberFormat="0" applyFont="0" applyAlignment="0" applyProtection="0"/>
    <xf numFmtId="0" fontId="35" fillId="0" borderId="183" applyNumberFormat="0" applyFill="0" applyAlignment="0" applyProtection="0"/>
    <xf numFmtId="0" fontId="34" fillId="20" borderId="182" applyNumberFormat="0" applyAlignment="0" applyProtection="0"/>
    <xf numFmtId="0" fontId="3" fillId="23" borderId="181" applyNumberFormat="0" applyFont="0" applyAlignment="0" applyProtection="0"/>
    <xf numFmtId="0" fontId="31" fillId="7" borderId="180" applyNumberFormat="0" applyAlignment="0" applyProtection="0"/>
    <xf numFmtId="0" fontId="24" fillId="20" borderId="180" applyNumberFormat="0" applyAlignment="0" applyProtection="0"/>
    <xf numFmtId="0" fontId="3" fillId="23" borderId="181" applyNumberFormat="0" applyFont="0" applyAlignment="0" applyProtection="0"/>
    <xf numFmtId="0" fontId="3" fillId="23" borderId="181" applyNumberFormat="0" applyFont="0" applyAlignment="0" applyProtection="0"/>
    <xf numFmtId="0" fontId="3" fillId="23" borderId="181" applyNumberFormat="0" applyFont="0" applyAlignment="0" applyProtection="0"/>
    <xf numFmtId="0" fontId="31" fillId="7" borderId="180" applyNumberFormat="0" applyAlignment="0" applyProtection="0"/>
    <xf numFmtId="0" fontId="35" fillId="0" borderId="183" applyNumberFormat="0" applyFill="0" applyAlignment="0" applyProtection="0"/>
    <xf numFmtId="0" fontId="31" fillId="7" borderId="180" applyNumberFormat="0" applyAlignment="0" applyProtection="0"/>
    <xf numFmtId="0" fontId="34" fillId="20" borderId="182" applyNumberFormat="0" applyAlignment="0" applyProtection="0"/>
    <xf numFmtId="0" fontId="3" fillId="23" borderId="181" applyNumberFormat="0" applyFont="0" applyAlignment="0" applyProtection="0"/>
    <xf numFmtId="0" fontId="24" fillId="20" borderId="180" applyNumberFormat="0" applyAlignment="0" applyProtection="0"/>
    <xf numFmtId="0" fontId="3" fillId="23" borderId="181" applyNumberFormat="0" applyFont="0" applyAlignment="0" applyProtection="0"/>
    <xf numFmtId="0" fontId="3" fillId="23" borderId="181" applyNumberFormat="0" applyFont="0" applyAlignment="0" applyProtection="0"/>
    <xf numFmtId="0" fontId="3" fillId="23" borderId="181" applyNumberFormat="0" applyFont="0" applyAlignment="0" applyProtection="0"/>
    <xf numFmtId="0" fontId="34" fillId="20" borderId="182" applyNumberFormat="0" applyAlignment="0" applyProtection="0"/>
    <xf numFmtId="0" fontId="3" fillId="23" borderId="181" applyNumberFormat="0" applyFont="0" applyAlignment="0" applyProtection="0"/>
    <xf numFmtId="0" fontId="3" fillId="23" borderId="181" applyNumberFormat="0" applyFont="0" applyAlignment="0" applyProtection="0"/>
    <xf numFmtId="0" fontId="24" fillId="20" borderId="180" applyNumberFormat="0" applyAlignment="0" applyProtection="0"/>
    <xf numFmtId="0" fontId="34" fillId="20" borderId="182" applyNumberFormat="0" applyAlignment="0" applyProtection="0"/>
    <xf numFmtId="0" fontId="3" fillId="23" borderId="181" applyNumberFormat="0" applyFont="0" applyAlignment="0" applyProtection="0"/>
    <xf numFmtId="0" fontId="3" fillId="23" borderId="181" applyNumberFormat="0" applyFont="0" applyAlignment="0" applyProtection="0"/>
    <xf numFmtId="0" fontId="24" fillId="20" borderId="180" applyNumberFormat="0" applyAlignment="0" applyProtection="0"/>
    <xf numFmtId="0" fontId="3" fillId="23" borderId="181" applyNumberFormat="0" applyFont="0" applyAlignment="0" applyProtection="0"/>
    <xf numFmtId="0" fontId="35" fillId="0" borderId="183" applyNumberFormat="0" applyFill="0" applyAlignment="0" applyProtection="0"/>
    <xf numFmtId="0" fontId="34" fillId="20" borderId="182" applyNumberFormat="0" applyAlignment="0" applyProtection="0"/>
    <xf numFmtId="0" fontId="31" fillId="7" borderId="180" applyNumberFormat="0" applyAlignment="0" applyProtection="0"/>
    <xf numFmtId="0" fontId="24" fillId="20" borderId="180" applyNumberFormat="0" applyAlignment="0" applyProtection="0"/>
    <xf numFmtId="0" fontId="34" fillId="20" borderId="182" applyNumberFormat="0" applyAlignment="0" applyProtection="0"/>
    <xf numFmtId="0" fontId="35" fillId="0" borderId="183" applyNumberFormat="0" applyFill="0" applyAlignment="0" applyProtection="0"/>
    <xf numFmtId="0" fontId="35" fillId="0" borderId="183" applyNumberFormat="0" applyFill="0" applyAlignment="0" applyProtection="0"/>
    <xf numFmtId="0" fontId="31" fillId="7" borderId="180" applyNumberFormat="0" applyAlignment="0" applyProtection="0"/>
    <xf numFmtId="0" fontId="31" fillId="7" borderId="180" applyNumberFormat="0" applyAlignment="0" applyProtection="0"/>
    <xf numFmtId="0" fontId="35" fillId="0" borderId="183" applyNumberFormat="0" applyFill="0" applyAlignment="0" applyProtection="0"/>
    <xf numFmtId="0" fontId="24" fillId="20" borderId="180" applyNumberFormat="0" applyAlignment="0" applyProtection="0"/>
    <xf numFmtId="0" fontId="35" fillId="0" borderId="183" applyNumberFormat="0" applyFill="0" applyAlignment="0" applyProtection="0"/>
    <xf numFmtId="0" fontId="34" fillId="20" borderId="182" applyNumberFormat="0" applyAlignment="0" applyProtection="0"/>
    <xf numFmtId="0" fontId="3" fillId="23" borderId="181" applyNumberFormat="0" applyFont="0" applyAlignment="0" applyProtection="0"/>
    <xf numFmtId="0" fontId="31" fillId="7" borderId="180" applyNumberFormat="0" applyAlignment="0" applyProtection="0"/>
    <xf numFmtId="0" fontId="24" fillId="20" borderId="180" applyNumberFormat="0" applyAlignment="0" applyProtection="0"/>
    <xf numFmtId="0" fontId="3" fillId="23" borderId="181" applyNumberFormat="0" applyFont="0" applyAlignment="0" applyProtection="0"/>
    <xf numFmtId="0" fontId="35" fillId="0" borderId="183" applyNumberFormat="0" applyFill="0" applyAlignment="0" applyProtection="0"/>
    <xf numFmtId="0" fontId="34" fillId="20" borderId="182" applyNumberFormat="0" applyAlignment="0" applyProtection="0"/>
    <xf numFmtId="0" fontId="3" fillId="23" borderId="181" applyNumberFormat="0" applyFont="0" applyAlignment="0" applyProtection="0"/>
    <xf numFmtId="0" fontId="31" fillId="7" borderId="180" applyNumberFormat="0" applyAlignment="0" applyProtection="0"/>
    <xf numFmtId="0" fontId="24" fillId="20" borderId="180" applyNumberFormat="0" applyAlignment="0" applyProtection="0"/>
    <xf numFmtId="0" fontId="24" fillId="20" borderId="180" applyNumberFormat="0" applyAlignment="0" applyProtection="0"/>
    <xf numFmtId="0" fontId="31" fillId="7" borderId="180" applyNumberFormat="0" applyAlignment="0" applyProtection="0"/>
    <xf numFmtId="0" fontId="3" fillId="23" borderId="181" applyNumberFormat="0" applyFont="0" applyAlignment="0" applyProtection="0"/>
    <xf numFmtId="0" fontId="34" fillId="20" borderId="182" applyNumberFormat="0" applyAlignment="0" applyProtection="0"/>
    <xf numFmtId="0" fontId="35" fillId="0" borderId="183" applyNumberFormat="0" applyFill="0" applyAlignment="0" applyProtection="0"/>
    <xf numFmtId="0" fontId="3" fillId="23" borderId="181" applyNumberFormat="0" applyFont="0" applyAlignment="0" applyProtection="0"/>
    <xf numFmtId="0" fontId="35" fillId="0" borderId="183" applyNumberFormat="0" applyFill="0" applyAlignment="0" applyProtection="0"/>
    <xf numFmtId="0" fontId="34" fillId="20" borderId="182" applyNumberFormat="0" applyAlignment="0" applyProtection="0"/>
    <xf numFmtId="0" fontId="3" fillId="23" borderId="181" applyNumberFormat="0" applyFont="0" applyAlignment="0" applyProtection="0"/>
    <xf numFmtId="0" fontId="31" fillId="7" borderId="180" applyNumberFormat="0" applyAlignment="0" applyProtection="0"/>
    <xf numFmtId="0" fontId="24" fillId="20" borderId="180" applyNumberFormat="0" applyAlignment="0" applyProtection="0"/>
    <xf numFmtId="0" fontId="3" fillId="23" borderId="181" applyNumberFormat="0" applyFont="0" applyAlignment="0" applyProtection="0"/>
    <xf numFmtId="0" fontId="3" fillId="23" borderId="181" applyNumberFormat="0" applyFont="0" applyAlignment="0" applyProtection="0"/>
    <xf numFmtId="0" fontId="3" fillId="23" borderId="181" applyNumberFormat="0" applyFont="0" applyAlignment="0" applyProtection="0"/>
    <xf numFmtId="0" fontId="31" fillId="7" borderId="180" applyNumberFormat="0" applyAlignment="0" applyProtection="0"/>
    <xf numFmtId="0" fontId="35" fillId="0" borderId="183" applyNumberFormat="0" applyFill="0" applyAlignment="0" applyProtection="0"/>
    <xf numFmtId="0" fontId="31" fillId="7" borderId="180" applyNumberFormat="0" applyAlignment="0" applyProtection="0"/>
    <xf numFmtId="0" fontId="34" fillId="20" borderId="182" applyNumberFormat="0" applyAlignment="0" applyProtection="0"/>
    <xf numFmtId="0" fontId="3" fillId="23" borderId="181" applyNumberFormat="0" applyFont="0" applyAlignment="0" applyProtection="0"/>
    <xf numFmtId="0" fontId="24" fillId="20" borderId="180" applyNumberFormat="0" applyAlignment="0" applyProtection="0"/>
    <xf numFmtId="0" fontId="3" fillId="23" borderId="181" applyNumberFormat="0" applyFont="0" applyAlignment="0" applyProtection="0"/>
    <xf numFmtId="0" fontId="3" fillId="23" borderId="181" applyNumberFormat="0" applyFont="0" applyAlignment="0" applyProtection="0"/>
    <xf numFmtId="0" fontId="3" fillId="23" borderId="181" applyNumberFormat="0" applyFont="0" applyAlignment="0" applyProtection="0"/>
    <xf numFmtId="0" fontId="34" fillId="20" borderId="182" applyNumberFormat="0" applyAlignment="0" applyProtection="0"/>
    <xf numFmtId="0" fontId="3" fillId="23" borderId="181" applyNumberFormat="0" applyFont="0" applyAlignment="0" applyProtection="0"/>
    <xf numFmtId="0" fontId="3" fillId="23" borderId="181" applyNumberFormat="0" applyFont="0" applyAlignment="0" applyProtection="0"/>
    <xf numFmtId="0" fontId="24" fillId="20" borderId="180" applyNumberFormat="0" applyAlignment="0" applyProtection="0"/>
    <xf numFmtId="0" fontId="34" fillId="20" borderId="182" applyNumberFormat="0" applyAlignment="0" applyProtection="0"/>
    <xf numFmtId="0" fontId="3" fillId="23" borderId="181" applyNumberFormat="0" applyFont="0" applyAlignment="0" applyProtection="0"/>
    <xf numFmtId="0" fontId="3" fillId="23" borderId="181" applyNumberFormat="0" applyFont="0" applyAlignment="0" applyProtection="0"/>
    <xf numFmtId="0" fontId="24" fillId="20" borderId="180" applyNumberFormat="0" applyAlignment="0" applyProtection="0"/>
    <xf numFmtId="0" fontId="3" fillId="23" borderId="181" applyNumberFormat="0" applyFont="0" applyAlignment="0" applyProtection="0"/>
    <xf numFmtId="0" fontId="35" fillId="0" borderId="183" applyNumberFormat="0" applyFill="0" applyAlignment="0" applyProtection="0"/>
    <xf numFmtId="0" fontId="34" fillId="20" borderId="182" applyNumberFormat="0" applyAlignment="0" applyProtection="0"/>
    <xf numFmtId="0" fontId="31" fillId="7" borderId="180" applyNumberFormat="0" applyAlignment="0" applyProtection="0"/>
    <xf numFmtId="0" fontId="24" fillId="20" borderId="180" applyNumberFormat="0" applyAlignment="0" applyProtection="0"/>
    <xf numFmtId="0" fontId="34" fillId="20" borderId="182" applyNumberFormat="0" applyAlignment="0" applyProtection="0"/>
    <xf numFmtId="0" fontId="35" fillId="0" borderId="183" applyNumberFormat="0" applyFill="0" applyAlignment="0" applyProtection="0"/>
    <xf numFmtId="0" fontId="35" fillId="0" borderId="183" applyNumberFormat="0" applyFill="0" applyAlignment="0" applyProtection="0"/>
    <xf numFmtId="0" fontId="31" fillId="7" borderId="180" applyNumberFormat="0" applyAlignment="0" applyProtection="0"/>
    <xf numFmtId="0" fontId="31" fillId="7" borderId="180" applyNumberFormat="0" applyAlignment="0" applyProtection="0"/>
    <xf numFmtId="0" fontId="35" fillId="0" borderId="183" applyNumberFormat="0" applyFill="0" applyAlignment="0" applyProtection="0"/>
    <xf numFmtId="0" fontId="24" fillId="20" borderId="180" applyNumberFormat="0" applyAlignment="0" applyProtection="0"/>
    <xf numFmtId="0" fontId="35" fillId="0" borderId="183" applyNumberFormat="0" applyFill="0" applyAlignment="0" applyProtection="0"/>
    <xf numFmtId="0" fontId="34" fillId="20" borderId="182" applyNumberFormat="0" applyAlignment="0" applyProtection="0"/>
    <xf numFmtId="0" fontId="3" fillId="23" borderId="181" applyNumberFormat="0" applyFont="0" applyAlignment="0" applyProtection="0"/>
    <xf numFmtId="0" fontId="31" fillId="7" borderId="180" applyNumberFormat="0" applyAlignment="0" applyProtection="0"/>
    <xf numFmtId="0" fontId="24" fillId="20" borderId="180" applyNumberFormat="0" applyAlignment="0" applyProtection="0"/>
    <xf numFmtId="0" fontId="3" fillId="23" borderId="181" applyNumberFormat="0" applyFont="0" applyAlignment="0" applyProtection="0"/>
    <xf numFmtId="0" fontId="35" fillId="0" borderId="183" applyNumberFormat="0" applyFill="0" applyAlignment="0" applyProtection="0"/>
    <xf numFmtId="0" fontId="34" fillId="20" borderId="182" applyNumberFormat="0" applyAlignment="0" applyProtection="0"/>
    <xf numFmtId="0" fontId="3" fillId="23" borderId="181" applyNumberFormat="0" applyFont="0" applyAlignment="0" applyProtection="0"/>
    <xf numFmtId="0" fontId="31" fillId="7" borderId="180" applyNumberFormat="0" applyAlignment="0" applyProtection="0"/>
    <xf numFmtId="0" fontId="24" fillId="20" borderId="180" applyNumberFormat="0" applyAlignment="0" applyProtection="0"/>
    <xf numFmtId="0" fontId="24" fillId="20" borderId="180" applyNumberFormat="0" applyAlignment="0" applyProtection="0"/>
    <xf numFmtId="0" fontId="31" fillId="7" borderId="180" applyNumberFormat="0" applyAlignment="0" applyProtection="0"/>
    <xf numFmtId="0" fontId="3" fillId="23" borderId="181" applyNumberFormat="0" applyFont="0" applyAlignment="0" applyProtection="0"/>
    <xf numFmtId="0" fontId="34" fillId="20" borderId="182" applyNumberFormat="0" applyAlignment="0" applyProtection="0"/>
    <xf numFmtId="0" fontId="35" fillId="0" borderId="183" applyNumberFormat="0" applyFill="0" applyAlignment="0" applyProtection="0"/>
    <xf numFmtId="0" fontId="3" fillId="23" borderId="181" applyNumberFormat="0" applyFont="0" applyAlignment="0" applyProtection="0"/>
    <xf numFmtId="0" fontId="35" fillId="0" borderId="183" applyNumberFormat="0" applyFill="0" applyAlignment="0" applyProtection="0"/>
    <xf numFmtId="0" fontId="34" fillId="20" borderId="182" applyNumberFormat="0" applyAlignment="0" applyProtection="0"/>
    <xf numFmtId="0" fontId="3" fillId="23" borderId="181" applyNumberFormat="0" applyFont="0" applyAlignment="0" applyProtection="0"/>
    <xf numFmtId="0" fontId="31" fillId="7" borderId="180" applyNumberFormat="0" applyAlignment="0" applyProtection="0"/>
    <xf numFmtId="0" fontId="24" fillId="20" borderId="180" applyNumberFormat="0" applyAlignment="0" applyProtection="0"/>
    <xf numFmtId="0" fontId="3" fillId="23" borderId="181" applyNumberFormat="0" applyFont="0" applyAlignment="0" applyProtection="0"/>
    <xf numFmtId="0" fontId="3" fillId="23" borderId="181" applyNumberFormat="0" applyFont="0" applyAlignment="0" applyProtection="0"/>
    <xf numFmtId="0" fontId="3" fillId="23" borderId="181" applyNumberFormat="0" applyFont="0" applyAlignment="0" applyProtection="0"/>
    <xf numFmtId="0" fontId="31" fillId="7" borderId="180" applyNumberFormat="0" applyAlignment="0" applyProtection="0"/>
    <xf numFmtId="0" fontId="35" fillId="0" borderId="183" applyNumberFormat="0" applyFill="0" applyAlignment="0" applyProtection="0"/>
    <xf numFmtId="0" fontId="31" fillId="7" borderId="180" applyNumberFormat="0" applyAlignment="0" applyProtection="0"/>
    <xf numFmtId="0" fontId="34" fillId="20" borderId="182" applyNumberFormat="0" applyAlignment="0" applyProtection="0"/>
    <xf numFmtId="0" fontId="3" fillId="23" borderId="181" applyNumberFormat="0" applyFont="0" applyAlignment="0" applyProtection="0"/>
    <xf numFmtId="0" fontId="24" fillId="20" borderId="180" applyNumberFormat="0" applyAlignment="0" applyProtection="0"/>
    <xf numFmtId="0" fontId="3" fillId="23" borderId="181" applyNumberFormat="0" applyFont="0" applyAlignment="0" applyProtection="0"/>
    <xf numFmtId="0" fontId="3" fillId="23" borderId="181" applyNumberFormat="0" applyFont="0" applyAlignment="0" applyProtection="0"/>
    <xf numFmtId="0" fontId="3" fillId="23" borderId="181" applyNumberFormat="0" applyFont="0" applyAlignment="0" applyProtection="0"/>
    <xf numFmtId="0" fontId="34" fillId="20" borderId="182" applyNumberFormat="0" applyAlignment="0" applyProtection="0"/>
    <xf numFmtId="0" fontId="3" fillId="23" borderId="181" applyNumberFormat="0" applyFont="0" applyAlignment="0" applyProtection="0"/>
    <xf numFmtId="0" fontId="3" fillId="23" borderId="181" applyNumberFormat="0" applyFont="0" applyAlignment="0" applyProtection="0"/>
    <xf numFmtId="0" fontId="24" fillId="20" borderId="180" applyNumberFormat="0" applyAlignment="0" applyProtection="0"/>
    <xf numFmtId="0" fontId="34" fillId="20" borderId="182" applyNumberFormat="0" applyAlignment="0" applyProtection="0"/>
    <xf numFmtId="0" fontId="3" fillId="23" borderId="181" applyNumberFormat="0" applyFont="0" applyAlignment="0" applyProtection="0"/>
    <xf numFmtId="0" fontId="3" fillId="23" borderId="181" applyNumberFormat="0" applyFont="0" applyAlignment="0" applyProtection="0"/>
    <xf numFmtId="0" fontId="24" fillId="20" borderId="180" applyNumberFormat="0" applyAlignment="0" applyProtection="0"/>
    <xf numFmtId="0" fontId="3" fillId="23" borderId="181" applyNumberFormat="0" applyFont="0" applyAlignment="0" applyProtection="0"/>
    <xf numFmtId="0" fontId="35" fillId="0" borderId="183" applyNumberFormat="0" applyFill="0" applyAlignment="0" applyProtection="0"/>
    <xf numFmtId="0" fontId="34" fillId="20" borderId="182" applyNumberFormat="0" applyAlignment="0" applyProtection="0"/>
    <xf numFmtId="0" fontId="31" fillId="7" borderId="180" applyNumberFormat="0" applyAlignment="0" applyProtection="0"/>
    <xf numFmtId="0" fontId="24" fillId="20" borderId="180" applyNumberFormat="0" applyAlignment="0" applyProtection="0"/>
    <xf numFmtId="0" fontId="34" fillId="20" borderId="182" applyNumberFormat="0" applyAlignment="0" applyProtection="0"/>
    <xf numFmtId="0" fontId="35" fillId="0" borderId="183" applyNumberFormat="0" applyFill="0" applyAlignment="0" applyProtection="0"/>
    <xf numFmtId="0" fontId="35" fillId="0" borderId="183" applyNumberFormat="0" applyFill="0" applyAlignment="0" applyProtection="0"/>
    <xf numFmtId="0" fontId="31" fillId="7" borderId="180" applyNumberFormat="0" applyAlignment="0" applyProtection="0"/>
    <xf numFmtId="0" fontId="31" fillId="7" borderId="180" applyNumberFormat="0" applyAlignment="0" applyProtection="0"/>
    <xf numFmtId="0" fontId="35" fillId="0" borderId="183" applyNumberFormat="0" applyFill="0" applyAlignment="0" applyProtection="0"/>
    <xf numFmtId="0" fontId="24" fillId="20" borderId="180" applyNumberFormat="0" applyAlignment="0" applyProtection="0"/>
    <xf numFmtId="0" fontId="35" fillId="0" borderId="183" applyNumberFormat="0" applyFill="0" applyAlignment="0" applyProtection="0"/>
    <xf numFmtId="0" fontId="34" fillId="20" borderId="182" applyNumberFormat="0" applyAlignment="0" applyProtection="0"/>
    <xf numFmtId="0" fontId="3" fillId="23" borderId="181" applyNumberFormat="0" applyFont="0" applyAlignment="0" applyProtection="0"/>
    <xf numFmtId="0" fontId="31" fillId="7" borderId="180" applyNumberFormat="0" applyAlignment="0" applyProtection="0"/>
    <xf numFmtId="0" fontId="24" fillId="20" borderId="180" applyNumberFormat="0" applyAlignment="0" applyProtection="0"/>
    <xf numFmtId="0" fontId="24" fillId="20" borderId="180" applyNumberFormat="0" applyAlignment="0" applyProtection="0"/>
    <xf numFmtId="0" fontId="31" fillId="7" borderId="180" applyNumberFormat="0" applyAlignment="0" applyProtection="0"/>
    <xf numFmtId="0" fontId="3" fillId="23" borderId="181" applyNumberFormat="0" applyFont="0" applyAlignment="0" applyProtection="0"/>
    <xf numFmtId="0" fontId="34" fillId="20" borderId="182" applyNumberFormat="0" applyAlignment="0" applyProtection="0"/>
    <xf numFmtId="0" fontId="35" fillId="0" borderId="183" applyNumberFormat="0" applyFill="0" applyAlignment="0" applyProtection="0"/>
    <xf numFmtId="0" fontId="3" fillId="23" borderId="181" applyNumberFormat="0" applyFont="0" applyAlignment="0" applyProtection="0"/>
    <xf numFmtId="0" fontId="35" fillId="0" borderId="183" applyNumberFormat="0" applyFill="0" applyAlignment="0" applyProtection="0"/>
    <xf numFmtId="0" fontId="34" fillId="20" borderId="182" applyNumberFormat="0" applyAlignment="0" applyProtection="0"/>
    <xf numFmtId="0" fontId="3" fillId="23" borderId="181" applyNumberFormat="0" applyFont="0" applyAlignment="0" applyProtection="0"/>
    <xf numFmtId="0" fontId="31" fillId="7" borderId="180" applyNumberFormat="0" applyAlignment="0" applyProtection="0"/>
    <xf numFmtId="0" fontId="24" fillId="20" borderId="180" applyNumberFormat="0" applyAlignment="0" applyProtection="0"/>
    <xf numFmtId="0" fontId="3" fillId="23" borderId="181" applyNumberFormat="0" applyFont="0" applyAlignment="0" applyProtection="0"/>
    <xf numFmtId="0" fontId="3" fillId="23" borderId="181" applyNumberFormat="0" applyFont="0" applyAlignment="0" applyProtection="0"/>
    <xf numFmtId="0" fontId="3" fillId="23" borderId="181" applyNumberFormat="0" applyFont="0" applyAlignment="0" applyProtection="0"/>
    <xf numFmtId="0" fontId="31" fillId="7" borderId="180" applyNumberFormat="0" applyAlignment="0" applyProtection="0"/>
    <xf numFmtId="0" fontId="35" fillId="0" borderId="183" applyNumberFormat="0" applyFill="0" applyAlignment="0" applyProtection="0"/>
    <xf numFmtId="0" fontId="31" fillId="7" borderId="180" applyNumberFormat="0" applyAlignment="0" applyProtection="0"/>
    <xf numFmtId="0" fontId="34" fillId="20" borderId="182" applyNumberFormat="0" applyAlignment="0" applyProtection="0"/>
    <xf numFmtId="0" fontId="3" fillId="23" borderId="181" applyNumberFormat="0" applyFont="0" applyAlignment="0" applyProtection="0"/>
    <xf numFmtId="0" fontId="24" fillId="20" borderId="180" applyNumberFormat="0" applyAlignment="0" applyProtection="0"/>
    <xf numFmtId="0" fontId="3" fillId="23" borderId="181" applyNumberFormat="0" applyFont="0" applyAlignment="0" applyProtection="0"/>
    <xf numFmtId="0" fontId="3" fillId="23" borderId="181" applyNumberFormat="0" applyFont="0" applyAlignment="0" applyProtection="0"/>
    <xf numFmtId="0" fontId="3" fillId="23" borderId="181" applyNumberFormat="0" applyFont="0" applyAlignment="0" applyProtection="0"/>
    <xf numFmtId="0" fontId="34" fillId="20" borderId="182" applyNumberFormat="0" applyAlignment="0" applyProtection="0"/>
    <xf numFmtId="0" fontId="3" fillId="23" borderId="181" applyNumberFormat="0" applyFont="0" applyAlignment="0" applyProtection="0"/>
    <xf numFmtId="0" fontId="3" fillId="23" borderId="181" applyNumberFormat="0" applyFont="0" applyAlignment="0" applyProtection="0"/>
    <xf numFmtId="0" fontId="24" fillId="20" borderId="180" applyNumberFormat="0" applyAlignment="0" applyProtection="0"/>
    <xf numFmtId="0" fontId="34" fillId="20" borderId="182" applyNumberFormat="0" applyAlignment="0" applyProtection="0"/>
    <xf numFmtId="0" fontId="3" fillId="23" borderId="181" applyNumberFormat="0" applyFont="0" applyAlignment="0" applyProtection="0"/>
    <xf numFmtId="0" fontId="3" fillId="23" borderId="181" applyNumberFormat="0" applyFont="0" applyAlignment="0" applyProtection="0"/>
    <xf numFmtId="0" fontId="24" fillId="20" borderId="180" applyNumberFormat="0" applyAlignment="0" applyProtection="0"/>
    <xf numFmtId="0" fontId="3" fillId="23" borderId="181" applyNumberFormat="0" applyFont="0" applyAlignment="0" applyProtection="0"/>
    <xf numFmtId="0" fontId="35" fillId="0" borderId="183" applyNumberFormat="0" applyFill="0" applyAlignment="0" applyProtection="0"/>
    <xf numFmtId="0" fontId="34" fillId="20" borderId="182" applyNumberFormat="0" applyAlignment="0" applyProtection="0"/>
    <xf numFmtId="0" fontId="31" fillId="7" borderId="180" applyNumberFormat="0" applyAlignment="0" applyProtection="0"/>
    <xf numFmtId="0" fontId="24" fillId="20" borderId="180" applyNumberFormat="0" applyAlignment="0" applyProtection="0"/>
    <xf numFmtId="0" fontId="34" fillId="20" borderId="182" applyNumberFormat="0" applyAlignment="0" applyProtection="0"/>
    <xf numFmtId="0" fontId="35" fillId="0" borderId="183" applyNumberFormat="0" applyFill="0" applyAlignment="0" applyProtection="0"/>
    <xf numFmtId="0" fontId="35" fillId="0" borderId="183" applyNumberFormat="0" applyFill="0" applyAlignment="0" applyProtection="0"/>
    <xf numFmtId="0" fontId="31" fillId="7" borderId="180" applyNumberFormat="0" applyAlignment="0" applyProtection="0"/>
    <xf numFmtId="0" fontId="31" fillId="7" borderId="180" applyNumberFormat="0" applyAlignment="0" applyProtection="0"/>
    <xf numFmtId="0" fontId="35" fillId="0" borderId="183" applyNumberFormat="0" applyFill="0" applyAlignment="0" applyProtection="0"/>
    <xf numFmtId="0" fontId="24" fillId="20" borderId="180" applyNumberFormat="0" applyAlignment="0" applyProtection="0"/>
    <xf numFmtId="0" fontId="35" fillId="0" borderId="183" applyNumberFormat="0" applyFill="0" applyAlignment="0" applyProtection="0"/>
    <xf numFmtId="0" fontId="34" fillId="20" borderId="182" applyNumberFormat="0" applyAlignment="0" applyProtection="0"/>
    <xf numFmtId="0" fontId="3" fillId="23" borderId="181" applyNumberFormat="0" applyFont="0" applyAlignment="0" applyProtection="0"/>
    <xf numFmtId="0" fontId="31" fillId="7" borderId="180" applyNumberFormat="0" applyAlignment="0" applyProtection="0"/>
    <xf numFmtId="0" fontId="24" fillId="20" borderId="180" applyNumberFormat="0" applyAlignment="0" applyProtection="0"/>
    <xf numFmtId="0" fontId="3" fillId="23" borderId="185" applyNumberFormat="0" applyFont="0" applyAlignment="0" applyProtection="0"/>
    <xf numFmtId="0" fontId="34" fillId="20" borderId="186" applyNumberFormat="0" applyAlignment="0" applyProtection="0"/>
    <xf numFmtId="0" fontId="35" fillId="0" borderId="187" applyNumberFormat="0" applyFill="0" applyAlignment="0" applyProtection="0"/>
    <xf numFmtId="0" fontId="3" fillId="23" borderId="185" applyNumberFormat="0" applyFont="0" applyAlignment="0" applyProtection="0"/>
    <xf numFmtId="0" fontId="35" fillId="0" borderId="187" applyNumberFormat="0" applyFill="0" applyAlignment="0" applyProtection="0"/>
    <xf numFmtId="0" fontId="34" fillId="20" borderId="186" applyNumberFormat="0" applyAlignment="0" applyProtection="0"/>
    <xf numFmtId="0" fontId="3" fillId="23" borderId="185" applyNumberFormat="0" applyFont="0" applyAlignment="0" applyProtection="0"/>
    <xf numFmtId="0" fontId="31" fillId="7" borderId="184" applyNumberFormat="0" applyAlignment="0" applyProtection="0"/>
    <xf numFmtId="0" fontId="24" fillId="20" borderId="184" applyNumberFormat="0" applyAlignment="0" applyProtection="0"/>
    <xf numFmtId="0" fontId="3" fillId="23" borderId="185" applyNumberFormat="0" applyFont="0" applyAlignment="0" applyProtection="0"/>
    <xf numFmtId="0" fontId="3" fillId="23" borderId="185" applyNumberFormat="0" applyFont="0" applyAlignment="0" applyProtection="0"/>
    <xf numFmtId="0" fontId="3" fillId="23" borderId="185" applyNumberFormat="0" applyFont="0" applyAlignment="0" applyProtection="0"/>
    <xf numFmtId="0" fontId="31" fillId="7" borderId="184" applyNumberFormat="0" applyAlignment="0" applyProtection="0"/>
    <xf numFmtId="0" fontId="35" fillId="0" borderId="187" applyNumberFormat="0" applyFill="0" applyAlignment="0" applyProtection="0"/>
    <xf numFmtId="0" fontId="31" fillId="7" borderId="184" applyNumberFormat="0" applyAlignment="0" applyProtection="0"/>
    <xf numFmtId="0" fontId="34" fillId="20" borderId="186" applyNumberFormat="0" applyAlignment="0" applyProtection="0"/>
    <xf numFmtId="0" fontId="3" fillId="23" borderId="185" applyNumberFormat="0" applyFont="0" applyAlignment="0" applyProtection="0"/>
    <xf numFmtId="0" fontId="24" fillId="20" borderId="184" applyNumberFormat="0" applyAlignment="0" applyProtection="0"/>
    <xf numFmtId="0" fontId="3" fillId="23" borderId="185" applyNumberFormat="0" applyFont="0" applyAlignment="0" applyProtection="0"/>
    <xf numFmtId="0" fontId="3" fillId="23" borderId="185" applyNumberFormat="0" applyFont="0" applyAlignment="0" applyProtection="0"/>
    <xf numFmtId="0" fontId="3" fillId="23" borderId="185" applyNumberFormat="0" applyFont="0" applyAlignment="0" applyProtection="0"/>
    <xf numFmtId="0" fontId="34" fillId="20" borderId="186" applyNumberFormat="0" applyAlignment="0" applyProtection="0"/>
    <xf numFmtId="0" fontId="3" fillId="23" borderId="185" applyNumberFormat="0" applyFont="0" applyAlignment="0" applyProtection="0"/>
    <xf numFmtId="0" fontId="3" fillId="23" borderId="185" applyNumberFormat="0" applyFont="0" applyAlignment="0" applyProtection="0"/>
    <xf numFmtId="0" fontId="24" fillId="20" borderId="184" applyNumberFormat="0" applyAlignment="0" applyProtection="0"/>
    <xf numFmtId="0" fontId="34" fillId="20" borderId="186" applyNumberFormat="0" applyAlignment="0" applyProtection="0"/>
    <xf numFmtId="0" fontId="3" fillId="23" borderId="185" applyNumberFormat="0" applyFont="0" applyAlignment="0" applyProtection="0"/>
    <xf numFmtId="0" fontId="3" fillId="23" borderId="185" applyNumberFormat="0" applyFont="0" applyAlignment="0" applyProtection="0"/>
    <xf numFmtId="0" fontId="24" fillId="20" borderId="184" applyNumberFormat="0" applyAlignment="0" applyProtection="0"/>
    <xf numFmtId="0" fontId="3" fillId="23" borderId="185" applyNumberFormat="0" applyFont="0" applyAlignment="0" applyProtection="0"/>
    <xf numFmtId="0" fontId="35" fillId="0" borderId="187" applyNumberFormat="0" applyFill="0" applyAlignment="0" applyProtection="0"/>
    <xf numFmtId="0" fontId="34" fillId="20" borderId="186" applyNumberFormat="0" applyAlignment="0" applyProtection="0"/>
    <xf numFmtId="0" fontId="31" fillId="7" borderId="184" applyNumberFormat="0" applyAlignment="0" applyProtection="0"/>
    <xf numFmtId="0" fontId="24" fillId="20" borderId="184" applyNumberFormat="0" applyAlignment="0" applyProtection="0"/>
    <xf numFmtId="0" fontId="34" fillId="20" borderId="186" applyNumberFormat="0" applyAlignment="0" applyProtection="0"/>
    <xf numFmtId="0" fontId="35" fillId="0" borderId="187" applyNumberFormat="0" applyFill="0" applyAlignment="0" applyProtection="0"/>
    <xf numFmtId="0" fontId="35" fillId="0" borderId="187" applyNumberFormat="0" applyFill="0" applyAlignment="0" applyProtection="0"/>
    <xf numFmtId="0" fontId="31" fillId="7" borderId="184" applyNumberFormat="0" applyAlignment="0" applyProtection="0"/>
    <xf numFmtId="0" fontId="31" fillId="7" borderId="184" applyNumberFormat="0" applyAlignment="0" applyProtection="0"/>
    <xf numFmtId="0" fontId="35" fillId="0" borderId="187" applyNumberFormat="0" applyFill="0" applyAlignment="0" applyProtection="0"/>
    <xf numFmtId="0" fontId="24" fillId="20" borderId="184" applyNumberFormat="0" applyAlignment="0" applyProtection="0"/>
    <xf numFmtId="0" fontId="35" fillId="0" borderId="187" applyNumberFormat="0" applyFill="0" applyAlignment="0" applyProtection="0"/>
    <xf numFmtId="0" fontId="34" fillId="20" borderId="186" applyNumberFormat="0" applyAlignment="0" applyProtection="0"/>
    <xf numFmtId="0" fontId="3" fillId="23" borderId="185" applyNumberFormat="0" applyFont="0" applyAlignment="0" applyProtection="0"/>
    <xf numFmtId="0" fontId="31" fillId="7" borderId="184" applyNumberFormat="0" applyAlignment="0" applyProtection="0"/>
    <xf numFmtId="0" fontId="24" fillId="20" borderId="184" applyNumberFormat="0" applyAlignment="0" applyProtection="0"/>
    <xf numFmtId="0" fontId="24" fillId="20" borderId="184" applyNumberFormat="0" applyAlignment="0" applyProtection="0"/>
    <xf numFmtId="0" fontId="31" fillId="7" borderId="184" applyNumberFormat="0" applyAlignment="0" applyProtection="0"/>
    <xf numFmtId="0" fontId="3" fillId="23" borderId="185" applyNumberFormat="0" applyFont="0" applyAlignment="0" applyProtection="0"/>
    <xf numFmtId="0" fontId="34" fillId="20" borderId="186" applyNumberFormat="0" applyAlignment="0" applyProtection="0"/>
    <xf numFmtId="0" fontId="35" fillId="0" borderId="187" applyNumberFormat="0" applyFill="0" applyAlignment="0" applyProtection="0"/>
    <xf numFmtId="0" fontId="3" fillId="23" borderId="185" applyNumberFormat="0" applyFont="0" applyAlignment="0" applyProtection="0"/>
    <xf numFmtId="0" fontId="35" fillId="0" borderId="187" applyNumberFormat="0" applyFill="0" applyAlignment="0" applyProtection="0"/>
    <xf numFmtId="0" fontId="34" fillId="20" borderId="186" applyNumberFormat="0" applyAlignment="0" applyProtection="0"/>
    <xf numFmtId="0" fontId="3" fillId="23" borderId="185" applyNumberFormat="0" applyFont="0" applyAlignment="0" applyProtection="0"/>
    <xf numFmtId="0" fontId="31" fillId="7" borderId="184" applyNumberFormat="0" applyAlignment="0" applyProtection="0"/>
    <xf numFmtId="0" fontId="24" fillId="20" borderId="184" applyNumberFormat="0" applyAlignment="0" applyProtection="0"/>
    <xf numFmtId="0" fontId="3" fillId="23" borderId="185" applyNumberFormat="0" applyFont="0" applyAlignment="0" applyProtection="0"/>
    <xf numFmtId="0" fontId="3" fillId="23" borderId="185" applyNumberFormat="0" applyFont="0" applyAlignment="0" applyProtection="0"/>
    <xf numFmtId="0" fontId="3" fillId="23" borderId="185" applyNumberFormat="0" applyFont="0" applyAlignment="0" applyProtection="0"/>
    <xf numFmtId="0" fontId="31" fillId="7" borderId="184" applyNumberFormat="0" applyAlignment="0" applyProtection="0"/>
    <xf numFmtId="0" fontId="35" fillId="0" borderId="187" applyNumberFormat="0" applyFill="0" applyAlignment="0" applyProtection="0"/>
    <xf numFmtId="0" fontId="31" fillId="7" borderId="184" applyNumberFormat="0" applyAlignment="0" applyProtection="0"/>
    <xf numFmtId="0" fontId="34" fillId="20" borderId="186" applyNumberFormat="0" applyAlignment="0" applyProtection="0"/>
    <xf numFmtId="0" fontId="3" fillId="23" borderId="185" applyNumberFormat="0" applyFont="0" applyAlignment="0" applyProtection="0"/>
    <xf numFmtId="0" fontId="24" fillId="20" borderId="184" applyNumberFormat="0" applyAlignment="0" applyProtection="0"/>
    <xf numFmtId="0" fontId="3" fillId="23" borderId="185" applyNumberFormat="0" applyFont="0" applyAlignment="0" applyProtection="0"/>
    <xf numFmtId="0" fontId="3" fillId="23" borderId="185" applyNumberFormat="0" applyFont="0" applyAlignment="0" applyProtection="0"/>
    <xf numFmtId="0" fontId="3" fillId="23" borderId="185" applyNumberFormat="0" applyFont="0" applyAlignment="0" applyProtection="0"/>
    <xf numFmtId="0" fontId="34" fillId="20" borderId="186" applyNumberFormat="0" applyAlignment="0" applyProtection="0"/>
    <xf numFmtId="0" fontId="3" fillId="23" borderId="185" applyNumberFormat="0" applyFont="0" applyAlignment="0" applyProtection="0"/>
    <xf numFmtId="0" fontId="3" fillId="23" borderId="185" applyNumberFormat="0" applyFont="0" applyAlignment="0" applyProtection="0"/>
    <xf numFmtId="0" fontId="24" fillId="20" borderId="184" applyNumberFormat="0" applyAlignment="0" applyProtection="0"/>
    <xf numFmtId="0" fontId="34" fillId="20" borderId="186" applyNumberFormat="0" applyAlignment="0" applyProtection="0"/>
    <xf numFmtId="0" fontId="3" fillId="23" borderId="185" applyNumberFormat="0" applyFont="0" applyAlignment="0" applyProtection="0"/>
    <xf numFmtId="0" fontId="3" fillId="23" borderId="185" applyNumberFormat="0" applyFont="0" applyAlignment="0" applyProtection="0"/>
    <xf numFmtId="0" fontId="24" fillId="20" borderId="184" applyNumberFormat="0" applyAlignment="0" applyProtection="0"/>
    <xf numFmtId="0" fontId="3" fillId="23" borderId="185" applyNumberFormat="0" applyFont="0" applyAlignment="0" applyProtection="0"/>
    <xf numFmtId="0" fontId="35" fillId="0" borderId="187" applyNumberFormat="0" applyFill="0" applyAlignment="0" applyProtection="0"/>
    <xf numFmtId="0" fontId="34" fillId="20" borderId="186" applyNumberFormat="0" applyAlignment="0" applyProtection="0"/>
    <xf numFmtId="0" fontId="31" fillId="7" borderId="184" applyNumberFormat="0" applyAlignment="0" applyProtection="0"/>
    <xf numFmtId="0" fontId="24" fillId="20" borderId="184" applyNumberFormat="0" applyAlignment="0" applyProtection="0"/>
    <xf numFmtId="0" fontId="34" fillId="20" borderId="186" applyNumberFormat="0" applyAlignment="0" applyProtection="0"/>
    <xf numFmtId="0" fontId="35" fillId="0" borderId="187" applyNumberFormat="0" applyFill="0" applyAlignment="0" applyProtection="0"/>
    <xf numFmtId="0" fontId="35" fillId="0" borderId="187" applyNumberFormat="0" applyFill="0" applyAlignment="0" applyProtection="0"/>
    <xf numFmtId="0" fontId="31" fillId="7" borderId="184" applyNumberFormat="0" applyAlignment="0" applyProtection="0"/>
    <xf numFmtId="0" fontId="31" fillId="7" borderId="184" applyNumberFormat="0" applyAlignment="0" applyProtection="0"/>
    <xf numFmtId="0" fontId="35" fillId="0" borderId="187" applyNumberFormat="0" applyFill="0" applyAlignment="0" applyProtection="0"/>
    <xf numFmtId="0" fontId="24" fillId="20" borderId="184" applyNumberFormat="0" applyAlignment="0" applyProtection="0"/>
    <xf numFmtId="0" fontId="35" fillId="0" borderId="187" applyNumberFormat="0" applyFill="0" applyAlignment="0" applyProtection="0"/>
    <xf numFmtId="0" fontId="34" fillId="20" borderId="186" applyNumberFormat="0" applyAlignment="0" applyProtection="0"/>
    <xf numFmtId="0" fontId="3" fillId="23" borderId="185" applyNumberFormat="0" applyFont="0" applyAlignment="0" applyProtection="0"/>
    <xf numFmtId="0" fontId="31" fillId="7" borderId="184" applyNumberFormat="0" applyAlignment="0" applyProtection="0"/>
    <xf numFmtId="0" fontId="24" fillId="20" borderId="184" applyNumberFormat="0" applyAlignment="0" applyProtection="0"/>
    <xf numFmtId="0" fontId="3" fillId="23" borderId="185" applyNumberFormat="0" applyFont="0" applyAlignment="0" applyProtection="0"/>
    <xf numFmtId="0" fontId="35" fillId="0" borderId="187" applyNumberFormat="0" applyFill="0" applyAlignment="0" applyProtection="0"/>
    <xf numFmtId="0" fontId="34" fillId="20" borderId="186" applyNumberFormat="0" applyAlignment="0" applyProtection="0"/>
    <xf numFmtId="0" fontId="3" fillId="23" borderId="185" applyNumberFormat="0" applyFont="0" applyAlignment="0" applyProtection="0"/>
    <xf numFmtId="0" fontId="31" fillId="7" borderId="184" applyNumberFormat="0" applyAlignment="0" applyProtection="0"/>
    <xf numFmtId="0" fontId="24" fillId="20" borderId="184" applyNumberFormat="0" applyAlignment="0" applyProtection="0"/>
    <xf numFmtId="0" fontId="24" fillId="20" borderId="184" applyNumberFormat="0" applyAlignment="0" applyProtection="0"/>
    <xf numFmtId="0" fontId="31" fillId="7" borderId="184" applyNumberFormat="0" applyAlignment="0" applyProtection="0"/>
    <xf numFmtId="0" fontId="3" fillId="23" borderId="185" applyNumberFormat="0" applyFont="0" applyAlignment="0" applyProtection="0"/>
    <xf numFmtId="0" fontId="34" fillId="20" borderId="186" applyNumberFormat="0" applyAlignment="0" applyProtection="0"/>
    <xf numFmtId="0" fontId="35" fillId="0" borderId="187" applyNumberFormat="0" applyFill="0" applyAlignment="0" applyProtection="0"/>
    <xf numFmtId="0" fontId="3" fillId="23" borderId="185" applyNumberFormat="0" applyFont="0" applyAlignment="0" applyProtection="0"/>
    <xf numFmtId="0" fontId="35" fillId="0" borderId="187" applyNumberFormat="0" applyFill="0" applyAlignment="0" applyProtection="0"/>
    <xf numFmtId="0" fontId="34" fillId="20" borderId="186" applyNumberFormat="0" applyAlignment="0" applyProtection="0"/>
    <xf numFmtId="0" fontId="3" fillId="23" borderId="185" applyNumberFormat="0" applyFont="0" applyAlignment="0" applyProtection="0"/>
    <xf numFmtId="0" fontId="31" fillId="7" borderId="184" applyNumberFormat="0" applyAlignment="0" applyProtection="0"/>
    <xf numFmtId="0" fontId="24" fillId="20" borderId="184" applyNumberFormat="0" applyAlignment="0" applyProtection="0"/>
    <xf numFmtId="0" fontId="3" fillId="23" borderId="185" applyNumberFormat="0" applyFont="0" applyAlignment="0" applyProtection="0"/>
    <xf numFmtId="0" fontId="3" fillId="23" borderId="185" applyNumberFormat="0" applyFont="0" applyAlignment="0" applyProtection="0"/>
    <xf numFmtId="0" fontId="3" fillId="23" borderId="185" applyNumberFormat="0" applyFont="0" applyAlignment="0" applyProtection="0"/>
    <xf numFmtId="0" fontId="31" fillId="7" borderId="184" applyNumberFormat="0" applyAlignment="0" applyProtection="0"/>
    <xf numFmtId="0" fontId="35" fillId="0" borderId="187" applyNumberFormat="0" applyFill="0" applyAlignment="0" applyProtection="0"/>
    <xf numFmtId="0" fontId="31" fillId="7" borderId="184" applyNumberFormat="0" applyAlignment="0" applyProtection="0"/>
    <xf numFmtId="0" fontId="34" fillId="20" borderId="186" applyNumberFormat="0" applyAlignment="0" applyProtection="0"/>
    <xf numFmtId="0" fontId="3" fillId="23" borderId="185" applyNumberFormat="0" applyFont="0" applyAlignment="0" applyProtection="0"/>
    <xf numFmtId="0" fontId="24" fillId="20" borderId="184" applyNumberFormat="0" applyAlignment="0" applyProtection="0"/>
    <xf numFmtId="0" fontId="3" fillId="23" borderId="185" applyNumberFormat="0" applyFont="0" applyAlignment="0" applyProtection="0"/>
    <xf numFmtId="0" fontId="3" fillId="23" borderId="185" applyNumberFormat="0" applyFont="0" applyAlignment="0" applyProtection="0"/>
    <xf numFmtId="0" fontId="3" fillId="23" borderId="185" applyNumberFormat="0" applyFont="0" applyAlignment="0" applyProtection="0"/>
    <xf numFmtId="0" fontId="34" fillId="20" borderId="186" applyNumberFormat="0" applyAlignment="0" applyProtection="0"/>
    <xf numFmtId="0" fontId="3" fillId="23" borderId="185" applyNumberFormat="0" applyFont="0" applyAlignment="0" applyProtection="0"/>
    <xf numFmtId="0" fontId="3" fillId="23" borderId="185" applyNumberFormat="0" applyFont="0" applyAlignment="0" applyProtection="0"/>
    <xf numFmtId="0" fontId="24" fillId="20" borderId="184" applyNumberFormat="0" applyAlignment="0" applyProtection="0"/>
    <xf numFmtId="0" fontId="34" fillId="20" borderId="186" applyNumberFormat="0" applyAlignment="0" applyProtection="0"/>
    <xf numFmtId="0" fontId="3" fillId="23" borderId="185" applyNumberFormat="0" applyFont="0" applyAlignment="0" applyProtection="0"/>
    <xf numFmtId="0" fontId="3" fillId="23" borderId="185" applyNumberFormat="0" applyFont="0" applyAlignment="0" applyProtection="0"/>
    <xf numFmtId="0" fontId="24" fillId="20" borderId="184" applyNumberFormat="0" applyAlignment="0" applyProtection="0"/>
    <xf numFmtId="0" fontId="3" fillId="23" borderId="185" applyNumberFormat="0" applyFont="0" applyAlignment="0" applyProtection="0"/>
    <xf numFmtId="0" fontId="35" fillId="0" borderId="187" applyNumberFormat="0" applyFill="0" applyAlignment="0" applyProtection="0"/>
    <xf numFmtId="0" fontId="34" fillId="20" borderId="186" applyNumberFormat="0" applyAlignment="0" applyProtection="0"/>
    <xf numFmtId="0" fontId="31" fillId="7" borderId="184" applyNumberFormat="0" applyAlignment="0" applyProtection="0"/>
    <xf numFmtId="0" fontId="24" fillId="20" borderId="184" applyNumberFormat="0" applyAlignment="0" applyProtection="0"/>
    <xf numFmtId="0" fontId="34" fillId="20" borderId="186" applyNumberFormat="0" applyAlignment="0" applyProtection="0"/>
    <xf numFmtId="0" fontId="35" fillId="0" borderId="187" applyNumberFormat="0" applyFill="0" applyAlignment="0" applyProtection="0"/>
    <xf numFmtId="0" fontId="35" fillId="0" borderId="187" applyNumberFormat="0" applyFill="0" applyAlignment="0" applyProtection="0"/>
    <xf numFmtId="0" fontId="31" fillId="7" borderId="184" applyNumberFormat="0" applyAlignment="0" applyProtection="0"/>
    <xf numFmtId="0" fontId="31" fillId="7" borderId="184" applyNumberFormat="0" applyAlignment="0" applyProtection="0"/>
    <xf numFmtId="0" fontId="35" fillId="0" borderId="187" applyNumberFormat="0" applyFill="0" applyAlignment="0" applyProtection="0"/>
    <xf numFmtId="0" fontId="24" fillId="20" borderId="184" applyNumberFormat="0" applyAlignment="0" applyProtection="0"/>
    <xf numFmtId="0" fontId="35" fillId="0" borderId="187" applyNumberFormat="0" applyFill="0" applyAlignment="0" applyProtection="0"/>
    <xf numFmtId="0" fontId="34" fillId="20" borderId="186" applyNumberFormat="0" applyAlignment="0" applyProtection="0"/>
    <xf numFmtId="0" fontId="3" fillId="23" borderId="185" applyNumberFormat="0" applyFont="0" applyAlignment="0" applyProtection="0"/>
    <xf numFmtId="0" fontId="31" fillId="7" borderId="184" applyNumberFormat="0" applyAlignment="0" applyProtection="0"/>
    <xf numFmtId="0" fontId="24" fillId="20" borderId="184" applyNumberFormat="0" applyAlignment="0" applyProtection="0"/>
    <xf numFmtId="0" fontId="3" fillId="23" borderId="185" applyNumberFormat="0" applyFont="0" applyAlignment="0" applyProtection="0"/>
    <xf numFmtId="0" fontId="35" fillId="0" borderId="187" applyNumberFormat="0" applyFill="0" applyAlignment="0" applyProtection="0"/>
    <xf numFmtId="0" fontId="34" fillId="20" borderId="186" applyNumberFormat="0" applyAlignment="0" applyProtection="0"/>
    <xf numFmtId="0" fontId="3" fillId="23" borderId="185" applyNumberFormat="0" applyFont="0" applyAlignment="0" applyProtection="0"/>
    <xf numFmtId="0" fontId="31" fillId="7" borderId="184" applyNumberFormat="0" applyAlignment="0" applyProtection="0"/>
    <xf numFmtId="0" fontId="24" fillId="20" borderId="184" applyNumberFormat="0" applyAlignment="0" applyProtection="0"/>
    <xf numFmtId="0" fontId="24" fillId="20" borderId="184" applyNumberFormat="0" applyAlignment="0" applyProtection="0"/>
    <xf numFmtId="0" fontId="31" fillId="7" borderId="184" applyNumberFormat="0" applyAlignment="0" applyProtection="0"/>
    <xf numFmtId="0" fontId="3" fillId="23" borderId="185" applyNumberFormat="0" applyFont="0" applyAlignment="0" applyProtection="0"/>
    <xf numFmtId="0" fontId="34" fillId="20" borderId="186" applyNumberFormat="0" applyAlignment="0" applyProtection="0"/>
    <xf numFmtId="0" fontId="35" fillId="0" borderId="187" applyNumberFormat="0" applyFill="0" applyAlignment="0" applyProtection="0"/>
    <xf numFmtId="0" fontId="3" fillId="23" borderId="185" applyNumberFormat="0" applyFont="0" applyAlignment="0" applyProtection="0"/>
    <xf numFmtId="0" fontId="35" fillId="0" borderId="187" applyNumberFormat="0" applyFill="0" applyAlignment="0" applyProtection="0"/>
    <xf numFmtId="0" fontId="34" fillId="20" borderId="186" applyNumberFormat="0" applyAlignment="0" applyProtection="0"/>
    <xf numFmtId="0" fontId="3" fillId="23" borderId="185" applyNumberFormat="0" applyFont="0" applyAlignment="0" applyProtection="0"/>
    <xf numFmtId="0" fontId="31" fillId="7" borderId="184" applyNumberFormat="0" applyAlignment="0" applyProtection="0"/>
    <xf numFmtId="0" fontId="24" fillId="20" borderId="184" applyNumberFormat="0" applyAlignment="0" applyProtection="0"/>
    <xf numFmtId="0" fontId="3" fillId="23" borderId="185" applyNumberFormat="0" applyFont="0" applyAlignment="0" applyProtection="0"/>
    <xf numFmtId="0" fontId="3" fillId="23" borderId="185" applyNumberFormat="0" applyFont="0" applyAlignment="0" applyProtection="0"/>
    <xf numFmtId="0" fontId="3" fillId="23" borderId="185" applyNumberFormat="0" applyFont="0" applyAlignment="0" applyProtection="0"/>
    <xf numFmtId="0" fontId="31" fillId="7" borderId="184" applyNumberFormat="0" applyAlignment="0" applyProtection="0"/>
    <xf numFmtId="0" fontId="35" fillId="0" borderId="187" applyNumberFormat="0" applyFill="0" applyAlignment="0" applyProtection="0"/>
    <xf numFmtId="0" fontId="31" fillId="7" borderId="184" applyNumberFormat="0" applyAlignment="0" applyProtection="0"/>
    <xf numFmtId="0" fontId="34" fillId="20" borderId="186" applyNumberFormat="0" applyAlignment="0" applyProtection="0"/>
    <xf numFmtId="0" fontId="3" fillId="23" borderId="185" applyNumberFormat="0" applyFont="0" applyAlignment="0" applyProtection="0"/>
    <xf numFmtId="0" fontId="24" fillId="20" borderId="184" applyNumberFormat="0" applyAlignment="0" applyProtection="0"/>
    <xf numFmtId="0" fontId="3" fillId="23" borderId="185" applyNumberFormat="0" applyFont="0" applyAlignment="0" applyProtection="0"/>
    <xf numFmtId="0" fontId="3" fillId="23" borderId="185" applyNumberFormat="0" applyFont="0" applyAlignment="0" applyProtection="0"/>
    <xf numFmtId="0" fontId="3" fillId="23" borderId="185" applyNumberFormat="0" applyFont="0" applyAlignment="0" applyProtection="0"/>
    <xf numFmtId="0" fontId="34" fillId="20" borderId="186" applyNumberFormat="0" applyAlignment="0" applyProtection="0"/>
    <xf numFmtId="0" fontId="3" fillId="23" borderId="185" applyNumberFormat="0" applyFont="0" applyAlignment="0" applyProtection="0"/>
    <xf numFmtId="0" fontId="3" fillId="23" borderId="185" applyNumberFormat="0" applyFont="0" applyAlignment="0" applyProtection="0"/>
    <xf numFmtId="0" fontId="24" fillId="20" borderId="184" applyNumberFormat="0" applyAlignment="0" applyProtection="0"/>
    <xf numFmtId="0" fontId="34" fillId="20" borderId="186" applyNumberFormat="0" applyAlignment="0" applyProtection="0"/>
    <xf numFmtId="0" fontId="3" fillId="23" borderId="185" applyNumberFormat="0" applyFont="0" applyAlignment="0" applyProtection="0"/>
    <xf numFmtId="0" fontId="3" fillId="23" borderId="185" applyNumberFormat="0" applyFont="0" applyAlignment="0" applyProtection="0"/>
    <xf numFmtId="0" fontId="24" fillId="20" borderId="184" applyNumberFormat="0" applyAlignment="0" applyProtection="0"/>
    <xf numFmtId="0" fontId="3" fillId="23" borderId="185" applyNumberFormat="0" applyFont="0" applyAlignment="0" applyProtection="0"/>
    <xf numFmtId="0" fontId="35" fillId="0" borderId="187" applyNumberFormat="0" applyFill="0" applyAlignment="0" applyProtection="0"/>
    <xf numFmtId="0" fontId="34" fillId="20" borderId="186" applyNumberFormat="0" applyAlignment="0" applyProtection="0"/>
    <xf numFmtId="0" fontId="31" fillId="7" borderId="184" applyNumberFormat="0" applyAlignment="0" applyProtection="0"/>
    <xf numFmtId="0" fontId="24" fillId="20" borderId="184" applyNumberFormat="0" applyAlignment="0" applyProtection="0"/>
    <xf numFmtId="0" fontId="34" fillId="20" borderId="186" applyNumberFormat="0" applyAlignment="0" applyProtection="0"/>
    <xf numFmtId="0" fontId="35" fillId="0" borderId="187" applyNumberFormat="0" applyFill="0" applyAlignment="0" applyProtection="0"/>
    <xf numFmtId="0" fontId="35" fillId="0" borderId="187" applyNumberFormat="0" applyFill="0" applyAlignment="0" applyProtection="0"/>
    <xf numFmtId="0" fontId="31" fillId="7" borderId="184" applyNumberFormat="0" applyAlignment="0" applyProtection="0"/>
    <xf numFmtId="0" fontId="31" fillId="7" borderId="184" applyNumberFormat="0" applyAlignment="0" applyProtection="0"/>
    <xf numFmtId="0" fontId="35" fillId="0" borderId="187" applyNumberFormat="0" applyFill="0" applyAlignment="0" applyProtection="0"/>
    <xf numFmtId="0" fontId="24" fillId="20" borderId="184" applyNumberFormat="0" applyAlignment="0" applyProtection="0"/>
    <xf numFmtId="0" fontId="35" fillId="0" borderId="187" applyNumberFormat="0" applyFill="0" applyAlignment="0" applyProtection="0"/>
    <xf numFmtId="0" fontId="34" fillId="20" borderId="186" applyNumberFormat="0" applyAlignment="0" applyProtection="0"/>
    <xf numFmtId="0" fontId="3" fillId="23" borderId="185" applyNumberFormat="0" applyFont="0" applyAlignment="0" applyProtection="0"/>
    <xf numFmtId="0" fontId="31" fillId="7" borderId="184" applyNumberFormat="0" applyAlignment="0" applyProtection="0"/>
    <xf numFmtId="0" fontId="24" fillId="20" borderId="184" applyNumberFormat="0" applyAlignment="0" applyProtection="0"/>
    <xf numFmtId="0" fontId="24" fillId="20" borderId="184" applyNumberFormat="0" applyAlignment="0" applyProtection="0"/>
    <xf numFmtId="0" fontId="31" fillId="7" borderId="184" applyNumberFormat="0" applyAlignment="0" applyProtection="0"/>
    <xf numFmtId="0" fontId="3" fillId="23" borderId="185" applyNumberFormat="0" applyFont="0" applyAlignment="0" applyProtection="0"/>
    <xf numFmtId="0" fontId="34" fillId="20" borderId="186" applyNumberFormat="0" applyAlignment="0" applyProtection="0"/>
    <xf numFmtId="0" fontId="35" fillId="0" borderId="187" applyNumberFormat="0" applyFill="0" applyAlignment="0" applyProtection="0"/>
    <xf numFmtId="0" fontId="3" fillId="23" borderId="185" applyNumberFormat="0" applyFont="0" applyAlignment="0" applyProtection="0"/>
    <xf numFmtId="0" fontId="35" fillId="0" borderId="187" applyNumberFormat="0" applyFill="0" applyAlignment="0" applyProtection="0"/>
    <xf numFmtId="0" fontId="34" fillId="20" borderId="186" applyNumberFormat="0" applyAlignment="0" applyProtection="0"/>
    <xf numFmtId="0" fontId="3" fillId="23" borderId="185" applyNumberFormat="0" applyFont="0" applyAlignment="0" applyProtection="0"/>
    <xf numFmtId="0" fontId="31" fillId="7" borderId="184" applyNumberFormat="0" applyAlignment="0" applyProtection="0"/>
    <xf numFmtId="0" fontId="24" fillId="20" borderId="184" applyNumberFormat="0" applyAlignment="0" applyProtection="0"/>
    <xf numFmtId="0" fontId="3" fillId="23" borderId="185" applyNumberFormat="0" applyFont="0" applyAlignment="0" applyProtection="0"/>
    <xf numFmtId="0" fontId="3" fillId="23" borderId="185" applyNumberFormat="0" applyFont="0" applyAlignment="0" applyProtection="0"/>
    <xf numFmtId="0" fontId="3" fillId="23" borderId="185" applyNumberFormat="0" applyFont="0" applyAlignment="0" applyProtection="0"/>
    <xf numFmtId="0" fontId="31" fillId="7" borderId="184" applyNumberFormat="0" applyAlignment="0" applyProtection="0"/>
    <xf numFmtId="0" fontId="35" fillId="0" borderId="187" applyNumberFormat="0" applyFill="0" applyAlignment="0" applyProtection="0"/>
    <xf numFmtId="0" fontId="31" fillId="7" borderId="184" applyNumberFormat="0" applyAlignment="0" applyProtection="0"/>
    <xf numFmtId="0" fontId="34" fillId="20" borderId="186" applyNumberFormat="0" applyAlignment="0" applyProtection="0"/>
    <xf numFmtId="0" fontId="3" fillId="23" borderId="185" applyNumberFormat="0" applyFont="0" applyAlignment="0" applyProtection="0"/>
    <xf numFmtId="0" fontId="24" fillId="20" borderId="184" applyNumberFormat="0" applyAlignment="0" applyProtection="0"/>
    <xf numFmtId="0" fontId="3" fillId="23" borderId="185" applyNumberFormat="0" applyFont="0" applyAlignment="0" applyProtection="0"/>
    <xf numFmtId="0" fontId="3" fillId="23" borderId="185" applyNumberFormat="0" applyFont="0" applyAlignment="0" applyProtection="0"/>
    <xf numFmtId="0" fontId="3" fillId="23" borderId="185" applyNumberFormat="0" applyFont="0" applyAlignment="0" applyProtection="0"/>
    <xf numFmtId="0" fontId="34" fillId="20" borderId="186" applyNumberFormat="0" applyAlignment="0" applyProtection="0"/>
    <xf numFmtId="0" fontId="3" fillId="23" borderId="185" applyNumberFormat="0" applyFont="0" applyAlignment="0" applyProtection="0"/>
    <xf numFmtId="0" fontId="3" fillId="23" borderId="185" applyNumberFormat="0" applyFont="0" applyAlignment="0" applyProtection="0"/>
    <xf numFmtId="0" fontId="24" fillId="20" borderId="184" applyNumberFormat="0" applyAlignment="0" applyProtection="0"/>
    <xf numFmtId="0" fontId="34" fillId="20" borderId="186" applyNumberFormat="0" applyAlignment="0" applyProtection="0"/>
    <xf numFmtId="0" fontId="3" fillId="23" borderId="185" applyNumberFormat="0" applyFont="0" applyAlignment="0" applyProtection="0"/>
    <xf numFmtId="0" fontId="3" fillId="23" borderId="185" applyNumberFormat="0" applyFont="0" applyAlignment="0" applyProtection="0"/>
    <xf numFmtId="0" fontId="24" fillId="20" borderId="184" applyNumberFormat="0" applyAlignment="0" applyProtection="0"/>
    <xf numFmtId="0" fontId="3" fillId="23" borderId="185" applyNumberFormat="0" applyFont="0" applyAlignment="0" applyProtection="0"/>
    <xf numFmtId="0" fontId="35" fillId="0" borderId="187" applyNumberFormat="0" applyFill="0" applyAlignment="0" applyProtection="0"/>
    <xf numFmtId="0" fontId="34" fillId="20" borderId="186" applyNumberFormat="0" applyAlignment="0" applyProtection="0"/>
    <xf numFmtId="0" fontId="31" fillId="7" borderId="184" applyNumberFormat="0" applyAlignment="0" applyProtection="0"/>
    <xf numFmtId="0" fontId="24" fillId="20" borderId="184" applyNumberFormat="0" applyAlignment="0" applyProtection="0"/>
    <xf numFmtId="0" fontId="34" fillId="20" borderId="186" applyNumberFormat="0" applyAlignment="0" applyProtection="0"/>
    <xf numFmtId="0" fontId="35" fillId="0" borderId="187" applyNumberFormat="0" applyFill="0" applyAlignment="0" applyProtection="0"/>
    <xf numFmtId="0" fontId="35" fillId="0" borderId="187" applyNumberFormat="0" applyFill="0" applyAlignment="0" applyProtection="0"/>
    <xf numFmtId="0" fontId="31" fillId="7" borderId="184" applyNumberFormat="0" applyAlignment="0" applyProtection="0"/>
    <xf numFmtId="0" fontId="31" fillId="7" borderId="184" applyNumberFormat="0" applyAlignment="0" applyProtection="0"/>
    <xf numFmtId="0" fontId="35" fillId="0" borderId="187" applyNumberFormat="0" applyFill="0" applyAlignment="0" applyProtection="0"/>
    <xf numFmtId="0" fontId="24" fillId="20" borderId="184" applyNumberFormat="0" applyAlignment="0" applyProtection="0"/>
    <xf numFmtId="0" fontId="35" fillId="0" borderId="187" applyNumberFormat="0" applyFill="0" applyAlignment="0" applyProtection="0"/>
    <xf numFmtId="0" fontId="34" fillId="20" borderId="186" applyNumberFormat="0" applyAlignment="0" applyProtection="0"/>
    <xf numFmtId="0" fontId="3" fillId="23" borderId="185" applyNumberFormat="0" applyFont="0" applyAlignment="0" applyProtection="0"/>
    <xf numFmtId="0" fontId="31" fillId="7" borderId="184" applyNumberFormat="0" applyAlignment="0" applyProtection="0"/>
    <xf numFmtId="0" fontId="24" fillId="20" borderId="184" applyNumberFormat="0" applyAlignment="0" applyProtection="0"/>
    <xf numFmtId="0" fontId="3" fillId="23" borderId="189" applyNumberFormat="0" applyFont="0" applyAlignment="0" applyProtection="0"/>
    <xf numFmtId="0" fontId="34" fillId="20" borderId="190" applyNumberFormat="0" applyAlignment="0" applyProtection="0"/>
    <xf numFmtId="0" fontId="35" fillId="0" borderId="191" applyNumberFormat="0" applyFill="0" applyAlignment="0" applyProtection="0"/>
    <xf numFmtId="0" fontId="3" fillId="23" borderId="189" applyNumberFormat="0" applyFont="0" applyAlignment="0" applyProtection="0"/>
    <xf numFmtId="0" fontId="35" fillId="0" borderId="191" applyNumberFormat="0" applyFill="0" applyAlignment="0" applyProtection="0"/>
    <xf numFmtId="0" fontId="34" fillId="20" borderId="190" applyNumberFormat="0" applyAlignment="0" applyProtection="0"/>
    <xf numFmtId="0" fontId="3" fillId="23" borderId="189" applyNumberFormat="0" applyFont="0" applyAlignment="0" applyProtection="0"/>
    <xf numFmtId="0" fontId="31" fillId="7" borderId="188" applyNumberFormat="0" applyAlignment="0" applyProtection="0"/>
    <xf numFmtId="0" fontId="24" fillId="20" borderId="188" applyNumberFormat="0" applyAlignment="0" applyProtection="0"/>
    <xf numFmtId="0" fontId="3" fillId="23" borderId="189" applyNumberFormat="0" applyFont="0" applyAlignment="0" applyProtection="0"/>
    <xf numFmtId="0" fontId="3" fillId="23" borderId="189" applyNumberFormat="0" applyFont="0" applyAlignment="0" applyProtection="0"/>
    <xf numFmtId="0" fontId="3" fillId="23" borderId="189" applyNumberFormat="0" applyFont="0" applyAlignment="0" applyProtection="0"/>
    <xf numFmtId="0" fontId="31" fillId="7" borderId="188" applyNumberFormat="0" applyAlignment="0" applyProtection="0"/>
    <xf numFmtId="0" fontId="35" fillId="0" borderId="191" applyNumberFormat="0" applyFill="0" applyAlignment="0" applyProtection="0"/>
    <xf numFmtId="0" fontId="31" fillId="7" borderId="188" applyNumberFormat="0" applyAlignment="0" applyProtection="0"/>
    <xf numFmtId="0" fontId="34" fillId="20" borderId="190" applyNumberFormat="0" applyAlignment="0" applyProtection="0"/>
    <xf numFmtId="0" fontId="3" fillId="23" borderId="189" applyNumberFormat="0" applyFont="0" applyAlignment="0" applyProtection="0"/>
    <xf numFmtId="0" fontId="24" fillId="20" borderId="188" applyNumberFormat="0" applyAlignment="0" applyProtection="0"/>
    <xf numFmtId="0" fontId="3" fillId="23" borderId="189" applyNumberFormat="0" applyFont="0" applyAlignment="0" applyProtection="0"/>
    <xf numFmtId="0" fontId="3" fillId="23" borderId="189" applyNumberFormat="0" applyFont="0" applyAlignment="0" applyProtection="0"/>
    <xf numFmtId="0" fontId="3" fillId="23" borderId="189" applyNumberFormat="0" applyFont="0" applyAlignment="0" applyProtection="0"/>
    <xf numFmtId="0" fontId="34" fillId="20" borderId="190" applyNumberFormat="0" applyAlignment="0" applyProtection="0"/>
    <xf numFmtId="0" fontId="3" fillId="23" borderId="189" applyNumberFormat="0" applyFont="0" applyAlignment="0" applyProtection="0"/>
    <xf numFmtId="0" fontId="3" fillId="23" borderId="189" applyNumberFormat="0" applyFont="0" applyAlignment="0" applyProtection="0"/>
    <xf numFmtId="0" fontId="24" fillId="20" borderId="188" applyNumberFormat="0" applyAlignment="0" applyProtection="0"/>
    <xf numFmtId="0" fontId="34" fillId="20" borderId="190" applyNumberFormat="0" applyAlignment="0" applyProtection="0"/>
    <xf numFmtId="0" fontId="3" fillId="23" borderId="189" applyNumberFormat="0" applyFont="0" applyAlignment="0" applyProtection="0"/>
    <xf numFmtId="0" fontId="3" fillId="23" borderId="189" applyNumberFormat="0" applyFont="0" applyAlignment="0" applyProtection="0"/>
    <xf numFmtId="0" fontId="24" fillId="20" borderId="188" applyNumberFormat="0" applyAlignment="0" applyProtection="0"/>
    <xf numFmtId="0" fontId="3" fillId="23" borderId="189" applyNumberFormat="0" applyFont="0" applyAlignment="0" applyProtection="0"/>
    <xf numFmtId="0" fontId="35" fillId="0" borderId="191" applyNumberFormat="0" applyFill="0" applyAlignment="0" applyProtection="0"/>
    <xf numFmtId="0" fontId="34" fillId="20" borderId="190" applyNumberFormat="0" applyAlignment="0" applyProtection="0"/>
    <xf numFmtId="0" fontId="31" fillId="7" borderId="188" applyNumberFormat="0" applyAlignment="0" applyProtection="0"/>
    <xf numFmtId="0" fontId="24" fillId="20" borderId="188" applyNumberFormat="0" applyAlignment="0" applyProtection="0"/>
    <xf numFmtId="0" fontId="34" fillId="20" borderId="190" applyNumberFormat="0" applyAlignment="0" applyProtection="0"/>
    <xf numFmtId="0" fontId="35" fillId="0" borderId="191" applyNumberFormat="0" applyFill="0" applyAlignment="0" applyProtection="0"/>
    <xf numFmtId="0" fontId="35" fillId="0" borderId="191" applyNumberFormat="0" applyFill="0" applyAlignment="0" applyProtection="0"/>
    <xf numFmtId="0" fontId="31" fillId="7" borderId="188" applyNumberFormat="0" applyAlignment="0" applyProtection="0"/>
    <xf numFmtId="0" fontId="31" fillId="7" borderId="188" applyNumberFormat="0" applyAlignment="0" applyProtection="0"/>
    <xf numFmtId="0" fontId="35" fillId="0" borderId="191" applyNumberFormat="0" applyFill="0" applyAlignment="0" applyProtection="0"/>
    <xf numFmtId="0" fontId="24" fillId="20" borderId="188" applyNumberFormat="0" applyAlignment="0" applyProtection="0"/>
    <xf numFmtId="0" fontId="35" fillId="0" borderId="191" applyNumberFormat="0" applyFill="0" applyAlignment="0" applyProtection="0"/>
    <xf numFmtId="0" fontId="34" fillId="20" borderId="190" applyNumberFormat="0" applyAlignment="0" applyProtection="0"/>
    <xf numFmtId="0" fontId="3" fillId="23" borderId="189" applyNumberFormat="0" applyFont="0" applyAlignment="0" applyProtection="0"/>
    <xf numFmtId="0" fontId="31" fillId="7" borderId="188" applyNumberFormat="0" applyAlignment="0" applyProtection="0"/>
    <xf numFmtId="0" fontId="24" fillId="20" borderId="188" applyNumberFormat="0" applyAlignment="0" applyProtection="0"/>
    <xf numFmtId="0" fontId="24" fillId="20" borderId="188" applyNumberFormat="0" applyAlignment="0" applyProtection="0"/>
    <xf numFmtId="0" fontId="31" fillId="7" borderId="188" applyNumberFormat="0" applyAlignment="0" applyProtection="0"/>
    <xf numFmtId="0" fontId="3" fillId="23" borderId="189" applyNumberFormat="0" applyFont="0" applyAlignment="0" applyProtection="0"/>
    <xf numFmtId="0" fontId="34" fillId="20" borderId="190" applyNumberFormat="0" applyAlignment="0" applyProtection="0"/>
    <xf numFmtId="0" fontId="35" fillId="0" borderId="191" applyNumberFormat="0" applyFill="0" applyAlignment="0" applyProtection="0"/>
    <xf numFmtId="0" fontId="3" fillId="23" borderId="189" applyNumberFormat="0" applyFont="0" applyAlignment="0" applyProtection="0"/>
    <xf numFmtId="0" fontId="35" fillId="0" borderId="191" applyNumberFormat="0" applyFill="0" applyAlignment="0" applyProtection="0"/>
    <xf numFmtId="0" fontId="34" fillId="20" borderId="190" applyNumberFormat="0" applyAlignment="0" applyProtection="0"/>
    <xf numFmtId="0" fontId="3" fillId="23" borderId="189" applyNumberFormat="0" applyFont="0" applyAlignment="0" applyProtection="0"/>
    <xf numFmtId="0" fontId="31" fillId="7" borderId="188" applyNumberFormat="0" applyAlignment="0" applyProtection="0"/>
    <xf numFmtId="0" fontId="24" fillId="20" borderId="188" applyNumberFormat="0" applyAlignment="0" applyProtection="0"/>
    <xf numFmtId="0" fontId="3" fillId="23" borderId="189" applyNumberFormat="0" applyFont="0" applyAlignment="0" applyProtection="0"/>
    <xf numFmtId="0" fontId="3" fillId="23" borderId="189" applyNumberFormat="0" applyFont="0" applyAlignment="0" applyProtection="0"/>
    <xf numFmtId="0" fontId="3" fillId="23" borderId="189" applyNumberFormat="0" applyFont="0" applyAlignment="0" applyProtection="0"/>
    <xf numFmtId="0" fontId="31" fillId="7" borderId="188" applyNumberFormat="0" applyAlignment="0" applyProtection="0"/>
    <xf numFmtId="0" fontId="35" fillId="0" borderId="191" applyNumberFormat="0" applyFill="0" applyAlignment="0" applyProtection="0"/>
    <xf numFmtId="0" fontId="31" fillId="7" borderId="188" applyNumberFormat="0" applyAlignment="0" applyProtection="0"/>
    <xf numFmtId="0" fontId="34" fillId="20" borderId="190" applyNumberFormat="0" applyAlignment="0" applyProtection="0"/>
    <xf numFmtId="0" fontId="3" fillId="23" borderId="189" applyNumberFormat="0" applyFont="0" applyAlignment="0" applyProtection="0"/>
    <xf numFmtId="0" fontId="24" fillId="20" borderId="188" applyNumberFormat="0" applyAlignment="0" applyProtection="0"/>
    <xf numFmtId="0" fontId="3" fillId="23" borderId="189" applyNumberFormat="0" applyFont="0" applyAlignment="0" applyProtection="0"/>
    <xf numFmtId="0" fontId="3" fillId="23" borderId="189" applyNumberFormat="0" applyFont="0" applyAlignment="0" applyProtection="0"/>
    <xf numFmtId="0" fontId="3" fillId="23" borderId="189" applyNumberFormat="0" applyFont="0" applyAlignment="0" applyProtection="0"/>
    <xf numFmtId="0" fontId="34" fillId="20" borderId="190" applyNumberFormat="0" applyAlignment="0" applyProtection="0"/>
    <xf numFmtId="0" fontId="3" fillId="23" borderId="189" applyNumberFormat="0" applyFont="0" applyAlignment="0" applyProtection="0"/>
    <xf numFmtId="0" fontId="3" fillId="23" borderId="189" applyNumberFormat="0" applyFont="0" applyAlignment="0" applyProtection="0"/>
    <xf numFmtId="0" fontId="24" fillId="20" borderId="188" applyNumberFormat="0" applyAlignment="0" applyProtection="0"/>
    <xf numFmtId="0" fontId="34" fillId="20" borderId="190" applyNumberFormat="0" applyAlignment="0" applyProtection="0"/>
    <xf numFmtId="0" fontId="3" fillId="23" borderId="189" applyNumberFormat="0" applyFont="0" applyAlignment="0" applyProtection="0"/>
    <xf numFmtId="0" fontId="3" fillId="23" borderId="189" applyNumberFormat="0" applyFont="0" applyAlignment="0" applyProtection="0"/>
    <xf numFmtId="0" fontId="24" fillId="20" borderId="188" applyNumberFormat="0" applyAlignment="0" applyProtection="0"/>
    <xf numFmtId="0" fontId="3" fillId="23" borderId="189" applyNumberFormat="0" applyFont="0" applyAlignment="0" applyProtection="0"/>
    <xf numFmtId="0" fontId="35" fillId="0" borderId="191" applyNumberFormat="0" applyFill="0" applyAlignment="0" applyProtection="0"/>
    <xf numFmtId="0" fontId="34" fillId="20" borderId="190" applyNumberFormat="0" applyAlignment="0" applyProtection="0"/>
    <xf numFmtId="0" fontId="31" fillId="7" borderId="188" applyNumberFormat="0" applyAlignment="0" applyProtection="0"/>
    <xf numFmtId="0" fontId="24" fillId="20" borderId="188" applyNumberFormat="0" applyAlignment="0" applyProtection="0"/>
    <xf numFmtId="0" fontId="34" fillId="20" borderId="190" applyNumberFormat="0" applyAlignment="0" applyProtection="0"/>
    <xf numFmtId="0" fontId="35" fillId="0" borderId="191" applyNumberFormat="0" applyFill="0" applyAlignment="0" applyProtection="0"/>
    <xf numFmtId="0" fontId="35" fillId="0" borderId="191" applyNumberFormat="0" applyFill="0" applyAlignment="0" applyProtection="0"/>
    <xf numFmtId="0" fontId="31" fillId="7" borderId="188" applyNumberFormat="0" applyAlignment="0" applyProtection="0"/>
    <xf numFmtId="0" fontId="31" fillId="7" borderId="188" applyNumberFormat="0" applyAlignment="0" applyProtection="0"/>
    <xf numFmtId="0" fontId="35" fillId="0" borderId="191" applyNumberFormat="0" applyFill="0" applyAlignment="0" applyProtection="0"/>
    <xf numFmtId="0" fontId="24" fillId="20" borderId="188" applyNumberFormat="0" applyAlignment="0" applyProtection="0"/>
    <xf numFmtId="0" fontId="35" fillId="0" borderId="191" applyNumberFormat="0" applyFill="0" applyAlignment="0" applyProtection="0"/>
    <xf numFmtId="0" fontId="34" fillId="20" borderId="190" applyNumberFormat="0" applyAlignment="0" applyProtection="0"/>
    <xf numFmtId="0" fontId="3" fillId="23" borderId="189" applyNumberFormat="0" applyFont="0" applyAlignment="0" applyProtection="0"/>
    <xf numFmtId="0" fontId="31" fillId="7" borderId="188" applyNumberFormat="0" applyAlignment="0" applyProtection="0"/>
    <xf numFmtId="0" fontId="24" fillId="20" borderId="188" applyNumberFormat="0" applyAlignment="0" applyProtection="0"/>
    <xf numFmtId="0" fontId="3" fillId="23" borderId="189" applyNumberFormat="0" applyFont="0" applyAlignment="0" applyProtection="0"/>
    <xf numFmtId="0" fontId="35" fillId="0" borderId="191" applyNumberFormat="0" applyFill="0" applyAlignment="0" applyProtection="0"/>
    <xf numFmtId="0" fontId="34" fillId="20" borderId="190" applyNumberFormat="0" applyAlignment="0" applyProtection="0"/>
    <xf numFmtId="0" fontId="3" fillId="23" borderId="189" applyNumberFormat="0" applyFont="0" applyAlignment="0" applyProtection="0"/>
    <xf numFmtId="0" fontId="31" fillId="7" borderId="188" applyNumberFormat="0" applyAlignment="0" applyProtection="0"/>
    <xf numFmtId="0" fontId="24" fillId="20" borderId="188" applyNumberFormat="0" applyAlignment="0" applyProtection="0"/>
    <xf numFmtId="0" fontId="24" fillId="20" borderId="188" applyNumberFormat="0" applyAlignment="0" applyProtection="0"/>
    <xf numFmtId="0" fontId="31" fillId="7" borderId="188" applyNumberFormat="0" applyAlignment="0" applyProtection="0"/>
    <xf numFmtId="0" fontId="3" fillId="23" borderId="189" applyNumberFormat="0" applyFont="0" applyAlignment="0" applyProtection="0"/>
    <xf numFmtId="0" fontId="34" fillId="20" borderId="190" applyNumberFormat="0" applyAlignment="0" applyProtection="0"/>
    <xf numFmtId="0" fontId="35" fillId="0" borderId="191" applyNumberFormat="0" applyFill="0" applyAlignment="0" applyProtection="0"/>
    <xf numFmtId="0" fontId="3" fillId="23" borderId="189" applyNumberFormat="0" applyFont="0" applyAlignment="0" applyProtection="0"/>
    <xf numFmtId="0" fontId="35" fillId="0" borderId="191" applyNumberFormat="0" applyFill="0" applyAlignment="0" applyProtection="0"/>
    <xf numFmtId="0" fontId="34" fillId="20" borderId="190" applyNumberFormat="0" applyAlignment="0" applyProtection="0"/>
    <xf numFmtId="0" fontId="3" fillId="23" borderId="189" applyNumberFormat="0" applyFont="0" applyAlignment="0" applyProtection="0"/>
    <xf numFmtId="0" fontId="31" fillId="7" borderId="188" applyNumberFormat="0" applyAlignment="0" applyProtection="0"/>
    <xf numFmtId="0" fontId="24" fillId="20" borderId="188" applyNumberFormat="0" applyAlignment="0" applyProtection="0"/>
    <xf numFmtId="0" fontId="3" fillId="23" borderId="189" applyNumberFormat="0" applyFont="0" applyAlignment="0" applyProtection="0"/>
    <xf numFmtId="0" fontId="3" fillId="23" borderId="189" applyNumberFormat="0" applyFont="0" applyAlignment="0" applyProtection="0"/>
    <xf numFmtId="0" fontId="3" fillId="23" borderId="189" applyNumberFormat="0" applyFont="0" applyAlignment="0" applyProtection="0"/>
    <xf numFmtId="0" fontId="31" fillId="7" borderId="188" applyNumberFormat="0" applyAlignment="0" applyProtection="0"/>
    <xf numFmtId="0" fontId="35" fillId="0" borderId="191" applyNumberFormat="0" applyFill="0" applyAlignment="0" applyProtection="0"/>
    <xf numFmtId="0" fontId="31" fillId="7" borderId="188" applyNumberFormat="0" applyAlignment="0" applyProtection="0"/>
    <xf numFmtId="0" fontId="34" fillId="20" borderId="190" applyNumberFormat="0" applyAlignment="0" applyProtection="0"/>
    <xf numFmtId="0" fontId="3" fillId="23" borderId="189" applyNumberFormat="0" applyFont="0" applyAlignment="0" applyProtection="0"/>
    <xf numFmtId="0" fontId="24" fillId="20" borderId="188" applyNumberFormat="0" applyAlignment="0" applyProtection="0"/>
    <xf numFmtId="0" fontId="3" fillId="23" borderId="189" applyNumberFormat="0" applyFont="0" applyAlignment="0" applyProtection="0"/>
    <xf numFmtId="0" fontId="3" fillId="23" borderId="189" applyNumberFormat="0" applyFont="0" applyAlignment="0" applyProtection="0"/>
    <xf numFmtId="0" fontId="3" fillId="23" borderId="189" applyNumberFormat="0" applyFont="0" applyAlignment="0" applyProtection="0"/>
    <xf numFmtId="0" fontId="34" fillId="20" borderId="190" applyNumberFormat="0" applyAlignment="0" applyProtection="0"/>
    <xf numFmtId="0" fontId="3" fillId="23" borderId="189" applyNumberFormat="0" applyFont="0" applyAlignment="0" applyProtection="0"/>
    <xf numFmtId="0" fontId="3" fillId="23" borderId="189" applyNumberFormat="0" applyFont="0" applyAlignment="0" applyProtection="0"/>
    <xf numFmtId="0" fontId="24" fillId="20" borderId="188" applyNumberFormat="0" applyAlignment="0" applyProtection="0"/>
    <xf numFmtId="0" fontId="34" fillId="20" borderId="190" applyNumberFormat="0" applyAlignment="0" applyProtection="0"/>
    <xf numFmtId="0" fontId="3" fillId="23" borderId="189" applyNumberFormat="0" applyFont="0" applyAlignment="0" applyProtection="0"/>
    <xf numFmtId="0" fontId="3" fillId="23" borderId="189" applyNumberFormat="0" applyFont="0" applyAlignment="0" applyProtection="0"/>
    <xf numFmtId="0" fontId="24" fillId="20" borderId="188" applyNumberFormat="0" applyAlignment="0" applyProtection="0"/>
    <xf numFmtId="0" fontId="3" fillId="23" borderId="189" applyNumberFormat="0" applyFont="0" applyAlignment="0" applyProtection="0"/>
    <xf numFmtId="0" fontId="35" fillId="0" borderId="191" applyNumberFormat="0" applyFill="0" applyAlignment="0" applyProtection="0"/>
    <xf numFmtId="0" fontId="34" fillId="20" borderId="190" applyNumberFormat="0" applyAlignment="0" applyProtection="0"/>
    <xf numFmtId="0" fontId="31" fillId="7" borderId="188" applyNumberFormat="0" applyAlignment="0" applyProtection="0"/>
    <xf numFmtId="0" fontId="24" fillId="20" borderId="188" applyNumberFormat="0" applyAlignment="0" applyProtection="0"/>
    <xf numFmtId="0" fontId="34" fillId="20" borderId="190" applyNumberFormat="0" applyAlignment="0" applyProtection="0"/>
    <xf numFmtId="0" fontId="35" fillId="0" borderId="191" applyNumberFormat="0" applyFill="0" applyAlignment="0" applyProtection="0"/>
    <xf numFmtId="0" fontId="35" fillId="0" borderId="191" applyNumberFormat="0" applyFill="0" applyAlignment="0" applyProtection="0"/>
    <xf numFmtId="0" fontId="31" fillId="7" borderId="188" applyNumberFormat="0" applyAlignment="0" applyProtection="0"/>
    <xf numFmtId="0" fontId="31" fillId="7" borderId="188" applyNumberFormat="0" applyAlignment="0" applyProtection="0"/>
    <xf numFmtId="0" fontId="35" fillId="0" borderId="191" applyNumberFormat="0" applyFill="0" applyAlignment="0" applyProtection="0"/>
    <xf numFmtId="0" fontId="24" fillId="20" borderId="188" applyNumberFormat="0" applyAlignment="0" applyProtection="0"/>
    <xf numFmtId="0" fontId="35" fillId="0" borderId="191" applyNumberFormat="0" applyFill="0" applyAlignment="0" applyProtection="0"/>
    <xf numFmtId="0" fontId="34" fillId="20" borderId="190" applyNumberFormat="0" applyAlignment="0" applyProtection="0"/>
    <xf numFmtId="0" fontId="3" fillId="23" borderId="189" applyNumberFormat="0" applyFont="0" applyAlignment="0" applyProtection="0"/>
    <xf numFmtId="0" fontId="31" fillId="7" borderId="188" applyNumberFormat="0" applyAlignment="0" applyProtection="0"/>
    <xf numFmtId="0" fontId="24" fillId="20" borderId="188" applyNumberFormat="0" applyAlignment="0" applyProtection="0"/>
    <xf numFmtId="0" fontId="3" fillId="23" borderId="189" applyNumberFormat="0" applyFont="0" applyAlignment="0" applyProtection="0"/>
    <xf numFmtId="0" fontId="35" fillId="0" borderId="191" applyNumberFormat="0" applyFill="0" applyAlignment="0" applyProtection="0"/>
    <xf numFmtId="0" fontId="34" fillId="20" borderId="190" applyNumberFormat="0" applyAlignment="0" applyProtection="0"/>
    <xf numFmtId="0" fontId="3" fillId="23" borderId="189" applyNumberFormat="0" applyFont="0" applyAlignment="0" applyProtection="0"/>
    <xf numFmtId="0" fontId="31" fillId="7" borderId="188" applyNumberFormat="0" applyAlignment="0" applyProtection="0"/>
    <xf numFmtId="0" fontId="24" fillId="20" borderId="188" applyNumberFormat="0" applyAlignment="0" applyProtection="0"/>
    <xf numFmtId="0" fontId="24" fillId="20" borderId="188" applyNumberFormat="0" applyAlignment="0" applyProtection="0"/>
    <xf numFmtId="0" fontId="31" fillId="7" borderId="188" applyNumberFormat="0" applyAlignment="0" applyProtection="0"/>
    <xf numFmtId="0" fontId="3" fillId="23" borderId="189" applyNumberFormat="0" applyFont="0" applyAlignment="0" applyProtection="0"/>
    <xf numFmtId="0" fontId="34" fillId="20" borderId="190" applyNumberFormat="0" applyAlignment="0" applyProtection="0"/>
    <xf numFmtId="0" fontId="35" fillId="0" borderId="191" applyNumberFormat="0" applyFill="0" applyAlignment="0" applyProtection="0"/>
    <xf numFmtId="0" fontId="3" fillId="23" borderId="189" applyNumberFormat="0" applyFont="0" applyAlignment="0" applyProtection="0"/>
    <xf numFmtId="0" fontId="35" fillId="0" borderId="191" applyNumberFormat="0" applyFill="0" applyAlignment="0" applyProtection="0"/>
    <xf numFmtId="0" fontId="34" fillId="20" borderId="190" applyNumberFormat="0" applyAlignment="0" applyProtection="0"/>
    <xf numFmtId="0" fontId="3" fillId="23" borderId="189" applyNumberFormat="0" applyFont="0" applyAlignment="0" applyProtection="0"/>
    <xf numFmtId="0" fontId="31" fillId="7" borderId="188" applyNumberFormat="0" applyAlignment="0" applyProtection="0"/>
    <xf numFmtId="0" fontId="24" fillId="20" borderId="188" applyNumberFormat="0" applyAlignment="0" applyProtection="0"/>
    <xf numFmtId="0" fontId="3" fillId="23" borderId="189" applyNumberFormat="0" applyFont="0" applyAlignment="0" applyProtection="0"/>
    <xf numFmtId="0" fontId="3" fillId="23" borderId="189" applyNumberFormat="0" applyFont="0" applyAlignment="0" applyProtection="0"/>
    <xf numFmtId="0" fontId="3" fillId="23" borderId="189" applyNumberFormat="0" applyFont="0" applyAlignment="0" applyProtection="0"/>
    <xf numFmtId="0" fontId="31" fillId="7" borderId="188" applyNumberFormat="0" applyAlignment="0" applyProtection="0"/>
    <xf numFmtId="0" fontId="35" fillId="0" borderId="191" applyNumberFormat="0" applyFill="0" applyAlignment="0" applyProtection="0"/>
    <xf numFmtId="0" fontId="31" fillId="7" borderId="188" applyNumberFormat="0" applyAlignment="0" applyProtection="0"/>
    <xf numFmtId="0" fontId="34" fillId="20" borderId="190" applyNumberFormat="0" applyAlignment="0" applyProtection="0"/>
    <xf numFmtId="0" fontId="3" fillId="23" borderId="189" applyNumberFormat="0" applyFont="0" applyAlignment="0" applyProtection="0"/>
    <xf numFmtId="0" fontId="24" fillId="20" borderId="188" applyNumberFormat="0" applyAlignment="0" applyProtection="0"/>
    <xf numFmtId="0" fontId="3" fillId="23" borderId="189" applyNumberFormat="0" applyFont="0" applyAlignment="0" applyProtection="0"/>
    <xf numFmtId="0" fontId="3" fillId="23" borderId="189" applyNumberFormat="0" applyFont="0" applyAlignment="0" applyProtection="0"/>
    <xf numFmtId="0" fontId="3" fillId="23" borderId="189" applyNumberFormat="0" applyFont="0" applyAlignment="0" applyProtection="0"/>
    <xf numFmtId="0" fontId="34" fillId="20" borderId="190" applyNumberFormat="0" applyAlignment="0" applyProtection="0"/>
    <xf numFmtId="0" fontId="3" fillId="23" borderId="189" applyNumberFormat="0" applyFont="0" applyAlignment="0" applyProtection="0"/>
    <xf numFmtId="0" fontId="3" fillId="23" borderId="189" applyNumberFormat="0" applyFont="0" applyAlignment="0" applyProtection="0"/>
    <xf numFmtId="0" fontId="24" fillId="20" borderId="188" applyNumberFormat="0" applyAlignment="0" applyProtection="0"/>
    <xf numFmtId="0" fontId="34" fillId="20" borderId="190" applyNumberFormat="0" applyAlignment="0" applyProtection="0"/>
    <xf numFmtId="0" fontId="3" fillId="23" borderId="189" applyNumberFormat="0" applyFont="0" applyAlignment="0" applyProtection="0"/>
    <xf numFmtId="0" fontId="3" fillId="23" borderId="189" applyNumberFormat="0" applyFont="0" applyAlignment="0" applyProtection="0"/>
    <xf numFmtId="0" fontId="24" fillId="20" borderId="188" applyNumberFormat="0" applyAlignment="0" applyProtection="0"/>
    <xf numFmtId="0" fontId="3" fillId="23" borderId="189" applyNumberFormat="0" applyFont="0" applyAlignment="0" applyProtection="0"/>
    <xf numFmtId="0" fontId="35" fillId="0" borderId="191" applyNumberFormat="0" applyFill="0" applyAlignment="0" applyProtection="0"/>
    <xf numFmtId="0" fontId="34" fillId="20" borderId="190" applyNumberFormat="0" applyAlignment="0" applyProtection="0"/>
    <xf numFmtId="0" fontId="31" fillId="7" borderId="188" applyNumberFormat="0" applyAlignment="0" applyProtection="0"/>
    <xf numFmtId="0" fontId="24" fillId="20" borderId="188" applyNumberFormat="0" applyAlignment="0" applyProtection="0"/>
    <xf numFmtId="0" fontId="34" fillId="20" borderId="190" applyNumberFormat="0" applyAlignment="0" applyProtection="0"/>
    <xf numFmtId="0" fontId="35" fillId="0" borderId="191" applyNumberFormat="0" applyFill="0" applyAlignment="0" applyProtection="0"/>
    <xf numFmtId="0" fontId="35" fillId="0" borderId="191" applyNumberFormat="0" applyFill="0" applyAlignment="0" applyProtection="0"/>
    <xf numFmtId="0" fontId="31" fillId="7" borderId="188" applyNumberFormat="0" applyAlignment="0" applyProtection="0"/>
    <xf numFmtId="0" fontId="31" fillId="7" borderId="188" applyNumberFormat="0" applyAlignment="0" applyProtection="0"/>
    <xf numFmtId="0" fontId="35" fillId="0" borderId="191" applyNumberFormat="0" applyFill="0" applyAlignment="0" applyProtection="0"/>
    <xf numFmtId="0" fontId="24" fillId="20" borderId="188" applyNumberFormat="0" applyAlignment="0" applyProtection="0"/>
    <xf numFmtId="0" fontId="35" fillId="0" borderId="191" applyNumberFormat="0" applyFill="0" applyAlignment="0" applyProtection="0"/>
    <xf numFmtId="0" fontId="34" fillId="20" borderId="190" applyNumberFormat="0" applyAlignment="0" applyProtection="0"/>
    <xf numFmtId="0" fontId="3" fillId="23" borderId="189" applyNumberFormat="0" applyFont="0" applyAlignment="0" applyProtection="0"/>
    <xf numFmtId="0" fontId="31" fillId="7" borderId="188" applyNumberFormat="0" applyAlignment="0" applyProtection="0"/>
    <xf numFmtId="0" fontId="24" fillId="20" borderId="188" applyNumberFormat="0" applyAlignment="0" applyProtection="0"/>
    <xf numFmtId="0" fontId="24" fillId="20" borderId="188" applyNumberFormat="0" applyAlignment="0" applyProtection="0"/>
    <xf numFmtId="0" fontId="31" fillId="7" borderId="188" applyNumberFormat="0" applyAlignment="0" applyProtection="0"/>
    <xf numFmtId="0" fontId="3" fillId="23" borderId="189" applyNumberFormat="0" applyFont="0" applyAlignment="0" applyProtection="0"/>
    <xf numFmtId="0" fontId="34" fillId="20" borderId="190" applyNumberFormat="0" applyAlignment="0" applyProtection="0"/>
    <xf numFmtId="0" fontId="35" fillId="0" borderId="191" applyNumberFormat="0" applyFill="0" applyAlignment="0" applyProtection="0"/>
    <xf numFmtId="0" fontId="3" fillId="23" borderId="189" applyNumberFormat="0" applyFont="0" applyAlignment="0" applyProtection="0"/>
    <xf numFmtId="0" fontId="35" fillId="0" borderId="191" applyNumberFormat="0" applyFill="0" applyAlignment="0" applyProtection="0"/>
    <xf numFmtId="0" fontId="34" fillId="20" borderId="190" applyNumberFormat="0" applyAlignment="0" applyProtection="0"/>
    <xf numFmtId="0" fontId="3" fillId="23" borderId="189" applyNumberFormat="0" applyFont="0" applyAlignment="0" applyProtection="0"/>
    <xf numFmtId="0" fontId="31" fillId="7" borderId="188" applyNumberFormat="0" applyAlignment="0" applyProtection="0"/>
    <xf numFmtId="0" fontId="24" fillId="20" borderId="188" applyNumberFormat="0" applyAlignment="0" applyProtection="0"/>
    <xf numFmtId="0" fontId="3" fillId="23" borderId="189" applyNumberFormat="0" applyFont="0" applyAlignment="0" applyProtection="0"/>
    <xf numFmtId="0" fontId="3" fillId="23" borderId="189" applyNumberFormat="0" applyFont="0" applyAlignment="0" applyProtection="0"/>
    <xf numFmtId="0" fontId="3" fillId="23" borderId="189" applyNumberFormat="0" applyFont="0" applyAlignment="0" applyProtection="0"/>
    <xf numFmtId="0" fontId="31" fillId="7" borderId="188" applyNumberFormat="0" applyAlignment="0" applyProtection="0"/>
    <xf numFmtId="0" fontId="35" fillId="0" borderId="191" applyNumberFormat="0" applyFill="0" applyAlignment="0" applyProtection="0"/>
    <xf numFmtId="0" fontId="31" fillId="7" borderId="188" applyNumberFormat="0" applyAlignment="0" applyProtection="0"/>
    <xf numFmtId="0" fontId="34" fillId="20" borderId="190" applyNumberFormat="0" applyAlignment="0" applyProtection="0"/>
    <xf numFmtId="0" fontId="3" fillId="23" borderId="189" applyNumberFormat="0" applyFont="0" applyAlignment="0" applyProtection="0"/>
    <xf numFmtId="0" fontId="24" fillId="20" borderId="188" applyNumberFormat="0" applyAlignment="0" applyProtection="0"/>
    <xf numFmtId="0" fontId="3" fillId="23" borderId="189" applyNumberFormat="0" applyFont="0" applyAlignment="0" applyProtection="0"/>
    <xf numFmtId="0" fontId="3" fillId="23" borderId="189" applyNumberFormat="0" applyFont="0" applyAlignment="0" applyProtection="0"/>
    <xf numFmtId="0" fontId="3" fillId="23" borderId="189" applyNumberFormat="0" applyFont="0" applyAlignment="0" applyProtection="0"/>
    <xf numFmtId="0" fontId="34" fillId="20" borderId="190" applyNumberFormat="0" applyAlignment="0" applyProtection="0"/>
    <xf numFmtId="0" fontId="3" fillId="23" borderId="189" applyNumberFormat="0" applyFont="0" applyAlignment="0" applyProtection="0"/>
    <xf numFmtId="0" fontId="3" fillId="23" borderId="189" applyNumberFormat="0" applyFont="0" applyAlignment="0" applyProtection="0"/>
    <xf numFmtId="0" fontId="24" fillId="20" borderId="188" applyNumberFormat="0" applyAlignment="0" applyProtection="0"/>
    <xf numFmtId="0" fontId="34" fillId="20" borderId="190" applyNumberFormat="0" applyAlignment="0" applyProtection="0"/>
    <xf numFmtId="0" fontId="3" fillId="23" borderId="189" applyNumberFormat="0" applyFont="0" applyAlignment="0" applyProtection="0"/>
    <xf numFmtId="0" fontId="3" fillId="23" borderId="189" applyNumberFormat="0" applyFont="0" applyAlignment="0" applyProtection="0"/>
    <xf numFmtId="0" fontId="24" fillId="20" borderId="188" applyNumberFormat="0" applyAlignment="0" applyProtection="0"/>
    <xf numFmtId="0" fontId="3" fillId="23" borderId="189" applyNumberFormat="0" applyFont="0" applyAlignment="0" applyProtection="0"/>
    <xf numFmtId="0" fontId="35" fillId="0" borderId="191" applyNumberFormat="0" applyFill="0" applyAlignment="0" applyProtection="0"/>
    <xf numFmtId="0" fontId="34" fillId="20" borderId="190" applyNumberFormat="0" applyAlignment="0" applyProtection="0"/>
    <xf numFmtId="0" fontId="31" fillId="7" borderId="188" applyNumberFormat="0" applyAlignment="0" applyProtection="0"/>
    <xf numFmtId="0" fontId="24" fillId="20" borderId="188" applyNumberFormat="0" applyAlignment="0" applyProtection="0"/>
    <xf numFmtId="0" fontId="34" fillId="20" borderId="190" applyNumberFormat="0" applyAlignment="0" applyProtection="0"/>
    <xf numFmtId="0" fontId="35" fillId="0" borderId="191" applyNumberFormat="0" applyFill="0" applyAlignment="0" applyProtection="0"/>
    <xf numFmtId="0" fontId="35" fillId="0" borderId="191" applyNumberFormat="0" applyFill="0" applyAlignment="0" applyProtection="0"/>
    <xf numFmtId="0" fontId="31" fillId="7" borderId="188" applyNumberFormat="0" applyAlignment="0" applyProtection="0"/>
    <xf numFmtId="0" fontId="31" fillId="7" borderId="188" applyNumberFormat="0" applyAlignment="0" applyProtection="0"/>
    <xf numFmtId="0" fontId="35" fillId="0" borderId="191" applyNumberFormat="0" applyFill="0" applyAlignment="0" applyProtection="0"/>
    <xf numFmtId="0" fontId="24" fillId="20" borderId="188" applyNumberFormat="0" applyAlignment="0" applyProtection="0"/>
    <xf numFmtId="0" fontId="35" fillId="0" borderId="191" applyNumberFormat="0" applyFill="0" applyAlignment="0" applyProtection="0"/>
    <xf numFmtId="0" fontId="34" fillId="20" borderId="190" applyNumberFormat="0" applyAlignment="0" applyProtection="0"/>
    <xf numFmtId="0" fontId="3" fillId="23" borderId="189" applyNumberFormat="0" applyFont="0" applyAlignment="0" applyProtection="0"/>
    <xf numFmtId="0" fontId="31" fillId="7" borderId="188" applyNumberFormat="0" applyAlignment="0" applyProtection="0"/>
    <xf numFmtId="0" fontId="24" fillId="20" borderId="188" applyNumberFormat="0" applyAlignment="0" applyProtection="0"/>
    <xf numFmtId="0" fontId="3" fillId="23" borderId="193" applyNumberFormat="0" applyFont="0" applyAlignment="0" applyProtection="0"/>
    <xf numFmtId="0" fontId="34" fillId="20" borderId="194" applyNumberFormat="0" applyAlignment="0" applyProtection="0"/>
    <xf numFmtId="0" fontId="35" fillId="0" borderId="195" applyNumberFormat="0" applyFill="0" applyAlignment="0" applyProtection="0"/>
    <xf numFmtId="0" fontId="3" fillId="23" borderId="193" applyNumberFormat="0" applyFont="0" applyAlignment="0" applyProtection="0"/>
    <xf numFmtId="0" fontId="35" fillId="0" borderId="195" applyNumberFormat="0" applyFill="0" applyAlignment="0" applyProtection="0"/>
    <xf numFmtId="0" fontId="34" fillId="20" borderId="194" applyNumberFormat="0" applyAlignment="0" applyProtection="0"/>
    <xf numFmtId="0" fontId="3" fillId="23" borderId="193" applyNumberFormat="0" applyFont="0" applyAlignment="0" applyProtection="0"/>
    <xf numFmtId="0" fontId="31" fillId="7" borderId="192" applyNumberFormat="0" applyAlignment="0" applyProtection="0"/>
    <xf numFmtId="0" fontId="24" fillId="20" borderId="192" applyNumberFormat="0" applyAlignment="0" applyProtection="0"/>
    <xf numFmtId="0" fontId="3" fillId="23" borderId="193" applyNumberFormat="0" applyFont="0" applyAlignment="0" applyProtection="0"/>
    <xf numFmtId="0" fontId="3" fillId="23" borderId="193" applyNumberFormat="0" applyFont="0" applyAlignment="0" applyProtection="0"/>
    <xf numFmtId="0" fontId="3" fillId="23" borderId="193" applyNumberFormat="0" applyFont="0" applyAlignment="0" applyProtection="0"/>
    <xf numFmtId="0" fontId="31" fillId="7" borderId="192" applyNumberFormat="0" applyAlignment="0" applyProtection="0"/>
    <xf numFmtId="0" fontId="35" fillId="0" borderId="195" applyNumberFormat="0" applyFill="0" applyAlignment="0" applyProtection="0"/>
    <xf numFmtId="0" fontId="31" fillId="7" borderId="192" applyNumberFormat="0" applyAlignment="0" applyProtection="0"/>
    <xf numFmtId="0" fontId="34" fillId="20" borderId="194" applyNumberFormat="0" applyAlignment="0" applyProtection="0"/>
    <xf numFmtId="0" fontId="3" fillId="23" borderId="193" applyNumberFormat="0" applyFont="0" applyAlignment="0" applyProtection="0"/>
    <xf numFmtId="0" fontId="24" fillId="20" borderId="192" applyNumberFormat="0" applyAlignment="0" applyProtection="0"/>
    <xf numFmtId="0" fontId="3" fillId="23" borderId="193" applyNumberFormat="0" applyFont="0" applyAlignment="0" applyProtection="0"/>
    <xf numFmtId="0" fontId="3" fillId="23" borderId="193" applyNumberFormat="0" applyFont="0" applyAlignment="0" applyProtection="0"/>
    <xf numFmtId="0" fontId="3" fillId="23" borderId="193" applyNumberFormat="0" applyFont="0" applyAlignment="0" applyProtection="0"/>
    <xf numFmtId="0" fontId="34" fillId="20" borderId="194" applyNumberFormat="0" applyAlignment="0" applyProtection="0"/>
    <xf numFmtId="0" fontId="3" fillId="23" borderId="193" applyNumberFormat="0" applyFont="0" applyAlignment="0" applyProtection="0"/>
    <xf numFmtId="0" fontId="3" fillId="23" borderId="193" applyNumberFormat="0" applyFont="0" applyAlignment="0" applyProtection="0"/>
    <xf numFmtId="0" fontId="24" fillId="20" borderId="192" applyNumberFormat="0" applyAlignment="0" applyProtection="0"/>
    <xf numFmtId="0" fontId="34" fillId="20" borderId="194" applyNumberFormat="0" applyAlignment="0" applyProtection="0"/>
    <xf numFmtId="0" fontId="3" fillId="23" borderId="193" applyNumberFormat="0" applyFont="0" applyAlignment="0" applyProtection="0"/>
    <xf numFmtId="0" fontId="3" fillId="23" borderId="193" applyNumberFormat="0" applyFont="0" applyAlignment="0" applyProtection="0"/>
    <xf numFmtId="0" fontId="24" fillId="20" borderId="192" applyNumberFormat="0" applyAlignment="0" applyProtection="0"/>
    <xf numFmtId="0" fontId="3" fillId="23" borderId="193" applyNumberFormat="0" applyFont="0" applyAlignment="0" applyProtection="0"/>
    <xf numFmtId="0" fontId="35" fillId="0" borderId="195" applyNumberFormat="0" applyFill="0" applyAlignment="0" applyProtection="0"/>
    <xf numFmtId="0" fontId="34" fillId="20" borderId="194" applyNumberFormat="0" applyAlignment="0" applyProtection="0"/>
    <xf numFmtId="0" fontId="31" fillId="7" borderId="192" applyNumberFormat="0" applyAlignment="0" applyProtection="0"/>
    <xf numFmtId="0" fontId="24" fillId="20" borderId="192" applyNumberFormat="0" applyAlignment="0" applyProtection="0"/>
    <xf numFmtId="0" fontId="34" fillId="20" borderId="194" applyNumberFormat="0" applyAlignment="0" applyProtection="0"/>
    <xf numFmtId="0" fontId="35" fillId="0" borderId="195" applyNumberFormat="0" applyFill="0" applyAlignment="0" applyProtection="0"/>
    <xf numFmtId="0" fontId="35" fillId="0" borderId="195" applyNumberFormat="0" applyFill="0" applyAlignment="0" applyProtection="0"/>
    <xf numFmtId="0" fontId="31" fillId="7" borderId="192" applyNumberFormat="0" applyAlignment="0" applyProtection="0"/>
    <xf numFmtId="0" fontId="31" fillId="7" borderId="192" applyNumberFormat="0" applyAlignment="0" applyProtection="0"/>
    <xf numFmtId="0" fontId="35" fillId="0" borderId="195" applyNumberFormat="0" applyFill="0" applyAlignment="0" applyProtection="0"/>
    <xf numFmtId="0" fontId="24" fillId="20" borderId="192" applyNumberFormat="0" applyAlignment="0" applyProtection="0"/>
    <xf numFmtId="0" fontId="35" fillId="0" borderId="195" applyNumberFormat="0" applyFill="0" applyAlignment="0" applyProtection="0"/>
    <xf numFmtId="0" fontId="34" fillId="20" borderId="194" applyNumberFormat="0" applyAlignment="0" applyProtection="0"/>
    <xf numFmtId="0" fontId="3" fillId="23" borderId="193" applyNumberFormat="0" applyFont="0" applyAlignment="0" applyProtection="0"/>
    <xf numFmtId="0" fontId="31" fillId="7" borderId="192" applyNumberFormat="0" applyAlignment="0" applyProtection="0"/>
    <xf numFmtId="0" fontId="24" fillId="20" borderId="192" applyNumberFormat="0" applyAlignment="0" applyProtection="0"/>
    <xf numFmtId="0" fontId="24" fillId="20" borderId="192" applyNumberFormat="0" applyAlignment="0" applyProtection="0"/>
    <xf numFmtId="0" fontId="31" fillId="7" borderId="192" applyNumberFormat="0" applyAlignment="0" applyProtection="0"/>
    <xf numFmtId="0" fontId="3" fillId="23" borderId="193" applyNumberFormat="0" applyFont="0" applyAlignment="0" applyProtection="0"/>
    <xf numFmtId="0" fontId="34" fillId="20" borderId="194" applyNumberFormat="0" applyAlignment="0" applyProtection="0"/>
    <xf numFmtId="0" fontId="35" fillId="0" borderId="195" applyNumberFormat="0" applyFill="0" applyAlignment="0" applyProtection="0"/>
    <xf numFmtId="0" fontId="3" fillId="23" borderId="193" applyNumberFormat="0" applyFont="0" applyAlignment="0" applyProtection="0"/>
    <xf numFmtId="0" fontId="35" fillId="0" borderId="195" applyNumberFormat="0" applyFill="0" applyAlignment="0" applyProtection="0"/>
    <xf numFmtId="0" fontId="34" fillId="20" borderId="194" applyNumberFormat="0" applyAlignment="0" applyProtection="0"/>
    <xf numFmtId="0" fontId="3" fillId="23" borderId="193" applyNumberFormat="0" applyFont="0" applyAlignment="0" applyProtection="0"/>
    <xf numFmtId="0" fontId="31" fillId="7" borderId="192" applyNumberFormat="0" applyAlignment="0" applyProtection="0"/>
    <xf numFmtId="0" fontId="24" fillId="20" borderId="192" applyNumberFormat="0" applyAlignment="0" applyProtection="0"/>
    <xf numFmtId="0" fontId="3" fillId="23" borderId="193" applyNumberFormat="0" applyFont="0" applyAlignment="0" applyProtection="0"/>
    <xf numFmtId="0" fontId="3" fillId="23" borderId="193" applyNumberFormat="0" applyFont="0" applyAlignment="0" applyProtection="0"/>
    <xf numFmtId="0" fontId="3" fillId="23" borderId="193" applyNumberFormat="0" applyFont="0" applyAlignment="0" applyProtection="0"/>
    <xf numFmtId="0" fontId="31" fillId="7" borderId="192" applyNumberFormat="0" applyAlignment="0" applyProtection="0"/>
    <xf numFmtId="0" fontId="35" fillId="0" borderId="195" applyNumberFormat="0" applyFill="0" applyAlignment="0" applyProtection="0"/>
    <xf numFmtId="0" fontId="31" fillId="7" borderId="192" applyNumberFormat="0" applyAlignment="0" applyProtection="0"/>
    <xf numFmtId="0" fontId="34" fillId="20" borderId="194" applyNumberFormat="0" applyAlignment="0" applyProtection="0"/>
    <xf numFmtId="0" fontId="3" fillId="23" borderId="193" applyNumberFormat="0" applyFont="0" applyAlignment="0" applyProtection="0"/>
    <xf numFmtId="0" fontId="24" fillId="20" borderId="192" applyNumberFormat="0" applyAlignment="0" applyProtection="0"/>
    <xf numFmtId="0" fontId="3" fillId="23" borderId="193" applyNumberFormat="0" applyFont="0" applyAlignment="0" applyProtection="0"/>
    <xf numFmtId="0" fontId="3" fillId="23" borderId="193" applyNumberFormat="0" applyFont="0" applyAlignment="0" applyProtection="0"/>
    <xf numFmtId="0" fontId="3" fillId="23" borderId="193" applyNumberFormat="0" applyFont="0" applyAlignment="0" applyProtection="0"/>
    <xf numFmtId="0" fontId="34" fillId="20" borderId="194" applyNumberFormat="0" applyAlignment="0" applyProtection="0"/>
    <xf numFmtId="0" fontId="3" fillId="23" borderId="193" applyNumberFormat="0" applyFont="0" applyAlignment="0" applyProtection="0"/>
    <xf numFmtId="0" fontId="3" fillId="23" borderId="193" applyNumberFormat="0" applyFont="0" applyAlignment="0" applyProtection="0"/>
    <xf numFmtId="0" fontId="24" fillId="20" borderId="192" applyNumberFormat="0" applyAlignment="0" applyProtection="0"/>
    <xf numFmtId="0" fontId="34" fillId="20" borderId="194" applyNumberFormat="0" applyAlignment="0" applyProtection="0"/>
    <xf numFmtId="0" fontId="3" fillId="23" borderId="193" applyNumberFormat="0" applyFont="0" applyAlignment="0" applyProtection="0"/>
    <xf numFmtId="0" fontId="3" fillId="23" borderId="193" applyNumberFormat="0" applyFont="0" applyAlignment="0" applyProtection="0"/>
    <xf numFmtId="0" fontId="24" fillId="20" borderId="192" applyNumberFormat="0" applyAlignment="0" applyProtection="0"/>
    <xf numFmtId="0" fontId="3" fillId="23" borderId="193" applyNumberFormat="0" applyFont="0" applyAlignment="0" applyProtection="0"/>
    <xf numFmtId="0" fontId="35" fillId="0" borderId="195" applyNumberFormat="0" applyFill="0" applyAlignment="0" applyProtection="0"/>
    <xf numFmtId="0" fontId="34" fillId="20" borderId="194" applyNumberFormat="0" applyAlignment="0" applyProtection="0"/>
    <xf numFmtId="0" fontId="31" fillId="7" borderId="192" applyNumberFormat="0" applyAlignment="0" applyProtection="0"/>
    <xf numFmtId="0" fontId="24" fillId="20" borderId="192" applyNumberFormat="0" applyAlignment="0" applyProtection="0"/>
    <xf numFmtId="0" fontId="34" fillId="20" borderId="194" applyNumberFormat="0" applyAlignment="0" applyProtection="0"/>
    <xf numFmtId="0" fontId="35" fillId="0" borderId="195" applyNumberFormat="0" applyFill="0" applyAlignment="0" applyProtection="0"/>
    <xf numFmtId="0" fontId="35" fillId="0" borderId="195" applyNumberFormat="0" applyFill="0" applyAlignment="0" applyProtection="0"/>
    <xf numFmtId="0" fontId="31" fillId="7" borderId="192" applyNumberFormat="0" applyAlignment="0" applyProtection="0"/>
    <xf numFmtId="0" fontId="31" fillId="7" borderId="192" applyNumberFormat="0" applyAlignment="0" applyProtection="0"/>
    <xf numFmtId="0" fontId="35" fillId="0" borderId="195" applyNumberFormat="0" applyFill="0" applyAlignment="0" applyProtection="0"/>
    <xf numFmtId="0" fontId="24" fillId="20" borderId="192" applyNumberFormat="0" applyAlignment="0" applyProtection="0"/>
    <xf numFmtId="0" fontId="35" fillId="0" borderId="195" applyNumberFormat="0" applyFill="0" applyAlignment="0" applyProtection="0"/>
    <xf numFmtId="0" fontId="34" fillId="20" borderId="194" applyNumberFormat="0" applyAlignment="0" applyProtection="0"/>
    <xf numFmtId="0" fontId="3" fillId="23" borderId="193" applyNumberFormat="0" applyFont="0" applyAlignment="0" applyProtection="0"/>
    <xf numFmtId="0" fontId="31" fillId="7" borderId="192" applyNumberFormat="0" applyAlignment="0" applyProtection="0"/>
    <xf numFmtId="0" fontId="24" fillId="20" borderId="192" applyNumberFormat="0" applyAlignment="0" applyProtection="0"/>
    <xf numFmtId="0" fontId="3" fillId="23" borderId="193" applyNumberFormat="0" applyFont="0" applyAlignment="0" applyProtection="0"/>
    <xf numFmtId="0" fontId="35" fillId="0" borderId="195" applyNumberFormat="0" applyFill="0" applyAlignment="0" applyProtection="0"/>
    <xf numFmtId="0" fontId="34" fillId="20" borderId="194" applyNumberFormat="0" applyAlignment="0" applyProtection="0"/>
    <xf numFmtId="0" fontId="3" fillId="23" borderId="193" applyNumberFormat="0" applyFont="0" applyAlignment="0" applyProtection="0"/>
    <xf numFmtId="0" fontId="31" fillId="7" borderId="192" applyNumberFormat="0" applyAlignment="0" applyProtection="0"/>
    <xf numFmtId="0" fontId="24" fillId="20" borderId="192" applyNumberFormat="0" applyAlignment="0" applyProtection="0"/>
    <xf numFmtId="0" fontId="24" fillId="20" borderId="192" applyNumberFormat="0" applyAlignment="0" applyProtection="0"/>
    <xf numFmtId="0" fontId="31" fillId="7" borderId="192" applyNumberFormat="0" applyAlignment="0" applyProtection="0"/>
    <xf numFmtId="0" fontId="3" fillId="23" borderId="193" applyNumberFormat="0" applyFont="0" applyAlignment="0" applyProtection="0"/>
    <xf numFmtId="0" fontId="34" fillId="20" borderId="194" applyNumberFormat="0" applyAlignment="0" applyProtection="0"/>
    <xf numFmtId="0" fontId="35" fillId="0" borderId="195" applyNumberFormat="0" applyFill="0" applyAlignment="0" applyProtection="0"/>
    <xf numFmtId="0" fontId="3" fillId="23" borderId="193" applyNumberFormat="0" applyFont="0" applyAlignment="0" applyProtection="0"/>
    <xf numFmtId="0" fontId="35" fillId="0" borderId="195" applyNumberFormat="0" applyFill="0" applyAlignment="0" applyProtection="0"/>
    <xf numFmtId="0" fontId="34" fillId="20" borderId="194" applyNumberFormat="0" applyAlignment="0" applyProtection="0"/>
    <xf numFmtId="0" fontId="3" fillId="23" borderId="193" applyNumberFormat="0" applyFont="0" applyAlignment="0" applyProtection="0"/>
    <xf numFmtId="0" fontId="31" fillId="7" borderId="192" applyNumberFormat="0" applyAlignment="0" applyProtection="0"/>
    <xf numFmtId="0" fontId="24" fillId="20" borderId="192" applyNumberFormat="0" applyAlignment="0" applyProtection="0"/>
    <xf numFmtId="0" fontId="3" fillId="23" borderId="193" applyNumberFormat="0" applyFont="0" applyAlignment="0" applyProtection="0"/>
    <xf numFmtId="0" fontId="3" fillId="23" borderId="193" applyNumberFormat="0" applyFont="0" applyAlignment="0" applyProtection="0"/>
    <xf numFmtId="0" fontId="3" fillId="23" borderId="193" applyNumberFormat="0" applyFont="0" applyAlignment="0" applyProtection="0"/>
    <xf numFmtId="0" fontId="31" fillId="7" borderId="192" applyNumberFormat="0" applyAlignment="0" applyProtection="0"/>
    <xf numFmtId="0" fontId="35" fillId="0" borderId="195" applyNumberFormat="0" applyFill="0" applyAlignment="0" applyProtection="0"/>
    <xf numFmtId="0" fontId="31" fillId="7" borderId="192" applyNumberFormat="0" applyAlignment="0" applyProtection="0"/>
    <xf numFmtId="0" fontId="34" fillId="20" borderId="194" applyNumberFormat="0" applyAlignment="0" applyProtection="0"/>
    <xf numFmtId="0" fontId="3" fillId="23" borderId="193" applyNumberFormat="0" applyFont="0" applyAlignment="0" applyProtection="0"/>
    <xf numFmtId="0" fontId="24" fillId="20" borderId="192" applyNumberFormat="0" applyAlignment="0" applyProtection="0"/>
    <xf numFmtId="0" fontId="3" fillId="23" borderId="193" applyNumberFormat="0" applyFont="0" applyAlignment="0" applyProtection="0"/>
    <xf numFmtId="0" fontId="3" fillId="23" borderId="193" applyNumberFormat="0" applyFont="0" applyAlignment="0" applyProtection="0"/>
    <xf numFmtId="0" fontId="3" fillId="23" borderId="193" applyNumberFormat="0" applyFont="0" applyAlignment="0" applyProtection="0"/>
    <xf numFmtId="0" fontId="34" fillId="20" borderId="194" applyNumberFormat="0" applyAlignment="0" applyProtection="0"/>
    <xf numFmtId="0" fontId="3" fillId="23" borderId="193" applyNumberFormat="0" applyFont="0" applyAlignment="0" applyProtection="0"/>
    <xf numFmtId="0" fontId="3" fillId="23" borderId="193" applyNumberFormat="0" applyFont="0" applyAlignment="0" applyProtection="0"/>
    <xf numFmtId="0" fontId="24" fillId="20" borderId="192" applyNumberFormat="0" applyAlignment="0" applyProtection="0"/>
    <xf numFmtId="0" fontId="34" fillId="20" borderId="194" applyNumberFormat="0" applyAlignment="0" applyProtection="0"/>
    <xf numFmtId="0" fontId="3" fillId="23" borderId="193" applyNumberFormat="0" applyFont="0" applyAlignment="0" applyProtection="0"/>
    <xf numFmtId="0" fontId="3" fillId="23" borderId="193" applyNumberFormat="0" applyFont="0" applyAlignment="0" applyProtection="0"/>
    <xf numFmtId="0" fontId="24" fillId="20" borderId="192" applyNumberFormat="0" applyAlignment="0" applyProtection="0"/>
    <xf numFmtId="0" fontId="3" fillId="23" borderId="193" applyNumberFormat="0" applyFont="0" applyAlignment="0" applyProtection="0"/>
    <xf numFmtId="0" fontId="35" fillId="0" borderId="195" applyNumberFormat="0" applyFill="0" applyAlignment="0" applyProtection="0"/>
    <xf numFmtId="0" fontId="34" fillId="20" borderId="194" applyNumberFormat="0" applyAlignment="0" applyProtection="0"/>
    <xf numFmtId="0" fontId="31" fillId="7" borderId="192" applyNumberFormat="0" applyAlignment="0" applyProtection="0"/>
    <xf numFmtId="0" fontId="24" fillId="20" borderId="192" applyNumberFormat="0" applyAlignment="0" applyProtection="0"/>
    <xf numFmtId="0" fontId="34" fillId="20" borderId="194" applyNumberFormat="0" applyAlignment="0" applyProtection="0"/>
    <xf numFmtId="0" fontId="35" fillId="0" borderId="195" applyNumberFormat="0" applyFill="0" applyAlignment="0" applyProtection="0"/>
    <xf numFmtId="0" fontId="35" fillId="0" borderId="195" applyNumberFormat="0" applyFill="0" applyAlignment="0" applyProtection="0"/>
    <xf numFmtId="0" fontId="31" fillId="7" borderId="192" applyNumberFormat="0" applyAlignment="0" applyProtection="0"/>
    <xf numFmtId="0" fontId="31" fillId="7" borderId="192" applyNumberFormat="0" applyAlignment="0" applyProtection="0"/>
    <xf numFmtId="0" fontId="35" fillId="0" borderId="195" applyNumberFormat="0" applyFill="0" applyAlignment="0" applyProtection="0"/>
    <xf numFmtId="0" fontId="24" fillId="20" borderId="192" applyNumberFormat="0" applyAlignment="0" applyProtection="0"/>
    <xf numFmtId="0" fontId="35" fillId="0" borderId="195" applyNumberFormat="0" applyFill="0" applyAlignment="0" applyProtection="0"/>
    <xf numFmtId="0" fontId="34" fillId="20" borderId="194" applyNumberFormat="0" applyAlignment="0" applyProtection="0"/>
    <xf numFmtId="0" fontId="3" fillId="23" borderId="193" applyNumberFormat="0" applyFont="0" applyAlignment="0" applyProtection="0"/>
    <xf numFmtId="0" fontId="31" fillId="7" borderId="192" applyNumberFormat="0" applyAlignment="0" applyProtection="0"/>
    <xf numFmtId="0" fontId="24" fillId="20" borderId="192" applyNumberFormat="0" applyAlignment="0" applyProtection="0"/>
    <xf numFmtId="0" fontId="3" fillId="23" borderId="193" applyNumberFormat="0" applyFont="0" applyAlignment="0" applyProtection="0"/>
    <xf numFmtId="0" fontId="35" fillId="0" borderId="195" applyNumberFormat="0" applyFill="0" applyAlignment="0" applyProtection="0"/>
    <xf numFmtId="0" fontId="34" fillId="20" borderId="194" applyNumberFormat="0" applyAlignment="0" applyProtection="0"/>
    <xf numFmtId="0" fontId="3" fillId="23" borderId="193" applyNumberFormat="0" applyFont="0" applyAlignment="0" applyProtection="0"/>
    <xf numFmtId="0" fontId="31" fillId="7" borderId="192" applyNumberFormat="0" applyAlignment="0" applyProtection="0"/>
    <xf numFmtId="0" fontId="24" fillId="20" borderId="192" applyNumberFormat="0" applyAlignment="0" applyProtection="0"/>
    <xf numFmtId="0" fontId="24" fillId="20" borderId="192" applyNumberFormat="0" applyAlignment="0" applyProtection="0"/>
    <xf numFmtId="0" fontId="31" fillId="7" borderId="192" applyNumberFormat="0" applyAlignment="0" applyProtection="0"/>
    <xf numFmtId="0" fontId="3" fillId="23" borderId="193" applyNumberFormat="0" applyFont="0" applyAlignment="0" applyProtection="0"/>
    <xf numFmtId="0" fontId="34" fillId="20" borderId="194" applyNumberFormat="0" applyAlignment="0" applyProtection="0"/>
    <xf numFmtId="0" fontId="35" fillId="0" borderId="195" applyNumberFormat="0" applyFill="0" applyAlignment="0" applyProtection="0"/>
    <xf numFmtId="0" fontId="3" fillId="23" borderId="193" applyNumberFormat="0" applyFont="0" applyAlignment="0" applyProtection="0"/>
    <xf numFmtId="0" fontId="35" fillId="0" borderId="195" applyNumberFormat="0" applyFill="0" applyAlignment="0" applyProtection="0"/>
    <xf numFmtId="0" fontId="34" fillId="20" borderId="194" applyNumberFormat="0" applyAlignment="0" applyProtection="0"/>
    <xf numFmtId="0" fontId="3" fillId="23" borderId="193" applyNumberFormat="0" applyFont="0" applyAlignment="0" applyProtection="0"/>
    <xf numFmtId="0" fontId="31" fillId="7" borderId="192" applyNumberFormat="0" applyAlignment="0" applyProtection="0"/>
    <xf numFmtId="0" fontId="24" fillId="20" borderId="192" applyNumberFormat="0" applyAlignment="0" applyProtection="0"/>
    <xf numFmtId="0" fontId="3" fillId="23" borderId="193" applyNumberFormat="0" applyFont="0" applyAlignment="0" applyProtection="0"/>
    <xf numFmtId="0" fontId="3" fillId="23" borderId="193" applyNumberFormat="0" applyFont="0" applyAlignment="0" applyProtection="0"/>
    <xf numFmtId="0" fontId="3" fillId="23" borderId="193" applyNumberFormat="0" applyFont="0" applyAlignment="0" applyProtection="0"/>
    <xf numFmtId="0" fontId="31" fillId="7" borderId="192" applyNumberFormat="0" applyAlignment="0" applyProtection="0"/>
    <xf numFmtId="0" fontId="35" fillId="0" borderId="195" applyNumberFormat="0" applyFill="0" applyAlignment="0" applyProtection="0"/>
    <xf numFmtId="0" fontId="31" fillId="7" borderId="192" applyNumberFormat="0" applyAlignment="0" applyProtection="0"/>
    <xf numFmtId="0" fontId="34" fillId="20" borderId="194" applyNumberFormat="0" applyAlignment="0" applyProtection="0"/>
    <xf numFmtId="0" fontId="3" fillId="23" borderId="193" applyNumberFormat="0" applyFont="0" applyAlignment="0" applyProtection="0"/>
    <xf numFmtId="0" fontId="24" fillId="20" borderId="192" applyNumberFormat="0" applyAlignment="0" applyProtection="0"/>
    <xf numFmtId="0" fontId="3" fillId="23" borderId="193" applyNumberFormat="0" applyFont="0" applyAlignment="0" applyProtection="0"/>
    <xf numFmtId="0" fontId="3" fillId="23" borderId="193" applyNumberFormat="0" applyFont="0" applyAlignment="0" applyProtection="0"/>
    <xf numFmtId="0" fontId="3" fillId="23" borderId="193" applyNumberFormat="0" applyFont="0" applyAlignment="0" applyProtection="0"/>
    <xf numFmtId="0" fontId="34" fillId="20" borderId="194" applyNumberFormat="0" applyAlignment="0" applyProtection="0"/>
    <xf numFmtId="0" fontId="3" fillId="23" borderId="193" applyNumberFormat="0" applyFont="0" applyAlignment="0" applyProtection="0"/>
    <xf numFmtId="0" fontId="3" fillId="23" borderId="193" applyNumberFormat="0" applyFont="0" applyAlignment="0" applyProtection="0"/>
    <xf numFmtId="0" fontId="24" fillId="20" borderId="192" applyNumberFormat="0" applyAlignment="0" applyProtection="0"/>
    <xf numFmtId="0" fontId="34" fillId="20" borderId="194" applyNumberFormat="0" applyAlignment="0" applyProtection="0"/>
    <xf numFmtId="0" fontId="3" fillId="23" borderId="193" applyNumberFormat="0" applyFont="0" applyAlignment="0" applyProtection="0"/>
    <xf numFmtId="0" fontId="3" fillId="23" borderId="193" applyNumberFormat="0" applyFont="0" applyAlignment="0" applyProtection="0"/>
    <xf numFmtId="0" fontId="24" fillId="20" borderId="192" applyNumberFormat="0" applyAlignment="0" applyProtection="0"/>
    <xf numFmtId="0" fontId="3" fillId="23" borderId="193" applyNumberFormat="0" applyFont="0" applyAlignment="0" applyProtection="0"/>
    <xf numFmtId="0" fontId="35" fillId="0" borderId="195" applyNumberFormat="0" applyFill="0" applyAlignment="0" applyProtection="0"/>
    <xf numFmtId="0" fontId="34" fillId="20" borderId="194" applyNumberFormat="0" applyAlignment="0" applyProtection="0"/>
    <xf numFmtId="0" fontId="31" fillId="7" borderId="192" applyNumberFormat="0" applyAlignment="0" applyProtection="0"/>
    <xf numFmtId="0" fontId="24" fillId="20" borderId="192" applyNumberFormat="0" applyAlignment="0" applyProtection="0"/>
    <xf numFmtId="0" fontId="34" fillId="20" borderId="194" applyNumberFormat="0" applyAlignment="0" applyProtection="0"/>
    <xf numFmtId="0" fontId="35" fillId="0" borderId="195" applyNumberFormat="0" applyFill="0" applyAlignment="0" applyProtection="0"/>
    <xf numFmtId="0" fontId="35" fillId="0" borderId="195" applyNumberFormat="0" applyFill="0" applyAlignment="0" applyProtection="0"/>
    <xf numFmtId="0" fontId="31" fillId="7" borderId="192" applyNumberFormat="0" applyAlignment="0" applyProtection="0"/>
    <xf numFmtId="0" fontId="31" fillId="7" borderId="192" applyNumberFormat="0" applyAlignment="0" applyProtection="0"/>
    <xf numFmtId="0" fontId="35" fillId="0" borderId="195" applyNumberFormat="0" applyFill="0" applyAlignment="0" applyProtection="0"/>
    <xf numFmtId="0" fontId="24" fillId="20" borderId="192" applyNumberFormat="0" applyAlignment="0" applyProtection="0"/>
    <xf numFmtId="0" fontId="35" fillId="0" borderId="195" applyNumberFormat="0" applyFill="0" applyAlignment="0" applyProtection="0"/>
    <xf numFmtId="0" fontId="34" fillId="20" borderId="194" applyNumberFormat="0" applyAlignment="0" applyProtection="0"/>
    <xf numFmtId="0" fontId="3" fillId="23" borderId="193" applyNumberFormat="0" applyFont="0" applyAlignment="0" applyProtection="0"/>
    <xf numFmtId="0" fontId="31" fillId="7" borderId="192" applyNumberFormat="0" applyAlignment="0" applyProtection="0"/>
    <xf numFmtId="0" fontId="24" fillId="20" borderId="192" applyNumberFormat="0" applyAlignment="0" applyProtection="0"/>
    <xf numFmtId="0" fontId="24" fillId="20" borderId="192" applyNumberFormat="0" applyAlignment="0" applyProtection="0"/>
    <xf numFmtId="0" fontId="31" fillId="7" borderId="192" applyNumberFormat="0" applyAlignment="0" applyProtection="0"/>
    <xf numFmtId="0" fontId="3" fillId="23" borderId="193" applyNumberFormat="0" applyFont="0" applyAlignment="0" applyProtection="0"/>
    <xf numFmtId="0" fontId="34" fillId="20" borderId="194" applyNumberFormat="0" applyAlignment="0" applyProtection="0"/>
    <xf numFmtId="0" fontId="35" fillId="0" borderId="195" applyNumberFormat="0" applyFill="0" applyAlignment="0" applyProtection="0"/>
    <xf numFmtId="0" fontId="3" fillId="23" borderId="193" applyNumberFormat="0" applyFont="0" applyAlignment="0" applyProtection="0"/>
    <xf numFmtId="0" fontId="35" fillId="0" borderId="195" applyNumberFormat="0" applyFill="0" applyAlignment="0" applyProtection="0"/>
    <xf numFmtId="0" fontId="34" fillId="20" borderId="194" applyNumberFormat="0" applyAlignment="0" applyProtection="0"/>
    <xf numFmtId="0" fontId="3" fillId="23" borderId="193" applyNumberFormat="0" applyFont="0" applyAlignment="0" applyProtection="0"/>
    <xf numFmtId="0" fontId="31" fillId="7" borderId="192" applyNumberFormat="0" applyAlignment="0" applyProtection="0"/>
    <xf numFmtId="0" fontId="24" fillId="20" borderId="192" applyNumberFormat="0" applyAlignment="0" applyProtection="0"/>
    <xf numFmtId="0" fontId="3" fillId="23" borderId="193" applyNumberFormat="0" applyFont="0" applyAlignment="0" applyProtection="0"/>
    <xf numFmtId="0" fontId="3" fillId="23" borderId="193" applyNumberFormat="0" applyFont="0" applyAlignment="0" applyProtection="0"/>
    <xf numFmtId="0" fontId="3" fillId="23" borderId="193" applyNumberFormat="0" applyFont="0" applyAlignment="0" applyProtection="0"/>
    <xf numFmtId="0" fontId="31" fillId="7" borderId="192" applyNumberFormat="0" applyAlignment="0" applyProtection="0"/>
    <xf numFmtId="0" fontId="35" fillId="0" borderId="195" applyNumberFormat="0" applyFill="0" applyAlignment="0" applyProtection="0"/>
    <xf numFmtId="0" fontId="31" fillId="7" borderId="192" applyNumberFormat="0" applyAlignment="0" applyProtection="0"/>
    <xf numFmtId="0" fontId="34" fillId="20" borderId="194" applyNumberFormat="0" applyAlignment="0" applyProtection="0"/>
    <xf numFmtId="0" fontId="3" fillId="23" borderId="193" applyNumberFormat="0" applyFont="0" applyAlignment="0" applyProtection="0"/>
    <xf numFmtId="0" fontId="24" fillId="20" borderId="192" applyNumberFormat="0" applyAlignment="0" applyProtection="0"/>
    <xf numFmtId="0" fontId="3" fillId="23" borderId="193" applyNumberFormat="0" applyFont="0" applyAlignment="0" applyProtection="0"/>
    <xf numFmtId="0" fontId="3" fillId="23" borderId="193" applyNumberFormat="0" applyFont="0" applyAlignment="0" applyProtection="0"/>
    <xf numFmtId="0" fontId="3" fillId="23" borderId="193" applyNumberFormat="0" applyFont="0" applyAlignment="0" applyProtection="0"/>
    <xf numFmtId="0" fontId="34" fillId="20" borderId="194" applyNumberFormat="0" applyAlignment="0" applyProtection="0"/>
    <xf numFmtId="0" fontId="3" fillId="23" borderId="193" applyNumberFormat="0" applyFont="0" applyAlignment="0" applyProtection="0"/>
    <xf numFmtId="0" fontId="3" fillId="23" borderId="193" applyNumberFormat="0" applyFont="0" applyAlignment="0" applyProtection="0"/>
    <xf numFmtId="0" fontId="24" fillId="20" borderId="192" applyNumberFormat="0" applyAlignment="0" applyProtection="0"/>
    <xf numFmtId="0" fontId="34" fillId="20" borderId="194" applyNumberFormat="0" applyAlignment="0" applyProtection="0"/>
    <xf numFmtId="0" fontId="3" fillId="23" borderId="193" applyNumberFormat="0" applyFont="0" applyAlignment="0" applyProtection="0"/>
    <xf numFmtId="0" fontId="3" fillId="23" borderId="193" applyNumberFormat="0" applyFont="0" applyAlignment="0" applyProtection="0"/>
    <xf numFmtId="0" fontId="24" fillId="20" borderId="192" applyNumberFormat="0" applyAlignment="0" applyProtection="0"/>
    <xf numFmtId="0" fontId="3" fillId="23" borderId="193" applyNumberFormat="0" applyFont="0" applyAlignment="0" applyProtection="0"/>
    <xf numFmtId="0" fontId="35" fillId="0" borderId="195" applyNumberFormat="0" applyFill="0" applyAlignment="0" applyProtection="0"/>
    <xf numFmtId="0" fontId="34" fillId="20" borderId="194" applyNumberFormat="0" applyAlignment="0" applyProtection="0"/>
    <xf numFmtId="0" fontId="31" fillId="7" borderId="192" applyNumberFormat="0" applyAlignment="0" applyProtection="0"/>
    <xf numFmtId="0" fontId="24" fillId="20" borderId="192" applyNumberFormat="0" applyAlignment="0" applyProtection="0"/>
    <xf numFmtId="0" fontId="34" fillId="20" borderId="194" applyNumberFormat="0" applyAlignment="0" applyProtection="0"/>
    <xf numFmtId="0" fontId="35" fillId="0" borderId="195" applyNumberFormat="0" applyFill="0" applyAlignment="0" applyProtection="0"/>
    <xf numFmtId="0" fontId="35" fillId="0" borderId="195" applyNumberFormat="0" applyFill="0" applyAlignment="0" applyProtection="0"/>
    <xf numFmtId="0" fontId="31" fillId="7" borderId="192" applyNumberFormat="0" applyAlignment="0" applyProtection="0"/>
    <xf numFmtId="0" fontId="31" fillId="7" borderId="192" applyNumberFormat="0" applyAlignment="0" applyProtection="0"/>
    <xf numFmtId="0" fontId="35" fillId="0" borderId="195" applyNumberFormat="0" applyFill="0" applyAlignment="0" applyProtection="0"/>
    <xf numFmtId="0" fontId="24" fillId="20" borderId="192" applyNumberFormat="0" applyAlignment="0" applyProtection="0"/>
    <xf numFmtId="0" fontId="35" fillId="0" borderId="195" applyNumberFormat="0" applyFill="0" applyAlignment="0" applyProtection="0"/>
    <xf numFmtId="0" fontId="34" fillId="20" borderId="194" applyNumberFormat="0" applyAlignment="0" applyProtection="0"/>
    <xf numFmtId="0" fontId="3" fillId="23" borderId="193" applyNumberFormat="0" applyFont="0" applyAlignment="0" applyProtection="0"/>
    <xf numFmtId="0" fontId="31" fillId="7" borderId="192" applyNumberFormat="0" applyAlignment="0" applyProtection="0"/>
    <xf numFmtId="0" fontId="24" fillId="20" borderId="192" applyNumberFormat="0" applyAlignment="0" applyProtection="0"/>
    <xf numFmtId="0" fontId="3" fillId="23" borderId="199" applyNumberFormat="0" applyFont="0" applyAlignment="0" applyProtection="0"/>
    <xf numFmtId="0" fontId="34" fillId="20" borderId="200" applyNumberFormat="0" applyAlignment="0" applyProtection="0"/>
    <xf numFmtId="0" fontId="35" fillId="0" borderId="201" applyNumberFormat="0" applyFill="0" applyAlignment="0" applyProtection="0"/>
    <xf numFmtId="0" fontId="3" fillId="23" borderId="199" applyNumberFormat="0" applyFont="0" applyAlignment="0" applyProtection="0"/>
    <xf numFmtId="0" fontId="35" fillId="0" borderId="201" applyNumberFormat="0" applyFill="0" applyAlignment="0" applyProtection="0"/>
    <xf numFmtId="0" fontId="34" fillId="20" borderId="200" applyNumberFormat="0" applyAlignment="0" applyProtection="0"/>
    <xf numFmtId="0" fontId="3" fillId="23" borderId="199" applyNumberFormat="0" applyFont="0" applyAlignment="0" applyProtection="0"/>
    <xf numFmtId="0" fontId="31" fillId="7" borderId="198" applyNumberFormat="0" applyAlignment="0" applyProtection="0"/>
    <xf numFmtId="0" fontId="24" fillId="20" borderId="198" applyNumberFormat="0" applyAlignment="0" applyProtection="0"/>
    <xf numFmtId="0" fontId="3" fillId="23" borderId="199" applyNumberFormat="0" applyFont="0" applyAlignment="0" applyProtection="0"/>
    <xf numFmtId="0" fontId="3" fillId="23" borderId="199" applyNumberFormat="0" applyFont="0" applyAlignment="0" applyProtection="0"/>
    <xf numFmtId="0" fontId="3" fillId="23" borderId="199" applyNumberFormat="0" applyFont="0" applyAlignment="0" applyProtection="0"/>
    <xf numFmtId="0" fontId="31" fillId="7" borderId="198" applyNumberFormat="0" applyAlignment="0" applyProtection="0"/>
    <xf numFmtId="0" fontId="35" fillId="0" borderId="201" applyNumberFormat="0" applyFill="0" applyAlignment="0" applyProtection="0"/>
    <xf numFmtId="0" fontId="31" fillId="7" borderId="198" applyNumberFormat="0" applyAlignment="0" applyProtection="0"/>
    <xf numFmtId="0" fontId="34" fillId="20" borderId="200" applyNumberFormat="0" applyAlignment="0" applyProtection="0"/>
    <xf numFmtId="0" fontId="3" fillId="23" borderId="199" applyNumberFormat="0" applyFont="0" applyAlignment="0" applyProtection="0"/>
    <xf numFmtId="0" fontId="24" fillId="20" borderId="198" applyNumberFormat="0" applyAlignment="0" applyProtection="0"/>
    <xf numFmtId="0" fontId="3" fillId="23" borderId="199" applyNumberFormat="0" applyFont="0" applyAlignment="0" applyProtection="0"/>
    <xf numFmtId="0" fontId="3" fillId="23" borderId="199" applyNumberFormat="0" applyFont="0" applyAlignment="0" applyProtection="0"/>
    <xf numFmtId="0" fontId="3" fillId="23" borderId="199" applyNumberFormat="0" applyFont="0" applyAlignment="0" applyProtection="0"/>
    <xf numFmtId="0" fontId="34" fillId="20" borderId="200" applyNumberFormat="0" applyAlignment="0" applyProtection="0"/>
    <xf numFmtId="0" fontId="3" fillId="23" borderId="199" applyNumberFormat="0" applyFont="0" applyAlignment="0" applyProtection="0"/>
    <xf numFmtId="0" fontId="3" fillId="23" borderId="199" applyNumberFormat="0" applyFont="0" applyAlignment="0" applyProtection="0"/>
    <xf numFmtId="0" fontId="24" fillId="20" borderId="198" applyNumberFormat="0" applyAlignment="0" applyProtection="0"/>
    <xf numFmtId="0" fontId="34" fillId="20" borderId="200" applyNumberFormat="0" applyAlignment="0" applyProtection="0"/>
    <xf numFmtId="0" fontId="3" fillId="23" borderId="199" applyNumberFormat="0" applyFont="0" applyAlignment="0" applyProtection="0"/>
    <xf numFmtId="0" fontId="3" fillId="23" borderId="199" applyNumberFormat="0" applyFont="0" applyAlignment="0" applyProtection="0"/>
    <xf numFmtId="0" fontId="24" fillId="20" borderId="198" applyNumberFormat="0" applyAlignment="0" applyProtection="0"/>
    <xf numFmtId="0" fontId="3" fillId="23" borderId="199" applyNumberFormat="0" applyFont="0" applyAlignment="0" applyProtection="0"/>
    <xf numFmtId="0" fontId="35" fillId="0" borderId="201" applyNumberFormat="0" applyFill="0" applyAlignment="0" applyProtection="0"/>
    <xf numFmtId="0" fontId="34" fillId="20" borderId="200" applyNumberFormat="0" applyAlignment="0" applyProtection="0"/>
    <xf numFmtId="0" fontId="31" fillId="7" borderId="198" applyNumberFormat="0" applyAlignment="0" applyProtection="0"/>
    <xf numFmtId="0" fontId="24" fillId="20" borderId="198" applyNumberFormat="0" applyAlignment="0" applyProtection="0"/>
    <xf numFmtId="0" fontId="34" fillId="20" borderId="200" applyNumberFormat="0" applyAlignment="0" applyProtection="0"/>
    <xf numFmtId="0" fontId="35" fillId="0" borderId="201" applyNumberFormat="0" applyFill="0" applyAlignment="0" applyProtection="0"/>
    <xf numFmtId="0" fontId="35" fillId="0" borderId="201" applyNumberFormat="0" applyFill="0" applyAlignment="0" applyProtection="0"/>
    <xf numFmtId="0" fontId="31" fillId="7" borderId="198" applyNumberFormat="0" applyAlignment="0" applyProtection="0"/>
    <xf numFmtId="0" fontId="31" fillId="7" borderId="198" applyNumberFormat="0" applyAlignment="0" applyProtection="0"/>
    <xf numFmtId="0" fontId="35" fillId="0" borderId="201" applyNumberFormat="0" applyFill="0" applyAlignment="0" applyProtection="0"/>
    <xf numFmtId="0" fontId="24" fillId="20" borderId="198" applyNumberFormat="0" applyAlignment="0" applyProtection="0"/>
    <xf numFmtId="0" fontId="35" fillId="0" borderId="201" applyNumberFormat="0" applyFill="0" applyAlignment="0" applyProtection="0"/>
    <xf numFmtId="0" fontId="34" fillId="20" borderId="200" applyNumberFormat="0" applyAlignment="0" applyProtection="0"/>
    <xf numFmtId="0" fontId="3" fillId="23" borderId="199" applyNumberFormat="0" applyFont="0" applyAlignment="0" applyProtection="0"/>
    <xf numFmtId="0" fontId="31" fillId="7" borderId="198" applyNumberFormat="0" applyAlignment="0" applyProtection="0"/>
    <xf numFmtId="0" fontId="24" fillId="20" borderId="198" applyNumberFormat="0" applyAlignment="0" applyProtection="0"/>
    <xf numFmtId="0" fontId="24" fillId="20" borderId="198" applyNumberFormat="0" applyAlignment="0" applyProtection="0"/>
    <xf numFmtId="0" fontId="31" fillId="7" borderId="198" applyNumberFormat="0" applyAlignment="0" applyProtection="0"/>
    <xf numFmtId="0" fontId="3" fillId="23" borderId="199" applyNumberFormat="0" applyFont="0" applyAlignment="0" applyProtection="0"/>
    <xf numFmtId="0" fontId="34" fillId="20" borderId="200" applyNumberFormat="0" applyAlignment="0" applyProtection="0"/>
    <xf numFmtId="0" fontId="35" fillId="0" borderId="201" applyNumberFormat="0" applyFill="0" applyAlignment="0" applyProtection="0"/>
    <xf numFmtId="0" fontId="3" fillId="23" borderId="199" applyNumberFormat="0" applyFont="0" applyAlignment="0" applyProtection="0"/>
    <xf numFmtId="0" fontId="35" fillId="0" borderId="201" applyNumberFormat="0" applyFill="0" applyAlignment="0" applyProtection="0"/>
    <xf numFmtId="0" fontId="34" fillId="20" borderId="200" applyNumberFormat="0" applyAlignment="0" applyProtection="0"/>
    <xf numFmtId="0" fontId="3" fillId="23" borderId="199" applyNumberFormat="0" applyFont="0" applyAlignment="0" applyProtection="0"/>
    <xf numFmtId="0" fontId="31" fillId="7" borderId="198" applyNumberFormat="0" applyAlignment="0" applyProtection="0"/>
    <xf numFmtId="0" fontId="24" fillId="20" borderId="198" applyNumberFormat="0" applyAlignment="0" applyProtection="0"/>
    <xf numFmtId="0" fontId="3" fillId="23" borderId="199" applyNumberFormat="0" applyFont="0" applyAlignment="0" applyProtection="0"/>
    <xf numFmtId="0" fontId="3" fillId="23" borderId="199" applyNumberFormat="0" applyFont="0" applyAlignment="0" applyProtection="0"/>
    <xf numFmtId="0" fontId="3" fillId="23" borderId="199" applyNumberFormat="0" applyFont="0" applyAlignment="0" applyProtection="0"/>
    <xf numFmtId="0" fontId="31" fillId="7" borderId="198" applyNumberFormat="0" applyAlignment="0" applyProtection="0"/>
    <xf numFmtId="0" fontId="35" fillId="0" borderId="201" applyNumberFormat="0" applyFill="0" applyAlignment="0" applyProtection="0"/>
    <xf numFmtId="0" fontId="31" fillId="7" borderId="198" applyNumberFormat="0" applyAlignment="0" applyProtection="0"/>
    <xf numFmtId="0" fontId="34" fillId="20" borderId="200" applyNumberFormat="0" applyAlignment="0" applyProtection="0"/>
    <xf numFmtId="0" fontId="3" fillId="23" borderId="199" applyNumberFormat="0" applyFont="0" applyAlignment="0" applyProtection="0"/>
    <xf numFmtId="0" fontId="24" fillId="20" borderId="198" applyNumberFormat="0" applyAlignment="0" applyProtection="0"/>
    <xf numFmtId="0" fontId="3" fillId="23" borderId="199" applyNumberFormat="0" applyFont="0" applyAlignment="0" applyProtection="0"/>
    <xf numFmtId="0" fontId="3" fillId="23" borderId="199" applyNumberFormat="0" applyFont="0" applyAlignment="0" applyProtection="0"/>
    <xf numFmtId="0" fontId="3" fillId="23" borderId="199" applyNumberFormat="0" applyFont="0" applyAlignment="0" applyProtection="0"/>
    <xf numFmtId="0" fontId="34" fillId="20" borderId="200" applyNumberFormat="0" applyAlignment="0" applyProtection="0"/>
    <xf numFmtId="0" fontId="3" fillId="23" borderId="199" applyNumberFormat="0" applyFont="0" applyAlignment="0" applyProtection="0"/>
    <xf numFmtId="0" fontId="3" fillId="23" borderId="199" applyNumberFormat="0" applyFont="0" applyAlignment="0" applyProtection="0"/>
    <xf numFmtId="0" fontId="24" fillId="20" borderId="198" applyNumberFormat="0" applyAlignment="0" applyProtection="0"/>
    <xf numFmtId="0" fontId="34" fillId="20" borderId="200" applyNumberFormat="0" applyAlignment="0" applyProtection="0"/>
    <xf numFmtId="0" fontId="3" fillId="23" borderId="199" applyNumberFormat="0" applyFont="0" applyAlignment="0" applyProtection="0"/>
    <xf numFmtId="0" fontId="3" fillId="23" borderId="199" applyNumberFormat="0" applyFont="0" applyAlignment="0" applyProtection="0"/>
    <xf numFmtId="0" fontId="24" fillId="20" borderId="198" applyNumberFormat="0" applyAlignment="0" applyProtection="0"/>
    <xf numFmtId="0" fontId="3" fillId="23" borderId="199" applyNumberFormat="0" applyFont="0" applyAlignment="0" applyProtection="0"/>
    <xf numFmtId="0" fontId="35" fillId="0" borderId="201" applyNumberFormat="0" applyFill="0" applyAlignment="0" applyProtection="0"/>
    <xf numFmtId="0" fontId="34" fillId="20" borderId="200" applyNumberFormat="0" applyAlignment="0" applyProtection="0"/>
    <xf numFmtId="0" fontId="31" fillId="7" borderId="198" applyNumberFormat="0" applyAlignment="0" applyProtection="0"/>
    <xf numFmtId="0" fontId="24" fillId="20" borderId="198" applyNumberFormat="0" applyAlignment="0" applyProtection="0"/>
    <xf numFmtId="0" fontId="34" fillId="20" borderId="200" applyNumberFormat="0" applyAlignment="0" applyProtection="0"/>
    <xf numFmtId="0" fontId="35" fillId="0" borderId="201" applyNumberFormat="0" applyFill="0" applyAlignment="0" applyProtection="0"/>
    <xf numFmtId="0" fontId="35" fillId="0" borderId="201" applyNumberFormat="0" applyFill="0" applyAlignment="0" applyProtection="0"/>
    <xf numFmtId="0" fontId="31" fillId="7" borderId="198" applyNumberFormat="0" applyAlignment="0" applyProtection="0"/>
    <xf numFmtId="0" fontId="31" fillId="7" borderId="198" applyNumberFormat="0" applyAlignment="0" applyProtection="0"/>
    <xf numFmtId="0" fontId="35" fillId="0" borderId="201" applyNumberFormat="0" applyFill="0" applyAlignment="0" applyProtection="0"/>
    <xf numFmtId="0" fontId="24" fillId="20" borderId="198" applyNumberFormat="0" applyAlignment="0" applyProtection="0"/>
    <xf numFmtId="0" fontId="35" fillId="0" borderId="201" applyNumberFormat="0" applyFill="0" applyAlignment="0" applyProtection="0"/>
    <xf numFmtId="0" fontId="34" fillId="20" borderId="200" applyNumberFormat="0" applyAlignment="0" applyProtection="0"/>
    <xf numFmtId="0" fontId="3" fillId="23" borderId="199" applyNumberFormat="0" applyFont="0" applyAlignment="0" applyProtection="0"/>
    <xf numFmtId="0" fontId="31" fillId="7" borderId="198" applyNumberFormat="0" applyAlignment="0" applyProtection="0"/>
    <xf numFmtId="0" fontId="24" fillId="20" borderId="198" applyNumberFormat="0" applyAlignment="0" applyProtection="0"/>
    <xf numFmtId="0" fontId="3" fillId="23" borderId="199" applyNumberFormat="0" applyFont="0" applyAlignment="0" applyProtection="0"/>
    <xf numFmtId="0" fontId="35" fillId="0" borderId="201" applyNumberFormat="0" applyFill="0" applyAlignment="0" applyProtection="0"/>
    <xf numFmtId="0" fontId="34" fillId="20" borderId="200" applyNumberFormat="0" applyAlignment="0" applyProtection="0"/>
    <xf numFmtId="0" fontId="3" fillId="23" borderId="199" applyNumberFormat="0" applyFont="0" applyAlignment="0" applyProtection="0"/>
    <xf numFmtId="0" fontId="31" fillId="7" borderId="198" applyNumberFormat="0" applyAlignment="0" applyProtection="0"/>
    <xf numFmtId="0" fontId="24" fillId="20" borderId="198" applyNumberFormat="0" applyAlignment="0" applyProtection="0"/>
    <xf numFmtId="0" fontId="24" fillId="20" borderId="198" applyNumberFormat="0" applyAlignment="0" applyProtection="0"/>
    <xf numFmtId="0" fontId="31" fillId="7" borderId="198" applyNumberFormat="0" applyAlignment="0" applyProtection="0"/>
    <xf numFmtId="0" fontId="3" fillId="23" borderId="199" applyNumberFormat="0" applyFont="0" applyAlignment="0" applyProtection="0"/>
    <xf numFmtId="0" fontId="34" fillId="20" borderId="200" applyNumberFormat="0" applyAlignment="0" applyProtection="0"/>
    <xf numFmtId="0" fontId="35" fillId="0" borderId="201" applyNumberFormat="0" applyFill="0" applyAlignment="0" applyProtection="0"/>
    <xf numFmtId="0" fontId="3" fillId="23" borderId="199" applyNumberFormat="0" applyFont="0" applyAlignment="0" applyProtection="0"/>
    <xf numFmtId="0" fontId="35" fillId="0" borderId="201" applyNumberFormat="0" applyFill="0" applyAlignment="0" applyProtection="0"/>
    <xf numFmtId="0" fontId="34" fillId="20" borderId="200" applyNumberFormat="0" applyAlignment="0" applyProtection="0"/>
    <xf numFmtId="0" fontId="3" fillId="23" borderId="199" applyNumberFormat="0" applyFont="0" applyAlignment="0" applyProtection="0"/>
    <xf numFmtId="0" fontId="31" fillId="7" borderId="198" applyNumberFormat="0" applyAlignment="0" applyProtection="0"/>
    <xf numFmtId="0" fontId="24" fillId="20" borderId="198" applyNumberFormat="0" applyAlignment="0" applyProtection="0"/>
    <xf numFmtId="0" fontId="3" fillId="23" borderId="199" applyNumberFormat="0" applyFont="0" applyAlignment="0" applyProtection="0"/>
    <xf numFmtId="0" fontId="3" fillId="23" borderId="199" applyNumberFormat="0" applyFont="0" applyAlignment="0" applyProtection="0"/>
    <xf numFmtId="0" fontId="3" fillId="23" borderId="199" applyNumberFormat="0" applyFont="0" applyAlignment="0" applyProtection="0"/>
    <xf numFmtId="0" fontId="31" fillId="7" borderId="198" applyNumberFormat="0" applyAlignment="0" applyProtection="0"/>
    <xf numFmtId="0" fontId="35" fillId="0" borderId="201" applyNumberFormat="0" applyFill="0" applyAlignment="0" applyProtection="0"/>
    <xf numFmtId="0" fontId="31" fillId="7" borderId="198" applyNumberFormat="0" applyAlignment="0" applyProtection="0"/>
    <xf numFmtId="0" fontId="34" fillId="20" borderId="200" applyNumberFormat="0" applyAlignment="0" applyProtection="0"/>
    <xf numFmtId="0" fontId="3" fillId="23" borderId="199" applyNumberFormat="0" applyFont="0" applyAlignment="0" applyProtection="0"/>
    <xf numFmtId="0" fontId="24" fillId="20" borderId="198" applyNumberFormat="0" applyAlignment="0" applyProtection="0"/>
    <xf numFmtId="0" fontId="3" fillId="23" borderId="199" applyNumberFormat="0" applyFont="0" applyAlignment="0" applyProtection="0"/>
    <xf numFmtId="0" fontId="3" fillId="23" borderId="199" applyNumberFormat="0" applyFont="0" applyAlignment="0" applyProtection="0"/>
    <xf numFmtId="0" fontId="3" fillId="23" borderId="199" applyNumberFormat="0" applyFont="0" applyAlignment="0" applyProtection="0"/>
    <xf numFmtId="0" fontId="34" fillId="20" borderId="200" applyNumberFormat="0" applyAlignment="0" applyProtection="0"/>
    <xf numFmtId="0" fontId="3" fillId="23" borderId="199" applyNumberFormat="0" applyFont="0" applyAlignment="0" applyProtection="0"/>
    <xf numFmtId="0" fontId="3" fillId="23" borderId="199" applyNumberFormat="0" applyFont="0" applyAlignment="0" applyProtection="0"/>
    <xf numFmtId="0" fontId="24" fillId="20" borderId="198" applyNumberFormat="0" applyAlignment="0" applyProtection="0"/>
    <xf numFmtId="0" fontId="34" fillId="20" borderId="200" applyNumberFormat="0" applyAlignment="0" applyProtection="0"/>
    <xf numFmtId="0" fontId="3" fillId="23" borderId="199" applyNumberFormat="0" applyFont="0" applyAlignment="0" applyProtection="0"/>
    <xf numFmtId="0" fontId="3" fillId="23" borderId="199" applyNumberFormat="0" applyFont="0" applyAlignment="0" applyProtection="0"/>
    <xf numFmtId="0" fontId="24" fillId="20" borderId="198" applyNumberFormat="0" applyAlignment="0" applyProtection="0"/>
    <xf numFmtId="0" fontId="3" fillId="23" borderId="199" applyNumberFormat="0" applyFont="0" applyAlignment="0" applyProtection="0"/>
    <xf numFmtId="0" fontId="35" fillId="0" borderId="201" applyNumberFormat="0" applyFill="0" applyAlignment="0" applyProtection="0"/>
    <xf numFmtId="0" fontId="34" fillId="20" borderId="200" applyNumberFormat="0" applyAlignment="0" applyProtection="0"/>
    <xf numFmtId="0" fontId="31" fillId="7" borderId="198" applyNumberFormat="0" applyAlignment="0" applyProtection="0"/>
    <xf numFmtId="0" fontId="24" fillId="20" borderId="198" applyNumberFormat="0" applyAlignment="0" applyProtection="0"/>
    <xf numFmtId="0" fontId="34" fillId="20" borderId="200" applyNumberFormat="0" applyAlignment="0" applyProtection="0"/>
    <xf numFmtId="0" fontId="35" fillId="0" borderId="201" applyNumberFormat="0" applyFill="0" applyAlignment="0" applyProtection="0"/>
    <xf numFmtId="0" fontId="35" fillId="0" borderId="201" applyNumberFormat="0" applyFill="0" applyAlignment="0" applyProtection="0"/>
    <xf numFmtId="0" fontId="31" fillId="7" borderId="198" applyNumberFormat="0" applyAlignment="0" applyProtection="0"/>
    <xf numFmtId="0" fontId="31" fillId="7" borderId="198" applyNumberFormat="0" applyAlignment="0" applyProtection="0"/>
    <xf numFmtId="0" fontId="35" fillId="0" borderId="201" applyNumberFormat="0" applyFill="0" applyAlignment="0" applyProtection="0"/>
    <xf numFmtId="0" fontId="24" fillId="20" borderId="198" applyNumberFormat="0" applyAlignment="0" applyProtection="0"/>
    <xf numFmtId="0" fontId="35" fillId="0" borderId="201" applyNumberFormat="0" applyFill="0" applyAlignment="0" applyProtection="0"/>
    <xf numFmtId="0" fontId="34" fillId="20" borderId="200" applyNumberFormat="0" applyAlignment="0" applyProtection="0"/>
    <xf numFmtId="0" fontId="3" fillId="23" borderId="199" applyNumberFormat="0" applyFont="0" applyAlignment="0" applyProtection="0"/>
    <xf numFmtId="0" fontId="31" fillId="7" borderId="198" applyNumberFormat="0" applyAlignment="0" applyProtection="0"/>
    <xf numFmtId="0" fontId="24" fillId="20" borderId="198" applyNumberFormat="0" applyAlignment="0" applyProtection="0"/>
    <xf numFmtId="0" fontId="3" fillId="23" borderId="199" applyNumberFormat="0" applyFont="0" applyAlignment="0" applyProtection="0"/>
    <xf numFmtId="0" fontId="35" fillId="0" borderId="201" applyNumberFormat="0" applyFill="0" applyAlignment="0" applyProtection="0"/>
    <xf numFmtId="0" fontId="34" fillId="20" borderId="200" applyNumberFormat="0" applyAlignment="0" applyProtection="0"/>
    <xf numFmtId="0" fontId="3" fillId="23" borderId="199" applyNumberFormat="0" applyFont="0" applyAlignment="0" applyProtection="0"/>
    <xf numFmtId="0" fontId="31" fillId="7" borderId="198" applyNumberFormat="0" applyAlignment="0" applyProtection="0"/>
    <xf numFmtId="0" fontId="24" fillId="20" borderId="198" applyNumberFormat="0" applyAlignment="0" applyProtection="0"/>
    <xf numFmtId="0" fontId="24" fillId="20" borderId="198" applyNumberFormat="0" applyAlignment="0" applyProtection="0"/>
    <xf numFmtId="0" fontId="31" fillId="7" borderId="198" applyNumberFormat="0" applyAlignment="0" applyProtection="0"/>
    <xf numFmtId="0" fontId="3" fillId="23" borderId="199" applyNumberFormat="0" applyFont="0" applyAlignment="0" applyProtection="0"/>
    <xf numFmtId="0" fontId="34" fillId="20" borderId="200" applyNumberFormat="0" applyAlignment="0" applyProtection="0"/>
    <xf numFmtId="0" fontId="35" fillId="0" borderId="201" applyNumberFormat="0" applyFill="0" applyAlignment="0" applyProtection="0"/>
    <xf numFmtId="0" fontId="3" fillId="23" borderId="199" applyNumberFormat="0" applyFont="0" applyAlignment="0" applyProtection="0"/>
    <xf numFmtId="0" fontId="35" fillId="0" borderId="201" applyNumberFormat="0" applyFill="0" applyAlignment="0" applyProtection="0"/>
    <xf numFmtId="0" fontId="34" fillId="20" borderId="200" applyNumberFormat="0" applyAlignment="0" applyProtection="0"/>
    <xf numFmtId="0" fontId="3" fillId="23" borderId="199" applyNumberFormat="0" applyFont="0" applyAlignment="0" applyProtection="0"/>
    <xf numFmtId="0" fontId="31" fillId="7" borderId="198" applyNumberFormat="0" applyAlignment="0" applyProtection="0"/>
    <xf numFmtId="0" fontId="24" fillId="20" borderId="198" applyNumberFormat="0" applyAlignment="0" applyProtection="0"/>
    <xf numFmtId="0" fontId="3" fillId="23" borderId="199" applyNumberFormat="0" applyFont="0" applyAlignment="0" applyProtection="0"/>
    <xf numFmtId="0" fontId="3" fillId="23" borderId="199" applyNumberFormat="0" applyFont="0" applyAlignment="0" applyProtection="0"/>
    <xf numFmtId="0" fontId="3" fillId="23" borderId="199" applyNumberFormat="0" applyFont="0" applyAlignment="0" applyProtection="0"/>
    <xf numFmtId="0" fontId="31" fillId="7" borderId="198" applyNumberFormat="0" applyAlignment="0" applyProtection="0"/>
    <xf numFmtId="0" fontId="35" fillId="0" borderId="201" applyNumberFormat="0" applyFill="0" applyAlignment="0" applyProtection="0"/>
    <xf numFmtId="0" fontId="31" fillId="7" borderId="198" applyNumberFormat="0" applyAlignment="0" applyProtection="0"/>
    <xf numFmtId="0" fontId="34" fillId="20" borderId="200" applyNumberFormat="0" applyAlignment="0" applyProtection="0"/>
    <xf numFmtId="0" fontId="3" fillId="23" borderId="199" applyNumberFormat="0" applyFont="0" applyAlignment="0" applyProtection="0"/>
    <xf numFmtId="0" fontId="24" fillId="20" borderId="198" applyNumberFormat="0" applyAlignment="0" applyProtection="0"/>
    <xf numFmtId="0" fontId="3" fillId="23" borderId="199" applyNumberFormat="0" applyFont="0" applyAlignment="0" applyProtection="0"/>
    <xf numFmtId="0" fontId="3" fillId="23" borderId="199" applyNumberFormat="0" applyFont="0" applyAlignment="0" applyProtection="0"/>
    <xf numFmtId="0" fontId="3" fillId="23" borderId="199" applyNumberFormat="0" applyFont="0" applyAlignment="0" applyProtection="0"/>
    <xf numFmtId="0" fontId="34" fillId="20" borderId="200" applyNumberFormat="0" applyAlignment="0" applyProtection="0"/>
    <xf numFmtId="0" fontId="3" fillId="23" borderId="199" applyNumberFormat="0" applyFont="0" applyAlignment="0" applyProtection="0"/>
    <xf numFmtId="0" fontId="3" fillId="23" borderId="199" applyNumberFormat="0" applyFont="0" applyAlignment="0" applyProtection="0"/>
    <xf numFmtId="0" fontId="24" fillId="20" borderId="198" applyNumberFormat="0" applyAlignment="0" applyProtection="0"/>
    <xf numFmtId="0" fontId="34" fillId="20" borderId="200" applyNumberFormat="0" applyAlignment="0" applyProtection="0"/>
    <xf numFmtId="0" fontId="3" fillId="23" borderId="199" applyNumberFormat="0" applyFont="0" applyAlignment="0" applyProtection="0"/>
    <xf numFmtId="0" fontId="3" fillId="23" borderId="199" applyNumberFormat="0" applyFont="0" applyAlignment="0" applyProtection="0"/>
    <xf numFmtId="0" fontId="24" fillId="20" borderId="198" applyNumberFormat="0" applyAlignment="0" applyProtection="0"/>
    <xf numFmtId="0" fontId="3" fillId="23" borderId="199" applyNumberFormat="0" applyFont="0" applyAlignment="0" applyProtection="0"/>
    <xf numFmtId="0" fontId="35" fillId="0" borderId="201" applyNumberFormat="0" applyFill="0" applyAlignment="0" applyProtection="0"/>
    <xf numFmtId="0" fontId="34" fillId="20" borderId="200" applyNumberFormat="0" applyAlignment="0" applyProtection="0"/>
    <xf numFmtId="0" fontId="31" fillId="7" borderId="198" applyNumberFormat="0" applyAlignment="0" applyProtection="0"/>
    <xf numFmtId="0" fontId="24" fillId="20" borderId="198" applyNumberFormat="0" applyAlignment="0" applyProtection="0"/>
    <xf numFmtId="0" fontId="34" fillId="20" borderId="200" applyNumberFormat="0" applyAlignment="0" applyProtection="0"/>
    <xf numFmtId="0" fontId="35" fillId="0" borderId="201" applyNumberFormat="0" applyFill="0" applyAlignment="0" applyProtection="0"/>
    <xf numFmtId="0" fontId="35" fillId="0" borderId="201" applyNumberFormat="0" applyFill="0" applyAlignment="0" applyProtection="0"/>
    <xf numFmtId="0" fontId="31" fillId="7" borderId="198" applyNumberFormat="0" applyAlignment="0" applyProtection="0"/>
    <xf numFmtId="0" fontId="31" fillId="7" borderId="198" applyNumberFormat="0" applyAlignment="0" applyProtection="0"/>
    <xf numFmtId="0" fontId="35" fillId="0" borderId="201" applyNumberFormat="0" applyFill="0" applyAlignment="0" applyProtection="0"/>
    <xf numFmtId="0" fontId="24" fillId="20" borderId="198" applyNumberFormat="0" applyAlignment="0" applyProtection="0"/>
    <xf numFmtId="0" fontId="35" fillId="0" borderId="201" applyNumberFormat="0" applyFill="0" applyAlignment="0" applyProtection="0"/>
    <xf numFmtId="0" fontId="34" fillId="20" borderId="200" applyNumberFormat="0" applyAlignment="0" applyProtection="0"/>
    <xf numFmtId="0" fontId="3" fillId="23" borderId="199" applyNumberFormat="0" applyFont="0" applyAlignment="0" applyProtection="0"/>
    <xf numFmtId="0" fontId="31" fillId="7" borderId="198" applyNumberFormat="0" applyAlignment="0" applyProtection="0"/>
    <xf numFmtId="0" fontId="24" fillId="20" borderId="198" applyNumberFormat="0" applyAlignment="0" applyProtection="0"/>
    <xf numFmtId="0" fontId="24" fillId="20" borderId="198" applyNumberFormat="0" applyAlignment="0" applyProtection="0"/>
    <xf numFmtId="0" fontId="31" fillId="7" borderId="198" applyNumberFormat="0" applyAlignment="0" applyProtection="0"/>
    <xf numFmtId="0" fontId="3" fillId="23" borderId="199" applyNumberFormat="0" applyFont="0" applyAlignment="0" applyProtection="0"/>
    <xf numFmtId="0" fontId="34" fillId="20" borderId="200" applyNumberFormat="0" applyAlignment="0" applyProtection="0"/>
    <xf numFmtId="0" fontId="35" fillId="0" borderId="201" applyNumberFormat="0" applyFill="0" applyAlignment="0" applyProtection="0"/>
    <xf numFmtId="0" fontId="3" fillId="23" borderId="199" applyNumberFormat="0" applyFont="0" applyAlignment="0" applyProtection="0"/>
    <xf numFmtId="0" fontId="35" fillId="0" borderId="201" applyNumberFormat="0" applyFill="0" applyAlignment="0" applyProtection="0"/>
    <xf numFmtId="0" fontId="34" fillId="20" borderId="200" applyNumberFormat="0" applyAlignment="0" applyProtection="0"/>
    <xf numFmtId="0" fontId="3" fillId="23" borderId="199" applyNumberFormat="0" applyFont="0" applyAlignment="0" applyProtection="0"/>
    <xf numFmtId="0" fontId="31" fillId="7" borderId="198" applyNumberFormat="0" applyAlignment="0" applyProtection="0"/>
    <xf numFmtId="0" fontId="24" fillId="20" borderId="198" applyNumberFormat="0" applyAlignment="0" applyProtection="0"/>
    <xf numFmtId="0" fontId="3" fillId="23" borderId="199" applyNumberFormat="0" applyFont="0" applyAlignment="0" applyProtection="0"/>
    <xf numFmtId="0" fontId="3" fillId="23" borderId="199" applyNumberFormat="0" applyFont="0" applyAlignment="0" applyProtection="0"/>
    <xf numFmtId="0" fontId="3" fillId="23" borderId="199" applyNumberFormat="0" applyFont="0" applyAlignment="0" applyProtection="0"/>
    <xf numFmtId="0" fontId="31" fillId="7" borderId="198" applyNumberFormat="0" applyAlignment="0" applyProtection="0"/>
    <xf numFmtId="0" fontId="35" fillId="0" borderId="201" applyNumberFormat="0" applyFill="0" applyAlignment="0" applyProtection="0"/>
    <xf numFmtId="0" fontId="31" fillId="7" borderId="198" applyNumberFormat="0" applyAlignment="0" applyProtection="0"/>
    <xf numFmtId="0" fontId="34" fillId="20" borderId="200" applyNumberFormat="0" applyAlignment="0" applyProtection="0"/>
    <xf numFmtId="0" fontId="3" fillId="23" borderId="199" applyNumberFormat="0" applyFont="0" applyAlignment="0" applyProtection="0"/>
    <xf numFmtId="0" fontId="24" fillId="20" borderId="198" applyNumberFormat="0" applyAlignment="0" applyProtection="0"/>
    <xf numFmtId="0" fontId="3" fillId="23" borderId="199" applyNumberFormat="0" applyFont="0" applyAlignment="0" applyProtection="0"/>
    <xf numFmtId="0" fontId="3" fillId="23" borderId="199" applyNumberFormat="0" applyFont="0" applyAlignment="0" applyProtection="0"/>
    <xf numFmtId="0" fontId="3" fillId="23" borderId="199" applyNumberFormat="0" applyFont="0" applyAlignment="0" applyProtection="0"/>
    <xf numFmtId="0" fontId="34" fillId="20" borderId="200" applyNumberFormat="0" applyAlignment="0" applyProtection="0"/>
    <xf numFmtId="0" fontId="3" fillId="23" borderId="199" applyNumberFormat="0" applyFont="0" applyAlignment="0" applyProtection="0"/>
    <xf numFmtId="0" fontId="3" fillId="23" borderId="199" applyNumberFormat="0" applyFont="0" applyAlignment="0" applyProtection="0"/>
    <xf numFmtId="0" fontId="24" fillId="20" borderId="198" applyNumberFormat="0" applyAlignment="0" applyProtection="0"/>
    <xf numFmtId="0" fontId="34" fillId="20" borderId="200" applyNumberFormat="0" applyAlignment="0" applyProtection="0"/>
    <xf numFmtId="0" fontId="3" fillId="23" borderId="199" applyNumberFormat="0" applyFont="0" applyAlignment="0" applyProtection="0"/>
    <xf numFmtId="0" fontId="3" fillId="23" borderId="199" applyNumberFormat="0" applyFont="0" applyAlignment="0" applyProtection="0"/>
    <xf numFmtId="0" fontId="24" fillId="20" borderId="198" applyNumberFormat="0" applyAlignment="0" applyProtection="0"/>
    <xf numFmtId="0" fontId="3" fillId="23" borderId="199" applyNumberFormat="0" applyFont="0" applyAlignment="0" applyProtection="0"/>
    <xf numFmtId="0" fontId="35" fillId="0" borderId="201" applyNumberFormat="0" applyFill="0" applyAlignment="0" applyProtection="0"/>
    <xf numFmtId="0" fontId="34" fillId="20" borderId="200" applyNumberFormat="0" applyAlignment="0" applyProtection="0"/>
    <xf numFmtId="0" fontId="31" fillId="7" borderId="198" applyNumberFormat="0" applyAlignment="0" applyProtection="0"/>
    <xf numFmtId="0" fontId="24" fillId="20" borderId="198" applyNumberFormat="0" applyAlignment="0" applyProtection="0"/>
    <xf numFmtId="0" fontId="34" fillId="20" borderId="200" applyNumberFormat="0" applyAlignment="0" applyProtection="0"/>
    <xf numFmtId="0" fontId="35" fillId="0" borderId="201" applyNumberFormat="0" applyFill="0" applyAlignment="0" applyProtection="0"/>
    <xf numFmtId="0" fontId="35" fillId="0" borderId="201" applyNumberFormat="0" applyFill="0" applyAlignment="0" applyProtection="0"/>
    <xf numFmtId="0" fontId="31" fillId="7" borderId="198" applyNumberFormat="0" applyAlignment="0" applyProtection="0"/>
    <xf numFmtId="0" fontId="31" fillId="7" borderId="198" applyNumberFormat="0" applyAlignment="0" applyProtection="0"/>
    <xf numFmtId="0" fontId="35" fillId="0" borderId="201" applyNumberFormat="0" applyFill="0" applyAlignment="0" applyProtection="0"/>
    <xf numFmtId="0" fontId="24" fillId="20" borderId="198" applyNumberFormat="0" applyAlignment="0" applyProtection="0"/>
    <xf numFmtId="0" fontId="35" fillId="0" borderId="201" applyNumberFormat="0" applyFill="0" applyAlignment="0" applyProtection="0"/>
    <xf numFmtId="0" fontId="34" fillId="20" borderId="200" applyNumberFormat="0" applyAlignment="0" applyProtection="0"/>
    <xf numFmtId="0" fontId="3" fillId="23" borderId="199" applyNumberFormat="0" applyFont="0" applyAlignment="0" applyProtection="0"/>
    <xf numFmtId="0" fontId="31" fillId="7" borderId="198" applyNumberFormat="0" applyAlignment="0" applyProtection="0"/>
    <xf numFmtId="0" fontId="24" fillId="20" borderId="198" applyNumberFormat="0" applyAlignment="0" applyProtection="0"/>
    <xf numFmtId="0" fontId="24" fillId="20" borderId="202" applyNumberFormat="0" applyAlignment="0" applyProtection="0"/>
    <xf numFmtId="0" fontId="31" fillId="7" borderId="202" applyNumberFormat="0" applyAlignment="0" applyProtection="0"/>
    <xf numFmtId="0" fontId="3" fillId="23" borderId="203" applyNumberFormat="0" applyFont="0" applyAlignment="0" applyProtection="0"/>
    <xf numFmtId="0" fontId="34" fillId="20" borderId="204" applyNumberFormat="0" applyAlignment="0" applyProtection="0"/>
    <xf numFmtId="0" fontId="35" fillId="0" borderId="205" applyNumberFormat="0" applyFill="0" applyAlignment="0" applyProtection="0"/>
    <xf numFmtId="0" fontId="3" fillId="23" borderId="203" applyNumberFormat="0" applyFont="0" applyAlignment="0" applyProtection="0"/>
    <xf numFmtId="0" fontId="35" fillId="0" borderId="205" applyNumberFormat="0" applyFill="0" applyAlignment="0" applyProtection="0"/>
    <xf numFmtId="0" fontId="34" fillId="20" borderId="204" applyNumberFormat="0" applyAlignment="0" applyProtection="0"/>
    <xf numFmtId="0" fontId="3" fillId="23" borderId="203" applyNumberFormat="0" applyFont="0" applyAlignment="0" applyProtection="0"/>
    <xf numFmtId="0" fontId="31" fillId="7" borderId="202" applyNumberFormat="0" applyAlignment="0" applyProtection="0"/>
    <xf numFmtId="0" fontId="24" fillId="20" borderId="202" applyNumberFormat="0" applyAlignment="0" applyProtection="0"/>
    <xf numFmtId="0" fontId="3" fillId="23" borderId="203" applyNumberFormat="0" applyFont="0" applyAlignment="0" applyProtection="0"/>
    <xf numFmtId="0" fontId="3" fillId="23" borderId="203" applyNumberFormat="0" applyFont="0" applyAlignment="0" applyProtection="0"/>
    <xf numFmtId="0" fontId="3" fillId="23" borderId="203" applyNumberFormat="0" applyFont="0" applyAlignment="0" applyProtection="0"/>
    <xf numFmtId="0" fontId="31" fillId="7" borderId="202" applyNumberFormat="0" applyAlignment="0" applyProtection="0"/>
    <xf numFmtId="0" fontId="35" fillId="0" borderId="205" applyNumberFormat="0" applyFill="0" applyAlignment="0" applyProtection="0"/>
    <xf numFmtId="0" fontId="31" fillId="7" borderId="202" applyNumberFormat="0" applyAlignment="0" applyProtection="0"/>
    <xf numFmtId="0" fontId="34" fillId="20" borderId="204" applyNumberFormat="0" applyAlignment="0" applyProtection="0"/>
    <xf numFmtId="0" fontId="3" fillId="23" borderId="203" applyNumberFormat="0" applyFont="0" applyAlignment="0" applyProtection="0"/>
    <xf numFmtId="0" fontId="24" fillId="20" borderId="202" applyNumberFormat="0" applyAlignment="0" applyProtection="0"/>
    <xf numFmtId="0" fontId="3" fillId="23" borderId="203" applyNumberFormat="0" applyFont="0" applyAlignment="0" applyProtection="0"/>
    <xf numFmtId="0" fontId="3" fillId="23" borderId="203" applyNumberFormat="0" applyFont="0" applyAlignment="0" applyProtection="0"/>
    <xf numFmtId="0" fontId="3" fillId="23" borderId="203" applyNumberFormat="0" applyFont="0" applyAlignment="0" applyProtection="0"/>
    <xf numFmtId="0" fontId="34" fillId="20" borderId="204" applyNumberFormat="0" applyAlignment="0" applyProtection="0"/>
    <xf numFmtId="0" fontId="3" fillId="23" borderId="203" applyNumberFormat="0" applyFont="0" applyAlignment="0" applyProtection="0"/>
    <xf numFmtId="0" fontId="3" fillId="23" borderId="203" applyNumberFormat="0" applyFont="0" applyAlignment="0" applyProtection="0"/>
    <xf numFmtId="0" fontId="24" fillId="20" borderId="202" applyNumberFormat="0" applyAlignment="0" applyProtection="0"/>
    <xf numFmtId="0" fontId="34" fillId="20" borderId="204" applyNumberFormat="0" applyAlignment="0" applyProtection="0"/>
    <xf numFmtId="0" fontId="3" fillId="23" borderId="203" applyNumberFormat="0" applyFont="0" applyAlignment="0" applyProtection="0"/>
    <xf numFmtId="0" fontId="3" fillId="23" borderId="203" applyNumberFormat="0" applyFont="0" applyAlignment="0" applyProtection="0"/>
    <xf numFmtId="0" fontId="24" fillId="20" borderId="202" applyNumberFormat="0" applyAlignment="0" applyProtection="0"/>
    <xf numFmtId="0" fontId="3" fillId="23" borderId="203" applyNumberFormat="0" applyFont="0" applyAlignment="0" applyProtection="0"/>
    <xf numFmtId="0" fontId="35" fillId="0" borderId="205" applyNumberFormat="0" applyFill="0" applyAlignment="0" applyProtection="0"/>
    <xf numFmtId="0" fontId="34" fillId="20" borderId="204" applyNumberFormat="0" applyAlignment="0" applyProtection="0"/>
    <xf numFmtId="0" fontId="31" fillId="7" borderId="202" applyNumberFormat="0" applyAlignment="0" applyProtection="0"/>
    <xf numFmtId="0" fontId="24" fillId="20" borderId="202" applyNumberFormat="0" applyAlignment="0" applyProtection="0"/>
    <xf numFmtId="0" fontId="34" fillId="20" borderId="204" applyNumberFormat="0" applyAlignment="0" applyProtection="0"/>
    <xf numFmtId="0" fontId="35" fillId="0" borderId="205" applyNumberFormat="0" applyFill="0" applyAlignment="0" applyProtection="0"/>
    <xf numFmtId="0" fontId="35" fillId="0" borderId="205" applyNumberFormat="0" applyFill="0" applyAlignment="0" applyProtection="0"/>
    <xf numFmtId="0" fontId="31" fillId="7" borderId="202" applyNumberFormat="0" applyAlignment="0" applyProtection="0"/>
    <xf numFmtId="0" fontId="31" fillId="7" borderId="202" applyNumberFormat="0" applyAlignment="0" applyProtection="0"/>
    <xf numFmtId="0" fontId="35" fillId="0" borderId="205" applyNumberFormat="0" applyFill="0" applyAlignment="0" applyProtection="0"/>
    <xf numFmtId="0" fontId="24" fillId="20" borderId="202" applyNumberFormat="0" applyAlignment="0" applyProtection="0"/>
    <xf numFmtId="0" fontId="35" fillId="0" borderId="205" applyNumberFormat="0" applyFill="0" applyAlignment="0" applyProtection="0"/>
    <xf numFmtId="0" fontId="34" fillId="20" borderId="204" applyNumberFormat="0" applyAlignment="0" applyProtection="0"/>
    <xf numFmtId="0" fontId="3" fillId="23" borderId="203" applyNumberFormat="0" applyFont="0" applyAlignment="0" applyProtection="0"/>
    <xf numFmtId="0" fontId="31" fillId="7" borderId="202" applyNumberFormat="0" applyAlignment="0" applyProtection="0"/>
    <xf numFmtId="0" fontId="24" fillId="20" borderId="202" applyNumberFormat="0" applyAlignment="0" applyProtection="0"/>
    <xf numFmtId="0" fontId="24" fillId="20" borderId="202" applyNumberFormat="0" applyAlignment="0" applyProtection="0"/>
    <xf numFmtId="0" fontId="31" fillId="7" borderId="202" applyNumberFormat="0" applyAlignment="0" applyProtection="0"/>
    <xf numFmtId="0" fontId="3" fillId="23" borderId="203" applyNumberFormat="0" applyFont="0" applyAlignment="0" applyProtection="0"/>
    <xf numFmtId="0" fontId="34" fillId="20" borderId="204" applyNumberFormat="0" applyAlignment="0" applyProtection="0"/>
    <xf numFmtId="0" fontId="35" fillId="0" borderId="205" applyNumberFormat="0" applyFill="0" applyAlignment="0" applyProtection="0"/>
    <xf numFmtId="0" fontId="3" fillId="23" borderId="203" applyNumberFormat="0" applyFont="0" applyAlignment="0" applyProtection="0"/>
    <xf numFmtId="0" fontId="35" fillId="0" borderId="205" applyNumberFormat="0" applyFill="0" applyAlignment="0" applyProtection="0"/>
    <xf numFmtId="0" fontId="34" fillId="20" borderId="204" applyNumberFormat="0" applyAlignment="0" applyProtection="0"/>
    <xf numFmtId="0" fontId="3" fillId="23" borderId="203" applyNumberFormat="0" applyFont="0" applyAlignment="0" applyProtection="0"/>
    <xf numFmtId="0" fontId="31" fillId="7" borderId="202" applyNumberFormat="0" applyAlignment="0" applyProtection="0"/>
    <xf numFmtId="0" fontId="24" fillId="20" borderId="202" applyNumberFormat="0" applyAlignment="0" applyProtection="0"/>
    <xf numFmtId="0" fontId="3" fillId="23" borderId="203" applyNumberFormat="0" applyFont="0" applyAlignment="0" applyProtection="0"/>
    <xf numFmtId="0" fontId="3" fillId="23" borderId="203" applyNumberFormat="0" applyFont="0" applyAlignment="0" applyProtection="0"/>
    <xf numFmtId="0" fontId="3" fillId="23" borderId="203" applyNumberFormat="0" applyFont="0" applyAlignment="0" applyProtection="0"/>
    <xf numFmtId="0" fontId="31" fillId="7" borderId="202" applyNumberFormat="0" applyAlignment="0" applyProtection="0"/>
    <xf numFmtId="0" fontId="35" fillId="0" borderId="205" applyNumberFormat="0" applyFill="0" applyAlignment="0" applyProtection="0"/>
    <xf numFmtId="0" fontId="31" fillId="7" borderId="202" applyNumberFormat="0" applyAlignment="0" applyProtection="0"/>
    <xf numFmtId="0" fontId="34" fillId="20" borderId="204" applyNumberFormat="0" applyAlignment="0" applyProtection="0"/>
    <xf numFmtId="0" fontId="3" fillId="23" borderId="203" applyNumberFormat="0" applyFont="0" applyAlignment="0" applyProtection="0"/>
    <xf numFmtId="0" fontId="24" fillId="20" borderId="202" applyNumberFormat="0" applyAlignment="0" applyProtection="0"/>
    <xf numFmtId="0" fontId="3" fillId="23" borderId="203" applyNumberFormat="0" applyFont="0" applyAlignment="0" applyProtection="0"/>
    <xf numFmtId="0" fontId="3" fillId="23" borderId="203" applyNumberFormat="0" applyFont="0" applyAlignment="0" applyProtection="0"/>
    <xf numFmtId="0" fontId="3" fillId="23" borderId="203" applyNumberFormat="0" applyFont="0" applyAlignment="0" applyProtection="0"/>
    <xf numFmtId="0" fontId="34" fillId="20" borderId="204" applyNumberFormat="0" applyAlignment="0" applyProtection="0"/>
    <xf numFmtId="0" fontId="3" fillId="23" borderId="203" applyNumberFormat="0" applyFont="0" applyAlignment="0" applyProtection="0"/>
    <xf numFmtId="0" fontId="3" fillId="23" borderId="203" applyNumberFormat="0" applyFont="0" applyAlignment="0" applyProtection="0"/>
    <xf numFmtId="0" fontId="24" fillId="20" borderId="202" applyNumberFormat="0" applyAlignment="0" applyProtection="0"/>
    <xf numFmtId="0" fontId="34" fillId="20" borderId="204" applyNumberFormat="0" applyAlignment="0" applyProtection="0"/>
    <xf numFmtId="0" fontId="3" fillId="23" borderId="203" applyNumberFormat="0" applyFont="0" applyAlignment="0" applyProtection="0"/>
    <xf numFmtId="0" fontId="3" fillId="23" borderId="203" applyNumberFormat="0" applyFont="0" applyAlignment="0" applyProtection="0"/>
    <xf numFmtId="0" fontId="24" fillId="20" borderId="202" applyNumberFormat="0" applyAlignment="0" applyProtection="0"/>
    <xf numFmtId="0" fontId="3" fillId="23" borderId="203" applyNumberFormat="0" applyFont="0" applyAlignment="0" applyProtection="0"/>
    <xf numFmtId="0" fontId="35" fillId="0" borderId="205" applyNumberFormat="0" applyFill="0" applyAlignment="0" applyProtection="0"/>
    <xf numFmtId="0" fontId="34" fillId="20" borderId="204" applyNumberFormat="0" applyAlignment="0" applyProtection="0"/>
    <xf numFmtId="0" fontId="31" fillId="7" borderId="202" applyNumberFormat="0" applyAlignment="0" applyProtection="0"/>
    <xf numFmtId="0" fontId="24" fillId="20" borderId="202" applyNumberFormat="0" applyAlignment="0" applyProtection="0"/>
    <xf numFmtId="0" fontId="34" fillId="20" borderId="204" applyNumberFormat="0" applyAlignment="0" applyProtection="0"/>
    <xf numFmtId="0" fontId="35" fillId="0" borderId="205" applyNumberFormat="0" applyFill="0" applyAlignment="0" applyProtection="0"/>
    <xf numFmtId="0" fontId="35" fillId="0" borderId="205" applyNumberFormat="0" applyFill="0" applyAlignment="0" applyProtection="0"/>
    <xf numFmtId="0" fontId="31" fillId="7" borderId="202" applyNumberFormat="0" applyAlignment="0" applyProtection="0"/>
    <xf numFmtId="0" fontId="31" fillId="7" borderId="202" applyNumberFormat="0" applyAlignment="0" applyProtection="0"/>
    <xf numFmtId="0" fontId="35" fillId="0" borderId="205" applyNumberFormat="0" applyFill="0" applyAlignment="0" applyProtection="0"/>
    <xf numFmtId="0" fontId="24" fillId="20" borderId="202" applyNumberFormat="0" applyAlignment="0" applyProtection="0"/>
    <xf numFmtId="0" fontId="35" fillId="0" borderId="205" applyNumberFormat="0" applyFill="0" applyAlignment="0" applyProtection="0"/>
    <xf numFmtId="0" fontId="34" fillId="20" borderId="204" applyNumberFormat="0" applyAlignment="0" applyProtection="0"/>
    <xf numFmtId="0" fontId="3" fillId="23" borderId="203" applyNumberFormat="0" applyFont="0" applyAlignment="0" applyProtection="0"/>
    <xf numFmtId="0" fontId="31" fillId="7" borderId="202" applyNumberFormat="0" applyAlignment="0" applyProtection="0"/>
    <xf numFmtId="0" fontId="24" fillId="20" borderId="202" applyNumberFormat="0" applyAlignment="0" applyProtection="0"/>
    <xf numFmtId="0" fontId="3" fillId="23" borderId="203" applyNumberFormat="0" applyFont="0" applyAlignment="0" applyProtection="0"/>
    <xf numFmtId="0" fontId="35" fillId="0" borderId="205" applyNumberFormat="0" applyFill="0" applyAlignment="0" applyProtection="0"/>
    <xf numFmtId="0" fontId="34" fillId="20" borderId="204" applyNumberFormat="0" applyAlignment="0" applyProtection="0"/>
    <xf numFmtId="0" fontId="3" fillId="23" borderId="203" applyNumberFormat="0" applyFont="0" applyAlignment="0" applyProtection="0"/>
    <xf numFmtId="0" fontId="31" fillId="7" borderId="202" applyNumberFormat="0" applyAlignment="0" applyProtection="0"/>
    <xf numFmtId="0" fontId="24" fillId="20" borderId="202" applyNumberFormat="0" applyAlignment="0" applyProtection="0"/>
    <xf numFmtId="0" fontId="24" fillId="20" borderId="202" applyNumberFormat="0" applyAlignment="0" applyProtection="0"/>
    <xf numFmtId="0" fontId="31" fillId="7" borderId="202" applyNumberFormat="0" applyAlignment="0" applyProtection="0"/>
    <xf numFmtId="0" fontId="3" fillId="23" borderId="203" applyNumberFormat="0" applyFont="0" applyAlignment="0" applyProtection="0"/>
    <xf numFmtId="0" fontId="34" fillId="20" borderId="204" applyNumberFormat="0" applyAlignment="0" applyProtection="0"/>
    <xf numFmtId="0" fontId="35" fillId="0" borderId="205" applyNumberFormat="0" applyFill="0" applyAlignment="0" applyProtection="0"/>
    <xf numFmtId="0" fontId="3" fillId="23" borderId="203" applyNumberFormat="0" applyFont="0" applyAlignment="0" applyProtection="0"/>
    <xf numFmtId="0" fontId="35" fillId="0" borderId="205" applyNumberFormat="0" applyFill="0" applyAlignment="0" applyProtection="0"/>
    <xf numFmtId="0" fontId="34" fillId="20" borderId="204" applyNumberFormat="0" applyAlignment="0" applyProtection="0"/>
    <xf numFmtId="0" fontId="3" fillId="23" borderId="203" applyNumberFormat="0" applyFont="0" applyAlignment="0" applyProtection="0"/>
    <xf numFmtId="0" fontId="31" fillId="7" borderId="202" applyNumberFormat="0" applyAlignment="0" applyProtection="0"/>
    <xf numFmtId="0" fontId="24" fillId="20" borderId="202" applyNumberFormat="0" applyAlignment="0" applyProtection="0"/>
    <xf numFmtId="0" fontId="3" fillId="23" borderId="203" applyNumberFormat="0" applyFont="0" applyAlignment="0" applyProtection="0"/>
    <xf numFmtId="0" fontId="3" fillId="23" borderId="203" applyNumberFormat="0" applyFont="0" applyAlignment="0" applyProtection="0"/>
    <xf numFmtId="0" fontId="3" fillId="23" borderId="203" applyNumberFormat="0" applyFont="0" applyAlignment="0" applyProtection="0"/>
    <xf numFmtId="0" fontId="31" fillId="7" borderId="202" applyNumberFormat="0" applyAlignment="0" applyProtection="0"/>
    <xf numFmtId="0" fontId="35" fillId="0" borderId="205" applyNumberFormat="0" applyFill="0" applyAlignment="0" applyProtection="0"/>
    <xf numFmtId="0" fontId="31" fillId="7" borderId="202" applyNumberFormat="0" applyAlignment="0" applyProtection="0"/>
    <xf numFmtId="0" fontId="34" fillId="20" borderId="204" applyNumberFormat="0" applyAlignment="0" applyProtection="0"/>
    <xf numFmtId="0" fontId="3" fillId="23" borderId="203" applyNumberFormat="0" applyFont="0" applyAlignment="0" applyProtection="0"/>
    <xf numFmtId="0" fontId="24" fillId="20" borderId="202" applyNumberFormat="0" applyAlignment="0" applyProtection="0"/>
    <xf numFmtId="0" fontId="3" fillId="23" borderId="203" applyNumberFormat="0" applyFont="0" applyAlignment="0" applyProtection="0"/>
    <xf numFmtId="0" fontId="3" fillId="23" borderId="203" applyNumberFormat="0" applyFont="0" applyAlignment="0" applyProtection="0"/>
    <xf numFmtId="0" fontId="3" fillId="23" borderId="203" applyNumberFormat="0" applyFont="0" applyAlignment="0" applyProtection="0"/>
    <xf numFmtId="0" fontId="34" fillId="20" borderId="204" applyNumberFormat="0" applyAlignment="0" applyProtection="0"/>
    <xf numFmtId="0" fontId="3" fillId="23" borderId="203" applyNumberFormat="0" applyFont="0" applyAlignment="0" applyProtection="0"/>
    <xf numFmtId="0" fontId="3" fillId="23" borderId="203" applyNumberFormat="0" applyFont="0" applyAlignment="0" applyProtection="0"/>
    <xf numFmtId="0" fontId="24" fillId="20" borderId="202" applyNumberFormat="0" applyAlignment="0" applyProtection="0"/>
    <xf numFmtId="0" fontId="34" fillId="20" borderId="204" applyNumberFormat="0" applyAlignment="0" applyProtection="0"/>
    <xf numFmtId="0" fontId="3" fillId="23" borderId="203" applyNumberFormat="0" applyFont="0" applyAlignment="0" applyProtection="0"/>
    <xf numFmtId="0" fontId="3" fillId="23" borderId="203" applyNumberFormat="0" applyFont="0" applyAlignment="0" applyProtection="0"/>
    <xf numFmtId="0" fontId="24" fillId="20" borderId="202" applyNumberFormat="0" applyAlignment="0" applyProtection="0"/>
    <xf numFmtId="0" fontId="3" fillId="23" borderId="203" applyNumberFormat="0" applyFont="0" applyAlignment="0" applyProtection="0"/>
    <xf numFmtId="0" fontId="35" fillId="0" borderId="205" applyNumberFormat="0" applyFill="0" applyAlignment="0" applyProtection="0"/>
    <xf numFmtId="0" fontId="34" fillId="20" borderId="204" applyNumberFormat="0" applyAlignment="0" applyProtection="0"/>
    <xf numFmtId="0" fontId="31" fillId="7" borderId="202" applyNumberFormat="0" applyAlignment="0" applyProtection="0"/>
    <xf numFmtId="0" fontId="24" fillId="20" borderId="202" applyNumberFormat="0" applyAlignment="0" applyProtection="0"/>
    <xf numFmtId="0" fontId="34" fillId="20" borderId="204" applyNumberFormat="0" applyAlignment="0" applyProtection="0"/>
    <xf numFmtId="0" fontId="35" fillId="0" borderId="205" applyNumberFormat="0" applyFill="0" applyAlignment="0" applyProtection="0"/>
    <xf numFmtId="0" fontId="35" fillId="0" borderId="205" applyNumberFormat="0" applyFill="0" applyAlignment="0" applyProtection="0"/>
    <xf numFmtId="0" fontId="31" fillId="7" borderId="202" applyNumberFormat="0" applyAlignment="0" applyProtection="0"/>
    <xf numFmtId="0" fontId="31" fillId="7" borderId="202" applyNumberFormat="0" applyAlignment="0" applyProtection="0"/>
    <xf numFmtId="0" fontId="35" fillId="0" borderId="205" applyNumberFormat="0" applyFill="0" applyAlignment="0" applyProtection="0"/>
    <xf numFmtId="0" fontId="24" fillId="20" borderId="202" applyNumberFormat="0" applyAlignment="0" applyProtection="0"/>
    <xf numFmtId="0" fontId="35" fillId="0" borderId="205" applyNumberFormat="0" applyFill="0" applyAlignment="0" applyProtection="0"/>
    <xf numFmtId="0" fontId="34" fillId="20" borderId="204" applyNumberFormat="0" applyAlignment="0" applyProtection="0"/>
    <xf numFmtId="0" fontId="3" fillId="23" borderId="203" applyNumberFormat="0" applyFont="0" applyAlignment="0" applyProtection="0"/>
    <xf numFmtId="0" fontId="31" fillId="7" borderId="202" applyNumberFormat="0" applyAlignment="0" applyProtection="0"/>
    <xf numFmtId="0" fontId="24" fillId="20" borderId="202" applyNumberFormat="0" applyAlignment="0" applyProtection="0"/>
    <xf numFmtId="0" fontId="3" fillId="23" borderId="203" applyNumberFormat="0" applyFont="0" applyAlignment="0" applyProtection="0"/>
    <xf numFmtId="0" fontId="35" fillId="0" borderId="205" applyNumberFormat="0" applyFill="0" applyAlignment="0" applyProtection="0"/>
    <xf numFmtId="0" fontId="34" fillId="20" borderId="204" applyNumberFormat="0" applyAlignment="0" applyProtection="0"/>
    <xf numFmtId="0" fontId="3" fillId="23" borderId="203" applyNumberFormat="0" applyFont="0" applyAlignment="0" applyProtection="0"/>
    <xf numFmtId="0" fontId="31" fillId="7" borderId="202" applyNumberFormat="0" applyAlignment="0" applyProtection="0"/>
    <xf numFmtId="0" fontId="24" fillId="20" borderId="202" applyNumberFormat="0" applyAlignment="0" applyProtection="0"/>
    <xf numFmtId="0" fontId="24" fillId="20" borderId="202" applyNumberFormat="0" applyAlignment="0" applyProtection="0"/>
    <xf numFmtId="0" fontId="31" fillId="7" borderId="202" applyNumberFormat="0" applyAlignment="0" applyProtection="0"/>
    <xf numFmtId="0" fontId="3" fillId="23" borderId="203" applyNumberFormat="0" applyFont="0" applyAlignment="0" applyProtection="0"/>
    <xf numFmtId="0" fontId="34" fillId="20" borderId="204" applyNumberFormat="0" applyAlignment="0" applyProtection="0"/>
    <xf numFmtId="0" fontId="35" fillId="0" borderId="205" applyNumberFormat="0" applyFill="0" applyAlignment="0" applyProtection="0"/>
    <xf numFmtId="0" fontId="3" fillId="23" borderId="203" applyNumberFormat="0" applyFont="0" applyAlignment="0" applyProtection="0"/>
    <xf numFmtId="0" fontId="35" fillId="0" borderId="205" applyNumberFormat="0" applyFill="0" applyAlignment="0" applyProtection="0"/>
    <xf numFmtId="0" fontId="34" fillId="20" borderId="204" applyNumberFormat="0" applyAlignment="0" applyProtection="0"/>
    <xf numFmtId="0" fontId="3" fillId="23" borderId="203" applyNumberFormat="0" applyFont="0" applyAlignment="0" applyProtection="0"/>
    <xf numFmtId="0" fontId="31" fillId="7" borderId="202" applyNumberFormat="0" applyAlignment="0" applyProtection="0"/>
    <xf numFmtId="0" fontId="24" fillId="20" borderId="202" applyNumberFormat="0" applyAlignment="0" applyProtection="0"/>
    <xf numFmtId="0" fontId="3" fillId="23" borderId="203" applyNumberFormat="0" applyFont="0" applyAlignment="0" applyProtection="0"/>
    <xf numFmtId="0" fontId="3" fillId="23" borderId="203" applyNumberFormat="0" applyFont="0" applyAlignment="0" applyProtection="0"/>
    <xf numFmtId="0" fontId="3" fillId="23" borderId="203" applyNumberFormat="0" applyFont="0" applyAlignment="0" applyProtection="0"/>
    <xf numFmtId="0" fontId="31" fillId="7" borderId="202" applyNumberFormat="0" applyAlignment="0" applyProtection="0"/>
    <xf numFmtId="0" fontId="35" fillId="0" borderId="205" applyNumberFormat="0" applyFill="0" applyAlignment="0" applyProtection="0"/>
    <xf numFmtId="0" fontId="31" fillId="7" borderId="202" applyNumberFormat="0" applyAlignment="0" applyProtection="0"/>
    <xf numFmtId="0" fontId="34" fillId="20" borderId="204" applyNumberFormat="0" applyAlignment="0" applyProtection="0"/>
    <xf numFmtId="0" fontId="3" fillId="23" borderId="203" applyNumberFormat="0" applyFont="0" applyAlignment="0" applyProtection="0"/>
    <xf numFmtId="0" fontId="24" fillId="20" borderId="202" applyNumberFormat="0" applyAlignment="0" applyProtection="0"/>
    <xf numFmtId="0" fontId="3" fillId="23" borderId="203" applyNumberFormat="0" applyFont="0" applyAlignment="0" applyProtection="0"/>
    <xf numFmtId="0" fontId="3" fillId="23" borderId="203" applyNumberFormat="0" applyFont="0" applyAlignment="0" applyProtection="0"/>
    <xf numFmtId="0" fontId="3" fillId="23" borderId="203" applyNumberFormat="0" applyFont="0" applyAlignment="0" applyProtection="0"/>
    <xf numFmtId="0" fontId="34" fillId="20" borderId="204" applyNumberFormat="0" applyAlignment="0" applyProtection="0"/>
    <xf numFmtId="0" fontId="3" fillId="23" borderId="203" applyNumberFormat="0" applyFont="0" applyAlignment="0" applyProtection="0"/>
    <xf numFmtId="0" fontId="3" fillId="23" borderId="203" applyNumberFormat="0" applyFont="0" applyAlignment="0" applyProtection="0"/>
    <xf numFmtId="0" fontId="24" fillId="20" borderId="202" applyNumberFormat="0" applyAlignment="0" applyProtection="0"/>
    <xf numFmtId="0" fontId="34" fillId="20" borderId="204" applyNumberFormat="0" applyAlignment="0" applyProtection="0"/>
    <xf numFmtId="0" fontId="3" fillId="23" borderId="203" applyNumberFormat="0" applyFont="0" applyAlignment="0" applyProtection="0"/>
    <xf numFmtId="0" fontId="3" fillId="23" borderId="203" applyNumberFormat="0" applyFont="0" applyAlignment="0" applyProtection="0"/>
    <xf numFmtId="0" fontId="24" fillId="20" borderId="202" applyNumberFormat="0" applyAlignment="0" applyProtection="0"/>
    <xf numFmtId="0" fontId="3" fillId="23" borderId="203" applyNumberFormat="0" applyFont="0" applyAlignment="0" applyProtection="0"/>
    <xf numFmtId="0" fontId="35" fillId="0" borderId="205" applyNumberFormat="0" applyFill="0" applyAlignment="0" applyProtection="0"/>
    <xf numFmtId="0" fontId="34" fillId="20" borderId="204" applyNumberFormat="0" applyAlignment="0" applyProtection="0"/>
    <xf numFmtId="0" fontId="31" fillId="7" borderId="202" applyNumberFormat="0" applyAlignment="0" applyProtection="0"/>
    <xf numFmtId="0" fontId="24" fillId="20" borderId="202" applyNumberFormat="0" applyAlignment="0" applyProtection="0"/>
    <xf numFmtId="0" fontId="34" fillId="20" borderId="204" applyNumberFormat="0" applyAlignment="0" applyProtection="0"/>
    <xf numFmtId="0" fontId="35" fillId="0" borderId="205" applyNumberFormat="0" applyFill="0" applyAlignment="0" applyProtection="0"/>
    <xf numFmtId="0" fontId="35" fillId="0" borderId="205" applyNumberFormat="0" applyFill="0" applyAlignment="0" applyProtection="0"/>
    <xf numFmtId="0" fontId="31" fillId="7" borderId="202" applyNumberFormat="0" applyAlignment="0" applyProtection="0"/>
    <xf numFmtId="0" fontId="31" fillId="7" borderId="202" applyNumberFormat="0" applyAlignment="0" applyProtection="0"/>
    <xf numFmtId="0" fontId="35" fillId="0" borderId="205" applyNumberFormat="0" applyFill="0" applyAlignment="0" applyProtection="0"/>
    <xf numFmtId="0" fontId="24" fillId="20" borderId="202" applyNumberFormat="0" applyAlignment="0" applyProtection="0"/>
    <xf numFmtId="0" fontId="35" fillId="0" borderId="205" applyNumberFormat="0" applyFill="0" applyAlignment="0" applyProtection="0"/>
    <xf numFmtId="0" fontId="34" fillId="20" borderId="204" applyNumberFormat="0" applyAlignment="0" applyProtection="0"/>
    <xf numFmtId="0" fontId="3" fillId="23" borderId="203" applyNumberFormat="0" applyFont="0" applyAlignment="0" applyProtection="0"/>
    <xf numFmtId="0" fontId="31" fillId="7" borderId="202" applyNumberFormat="0" applyAlignment="0" applyProtection="0"/>
    <xf numFmtId="0" fontId="24" fillId="20" borderId="202" applyNumberFormat="0" applyAlignment="0" applyProtection="0"/>
    <xf numFmtId="0" fontId="24" fillId="20" borderId="202" applyNumberFormat="0" applyAlignment="0" applyProtection="0"/>
    <xf numFmtId="0" fontId="31" fillId="7" borderId="202" applyNumberFormat="0" applyAlignment="0" applyProtection="0"/>
    <xf numFmtId="0" fontId="3" fillId="23" borderId="203" applyNumberFormat="0" applyFont="0" applyAlignment="0" applyProtection="0"/>
    <xf numFmtId="0" fontId="34" fillId="20" borderId="204" applyNumberFormat="0" applyAlignment="0" applyProtection="0"/>
    <xf numFmtId="0" fontId="35" fillId="0" borderId="205" applyNumberFormat="0" applyFill="0" applyAlignment="0" applyProtection="0"/>
    <xf numFmtId="0" fontId="3" fillId="23" borderId="203" applyNumberFormat="0" applyFont="0" applyAlignment="0" applyProtection="0"/>
    <xf numFmtId="0" fontId="35" fillId="0" borderId="205" applyNumberFormat="0" applyFill="0" applyAlignment="0" applyProtection="0"/>
    <xf numFmtId="0" fontId="34" fillId="20" borderId="204" applyNumberFormat="0" applyAlignment="0" applyProtection="0"/>
    <xf numFmtId="0" fontId="3" fillId="23" borderId="203" applyNumberFormat="0" applyFont="0" applyAlignment="0" applyProtection="0"/>
    <xf numFmtId="0" fontId="31" fillId="7" borderId="202" applyNumberFormat="0" applyAlignment="0" applyProtection="0"/>
    <xf numFmtId="0" fontId="24" fillId="20" borderId="202" applyNumberFormat="0" applyAlignment="0" applyProtection="0"/>
    <xf numFmtId="0" fontId="3" fillId="23" borderId="203" applyNumberFormat="0" applyFont="0" applyAlignment="0" applyProtection="0"/>
    <xf numFmtId="0" fontId="3" fillId="23" borderId="203" applyNumberFormat="0" applyFont="0" applyAlignment="0" applyProtection="0"/>
    <xf numFmtId="0" fontId="3" fillId="23" borderId="203" applyNumberFormat="0" applyFont="0" applyAlignment="0" applyProtection="0"/>
    <xf numFmtId="0" fontId="31" fillId="7" borderId="202" applyNumberFormat="0" applyAlignment="0" applyProtection="0"/>
    <xf numFmtId="0" fontId="35" fillId="0" borderId="205" applyNumberFormat="0" applyFill="0" applyAlignment="0" applyProtection="0"/>
    <xf numFmtId="0" fontId="31" fillId="7" borderId="202" applyNumberFormat="0" applyAlignment="0" applyProtection="0"/>
    <xf numFmtId="0" fontId="34" fillId="20" borderId="204" applyNumberFormat="0" applyAlignment="0" applyProtection="0"/>
    <xf numFmtId="0" fontId="3" fillId="23" borderId="203" applyNumberFormat="0" applyFont="0" applyAlignment="0" applyProtection="0"/>
    <xf numFmtId="0" fontId="24" fillId="20" borderId="202" applyNumberFormat="0" applyAlignment="0" applyProtection="0"/>
    <xf numFmtId="0" fontId="3" fillId="23" borderId="203" applyNumberFormat="0" applyFont="0" applyAlignment="0" applyProtection="0"/>
    <xf numFmtId="0" fontId="3" fillId="23" borderId="203" applyNumberFormat="0" applyFont="0" applyAlignment="0" applyProtection="0"/>
    <xf numFmtId="0" fontId="3" fillId="23" borderId="203" applyNumberFormat="0" applyFont="0" applyAlignment="0" applyProtection="0"/>
    <xf numFmtId="0" fontId="34" fillId="20" borderId="204" applyNumberFormat="0" applyAlignment="0" applyProtection="0"/>
    <xf numFmtId="0" fontId="3" fillId="23" borderId="203" applyNumberFormat="0" applyFont="0" applyAlignment="0" applyProtection="0"/>
    <xf numFmtId="0" fontId="3" fillId="23" borderId="203" applyNumberFormat="0" applyFont="0" applyAlignment="0" applyProtection="0"/>
    <xf numFmtId="0" fontId="24" fillId="20" borderId="202" applyNumberFormat="0" applyAlignment="0" applyProtection="0"/>
    <xf numFmtId="0" fontId="34" fillId="20" borderId="204" applyNumberFormat="0" applyAlignment="0" applyProtection="0"/>
    <xf numFmtId="0" fontId="3" fillId="23" borderId="203" applyNumberFormat="0" applyFont="0" applyAlignment="0" applyProtection="0"/>
    <xf numFmtId="0" fontId="3" fillId="23" borderId="203" applyNumberFormat="0" applyFont="0" applyAlignment="0" applyProtection="0"/>
    <xf numFmtId="0" fontId="24" fillId="20" borderId="202" applyNumberFormat="0" applyAlignment="0" applyProtection="0"/>
    <xf numFmtId="0" fontId="3" fillId="23" borderId="203" applyNumberFormat="0" applyFont="0" applyAlignment="0" applyProtection="0"/>
    <xf numFmtId="0" fontId="35" fillId="0" borderId="205" applyNumberFormat="0" applyFill="0" applyAlignment="0" applyProtection="0"/>
    <xf numFmtId="0" fontId="34" fillId="20" borderId="204" applyNumberFormat="0" applyAlignment="0" applyProtection="0"/>
    <xf numFmtId="0" fontId="31" fillId="7" borderId="202" applyNumberFormat="0" applyAlignment="0" applyProtection="0"/>
    <xf numFmtId="0" fontId="24" fillId="20" borderId="202" applyNumberFormat="0" applyAlignment="0" applyProtection="0"/>
    <xf numFmtId="0" fontId="34" fillId="20" borderId="204" applyNumberFormat="0" applyAlignment="0" applyProtection="0"/>
    <xf numFmtId="0" fontId="35" fillId="0" borderId="205" applyNumberFormat="0" applyFill="0" applyAlignment="0" applyProtection="0"/>
    <xf numFmtId="0" fontId="35" fillId="0" borderId="205" applyNumberFormat="0" applyFill="0" applyAlignment="0" applyProtection="0"/>
    <xf numFmtId="0" fontId="31" fillId="7" borderId="202" applyNumberFormat="0" applyAlignment="0" applyProtection="0"/>
    <xf numFmtId="0" fontId="31" fillId="7" borderId="202" applyNumberFormat="0" applyAlignment="0" applyProtection="0"/>
    <xf numFmtId="0" fontId="35" fillId="0" borderId="205" applyNumberFormat="0" applyFill="0" applyAlignment="0" applyProtection="0"/>
    <xf numFmtId="0" fontId="24" fillId="20" borderId="202" applyNumberFormat="0" applyAlignment="0" applyProtection="0"/>
    <xf numFmtId="0" fontId="35" fillId="0" borderId="205" applyNumberFormat="0" applyFill="0" applyAlignment="0" applyProtection="0"/>
    <xf numFmtId="0" fontId="34" fillId="20" borderId="204" applyNumberFormat="0" applyAlignment="0" applyProtection="0"/>
    <xf numFmtId="0" fontId="3" fillId="23" borderId="203" applyNumberFormat="0" applyFont="0" applyAlignment="0" applyProtection="0"/>
    <xf numFmtId="0" fontId="31" fillId="7" borderId="202" applyNumberFormat="0" applyAlignment="0" applyProtection="0"/>
    <xf numFmtId="0" fontId="24" fillId="20" borderId="202" applyNumberFormat="0" applyAlignment="0" applyProtection="0"/>
    <xf numFmtId="0" fontId="3" fillId="23" borderId="210" applyNumberFormat="0" applyFont="0" applyAlignment="0" applyProtection="0"/>
    <xf numFmtId="0" fontId="34" fillId="20" borderId="211" applyNumberFormat="0" applyAlignment="0" applyProtection="0"/>
    <xf numFmtId="0" fontId="35" fillId="0" borderId="212" applyNumberFormat="0" applyFill="0" applyAlignment="0" applyProtection="0"/>
    <xf numFmtId="0" fontId="3" fillId="23" borderId="210" applyNumberFormat="0" applyFont="0" applyAlignment="0" applyProtection="0"/>
    <xf numFmtId="0" fontId="35" fillId="0" borderId="212" applyNumberFormat="0" applyFill="0" applyAlignment="0" applyProtection="0"/>
    <xf numFmtId="0" fontId="34" fillId="20" borderId="211" applyNumberFormat="0" applyAlignment="0" applyProtection="0"/>
    <xf numFmtId="0" fontId="3" fillId="23" borderId="210" applyNumberFormat="0" applyFont="0" applyAlignment="0" applyProtection="0"/>
    <xf numFmtId="0" fontId="31" fillId="7" borderId="209" applyNumberFormat="0" applyAlignment="0" applyProtection="0"/>
    <xf numFmtId="0" fontId="24" fillId="20" borderId="209" applyNumberFormat="0" applyAlignment="0" applyProtection="0"/>
    <xf numFmtId="0" fontId="3" fillId="23" borderId="210" applyNumberFormat="0" applyFont="0" applyAlignment="0" applyProtection="0"/>
    <xf numFmtId="0" fontId="3" fillId="23" borderId="210" applyNumberFormat="0" applyFont="0" applyAlignment="0" applyProtection="0"/>
    <xf numFmtId="0" fontId="3" fillId="23" borderId="210" applyNumberFormat="0" applyFont="0" applyAlignment="0" applyProtection="0"/>
    <xf numFmtId="0" fontId="31" fillId="7" borderId="209" applyNumberFormat="0" applyAlignment="0" applyProtection="0"/>
    <xf numFmtId="0" fontId="35" fillId="0" borderId="212" applyNumberFormat="0" applyFill="0" applyAlignment="0" applyProtection="0"/>
    <xf numFmtId="0" fontId="31" fillId="7" borderId="209" applyNumberFormat="0" applyAlignment="0" applyProtection="0"/>
    <xf numFmtId="0" fontId="34" fillId="20" borderId="211" applyNumberFormat="0" applyAlignment="0" applyProtection="0"/>
    <xf numFmtId="0" fontId="3" fillId="23" borderId="210" applyNumberFormat="0" applyFont="0" applyAlignment="0" applyProtection="0"/>
    <xf numFmtId="0" fontId="24" fillId="20" borderId="209" applyNumberFormat="0" applyAlignment="0" applyProtection="0"/>
    <xf numFmtId="0" fontId="3" fillId="23" borderId="210" applyNumberFormat="0" applyFont="0" applyAlignment="0" applyProtection="0"/>
    <xf numFmtId="0" fontId="3" fillId="23" borderId="210" applyNumberFormat="0" applyFont="0" applyAlignment="0" applyProtection="0"/>
    <xf numFmtId="0" fontId="3" fillId="23" borderId="210" applyNumberFormat="0" applyFont="0" applyAlignment="0" applyProtection="0"/>
    <xf numFmtId="0" fontId="34" fillId="20" borderId="211" applyNumberFormat="0" applyAlignment="0" applyProtection="0"/>
    <xf numFmtId="0" fontId="3" fillId="23" borderId="210" applyNumberFormat="0" applyFont="0" applyAlignment="0" applyProtection="0"/>
    <xf numFmtId="0" fontId="3" fillId="23" borderId="210" applyNumberFormat="0" applyFont="0" applyAlignment="0" applyProtection="0"/>
    <xf numFmtId="0" fontId="24" fillId="20" borderId="209" applyNumberFormat="0" applyAlignment="0" applyProtection="0"/>
    <xf numFmtId="0" fontId="34" fillId="20" borderId="211" applyNumberFormat="0" applyAlignment="0" applyProtection="0"/>
    <xf numFmtId="0" fontId="3" fillId="23" borderId="210" applyNumberFormat="0" applyFont="0" applyAlignment="0" applyProtection="0"/>
    <xf numFmtId="0" fontId="3" fillId="23" borderId="210" applyNumberFormat="0" applyFont="0" applyAlignment="0" applyProtection="0"/>
    <xf numFmtId="0" fontId="24" fillId="20" borderId="209" applyNumberFormat="0" applyAlignment="0" applyProtection="0"/>
    <xf numFmtId="0" fontId="3" fillId="23" borderId="210" applyNumberFormat="0" applyFont="0" applyAlignment="0" applyProtection="0"/>
    <xf numFmtId="0" fontId="35" fillId="0" borderId="212" applyNumberFormat="0" applyFill="0" applyAlignment="0" applyProtection="0"/>
    <xf numFmtId="0" fontId="34" fillId="20" borderId="211" applyNumberFormat="0" applyAlignment="0" applyProtection="0"/>
    <xf numFmtId="0" fontId="31" fillId="7" borderId="209" applyNumberFormat="0" applyAlignment="0" applyProtection="0"/>
    <xf numFmtId="0" fontId="24" fillId="20" borderId="209" applyNumberFormat="0" applyAlignment="0" applyProtection="0"/>
    <xf numFmtId="0" fontId="34" fillId="20" borderId="211" applyNumberFormat="0" applyAlignment="0" applyProtection="0"/>
    <xf numFmtId="0" fontId="35" fillId="0" borderId="212" applyNumberFormat="0" applyFill="0" applyAlignment="0" applyProtection="0"/>
    <xf numFmtId="0" fontId="35" fillId="0" borderId="212" applyNumberFormat="0" applyFill="0" applyAlignment="0" applyProtection="0"/>
    <xf numFmtId="0" fontId="31" fillId="7" borderId="209" applyNumberFormat="0" applyAlignment="0" applyProtection="0"/>
    <xf numFmtId="0" fontId="31" fillId="7" borderId="209" applyNumberFormat="0" applyAlignment="0" applyProtection="0"/>
    <xf numFmtId="0" fontId="35" fillId="0" borderId="212" applyNumberFormat="0" applyFill="0" applyAlignment="0" applyProtection="0"/>
    <xf numFmtId="0" fontId="24" fillId="20" borderId="209" applyNumberFormat="0" applyAlignment="0" applyProtection="0"/>
    <xf numFmtId="0" fontId="35" fillId="0" borderId="212" applyNumberFormat="0" applyFill="0" applyAlignment="0" applyProtection="0"/>
    <xf numFmtId="0" fontId="34" fillId="20" borderId="211" applyNumberFormat="0" applyAlignment="0" applyProtection="0"/>
    <xf numFmtId="0" fontId="3" fillId="23" borderId="210" applyNumberFormat="0" applyFont="0" applyAlignment="0" applyProtection="0"/>
    <xf numFmtId="0" fontId="31" fillId="7" borderId="209" applyNumberFormat="0" applyAlignment="0" applyProtection="0"/>
    <xf numFmtId="0" fontId="24" fillId="20" borderId="209" applyNumberFormat="0" applyAlignment="0" applyProtection="0"/>
    <xf numFmtId="0" fontId="31" fillId="7" borderId="234" applyNumberFormat="0" applyAlignment="0" applyProtection="0"/>
    <xf numFmtId="0" fontId="24" fillId="20" borderId="209" applyNumberFormat="0" applyAlignment="0" applyProtection="0"/>
    <xf numFmtId="0" fontId="31" fillId="7" borderId="209" applyNumberFormat="0" applyAlignment="0" applyProtection="0"/>
    <xf numFmtId="0" fontId="3" fillId="23" borderId="210" applyNumberFormat="0" applyFont="0" applyAlignment="0" applyProtection="0"/>
    <xf numFmtId="0" fontId="34" fillId="20" borderId="211" applyNumberFormat="0" applyAlignment="0" applyProtection="0"/>
    <xf numFmtId="0" fontId="35" fillId="0" borderId="212" applyNumberFormat="0" applyFill="0" applyAlignment="0" applyProtection="0"/>
    <xf numFmtId="0" fontId="3" fillId="23" borderId="210" applyNumberFormat="0" applyFont="0" applyAlignment="0" applyProtection="0"/>
    <xf numFmtId="0" fontId="35" fillId="0" borderId="212" applyNumberFormat="0" applyFill="0" applyAlignment="0" applyProtection="0"/>
    <xf numFmtId="0" fontId="34" fillId="20" borderId="211" applyNumberFormat="0" applyAlignment="0" applyProtection="0"/>
    <xf numFmtId="0" fontId="3" fillId="23" borderId="210" applyNumberFormat="0" applyFont="0" applyAlignment="0" applyProtection="0"/>
    <xf numFmtId="0" fontId="31" fillId="7" borderId="209" applyNumberFormat="0" applyAlignment="0" applyProtection="0"/>
    <xf numFmtId="0" fontId="24" fillId="20" borderId="209" applyNumberFormat="0" applyAlignment="0" applyProtection="0"/>
    <xf numFmtId="0" fontId="3" fillId="23" borderId="210" applyNumberFormat="0" applyFont="0" applyAlignment="0" applyProtection="0"/>
    <xf numFmtId="0" fontId="3" fillId="23" borderId="210" applyNumberFormat="0" applyFont="0" applyAlignment="0" applyProtection="0"/>
    <xf numFmtId="0" fontId="3" fillId="23" borderId="210" applyNumberFormat="0" applyFont="0" applyAlignment="0" applyProtection="0"/>
    <xf numFmtId="0" fontId="31" fillId="7" borderId="209" applyNumberFormat="0" applyAlignment="0" applyProtection="0"/>
    <xf numFmtId="0" fontId="35" fillId="0" borderId="212" applyNumberFormat="0" applyFill="0" applyAlignment="0" applyProtection="0"/>
    <xf numFmtId="0" fontId="31" fillId="7" borderId="209" applyNumberFormat="0" applyAlignment="0" applyProtection="0"/>
    <xf numFmtId="0" fontId="34" fillId="20" borderId="211" applyNumberFormat="0" applyAlignment="0" applyProtection="0"/>
    <xf numFmtId="0" fontId="3" fillId="23" borderId="210" applyNumberFormat="0" applyFont="0" applyAlignment="0" applyProtection="0"/>
    <xf numFmtId="0" fontId="24" fillId="20" borderId="209" applyNumberFormat="0" applyAlignment="0" applyProtection="0"/>
    <xf numFmtId="0" fontId="3" fillId="23" borderId="210" applyNumberFormat="0" applyFont="0" applyAlignment="0" applyProtection="0"/>
    <xf numFmtId="0" fontId="3" fillId="23" borderId="210" applyNumberFormat="0" applyFont="0" applyAlignment="0" applyProtection="0"/>
    <xf numFmtId="0" fontId="3" fillId="23" borderId="210" applyNumberFormat="0" applyFont="0" applyAlignment="0" applyProtection="0"/>
    <xf numFmtId="0" fontId="34" fillId="20" borderId="211" applyNumberFormat="0" applyAlignment="0" applyProtection="0"/>
    <xf numFmtId="0" fontId="3" fillId="23" borderId="210" applyNumberFormat="0" applyFont="0" applyAlignment="0" applyProtection="0"/>
    <xf numFmtId="0" fontId="3" fillId="23" borderId="210" applyNumberFormat="0" applyFont="0" applyAlignment="0" applyProtection="0"/>
    <xf numFmtId="0" fontId="24" fillId="20" borderId="209" applyNumberFormat="0" applyAlignment="0" applyProtection="0"/>
    <xf numFmtId="0" fontId="34" fillId="20" borderId="211" applyNumberFormat="0" applyAlignment="0" applyProtection="0"/>
    <xf numFmtId="0" fontId="3" fillId="23" borderId="210" applyNumberFormat="0" applyFont="0" applyAlignment="0" applyProtection="0"/>
    <xf numFmtId="0" fontId="3" fillId="23" borderId="210" applyNumberFormat="0" applyFont="0" applyAlignment="0" applyProtection="0"/>
    <xf numFmtId="0" fontId="24" fillId="20" borderId="209" applyNumberFormat="0" applyAlignment="0" applyProtection="0"/>
    <xf numFmtId="0" fontId="3" fillId="23" borderId="210" applyNumberFormat="0" applyFont="0" applyAlignment="0" applyProtection="0"/>
    <xf numFmtId="0" fontId="35" fillId="0" borderId="212" applyNumberFormat="0" applyFill="0" applyAlignment="0" applyProtection="0"/>
    <xf numFmtId="0" fontId="34" fillId="20" borderId="211" applyNumberFormat="0" applyAlignment="0" applyProtection="0"/>
    <xf numFmtId="0" fontId="31" fillId="7" borderId="209" applyNumberFormat="0" applyAlignment="0" applyProtection="0"/>
    <xf numFmtId="0" fontId="24" fillId="20" borderId="209" applyNumberFormat="0" applyAlignment="0" applyProtection="0"/>
    <xf numFmtId="0" fontId="34" fillId="20" borderId="211" applyNumberFormat="0" applyAlignment="0" applyProtection="0"/>
    <xf numFmtId="0" fontId="35" fillId="0" borderId="212" applyNumberFormat="0" applyFill="0" applyAlignment="0" applyProtection="0"/>
    <xf numFmtId="0" fontId="35" fillId="0" borderId="212" applyNumberFormat="0" applyFill="0" applyAlignment="0" applyProtection="0"/>
    <xf numFmtId="0" fontId="31" fillId="7" borderId="209" applyNumberFormat="0" applyAlignment="0" applyProtection="0"/>
    <xf numFmtId="0" fontId="31" fillId="7" borderId="209" applyNumberFormat="0" applyAlignment="0" applyProtection="0"/>
    <xf numFmtId="0" fontId="35" fillId="0" borderId="212" applyNumberFormat="0" applyFill="0" applyAlignment="0" applyProtection="0"/>
    <xf numFmtId="0" fontId="24" fillId="20" borderId="209" applyNumberFormat="0" applyAlignment="0" applyProtection="0"/>
    <xf numFmtId="0" fontId="35" fillId="0" borderId="212" applyNumberFormat="0" applyFill="0" applyAlignment="0" applyProtection="0"/>
    <xf numFmtId="0" fontId="34" fillId="20" borderId="211" applyNumberFormat="0" applyAlignment="0" applyProtection="0"/>
    <xf numFmtId="0" fontId="3" fillId="23" borderId="210" applyNumberFormat="0" applyFont="0" applyAlignment="0" applyProtection="0"/>
    <xf numFmtId="0" fontId="31" fillId="7" borderId="209" applyNumberFormat="0" applyAlignment="0" applyProtection="0"/>
    <xf numFmtId="0" fontId="24" fillId="20" borderId="209" applyNumberFormat="0" applyAlignment="0" applyProtection="0"/>
    <xf numFmtId="0" fontId="3" fillId="23" borderId="210" applyNumberFormat="0" applyFont="0" applyAlignment="0" applyProtection="0"/>
    <xf numFmtId="0" fontId="35" fillId="0" borderId="212" applyNumberFormat="0" applyFill="0" applyAlignment="0" applyProtection="0"/>
    <xf numFmtId="0" fontId="34" fillId="20" borderId="211" applyNumberFormat="0" applyAlignment="0" applyProtection="0"/>
    <xf numFmtId="0" fontId="3" fillId="23" borderId="210" applyNumberFormat="0" applyFont="0" applyAlignment="0" applyProtection="0"/>
    <xf numFmtId="0" fontId="31" fillId="7" borderId="209" applyNumberFormat="0" applyAlignment="0" applyProtection="0"/>
    <xf numFmtId="0" fontId="24" fillId="20" borderId="209" applyNumberFormat="0" applyAlignment="0" applyProtection="0"/>
    <xf numFmtId="0" fontId="24" fillId="20" borderId="209" applyNumberFormat="0" applyAlignment="0" applyProtection="0"/>
    <xf numFmtId="0" fontId="31" fillId="7" borderId="209" applyNumberFormat="0" applyAlignment="0" applyProtection="0"/>
    <xf numFmtId="0" fontId="3" fillId="23" borderId="210" applyNumberFormat="0" applyFont="0" applyAlignment="0" applyProtection="0"/>
    <xf numFmtId="0" fontId="34" fillId="20" borderId="211" applyNumberFormat="0" applyAlignment="0" applyProtection="0"/>
    <xf numFmtId="0" fontId="35" fillId="0" borderId="212" applyNumberFormat="0" applyFill="0" applyAlignment="0" applyProtection="0"/>
    <xf numFmtId="0" fontId="3" fillId="23" borderId="210" applyNumberFormat="0" applyFont="0" applyAlignment="0" applyProtection="0"/>
    <xf numFmtId="0" fontId="35" fillId="0" borderId="212" applyNumberFormat="0" applyFill="0" applyAlignment="0" applyProtection="0"/>
    <xf numFmtId="0" fontId="34" fillId="20" borderId="211" applyNumberFormat="0" applyAlignment="0" applyProtection="0"/>
    <xf numFmtId="0" fontId="3" fillId="23" borderId="210" applyNumberFormat="0" applyFont="0" applyAlignment="0" applyProtection="0"/>
    <xf numFmtId="0" fontId="31" fillId="7" borderId="209" applyNumberFormat="0" applyAlignment="0" applyProtection="0"/>
    <xf numFmtId="0" fontId="24" fillId="20" borderId="209" applyNumberFormat="0" applyAlignment="0" applyProtection="0"/>
    <xf numFmtId="0" fontId="3" fillId="23" borderId="210" applyNumberFormat="0" applyFont="0" applyAlignment="0" applyProtection="0"/>
    <xf numFmtId="0" fontId="3" fillId="23" borderId="210" applyNumberFormat="0" applyFont="0" applyAlignment="0" applyProtection="0"/>
    <xf numFmtId="0" fontId="3" fillId="23" borderId="210" applyNumberFormat="0" applyFont="0" applyAlignment="0" applyProtection="0"/>
    <xf numFmtId="0" fontId="31" fillId="7" borderId="209" applyNumberFormat="0" applyAlignment="0" applyProtection="0"/>
    <xf numFmtId="0" fontId="35" fillId="0" borderId="212" applyNumberFormat="0" applyFill="0" applyAlignment="0" applyProtection="0"/>
    <xf numFmtId="0" fontId="31" fillId="7" borderId="209" applyNumberFormat="0" applyAlignment="0" applyProtection="0"/>
    <xf numFmtId="0" fontId="34" fillId="20" borderId="211" applyNumberFormat="0" applyAlignment="0" applyProtection="0"/>
    <xf numFmtId="0" fontId="3" fillId="23" borderId="210" applyNumberFormat="0" applyFont="0" applyAlignment="0" applyProtection="0"/>
    <xf numFmtId="0" fontId="24" fillId="20" borderId="209" applyNumberFormat="0" applyAlignment="0" applyProtection="0"/>
    <xf numFmtId="0" fontId="3" fillId="23" borderId="210" applyNumberFormat="0" applyFont="0" applyAlignment="0" applyProtection="0"/>
    <xf numFmtId="0" fontId="3" fillId="23" borderId="210" applyNumberFormat="0" applyFont="0" applyAlignment="0" applyProtection="0"/>
    <xf numFmtId="0" fontId="3" fillId="23" borderId="210" applyNumberFormat="0" applyFont="0" applyAlignment="0" applyProtection="0"/>
    <xf numFmtId="0" fontId="34" fillId="20" borderId="211" applyNumberFormat="0" applyAlignment="0" applyProtection="0"/>
    <xf numFmtId="0" fontId="3" fillId="23" borderId="210" applyNumberFormat="0" applyFont="0" applyAlignment="0" applyProtection="0"/>
    <xf numFmtId="0" fontId="3" fillId="23" borderId="210" applyNumberFormat="0" applyFont="0" applyAlignment="0" applyProtection="0"/>
    <xf numFmtId="0" fontId="24" fillId="20" borderId="209" applyNumberFormat="0" applyAlignment="0" applyProtection="0"/>
    <xf numFmtId="0" fontId="34" fillId="20" borderId="211" applyNumberFormat="0" applyAlignment="0" applyProtection="0"/>
    <xf numFmtId="0" fontId="3" fillId="23" borderId="210" applyNumberFormat="0" applyFont="0" applyAlignment="0" applyProtection="0"/>
    <xf numFmtId="0" fontId="3" fillId="23" borderId="210" applyNumberFormat="0" applyFont="0" applyAlignment="0" applyProtection="0"/>
    <xf numFmtId="0" fontId="24" fillId="20" borderId="209" applyNumberFormat="0" applyAlignment="0" applyProtection="0"/>
    <xf numFmtId="0" fontId="3" fillId="23" borderId="210" applyNumberFormat="0" applyFont="0" applyAlignment="0" applyProtection="0"/>
    <xf numFmtId="0" fontId="35" fillId="0" borderId="212" applyNumberFormat="0" applyFill="0" applyAlignment="0" applyProtection="0"/>
    <xf numFmtId="0" fontId="34" fillId="20" borderId="211" applyNumberFormat="0" applyAlignment="0" applyProtection="0"/>
    <xf numFmtId="0" fontId="31" fillId="7" borderId="209" applyNumberFormat="0" applyAlignment="0" applyProtection="0"/>
    <xf numFmtId="0" fontId="24" fillId="20" borderId="209" applyNumberFormat="0" applyAlignment="0" applyProtection="0"/>
    <xf numFmtId="0" fontId="34" fillId="20" borderId="211" applyNumberFormat="0" applyAlignment="0" applyProtection="0"/>
    <xf numFmtId="0" fontId="35" fillId="0" borderId="212" applyNumberFormat="0" applyFill="0" applyAlignment="0" applyProtection="0"/>
    <xf numFmtId="0" fontId="35" fillId="0" borderId="212" applyNumberFormat="0" applyFill="0" applyAlignment="0" applyProtection="0"/>
    <xf numFmtId="0" fontId="31" fillId="7" borderId="209" applyNumberFormat="0" applyAlignment="0" applyProtection="0"/>
    <xf numFmtId="0" fontId="31" fillId="7" borderId="209" applyNumberFormat="0" applyAlignment="0" applyProtection="0"/>
    <xf numFmtId="0" fontId="35" fillId="0" borderId="212" applyNumberFormat="0" applyFill="0" applyAlignment="0" applyProtection="0"/>
    <xf numFmtId="0" fontId="24" fillId="20" borderId="209" applyNumberFormat="0" applyAlignment="0" applyProtection="0"/>
    <xf numFmtId="0" fontId="35" fillId="0" borderId="212" applyNumberFormat="0" applyFill="0" applyAlignment="0" applyProtection="0"/>
    <xf numFmtId="0" fontId="34" fillId="20" borderId="211" applyNumberFormat="0" applyAlignment="0" applyProtection="0"/>
    <xf numFmtId="0" fontId="3" fillId="23" borderId="210" applyNumberFormat="0" applyFont="0" applyAlignment="0" applyProtection="0"/>
    <xf numFmtId="0" fontId="31" fillId="7" borderId="209" applyNumberFormat="0" applyAlignment="0" applyProtection="0"/>
    <xf numFmtId="0" fontId="24" fillId="20" borderId="209" applyNumberFormat="0" applyAlignment="0" applyProtection="0"/>
    <xf numFmtId="0" fontId="3" fillId="23" borderId="210" applyNumberFormat="0" applyFont="0" applyAlignment="0" applyProtection="0"/>
    <xf numFmtId="0" fontId="35" fillId="0" borderId="212" applyNumberFormat="0" applyFill="0" applyAlignment="0" applyProtection="0"/>
    <xf numFmtId="0" fontId="34" fillId="20" borderId="211" applyNumberFormat="0" applyAlignment="0" applyProtection="0"/>
    <xf numFmtId="0" fontId="3" fillId="23" borderId="210" applyNumberFormat="0" applyFont="0" applyAlignment="0" applyProtection="0"/>
    <xf numFmtId="0" fontId="31" fillId="7" borderId="209" applyNumberFormat="0" applyAlignment="0" applyProtection="0"/>
    <xf numFmtId="0" fontId="24" fillId="20" borderId="209" applyNumberFormat="0" applyAlignment="0" applyProtection="0"/>
    <xf numFmtId="0" fontId="24" fillId="20" borderId="209" applyNumberFormat="0" applyAlignment="0" applyProtection="0"/>
    <xf numFmtId="0" fontId="31" fillId="7" borderId="209" applyNumberFormat="0" applyAlignment="0" applyProtection="0"/>
    <xf numFmtId="0" fontId="3" fillId="23" borderId="210" applyNumberFormat="0" applyFont="0" applyAlignment="0" applyProtection="0"/>
    <xf numFmtId="0" fontId="34" fillId="20" borderId="211" applyNumberFormat="0" applyAlignment="0" applyProtection="0"/>
    <xf numFmtId="0" fontId="35" fillId="0" borderId="212" applyNumberFormat="0" applyFill="0" applyAlignment="0" applyProtection="0"/>
    <xf numFmtId="0" fontId="3" fillId="23" borderId="210" applyNumberFormat="0" applyFont="0" applyAlignment="0" applyProtection="0"/>
    <xf numFmtId="0" fontId="35" fillId="0" borderId="212" applyNumberFormat="0" applyFill="0" applyAlignment="0" applyProtection="0"/>
    <xf numFmtId="0" fontId="34" fillId="20" borderId="211" applyNumberFormat="0" applyAlignment="0" applyProtection="0"/>
    <xf numFmtId="0" fontId="3" fillId="23" borderId="210" applyNumberFormat="0" applyFont="0" applyAlignment="0" applyProtection="0"/>
    <xf numFmtId="0" fontId="31" fillId="7" borderId="209" applyNumberFormat="0" applyAlignment="0" applyProtection="0"/>
    <xf numFmtId="0" fontId="24" fillId="20" borderId="209" applyNumberFormat="0" applyAlignment="0" applyProtection="0"/>
    <xf numFmtId="0" fontId="3" fillId="23" borderId="210" applyNumberFormat="0" applyFont="0" applyAlignment="0" applyProtection="0"/>
    <xf numFmtId="0" fontId="3" fillId="23" borderId="210" applyNumberFormat="0" applyFont="0" applyAlignment="0" applyProtection="0"/>
    <xf numFmtId="0" fontId="3" fillId="23" borderId="210" applyNumberFormat="0" applyFont="0" applyAlignment="0" applyProtection="0"/>
    <xf numFmtId="0" fontId="31" fillId="7" borderId="209" applyNumberFormat="0" applyAlignment="0" applyProtection="0"/>
    <xf numFmtId="0" fontId="35" fillId="0" borderId="212" applyNumberFormat="0" applyFill="0" applyAlignment="0" applyProtection="0"/>
    <xf numFmtId="0" fontId="31" fillId="7" borderId="209" applyNumberFormat="0" applyAlignment="0" applyProtection="0"/>
    <xf numFmtId="0" fontId="34" fillId="20" borderId="211" applyNumberFormat="0" applyAlignment="0" applyProtection="0"/>
    <xf numFmtId="0" fontId="3" fillId="23" borderId="210" applyNumberFormat="0" applyFont="0" applyAlignment="0" applyProtection="0"/>
    <xf numFmtId="0" fontId="24" fillId="20" borderId="209" applyNumberFormat="0" applyAlignment="0" applyProtection="0"/>
    <xf numFmtId="0" fontId="3" fillId="23" borderId="210" applyNumberFormat="0" applyFont="0" applyAlignment="0" applyProtection="0"/>
    <xf numFmtId="0" fontId="3" fillId="23" borderId="210" applyNumberFormat="0" applyFont="0" applyAlignment="0" applyProtection="0"/>
    <xf numFmtId="0" fontId="3" fillId="23" borderId="210" applyNumberFormat="0" applyFont="0" applyAlignment="0" applyProtection="0"/>
    <xf numFmtId="0" fontId="34" fillId="20" borderId="211" applyNumberFormat="0" applyAlignment="0" applyProtection="0"/>
    <xf numFmtId="0" fontId="3" fillId="23" borderId="210" applyNumberFormat="0" applyFont="0" applyAlignment="0" applyProtection="0"/>
    <xf numFmtId="0" fontId="3" fillId="23" borderId="210" applyNumberFormat="0" applyFont="0" applyAlignment="0" applyProtection="0"/>
    <xf numFmtId="0" fontId="24" fillId="20" borderId="209" applyNumberFormat="0" applyAlignment="0" applyProtection="0"/>
    <xf numFmtId="0" fontId="34" fillId="20" borderId="211" applyNumberFormat="0" applyAlignment="0" applyProtection="0"/>
    <xf numFmtId="0" fontId="3" fillId="23" borderId="210" applyNumberFormat="0" applyFont="0" applyAlignment="0" applyProtection="0"/>
    <xf numFmtId="0" fontId="3" fillId="23" borderId="210" applyNumberFormat="0" applyFont="0" applyAlignment="0" applyProtection="0"/>
    <xf numFmtId="0" fontId="24" fillId="20" borderId="209" applyNumberFormat="0" applyAlignment="0" applyProtection="0"/>
    <xf numFmtId="0" fontId="3" fillId="23" borderId="210" applyNumberFormat="0" applyFont="0" applyAlignment="0" applyProtection="0"/>
    <xf numFmtId="0" fontId="35" fillId="0" borderId="212" applyNumberFormat="0" applyFill="0" applyAlignment="0" applyProtection="0"/>
    <xf numFmtId="0" fontId="34" fillId="20" borderId="211" applyNumberFormat="0" applyAlignment="0" applyProtection="0"/>
    <xf numFmtId="0" fontId="31" fillId="7" borderId="209" applyNumberFormat="0" applyAlignment="0" applyProtection="0"/>
    <xf numFmtId="0" fontId="24" fillId="20" borderId="209" applyNumberFormat="0" applyAlignment="0" applyProtection="0"/>
    <xf numFmtId="0" fontId="34" fillId="20" borderId="211" applyNumberFormat="0" applyAlignment="0" applyProtection="0"/>
    <xf numFmtId="0" fontId="35" fillId="0" borderId="212" applyNumberFormat="0" applyFill="0" applyAlignment="0" applyProtection="0"/>
    <xf numFmtId="0" fontId="35" fillId="0" borderId="212" applyNumberFormat="0" applyFill="0" applyAlignment="0" applyProtection="0"/>
    <xf numFmtId="0" fontId="31" fillId="7" borderId="209" applyNumberFormat="0" applyAlignment="0" applyProtection="0"/>
    <xf numFmtId="0" fontId="31" fillId="7" borderId="209" applyNumberFormat="0" applyAlignment="0" applyProtection="0"/>
    <xf numFmtId="0" fontId="35" fillId="0" borderId="212" applyNumberFormat="0" applyFill="0" applyAlignment="0" applyProtection="0"/>
    <xf numFmtId="0" fontId="24" fillId="20" borderId="209" applyNumberFormat="0" applyAlignment="0" applyProtection="0"/>
    <xf numFmtId="0" fontId="35" fillId="0" borderId="212" applyNumberFormat="0" applyFill="0" applyAlignment="0" applyProtection="0"/>
    <xf numFmtId="0" fontId="34" fillId="20" borderId="211" applyNumberFormat="0" applyAlignment="0" applyProtection="0"/>
    <xf numFmtId="0" fontId="3" fillId="23" borderId="210" applyNumberFormat="0" applyFont="0" applyAlignment="0" applyProtection="0"/>
    <xf numFmtId="0" fontId="31" fillId="7" borderId="209" applyNumberFormat="0" applyAlignment="0" applyProtection="0"/>
    <xf numFmtId="0" fontId="24" fillId="20" borderId="209" applyNumberFormat="0" applyAlignment="0" applyProtection="0"/>
    <xf numFmtId="0" fontId="24" fillId="20" borderId="209" applyNumberFormat="0" applyAlignment="0" applyProtection="0"/>
    <xf numFmtId="0" fontId="31" fillId="7" borderId="209" applyNumberFormat="0" applyAlignment="0" applyProtection="0"/>
    <xf numFmtId="0" fontId="3" fillId="23" borderId="210" applyNumberFormat="0" applyFont="0" applyAlignment="0" applyProtection="0"/>
    <xf numFmtId="0" fontId="34" fillId="20" borderId="211" applyNumberFormat="0" applyAlignment="0" applyProtection="0"/>
    <xf numFmtId="0" fontId="35" fillId="0" borderId="212" applyNumberFormat="0" applyFill="0" applyAlignment="0" applyProtection="0"/>
    <xf numFmtId="0" fontId="3" fillId="23" borderId="210" applyNumberFormat="0" applyFont="0" applyAlignment="0" applyProtection="0"/>
    <xf numFmtId="0" fontId="35" fillId="0" borderId="212" applyNumberFormat="0" applyFill="0" applyAlignment="0" applyProtection="0"/>
    <xf numFmtId="0" fontId="34" fillId="20" borderId="211" applyNumberFormat="0" applyAlignment="0" applyProtection="0"/>
    <xf numFmtId="0" fontId="3" fillId="23" borderId="210" applyNumberFormat="0" applyFont="0" applyAlignment="0" applyProtection="0"/>
    <xf numFmtId="0" fontId="31" fillId="7" borderId="209" applyNumberFormat="0" applyAlignment="0" applyProtection="0"/>
    <xf numFmtId="0" fontId="24" fillId="20" borderId="209" applyNumberFormat="0" applyAlignment="0" applyProtection="0"/>
    <xf numFmtId="0" fontId="3" fillId="23" borderId="210" applyNumberFormat="0" applyFont="0" applyAlignment="0" applyProtection="0"/>
    <xf numFmtId="0" fontId="3" fillId="23" borderId="210" applyNumberFormat="0" applyFont="0" applyAlignment="0" applyProtection="0"/>
    <xf numFmtId="0" fontId="3" fillId="23" borderId="210" applyNumberFormat="0" applyFont="0" applyAlignment="0" applyProtection="0"/>
    <xf numFmtId="0" fontId="31" fillId="7" borderId="209" applyNumberFormat="0" applyAlignment="0" applyProtection="0"/>
    <xf numFmtId="0" fontId="35" fillId="0" borderId="212" applyNumberFormat="0" applyFill="0" applyAlignment="0" applyProtection="0"/>
    <xf numFmtId="0" fontId="31" fillId="7" borderId="209" applyNumberFormat="0" applyAlignment="0" applyProtection="0"/>
    <xf numFmtId="0" fontId="34" fillId="20" borderId="211" applyNumberFormat="0" applyAlignment="0" applyProtection="0"/>
    <xf numFmtId="0" fontId="3" fillId="23" borderId="210" applyNumberFormat="0" applyFont="0" applyAlignment="0" applyProtection="0"/>
    <xf numFmtId="0" fontId="24" fillId="20" borderId="209" applyNumberFormat="0" applyAlignment="0" applyProtection="0"/>
    <xf numFmtId="0" fontId="3" fillId="23" borderId="210" applyNumberFormat="0" applyFont="0" applyAlignment="0" applyProtection="0"/>
    <xf numFmtId="0" fontId="3" fillId="23" borderId="210" applyNumberFormat="0" applyFont="0" applyAlignment="0" applyProtection="0"/>
    <xf numFmtId="0" fontId="3" fillId="23" borderId="210" applyNumberFormat="0" applyFont="0" applyAlignment="0" applyProtection="0"/>
    <xf numFmtId="0" fontId="34" fillId="20" borderId="211" applyNumberFormat="0" applyAlignment="0" applyProtection="0"/>
    <xf numFmtId="0" fontId="3" fillId="23" borderId="210" applyNumberFormat="0" applyFont="0" applyAlignment="0" applyProtection="0"/>
    <xf numFmtId="0" fontId="3" fillId="23" borderId="210" applyNumberFormat="0" applyFont="0" applyAlignment="0" applyProtection="0"/>
    <xf numFmtId="0" fontId="24" fillId="20" borderId="209" applyNumberFormat="0" applyAlignment="0" applyProtection="0"/>
    <xf numFmtId="0" fontId="34" fillId="20" borderId="211" applyNumberFormat="0" applyAlignment="0" applyProtection="0"/>
    <xf numFmtId="0" fontId="3" fillId="23" borderId="210" applyNumberFormat="0" applyFont="0" applyAlignment="0" applyProtection="0"/>
    <xf numFmtId="0" fontId="3" fillId="23" borderId="210" applyNumberFormat="0" applyFont="0" applyAlignment="0" applyProtection="0"/>
    <xf numFmtId="0" fontId="24" fillId="20" borderId="209" applyNumberFormat="0" applyAlignment="0" applyProtection="0"/>
    <xf numFmtId="0" fontId="3" fillId="23" borderId="210" applyNumberFormat="0" applyFont="0" applyAlignment="0" applyProtection="0"/>
    <xf numFmtId="0" fontId="35" fillId="0" borderId="212" applyNumberFormat="0" applyFill="0" applyAlignment="0" applyProtection="0"/>
    <xf numFmtId="0" fontId="34" fillId="20" borderId="211" applyNumberFormat="0" applyAlignment="0" applyProtection="0"/>
    <xf numFmtId="0" fontId="31" fillId="7" borderId="209" applyNumberFormat="0" applyAlignment="0" applyProtection="0"/>
    <xf numFmtId="0" fontId="24" fillId="20" borderId="209" applyNumberFormat="0" applyAlignment="0" applyProtection="0"/>
    <xf numFmtId="0" fontId="34" fillId="20" borderId="211" applyNumberFormat="0" applyAlignment="0" applyProtection="0"/>
    <xf numFmtId="0" fontId="35" fillId="0" borderId="212" applyNumberFormat="0" applyFill="0" applyAlignment="0" applyProtection="0"/>
    <xf numFmtId="0" fontId="35" fillId="0" borderId="212" applyNumberFormat="0" applyFill="0" applyAlignment="0" applyProtection="0"/>
    <xf numFmtId="0" fontId="31" fillId="7" borderId="209" applyNumberFormat="0" applyAlignment="0" applyProtection="0"/>
    <xf numFmtId="0" fontId="31" fillId="7" borderId="209" applyNumberFormat="0" applyAlignment="0" applyProtection="0"/>
    <xf numFmtId="0" fontId="35" fillId="0" borderId="212" applyNumberFormat="0" applyFill="0" applyAlignment="0" applyProtection="0"/>
    <xf numFmtId="0" fontId="24" fillId="20" borderId="209" applyNumberFormat="0" applyAlignment="0" applyProtection="0"/>
    <xf numFmtId="0" fontId="35" fillId="0" borderId="212" applyNumberFormat="0" applyFill="0" applyAlignment="0" applyProtection="0"/>
    <xf numFmtId="0" fontId="34" fillId="20" borderId="211" applyNumberFormat="0" applyAlignment="0" applyProtection="0"/>
    <xf numFmtId="0" fontId="3" fillId="23" borderId="210" applyNumberFormat="0" applyFont="0" applyAlignment="0" applyProtection="0"/>
    <xf numFmtId="0" fontId="31" fillId="7" borderId="209" applyNumberFormat="0" applyAlignment="0" applyProtection="0"/>
    <xf numFmtId="0" fontId="24" fillId="20" borderId="209" applyNumberFormat="0" applyAlignment="0" applyProtection="0"/>
    <xf numFmtId="0" fontId="3" fillId="23" borderId="213" applyNumberFormat="0" applyFont="0" applyAlignment="0" applyProtection="0"/>
    <xf numFmtId="0" fontId="24" fillId="20" borderId="214" applyNumberFormat="0" applyAlignment="0" applyProtection="0"/>
    <xf numFmtId="0" fontId="31" fillId="7" borderId="214" applyNumberFormat="0" applyAlignment="0" applyProtection="0"/>
    <xf numFmtId="0" fontId="3" fillId="23" borderId="215" applyNumberFormat="0" applyFont="0" applyAlignment="0" applyProtection="0"/>
    <xf numFmtId="0" fontId="34" fillId="20" borderId="216" applyNumberFormat="0" applyAlignment="0" applyProtection="0"/>
    <xf numFmtId="0" fontId="35" fillId="0" borderId="217" applyNumberFormat="0" applyFill="0" applyAlignment="0" applyProtection="0"/>
    <xf numFmtId="0" fontId="3" fillId="23" borderId="215" applyNumberFormat="0" applyFont="0" applyAlignment="0" applyProtection="0"/>
    <xf numFmtId="0" fontId="35" fillId="0" borderId="217" applyNumberFormat="0" applyFill="0" applyAlignment="0" applyProtection="0"/>
    <xf numFmtId="0" fontId="34" fillId="20" borderId="216" applyNumberFormat="0" applyAlignment="0" applyProtection="0"/>
    <xf numFmtId="0" fontId="3" fillId="23" borderId="215" applyNumberFormat="0" applyFont="0" applyAlignment="0" applyProtection="0"/>
    <xf numFmtId="0" fontId="31" fillId="7" borderId="214" applyNumberFormat="0" applyAlignment="0" applyProtection="0"/>
    <xf numFmtId="0" fontId="24" fillId="20" borderId="214" applyNumberFormat="0" applyAlignment="0" applyProtection="0"/>
    <xf numFmtId="0" fontId="3" fillId="23" borderId="215" applyNumberFormat="0" applyFont="0" applyAlignment="0" applyProtection="0"/>
    <xf numFmtId="0" fontId="3" fillId="23" borderId="215" applyNumberFormat="0" applyFont="0" applyAlignment="0" applyProtection="0"/>
    <xf numFmtId="0" fontId="3" fillId="23" borderId="215" applyNumberFormat="0" applyFont="0" applyAlignment="0" applyProtection="0"/>
    <xf numFmtId="0" fontId="31" fillId="7" borderId="214" applyNumberFormat="0" applyAlignment="0" applyProtection="0"/>
    <xf numFmtId="0" fontId="35" fillId="0" borderId="217" applyNumberFormat="0" applyFill="0" applyAlignment="0" applyProtection="0"/>
    <xf numFmtId="0" fontId="31" fillId="7" borderId="214" applyNumberFormat="0" applyAlignment="0" applyProtection="0"/>
    <xf numFmtId="0" fontId="34" fillId="20" borderId="216" applyNumberFormat="0" applyAlignment="0" applyProtection="0"/>
    <xf numFmtId="0" fontId="3" fillId="23" borderId="215" applyNumberFormat="0" applyFont="0" applyAlignment="0" applyProtection="0"/>
    <xf numFmtId="0" fontId="24" fillId="20" borderId="214" applyNumberFormat="0" applyAlignment="0" applyProtection="0"/>
    <xf numFmtId="0" fontId="3" fillId="23" borderId="215" applyNumberFormat="0" applyFont="0" applyAlignment="0" applyProtection="0"/>
    <xf numFmtId="0" fontId="3" fillId="23" borderId="215" applyNumberFormat="0" applyFont="0" applyAlignment="0" applyProtection="0"/>
    <xf numFmtId="0" fontId="3" fillId="23" borderId="215" applyNumberFormat="0" applyFont="0" applyAlignment="0" applyProtection="0"/>
    <xf numFmtId="0" fontId="34" fillId="20" borderId="216" applyNumberFormat="0" applyAlignment="0" applyProtection="0"/>
    <xf numFmtId="0" fontId="3" fillId="23" borderId="215" applyNumberFormat="0" applyFont="0" applyAlignment="0" applyProtection="0"/>
    <xf numFmtId="0" fontId="3" fillId="23" borderId="215" applyNumberFormat="0" applyFont="0" applyAlignment="0" applyProtection="0"/>
    <xf numFmtId="0" fontId="24" fillId="20" borderId="214" applyNumberFormat="0" applyAlignment="0" applyProtection="0"/>
    <xf numFmtId="0" fontId="34" fillId="20" borderId="216" applyNumberFormat="0" applyAlignment="0" applyProtection="0"/>
    <xf numFmtId="0" fontId="3" fillId="23" borderId="215" applyNumberFormat="0" applyFont="0" applyAlignment="0" applyProtection="0"/>
    <xf numFmtId="0" fontId="3" fillId="23" borderId="215" applyNumberFormat="0" applyFont="0" applyAlignment="0" applyProtection="0"/>
    <xf numFmtId="0" fontId="24" fillId="20" borderId="214" applyNumberFormat="0" applyAlignment="0" applyProtection="0"/>
    <xf numFmtId="0" fontId="3" fillId="23" borderId="215" applyNumberFormat="0" applyFont="0" applyAlignment="0" applyProtection="0"/>
    <xf numFmtId="0" fontId="35" fillId="0" borderId="217" applyNumberFormat="0" applyFill="0" applyAlignment="0" applyProtection="0"/>
    <xf numFmtId="0" fontId="34" fillId="20" borderId="216" applyNumberFormat="0" applyAlignment="0" applyProtection="0"/>
    <xf numFmtId="0" fontId="31" fillId="7" borderId="214" applyNumberFormat="0" applyAlignment="0" applyProtection="0"/>
    <xf numFmtId="0" fontId="24" fillId="20" borderId="214" applyNumberFormat="0" applyAlignment="0" applyProtection="0"/>
    <xf numFmtId="0" fontId="34" fillId="20" borderId="216" applyNumberFormat="0" applyAlignment="0" applyProtection="0"/>
    <xf numFmtId="0" fontId="35" fillId="0" borderId="217" applyNumberFormat="0" applyFill="0" applyAlignment="0" applyProtection="0"/>
    <xf numFmtId="0" fontId="35" fillId="0" borderId="217" applyNumberFormat="0" applyFill="0" applyAlignment="0" applyProtection="0"/>
    <xf numFmtId="0" fontId="31" fillId="7" borderId="214" applyNumberFormat="0" applyAlignment="0" applyProtection="0"/>
    <xf numFmtId="0" fontId="31" fillId="7" borderId="214" applyNumberFormat="0" applyAlignment="0" applyProtection="0"/>
    <xf numFmtId="0" fontId="35" fillId="0" borderId="217" applyNumberFormat="0" applyFill="0" applyAlignment="0" applyProtection="0"/>
    <xf numFmtId="0" fontId="24" fillId="20" borderId="214" applyNumberFormat="0" applyAlignment="0" applyProtection="0"/>
    <xf numFmtId="0" fontId="35" fillId="0" borderId="217" applyNumberFormat="0" applyFill="0" applyAlignment="0" applyProtection="0"/>
    <xf numFmtId="0" fontId="34" fillId="20" borderId="216" applyNumberFormat="0" applyAlignment="0" applyProtection="0"/>
    <xf numFmtId="0" fontId="3" fillId="23" borderId="215" applyNumberFormat="0" applyFont="0" applyAlignment="0" applyProtection="0"/>
    <xf numFmtId="0" fontId="31" fillId="7" borderId="214" applyNumberFormat="0" applyAlignment="0" applyProtection="0"/>
    <xf numFmtId="0" fontId="24" fillId="20" borderId="214" applyNumberFormat="0" applyAlignment="0" applyProtection="0"/>
    <xf numFmtId="0" fontId="3" fillId="23" borderId="213" applyNumberFormat="0" applyFont="0" applyAlignment="0" applyProtection="0"/>
    <xf numFmtId="0" fontId="24" fillId="20" borderId="214" applyNumberFormat="0" applyAlignment="0" applyProtection="0"/>
    <xf numFmtId="0" fontId="31" fillId="7" borderId="214" applyNumberFormat="0" applyAlignment="0" applyProtection="0"/>
    <xf numFmtId="0" fontId="3" fillId="23" borderId="215" applyNumberFormat="0" applyFont="0" applyAlignment="0" applyProtection="0"/>
    <xf numFmtId="0" fontId="34" fillId="20" borderId="216" applyNumberFormat="0" applyAlignment="0" applyProtection="0"/>
    <xf numFmtId="0" fontId="35" fillId="0" borderId="217" applyNumberFormat="0" applyFill="0" applyAlignment="0" applyProtection="0"/>
    <xf numFmtId="0" fontId="3" fillId="23" borderId="215" applyNumberFormat="0" applyFont="0" applyAlignment="0" applyProtection="0"/>
    <xf numFmtId="0" fontId="35" fillId="0" borderId="217" applyNumberFormat="0" applyFill="0" applyAlignment="0" applyProtection="0"/>
    <xf numFmtId="0" fontId="34" fillId="20" borderId="216" applyNumberFormat="0" applyAlignment="0" applyProtection="0"/>
    <xf numFmtId="0" fontId="3" fillId="23" borderId="215" applyNumberFormat="0" applyFont="0" applyAlignment="0" applyProtection="0"/>
    <xf numFmtId="0" fontId="31" fillId="7" borderId="214" applyNumberFormat="0" applyAlignment="0" applyProtection="0"/>
    <xf numFmtId="0" fontId="24" fillId="20" borderId="214" applyNumberFormat="0" applyAlignment="0" applyProtection="0"/>
    <xf numFmtId="0" fontId="3" fillId="23" borderId="215" applyNumberFormat="0" applyFont="0" applyAlignment="0" applyProtection="0"/>
    <xf numFmtId="0" fontId="3" fillId="23" borderId="215" applyNumberFormat="0" applyFont="0" applyAlignment="0" applyProtection="0"/>
    <xf numFmtId="0" fontId="3" fillId="23" borderId="215" applyNumberFormat="0" applyFont="0" applyAlignment="0" applyProtection="0"/>
    <xf numFmtId="0" fontId="31" fillId="7" borderId="214" applyNumberFormat="0" applyAlignment="0" applyProtection="0"/>
    <xf numFmtId="0" fontId="35" fillId="0" borderId="217" applyNumberFormat="0" applyFill="0" applyAlignment="0" applyProtection="0"/>
    <xf numFmtId="0" fontId="31" fillId="7" borderId="214" applyNumberFormat="0" applyAlignment="0" applyProtection="0"/>
    <xf numFmtId="0" fontId="34" fillId="20" borderId="216" applyNumberFormat="0" applyAlignment="0" applyProtection="0"/>
    <xf numFmtId="0" fontId="3" fillId="23" borderId="215" applyNumberFormat="0" applyFont="0" applyAlignment="0" applyProtection="0"/>
    <xf numFmtId="0" fontId="24" fillId="20" borderId="214" applyNumberFormat="0" applyAlignment="0" applyProtection="0"/>
    <xf numFmtId="0" fontId="3" fillId="23" borderId="215" applyNumberFormat="0" applyFont="0" applyAlignment="0" applyProtection="0"/>
    <xf numFmtId="0" fontId="3" fillId="23" borderId="215" applyNumberFormat="0" applyFont="0" applyAlignment="0" applyProtection="0"/>
    <xf numFmtId="0" fontId="3" fillId="23" borderId="215" applyNumberFormat="0" applyFont="0" applyAlignment="0" applyProtection="0"/>
    <xf numFmtId="0" fontId="34" fillId="20" borderId="216" applyNumberFormat="0" applyAlignment="0" applyProtection="0"/>
    <xf numFmtId="0" fontId="3" fillId="23" borderId="215" applyNumberFormat="0" applyFont="0" applyAlignment="0" applyProtection="0"/>
    <xf numFmtId="0" fontId="3" fillId="23" borderId="215" applyNumberFormat="0" applyFont="0" applyAlignment="0" applyProtection="0"/>
    <xf numFmtId="0" fontId="24" fillId="20" borderId="214" applyNumberFormat="0" applyAlignment="0" applyProtection="0"/>
    <xf numFmtId="0" fontId="34" fillId="20" borderId="216" applyNumberFormat="0" applyAlignment="0" applyProtection="0"/>
    <xf numFmtId="0" fontId="3" fillId="23" borderId="215" applyNumberFormat="0" applyFont="0" applyAlignment="0" applyProtection="0"/>
    <xf numFmtId="0" fontId="3" fillId="23" borderId="215" applyNumberFormat="0" applyFont="0" applyAlignment="0" applyProtection="0"/>
    <xf numFmtId="0" fontId="24" fillId="20" borderId="214" applyNumberFormat="0" applyAlignment="0" applyProtection="0"/>
    <xf numFmtId="0" fontId="3" fillId="23" borderId="215" applyNumberFormat="0" applyFont="0" applyAlignment="0" applyProtection="0"/>
    <xf numFmtId="0" fontId="35" fillId="0" borderId="217" applyNumberFormat="0" applyFill="0" applyAlignment="0" applyProtection="0"/>
    <xf numFmtId="0" fontId="34" fillId="20" borderId="216" applyNumberFormat="0" applyAlignment="0" applyProtection="0"/>
    <xf numFmtId="0" fontId="31" fillId="7" borderId="214" applyNumberFormat="0" applyAlignment="0" applyProtection="0"/>
    <xf numFmtId="0" fontId="24" fillId="20" borderId="214" applyNumberFormat="0" applyAlignment="0" applyProtection="0"/>
    <xf numFmtId="0" fontId="34" fillId="20" borderId="216" applyNumberFormat="0" applyAlignment="0" applyProtection="0"/>
    <xf numFmtId="0" fontId="35" fillId="0" borderId="217" applyNumberFormat="0" applyFill="0" applyAlignment="0" applyProtection="0"/>
    <xf numFmtId="0" fontId="35" fillId="0" borderId="217" applyNumberFormat="0" applyFill="0" applyAlignment="0" applyProtection="0"/>
    <xf numFmtId="0" fontId="31" fillId="7" borderId="214" applyNumberFormat="0" applyAlignment="0" applyProtection="0"/>
    <xf numFmtId="0" fontId="31" fillId="7" borderId="214" applyNumberFormat="0" applyAlignment="0" applyProtection="0"/>
    <xf numFmtId="0" fontId="35" fillId="0" borderId="217" applyNumberFormat="0" applyFill="0" applyAlignment="0" applyProtection="0"/>
    <xf numFmtId="0" fontId="24" fillId="20" borderId="214" applyNumberFormat="0" applyAlignment="0" applyProtection="0"/>
    <xf numFmtId="0" fontId="35" fillId="0" borderId="217" applyNumberFormat="0" applyFill="0" applyAlignment="0" applyProtection="0"/>
    <xf numFmtId="0" fontId="34" fillId="20" borderId="216" applyNumberFormat="0" applyAlignment="0" applyProtection="0"/>
    <xf numFmtId="0" fontId="3" fillId="23" borderId="215" applyNumberFormat="0" applyFont="0" applyAlignment="0" applyProtection="0"/>
    <xf numFmtId="0" fontId="31" fillId="7" borderId="214" applyNumberFormat="0" applyAlignment="0" applyProtection="0"/>
    <xf numFmtId="0" fontId="24" fillId="20" borderId="214" applyNumberFormat="0" applyAlignment="0" applyProtection="0"/>
    <xf numFmtId="0" fontId="3" fillId="23" borderId="215" applyNumberFormat="0" applyFont="0" applyAlignment="0" applyProtection="0"/>
    <xf numFmtId="0" fontId="35" fillId="0" borderId="217" applyNumberFormat="0" applyFill="0" applyAlignment="0" applyProtection="0"/>
    <xf numFmtId="0" fontId="34" fillId="20" borderId="216" applyNumberFormat="0" applyAlignment="0" applyProtection="0"/>
    <xf numFmtId="0" fontId="3" fillId="23" borderId="215" applyNumberFormat="0" applyFont="0" applyAlignment="0" applyProtection="0"/>
    <xf numFmtId="0" fontId="31" fillId="7" borderId="214" applyNumberFormat="0" applyAlignment="0" applyProtection="0"/>
    <xf numFmtId="0" fontId="24" fillId="20" borderId="214" applyNumberFormat="0" applyAlignment="0" applyProtection="0"/>
    <xf numFmtId="0" fontId="24" fillId="20" borderId="214" applyNumberFormat="0" applyAlignment="0" applyProtection="0"/>
    <xf numFmtId="0" fontId="31" fillId="7" borderId="214" applyNumberFormat="0" applyAlignment="0" applyProtection="0"/>
    <xf numFmtId="0" fontId="3" fillId="23" borderId="215" applyNumberFormat="0" applyFont="0" applyAlignment="0" applyProtection="0"/>
    <xf numFmtId="0" fontId="34" fillId="20" borderId="216" applyNumberFormat="0" applyAlignment="0" applyProtection="0"/>
    <xf numFmtId="0" fontId="35" fillId="0" borderId="217" applyNumberFormat="0" applyFill="0" applyAlignment="0" applyProtection="0"/>
    <xf numFmtId="0" fontId="3" fillId="23" borderId="215" applyNumberFormat="0" applyFont="0" applyAlignment="0" applyProtection="0"/>
    <xf numFmtId="0" fontId="35" fillId="0" borderId="217" applyNumberFormat="0" applyFill="0" applyAlignment="0" applyProtection="0"/>
    <xf numFmtId="0" fontId="34" fillId="20" borderId="216" applyNumberFormat="0" applyAlignment="0" applyProtection="0"/>
    <xf numFmtId="0" fontId="3" fillId="23" borderId="215" applyNumberFormat="0" applyFont="0" applyAlignment="0" applyProtection="0"/>
    <xf numFmtId="0" fontId="31" fillId="7" borderId="214" applyNumberFormat="0" applyAlignment="0" applyProtection="0"/>
    <xf numFmtId="0" fontId="24" fillId="20" borderId="214" applyNumberFormat="0" applyAlignment="0" applyProtection="0"/>
    <xf numFmtId="0" fontId="3" fillId="23" borderId="215" applyNumberFormat="0" applyFont="0" applyAlignment="0" applyProtection="0"/>
    <xf numFmtId="0" fontId="3" fillId="23" borderId="215" applyNumberFormat="0" applyFont="0" applyAlignment="0" applyProtection="0"/>
    <xf numFmtId="0" fontId="3" fillId="23" borderId="215" applyNumberFormat="0" applyFont="0" applyAlignment="0" applyProtection="0"/>
    <xf numFmtId="0" fontId="31" fillId="7" borderId="214" applyNumberFormat="0" applyAlignment="0" applyProtection="0"/>
    <xf numFmtId="0" fontId="35" fillId="0" borderId="217" applyNumberFormat="0" applyFill="0" applyAlignment="0" applyProtection="0"/>
    <xf numFmtId="0" fontId="31" fillId="7" borderId="214" applyNumberFormat="0" applyAlignment="0" applyProtection="0"/>
    <xf numFmtId="0" fontId="34" fillId="20" borderId="216" applyNumberFormat="0" applyAlignment="0" applyProtection="0"/>
    <xf numFmtId="0" fontId="3" fillId="23" borderId="215" applyNumberFormat="0" applyFont="0" applyAlignment="0" applyProtection="0"/>
    <xf numFmtId="0" fontId="24" fillId="20" borderId="214" applyNumberFormat="0" applyAlignment="0" applyProtection="0"/>
    <xf numFmtId="0" fontId="3" fillId="23" borderId="215" applyNumberFormat="0" applyFont="0" applyAlignment="0" applyProtection="0"/>
    <xf numFmtId="0" fontId="3" fillId="23" borderId="215" applyNumberFormat="0" applyFont="0" applyAlignment="0" applyProtection="0"/>
    <xf numFmtId="0" fontId="3" fillId="23" borderId="215" applyNumberFormat="0" applyFont="0" applyAlignment="0" applyProtection="0"/>
    <xf numFmtId="0" fontId="34" fillId="20" borderId="216" applyNumberFormat="0" applyAlignment="0" applyProtection="0"/>
    <xf numFmtId="0" fontId="3" fillId="23" borderId="215" applyNumberFormat="0" applyFont="0" applyAlignment="0" applyProtection="0"/>
    <xf numFmtId="0" fontId="3" fillId="23" borderId="215" applyNumberFormat="0" applyFont="0" applyAlignment="0" applyProtection="0"/>
    <xf numFmtId="0" fontId="24" fillId="20" borderId="214" applyNumberFormat="0" applyAlignment="0" applyProtection="0"/>
    <xf numFmtId="0" fontId="34" fillId="20" borderId="216" applyNumberFormat="0" applyAlignment="0" applyProtection="0"/>
    <xf numFmtId="0" fontId="3" fillId="23" borderId="215" applyNumberFormat="0" applyFont="0" applyAlignment="0" applyProtection="0"/>
    <xf numFmtId="0" fontId="3" fillId="23" borderId="215" applyNumberFormat="0" applyFont="0" applyAlignment="0" applyProtection="0"/>
    <xf numFmtId="0" fontId="24" fillId="20" borderId="214" applyNumberFormat="0" applyAlignment="0" applyProtection="0"/>
    <xf numFmtId="0" fontId="3" fillId="23" borderId="215" applyNumberFormat="0" applyFont="0" applyAlignment="0" applyProtection="0"/>
    <xf numFmtId="0" fontId="35" fillId="0" borderId="217" applyNumberFormat="0" applyFill="0" applyAlignment="0" applyProtection="0"/>
    <xf numFmtId="0" fontId="34" fillId="20" borderId="216" applyNumberFormat="0" applyAlignment="0" applyProtection="0"/>
    <xf numFmtId="0" fontId="31" fillId="7" borderId="214" applyNumberFormat="0" applyAlignment="0" applyProtection="0"/>
    <xf numFmtId="0" fontId="24" fillId="20" borderId="214" applyNumberFormat="0" applyAlignment="0" applyProtection="0"/>
    <xf numFmtId="0" fontId="34" fillId="20" borderId="216" applyNumberFormat="0" applyAlignment="0" applyProtection="0"/>
    <xf numFmtId="0" fontId="35" fillId="0" borderId="217" applyNumberFormat="0" applyFill="0" applyAlignment="0" applyProtection="0"/>
    <xf numFmtId="0" fontId="35" fillId="0" borderId="217" applyNumberFormat="0" applyFill="0" applyAlignment="0" applyProtection="0"/>
    <xf numFmtId="0" fontId="31" fillId="7" borderId="214" applyNumberFormat="0" applyAlignment="0" applyProtection="0"/>
    <xf numFmtId="0" fontId="31" fillId="7" borderId="214" applyNumberFormat="0" applyAlignment="0" applyProtection="0"/>
    <xf numFmtId="0" fontId="35" fillId="0" borderId="217" applyNumberFormat="0" applyFill="0" applyAlignment="0" applyProtection="0"/>
    <xf numFmtId="0" fontId="24" fillId="20" borderId="214" applyNumberFormat="0" applyAlignment="0" applyProtection="0"/>
    <xf numFmtId="0" fontId="35" fillId="0" borderId="217" applyNumberFormat="0" applyFill="0" applyAlignment="0" applyProtection="0"/>
    <xf numFmtId="0" fontId="34" fillId="20" borderId="216" applyNumberFormat="0" applyAlignment="0" applyProtection="0"/>
    <xf numFmtId="0" fontId="3" fillId="23" borderId="215" applyNumberFormat="0" applyFont="0" applyAlignment="0" applyProtection="0"/>
    <xf numFmtId="0" fontId="31" fillId="7" borderId="214" applyNumberFormat="0" applyAlignment="0" applyProtection="0"/>
    <xf numFmtId="0" fontId="24" fillId="20" borderId="214" applyNumberFormat="0" applyAlignment="0" applyProtection="0"/>
    <xf numFmtId="0" fontId="3" fillId="23" borderId="215" applyNumberFormat="0" applyFont="0" applyAlignment="0" applyProtection="0"/>
    <xf numFmtId="0" fontId="35" fillId="0" borderId="217" applyNumberFormat="0" applyFill="0" applyAlignment="0" applyProtection="0"/>
    <xf numFmtId="0" fontId="34" fillId="20" borderId="216" applyNumberFormat="0" applyAlignment="0" applyProtection="0"/>
    <xf numFmtId="0" fontId="3" fillId="23" borderId="215" applyNumberFormat="0" applyFont="0" applyAlignment="0" applyProtection="0"/>
    <xf numFmtId="0" fontId="31" fillId="7" borderId="214" applyNumberFormat="0" applyAlignment="0" applyProtection="0"/>
    <xf numFmtId="0" fontId="24" fillId="20" borderId="214" applyNumberFormat="0" applyAlignment="0" applyProtection="0"/>
    <xf numFmtId="0" fontId="24" fillId="20" borderId="214" applyNumberFormat="0" applyAlignment="0" applyProtection="0"/>
    <xf numFmtId="0" fontId="31" fillId="7" borderId="214" applyNumberFormat="0" applyAlignment="0" applyProtection="0"/>
    <xf numFmtId="0" fontId="3" fillId="23" borderId="215" applyNumberFormat="0" applyFont="0" applyAlignment="0" applyProtection="0"/>
    <xf numFmtId="0" fontId="34" fillId="20" borderId="216" applyNumberFormat="0" applyAlignment="0" applyProtection="0"/>
    <xf numFmtId="0" fontId="35" fillId="0" borderId="217" applyNumberFormat="0" applyFill="0" applyAlignment="0" applyProtection="0"/>
    <xf numFmtId="0" fontId="3" fillId="23" borderId="215" applyNumberFormat="0" applyFont="0" applyAlignment="0" applyProtection="0"/>
    <xf numFmtId="0" fontId="35" fillId="0" borderId="217" applyNumberFormat="0" applyFill="0" applyAlignment="0" applyProtection="0"/>
    <xf numFmtId="0" fontId="34" fillId="20" borderId="216" applyNumberFormat="0" applyAlignment="0" applyProtection="0"/>
    <xf numFmtId="0" fontId="3" fillId="23" borderId="215" applyNumberFormat="0" applyFont="0" applyAlignment="0" applyProtection="0"/>
    <xf numFmtId="0" fontId="31" fillId="7" borderId="214" applyNumberFormat="0" applyAlignment="0" applyProtection="0"/>
    <xf numFmtId="0" fontId="24" fillId="20" borderId="214" applyNumberFormat="0" applyAlignment="0" applyProtection="0"/>
    <xf numFmtId="0" fontId="3" fillId="23" borderId="215" applyNumberFormat="0" applyFont="0" applyAlignment="0" applyProtection="0"/>
    <xf numFmtId="0" fontId="3" fillId="23" borderId="215" applyNumberFormat="0" applyFont="0" applyAlignment="0" applyProtection="0"/>
    <xf numFmtId="0" fontId="3" fillId="23" borderId="215" applyNumberFormat="0" applyFont="0" applyAlignment="0" applyProtection="0"/>
    <xf numFmtId="0" fontId="31" fillId="7" borderId="214" applyNumberFormat="0" applyAlignment="0" applyProtection="0"/>
    <xf numFmtId="0" fontId="35" fillId="0" borderId="217" applyNumberFormat="0" applyFill="0" applyAlignment="0" applyProtection="0"/>
    <xf numFmtId="0" fontId="31" fillId="7" borderId="214" applyNumberFormat="0" applyAlignment="0" applyProtection="0"/>
    <xf numFmtId="0" fontId="34" fillId="20" borderId="216" applyNumberFormat="0" applyAlignment="0" applyProtection="0"/>
    <xf numFmtId="0" fontId="3" fillId="23" borderId="215" applyNumberFormat="0" applyFont="0" applyAlignment="0" applyProtection="0"/>
    <xf numFmtId="0" fontId="24" fillId="20" borderId="214" applyNumberFormat="0" applyAlignment="0" applyProtection="0"/>
    <xf numFmtId="0" fontId="3" fillId="23" borderId="215" applyNumberFormat="0" applyFont="0" applyAlignment="0" applyProtection="0"/>
    <xf numFmtId="0" fontId="3" fillId="23" borderId="215" applyNumberFormat="0" applyFont="0" applyAlignment="0" applyProtection="0"/>
    <xf numFmtId="0" fontId="3" fillId="23" borderId="215" applyNumberFormat="0" applyFont="0" applyAlignment="0" applyProtection="0"/>
    <xf numFmtId="0" fontId="34" fillId="20" borderId="216" applyNumberFormat="0" applyAlignment="0" applyProtection="0"/>
    <xf numFmtId="0" fontId="3" fillId="23" borderId="215" applyNumberFormat="0" applyFont="0" applyAlignment="0" applyProtection="0"/>
    <xf numFmtId="0" fontId="3" fillId="23" borderId="215" applyNumberFormat="0" applyFont="0" applyAlignment="0" applyProtection="0"/>
    <xf numFmtId="0" fontId="24" fillId="20" borderId="214" applyNumberFormat="0" applyAlignment="0" applyProtection="0"/>
    <xf numFmtId="0" fontId="34" fillId="20" borderId="216" applyNumberFormat="0" applyAlignment="0" applyProtection="0"/>
    <xf numFmtId="0" fontId="3" fillId="23" borderId="215" applyNumberFormat="0" applyFont="0" applyAlignment="0" applyProtection="0"/>
    <xf numFmtId="0" fontId="3" fillId="23" borderId="215" applyNumberFormat="0" applyFont="0" applyAlignment="0" applyProtection="0"/>
    <xf numFmtId="0" fontId="24" fillId="20" borderId="214" applyNumberFormat="0" applyAlignment="0" applyProtection="0"/>
    <xf numFmtId="0" fontId="3" fillId="23" borderId="215" applyNumberFormat="0" applyFont="0" applyAlignment="0" applyProtection="0"/>
    <xf numFmtId="0" fontId="35" fillId="0" borderId="217" applyNumberFormat="0" applyFill="0" applyAlignment="0" applyProtection="0"/>
    <xf numFmtId="0" fontId="34" fillId="20" borderId="216" applyNumberFormat="0" applyAlignment="0" applyProtection="0"/>
    <xf numFmtId="0" fontId="31" fillId="7" borderId="214" applyNumberFormat="0" applyAlignment="0" applyProtection="0"/>
    <xf numFmtId="0" fontId="24" fillId="20" borderId="214" applyNumberFormat="0" applyAlignment="0" applyProtection="0"/>
    <xf numFmtId="0" fontId="34" fillId="20" borderId="216" applyNumberFormat="0" applyAlignment="0" applyProtection="0"/>
    <xf numFmtId="0" fontId="35" fillId="0" borderId="217" applyNumberFormat="0" applyFill="0" applyAlignment="0" applyProtection="0"/>
    <xf numFmtId="0" fontId="35" fillId="0" borderId="217" applyNumberFormat="0" applyFill="0" applyAlignment="0" applyProtection="0"/>
    <xf numFmtId="0" fontId="31" fillId="7" borderId="214" applyNumberFormat="0" applyAlignment="0" applyProtection="0"/>
    <xf numFmtId="0" fontId="31" fillId="7" borderId="214" applyNumberFormat="0" applyAlignment="0" applyProtection="0"/>
    <xf numFmtId="0" fontId="35" fillId="0" borderId="217" applyNumberFormat="0" applyFill="0" applyAlignment="0" applyProtection="0"/>
    <xf numFmtId="0" fontId="24" fillId="20" borderId="214" applyNumberFormat="0" applyAlignment="0" applyProtection="0"/>
    <xf numFmtId="0" fontId="35" fillId="0" borderId="217" applyNumberFormat="0" applyFill="0" applyAlignment="0" applyProtection="0"/>
    <xf numFmtId="0" fontId="34" fillId="20" borderId="216" applyNumberFormat="0" applyAlignment="0" applyProtection="0"/>
    <xf numFmtId="0" fontId="3" fillId="23" borderId="215" applyNumberFormat="0" applyFont="0" applyAlignment="0" applyProtection="0"/>
    <xf numFmtId="0" fontId="31" fillId="7" borderId="214" applyNumberFormat="0" applyAlignment="0" applyProtection="0"/>
    <xf numFmtId="0" fontId="24" fillId="20" borderId="214" applyNumberFormat="0" applyAlignment="0" applyProtection="0"/>
    <xf numFmtId="0" fontId="24" fillId="20" borderId="214" applyNumberFormat="0" applyAlignment="0" applyProtection="0"/>
    <xf numFmtId="0" fontId="31" fillId="7" borderId="214" applyNumberFormat="0" applyAlignment="0" applyProtection="0"/>
    <xf numFmtId="0" fontId="3" fillId="23" borderId="215" applyNumberFormat="0" applyFont="0" applyAlignment="0" applyProtection="0"/>
    <xf numFmtId="0" fontId="34" fillId="20" borderId="216" applyNumberFormat="0" applyAlignment="0" applyProtection="0"/>
    <xf numFmtId="0" fontId="35" fillId="0" borderId="217" applyNumberFormat="0" applyFill="0" applyAlignment="0" applyProtection="0"/>
    <xf numFmtId="0" fontId="3" fillId="23" borderId="215" applyNumberFormat="0" applyFont="0" applyAlignment="0" applyProtection="0"/>
    <xf numFmtId="0" fontId="35" fillId="0" borderId="217" applyNumberFormat="0" applyFill="0" applyAlignment="0" applyProtection="0"/>
    <xf numFmtId="0" fontId="34" fillId="20" borderId="216" applyNumberFormat="0" applyAlignment="0" applyProtection="0"/>
    <xf numFmtId="0" fontId="3" fillId="23" borderId="215" applyNumberFormat="0" applyFont="0" applyAlignment="0" applyProtection="0"/>
    <xf numFmtId="0" fontId="31" fillId="7" borderId="214" applyNumberFormat="0" applyAlignment="0" applyProtection="0"/>
    <xf numFmtId="0" fontId="24" fillId="20" borderId="214" applyNumberFormat="0" applyAlignment="0" applyProtection="0"/>
    <xf numFmtId="0" fontId="3" fillId="23" borderId="215" applyNumberFormat="0" applyFont="0" applyAlignment="0" applyProtection="0"/>
    <xf numFmtId="0" fontId="3" fillId="23" borderId="215" applyNumberFormat="0" applyFont="0" applyAlignment="0" applyProtection="0"/>
    <xf numFmtId="0" fontId="3" fillId="23" borderId="215" applyNumberFormat="0" applyFont="0" applyAlignment="0" applyProtection="0"/>
    <xf numFmtId="0" fontId="31" fillId="7" borderId="214" applyNumberFormat="0" applyAlignment="0" applyProtection="0"/>
    <xf numFmtId="0" fontId="35" fillId="0" borderId="217" applyNumberFormat="0" applyFill="0" applyAlignment="0" applyProtection="0"/>
    <xf numFmtId="0" fontId="31" fillId="7" borderId="214" applyNumberFormat="0" applyAlignment="0" applyProtection="0"/>
    <xf numFmtId="0" fontId="34" fillId="20" borderId="216" applyNumberFormat="0" applyAlignment="0" applyProtection="0"/>
    <xf numFmtId="0" fontId="3" fillId="23" borderId="215" applyNumberFormat="0" applyFont="0" applyAlignment="0" applyProtection="0"/>
    <xf numFmtId="0" fontId="24" fillId="20" borderId="214" applyNumberFormat="0" applyAlignment="0" applyProtection="0"/>
    <xf numFmtId="0" fontId="3" fillId="23" borderId="215" applyNumberFormat="0" applyFont="0" applyAlignment="0" applyProtection="0"/>
    <xf numFmtId="0" fontId="3" fillId="23" borderId="215" applyNumberFormat="0" applyFont="0" applyAlignment="0" applyProtection="0"/>
    <xf numFmtId="0" fontId="3" fillId="23" borderId="215" applyNumberFormat="0" applyFont="0" applyAlignment="0" applyProtection="0"/>
    <xf numFmtId="0" fontId="34" fillId="20" borderId="216" applyNumberFormat="0" applyAlignment="0" applyProtection="0"/>
    <xf numFmtId="0" fontId="3" fillId="23" borderId="215" applyNumberFormat="0" applyFont="0" applyAlignment="0" applyProtection="0"/>
    <xf numFmtId="0" fontId="3" fillId="23" borderId="215" applyNumberFormat="0" applyFont="0" applyAlignment="0" applyProtection="0"/>
    <xf numFmtId="0" fontId="24" fillId="20" borderId="214" applyNumberFormat="0" applyAlignment="0" applyProtection="0"/>
    <xf numFmtId="0" fontId="34" fillId="20" borderId="216" applyNumberFormat="0" applyAlignment="0" applyProtection="0"/>
    <xf numFmtId="0" fontId="3" fillId="23" borderId="215" applyNumberFormat="0" applyFont="0" applyAlignment="0" applyProtection="0"/>
    <xf numFmtId="0" fontId="3" fillId="23" borderId="215" applyNumberFormat="0" applyFont="0" applyAlignment="0" applyProtection="0"/>
    <xf numFmtId="0" fontId="24" fillId="20" borderId="214" applyNumberFormat="0" applyAlignment="0" applyProtection="0"/>
    <xf numFmtId="0" fontId="3" fillId="23" borderId="215" applyNumberFormat="0" applyFont="0" applyAlignment="0" applyProtection="0"/>
    <xf numFmtId="0" fontId="35" fillId="0" borderId="217" applyNumberFormat="0" applyFill="0" applyAlignment="0" applyProtection="0"/>
    <xf numFmtId="0" fontId="34" fillId="20" borderId="216" applyNumberFormat="0" applyAlignment="0" applyProtection="0"/>
    <xf numFmtId="0" fontId="31" fillId="7" borderId="214" applyNumberFormat="0" applyAlignment="0" applyProtection="0"/>
    <xf numFmtId="0" fontId="24" fillId="20" borderId="214" applyNumberFormat="0" applyAlignment="0" applyProtection="0"/>
    <xf numFmtId="0" fontId="34" fillId="20" borderId="216" applyNumberFormat="0" applyAlignment="0" applyProtection="0"/>
    <xf numFmtId="0" fontId="35" fillId="0" borderId="217" applyNumberFormat="0" applyFill="0" applyAlignment="0" applyProtection="0"/>
    <xf numFmtId="0" fontId="35" fillId="0" borderId="217" applyNumberFormat="0" applyFill="0" applyAlignment="0" applyProtection="0"/>
    <xf numFmtId="0" fontId="31" fillId="7" borderId="214" applyNumberFormat="0" applyAlignment="0" applyProtection="0"/>
    <xf numFmtId="0" fontId="31" fillId="7" borderId="214" applyNumberFormat="0" applyAlignment="0" applyProtection="0"/>
    <xf numFmtId="0" fontId="35" fillId="0" borderId="217" applyNumberFormat="0" applyFill="0" applyAlignment="0" applyProtection="0"/>
    <xf numFmtId="0" fontId="24" fillId="20" borderId="214" applyNumberFormat="0" applyAlignment="0" applyProtection="0"/>
    <xf numFmtId="0" fontId="35" fillId="0" borderId="217" applyNumberFormat="0" applyFill="0" applyAlignment="0" applyProtection="0"/>
    <xf numFmtId="0" fontId="34" fillId="20" borderId="216" applyNumberFormat="0" applyAlignment="0" applyProtection="0"/>
    <xf numFmtId="0" fontId="3" fillId="23" borderId="215" applyNumberFormat="0" applyFont="0" applyAlignment="0" applyProtection="0"/>
    <xf numFmtId="0" fontId="31" fillId="7" borderId="214" applyNumberFormat="0" applyAlignment="0" applyProtection="0"/>
    <xf numFmtId="0" fontId="24" fillId="20" borderId="214" applyNumberFormat="0" applyAlignment="0" applyProtection="0"/>
    <xf numFmtId="0" fontId="24" fillId="20" borderId="218" applyNumberFormat="0" applyAlignment="0" applyProtection="0"/>
    <xf numFmtId="0" fontId="31" fillId="7" borderId="218" applyNumberFormat="0" applyAlignment="0" applyProtection="0"/>
    <xf numFmtId="0" fontId="3" fillId="23" borderId="219" applyNumberFormat="0" applyFont="0" applyAlignment="0" applyProtection="0"/>
    <xf numFmtId="0" fontId="34" fillId="20" borderId="220" applyNumberFormat="0" applyAlignment="0" applyProtection="0"/>
    <xf numFmtId="0" fontId="35" fillId="0" borderId="221" applyNumberFormat="0" applyFill="0" applyAlignment="0" applyProtection="0"/>
    <xf numFmtId="0" fontId="3" fillId="23" borderId="219" applyNumberFormat="0" applyFont="0" applyAlignment="0" applyProtection="0"/>
    <xf numFmtId="0" fontId="35" fillId="0" borderId="221" applyNumberFormat="0" applyFill="0" applyAlignment="0" applyProtection="0"/>
    <xf numFmtId="0" fontId="34" fillId="20" borderId="220" applyNumberFormat="0" applyAlignment="0" applyProtection="0"/>
    <xf numFmtId="0" fontId="3" fillId="23" borderId="219" applyNumberFormat="0" applyFont="0" applyAlignment="0" applyProtection="0"/>
    <xf numFmtId="0" fontId="31" fillId="7" borderId="218" applyNumberFormat="0" applyAlignment="0" applyProtection="0"/>
    <xf numFmtId="0" fontId="24" fillId="20" borderId="218" applyNumberFormat="0" applyAlignment="0" applyProtection="0"/>
    <xf numFmtId="0" fontId="3" fillId="23" borderId="219" applyNumberFormat="0" applyFont="0" applyAlignment="0" applyProtection="0"/>
    <xf numFmtId="0" fontId="3" fillId="23" borderId="219" applyNumberFormat="0" applyFont="0" applyAlignment="0" applyProtection="0"/>
    <xf numFmtId="0" fontId="3" fillId="23" borderId="219" applyNumberFormat="0" applyFont="0" applyAlignment="0" applyProtection="0"/>
    <xf numFmtId="0" fontId="31" fillId="7" borderId="218" applyNumberFormat="0" applyAlignment="0" applyProtection="0"/>
    <xf numFmtId="0" fontId="35" fillId="0" borderId="221" applyNumberFormat="0" applyFill="0" applyAlignment="0" applyProtection="0"/>
    <xf numFmtId="0" fontId="31" fillId="7" borderId="218" applyNumberFormat="0" applyAlignment="0" applyProtection="0"/>
    <xf numFmtId="0" fontId="34" fillId="20" borderId="220" applyNumberFormat="0" applyAlignment="0" applyProtection="0"/>
    <xf numFmtId="0" fontId="3" fillId="23" borderId="219" applyNumberFormat="0" applyFont="0" applyAlignment="0" applyProtection="0"/>
    <xf numFmtId="0" fontId="24" fillId="20" borderId="218" applyNumberFormat="0" applyAlignment="0" applyProtection="0"/>
    <xf numFmtId="0" fontId="3" fillId="23" borderId="219" applyNumberFormat="0" applyFont="0" applyAlignment="0" applyProtection="0"/>
    <xf numFmtId="0" fontId="3" fillId="23" borderId="219" applyNumberFormat="0" applyFont="0" applyAlignment="0" applyProtection="0"/>
    <xf numFmtId="0" fontId="3" fillId="23" borderId="219" applyNumberFormat="0" applyFont="0" applyAlignment="0" applyProtection="0"/>
    <xf numFmtId="0" fontId="34" fillId="20" borderId="220" applyNumberFormat="0" applyAlignment="0" applyProtection="0"/>
    <xf numFmtId="0" fontId="3" fillId="23" borderId="219" applyNumberFormat="0" applyFont="0" applyAlignment="0" applyProtection="0"/>
    <xf numFmtId="0" fontId="3" fillId="23" borderId="219" applyNumberFormat="0" applyFont="0" applyAlignment="0" applyProtection="0"/>
    <xf numFmtId="0" fontId="24" fillId="20" borderId="218" applyNumberFormat="0" applyAlignment="0" applyProtection="0"/>
    <xf numFmtId="0" fontId="34" fillId="20" borderId="220" applyNumberFormat="0" applyAlignment="0" applyProtection="0"/>
    <xf numFmtId="0" fontId="3" fillId="23" borderId="219" applyNumberFormat="0" applyFont="0" applyAlignment="0" applyProtection="0"/>
    <xf numFmtId="0" fontId="3" fillId="23" borderId="219" applyNumberFormat="0" applyFont="0" applyAlignment="0" applyProtection="0"/>
    <xf numFmtId="0" fontId="24" fillId="20" borderId="218" applyNumberFormat="0" applyAlignment="0" applyProtection="0"/>
    <xf numFmtId="0" fontId="3" fillId="23" borderId="219" applyNumberFormat="0" applyFont="0" applyAlignment="0" applyProtection="0"/>
    <xf numFmtId="0" fontId="35" fillId="0" borderId="221" applyNumberFormat="0" applyFill="0" applyAlignment="0" applyProtection="0"/>
    <xf numFmtId="0" fontId="34" fillId="20" borderId="220" applyNumberFormat="0" applyAlignment="0" applyProtection="0"/>
    <xf numFmtId="0" fontId="31" fillId="7" borderId="218" applyNumberFormat="0" applyAlignment="0" applyProtection="0"/>
    <xf numFmtId="0" fontId="24" fillId="20" borderId="218" applyNumberFormat="0" applyAlignment="0" applyProtection="0"/>
    <xf numFmtId="0" fontId="34" fillId="20" borderId="220" applyNumberFormat="0" applyAlignment="0" applyProtection="0"/>
    <xf numFmtId="0" fontId="35" fillId="0" borderId="221" applyNumberFormat="0" applyFill="0" applyAlignment="0" applyProtection="0"/>
    <xf numFmtId="0" fontId="35" fillId="0" borderId="221" applyNumberFormat="0" applyFill="0" applyAlignment="0" applyProtection="0"/>
    <xf numFmtId="0" fontId="31" fillId="7" borderId="218" applyNumberFormat="0" applyAlignment="0" applyProtection="0"/>
    <xf numFmtId="0" fontId="31" fillId="7" borderId="218" applyNumberFormat="0" applyAlignment="0" applyProtection="0"/>
    <xf numFmtId="0" fontId="35" fillId="0" borderId="221" applyNumberFormat="0" applyFill="0" applyAlignment="0" applyProtection="0"/>
    <xf numFmtId="0" fontId="24" fillId="20" borderId="218" applyNumberFormat="0" applyAlignment="0" applyProtection="0"/>
    <xf numFmtId="0" fontId="35" fillId="0" borderId="221" applyNumberFormat="0" applyFill="0" applyAlignment="0" applyProtection="0"/>
    <xf numFmtId="0" fontId="34" fillId="20" borderId="220" applyNumberFormat="0" applyAlignment="0" applyProtection="0"/>
    <xf numFmtId="0" fontId="3" fillId="23" borderId="219" applyNumberFormat="0" applyFont="0" applyAlignment="0" applyProtection="0"/>
    <xf numFmtId="0" fontId="31" fillId="7" borderId="218" applyNumberFormat="0" applyAlignment="0" applyProtection="0"/>
    <xf numFmtId="0" fontId="24" fillId="20" borderId="218" applyNumberFormat="0" applyAlignment="0" applyProtection="0"/>
    <xf numFmtId="0" fontId="24" fillId="20" borderId="218" applyNumberFormat="0" applyAlignment="0" applyProtection="0"/>
    <xf numFmtId="0" fontId="31" fillId="7" borderId="218" applyNumberFormat="0" applyAlignment="0" applyProtection="0"/>
    <xf numFmtId="0" fontId="3" fillId="23" borderId="219" applyNumberFormat="0" applyFont="0" applyAlignment="0" applyProtection="0"/>
    <xf numFmtId="0" fontId="34" fillId="20" borderId="220" applyNumberFormat="0" applyAlignment="0" applyProtection="0"/>
    <xf numFmtId="0" fontId="35" fillId="0" borderId="221" applyNumberFormat="0" applyFill="0" applyAlignment="0" applyProtection="0"/>
    <xf numFmtId="0" fontId="3" fillId="23" borderId="219" applyNumberFormat="0" applyFont="0" applyAlignment="0" applyProtection="0"/>
    <xf numFmtId="0" fontId="35" fillId="0" borderId="221" applyNumberFormat="0" applyFill="0" applyAlignment="0" applyProtection="0"/>
    <xf numFmtId="0" fontId="34" fillId="20" borderId="220" applyNumberFormat="0" applyAlignment="0" applyProtection="0"/>
    <xf numFmtId="0" fontId="3" fillId="23" borderId="219" applyNumberFormat="0" applyFont="0" applyAlignment="0" applyProtection="0"/>
    <xf numFmtId="0" fontId="31" fillId="7" borderId="218" applyNumberFormat="0" applyAlignment="0" applyProtection="0"/>
    <xf numFmtId="0" fontId="24" fillId="20" borderId="218" applyNumberFormat="0" applyAlignment="0" applyProtection="0"/>
    <xf numFmtId="0" fontId="3" fillId="23" borderId="219" applyNumberFormat="0" applyFont="0" applyAlignment="0" applyProtection="0"/>
    <xf numFmtId="0" fontId="3" fillId="23" borderId="219" applyNumberFormat="0" applyFont="0" applyAlignment="0" applyProtection="0"/>
    <xf numFmtId="0" fontId="3" fillId="23" borderId="219" applyNumberFormat="0" applyFont="0" applyAlignment="0" applyProtection="0"/>
    <xf numFmtId="0" fontId="31" fillId="7" borderId="218" applyNumberFormat="0" applyAlignment="0" applyProtection="0"/>
    <xf numFmtId="0" fontId="35" fillId="0" borderId="221" applyNumberFormat="0" applyFill="0" applyAlignment="0" applyProtection="0"/>
    <xf numFmtId="0" fontId="31" fillId="7" borderId="218" applyNumberFormat="0" applyAlignment="0" applyProtection="0"/>
    <xf numFmtId="0" fontId="34" fillId="20" borderId="220" applyNumberFormat="0" applyAlignment="0" applyProtection="0"/>
    <xf numFmtId="0" fontId="3" fillId="23" borderId="219" applyNumberFormat="0" applyFont="0" applyAlignment="0" applyProtection="0"/>
    <xf numFmtId="0" fontId="24" fillId="20" borderId="218" applyNumberFormat="0" applyAlignment="0" applyProtection="0"/>
    <xf numFmtId="0" fontId="3" fillId="23" borderId="219" applyNumberFormat="0" applyFont="0" applyAlignment="0" applyProtection="0"/>
    <xf numFmtId="0" fontId="3" fillId="23" borderId="219" applyNumberFormat="0" applyFont="0" applyAlignment="0" applyProtection="0"/>
    <xf numFmtId="0" fontId="3" fillId="23" borderId="219" applyNumberFormat="0" applyFont="0" applyAlignment="0" applyProtection="0"/>
    <xf numFmtId="0" fontId="34" fillId="20" borderId="220" applyNumberFormat="0" applyAlignment="0" applyProtection="0"/>
    <xf numFmtId="0" fontId="3" fillId="23" borderId="219" applyNumberFormat="0" applyFont="0" applyAlignment="0" applyProtection="0"/>
    <xf numFmtId="0" fontId="3" fillId="23" borderId="219" applyNumberFormat="0" applyFont="0" applyAlignment="0" applyProtection="0"/>
    <xf numFmtId="0" fontId="24" fillId="20" borderId="218" applyNumberFormat="0" applyAlignment="0" applyProtection="0"/>
    <xf numFmtId="0" fontId="34" fillId="20" borderId="220" applyNumberFormat="0" applyAlignment="0" applyProtection="0"/>
    <xf numFmtId="0" fontId="3" fillId="23" borderId="219" applyNumberFormat="0" applyFont="0" applyAlignment="0" applyProtection="0"/>
    <xf numFmtId="0" fontId="3" fillId="23" borderId="219" applyNumberFormat="0" applyFont="0" applyAlignment="0" applyProtection="0"/>
    <xf numFmtId="0" fontId="24" fillId="20" borderId="218" applyNumberFormat="0" applyAlignment="0" applyProtection="0"/>
    <xf numFmtId="0" fontId="3" fillId="23" borderId="219" applyNumberFormat="0" applyFont="0" applyAlignment="0" applyProtection="0"/>
    <xf numFmtId="0" fontId="35" fillId="0" borderId="221" applyNumberFormat="0" applyFill="0" applyAlignment="0" applyProtection="0"/>
    <xf numFmtId="0" fontId="34" fillId="20" borderId="220" applyNumberFormat="0" applyAlignment="0" applyProtection="0"/>
    <xf numFmtId="0" fontId="31" fillId="7" borderId="218" applyNumberFormat="0" applyAlignment="0" applyProtection="0"/>
    <xf numFmtId="0" fontId="24" fillId="20" borderId="218" applyNumberFormat="0" applyAlignment="0" applyProtection="0"/>
    <xf numFmtId="0" fontId="34" fillId="20" borderId="220" applyNumberFormat="0" applyAlignment="0" applyProtection="0"/>
    <xf numFmtId="0" fontId="35" fillId="0" borderId="221" applyNumberFormat="0" applyFill="0" applyAlignment="0" applyProtection="0"/>
    <xf numFmtId="0" fontId="35" fillId="0" borderId="221" applyNumberFormat="0" applyFill="0" applyAlignment="0" applyProtection="0"/>
    <xf numFmtId="0" fontId="31" fillId="7" borderId="218" applyNumberFormat="0" applyAlignment="0" applyProtection="0"/>
    <xf numFmtId="0" fontId="31" fillId="7" borderId="218" applyNumberFormat="0" applyAlignment="0" applyProtection="0"/>
    <xf numFmtId="0" fontId="35" fillId="0" borderId="221" applyNumberFormat="0" applyFill="0" applyAlignment="0" applyProtection="0"/>
    <xf numFmtId="0" fontId="24" fillId="20" borderId="218" applyNumberFormat="0" applyAlignment="0" applyProtection="0"/>
    <xf numFmtId="0" fontId="35" fillId="0" borderId="221" applyNumberFormat="0" applyFill="0" applyAlignment="0" applyProtection="0"/>
    <xf numFmtId="0" fontId="34" fillId="20" borderId="220" applyNumberFormat="0" applyAlignment="0" applyProtection="0"/>
    <xf numFmtId="0" fontId="3" fillId="23" borderId="219" applyNumberFormat="0" applyFont="0" applyAlignment="0" applyProtection="0"/>
    <xf numFmtId="0" fontId="31" fillId="7" borderId="218" applyNumberFormat="0" applyAlignment="0" applyProtection="0"/>
    <xf numFmtId="0" fontId="24" fillId="20" borderId="218" applyNumberFormat="0" applyAlignment="0" applyProtection="0"/>
    <xf numFmtId="0" fontId="3" fillId="23" borderId="219" applyNumberFormat="0" applyFont="0" applyAlignment="0" applyProtection="0"/>
    <xf numFmtId="0" fontId="35" fillId="0" borderId="221" applyNumberFormat="0" applyFill="0" applyAlignment="0" applyProtection="0"/>
    <xf numFmtId="0" fontId="34" fillId="20" borderId="220" applyNumberFormat="0" applyAlignment="0" applyProtection="0"/>
    <xf numFmtId="0" fontId="3" fillId="23" borderId="219" applyNumberFormat="0" applyFont="0" applyAlignment="0" applyProtection="0"/>
    <xf numFmtId="0" fontId="31" fillId="7" borderId="218" applyNumberFormat="0" applyAlignment="0" applyProtection="0"/>
    <xf numFmtId="0" fontId="24" fillId="20" borderId="218" applyNumberFormat="0" applyAlignment="0" applyProtection="0"/>
    <xf numFmtId="0" fontId="24" fillId="20" borderId="218" applyNumberFormat="0" applyAlignment="0" applyProtection="0"/>
    <xf numFmtId="0" fontId="31" fillId="7" borderId="218" applyNumberFormat="0" applyAlignment="0" applyProtection="0"/>
    <xf numFmtId="0" fontId="3" fillId="23" borderId="219" applyNumberFormat="0" applyFont="0" applyAlignment="0" applyProtection="0"/>
    <xf numFmtId="0" fontId="34" fillId="20" borderId="220" applyNumberFormat="0" applyAlignment="0" applyProtection="0"/>
    <xf numFmtId="0" fontId="35" fillId="0" borderId="221" applyNumberFormat="0" applyFill="0" applyAlignment="0" applyProtection="0"/>
    <xf numFmtId="0" fontId="3" fillId="23" borderId="219" applyNumberFormat="0" applyFont="0" applyAlignment="0" applyProtection="0"/>
    <xf numFmtId="0" fontId="35" fillId="0" borderId="221" applyNumberFormat="0" applyFill="0" applyAlignment="0" applyProtection="0"/>
    <xf numFmtId="0" fontId="34" fillId="20" borderId="220" applyNumberFormat="0" applyAlignment="0" applyProtection="0"/>
    <xf numFmtId="0" fontId="3" fillId="23" borderId="219" applyNumberFormat="0" applyFont="0" applyAlignment="0" applyProtection="0"/>
    <xf numFmtId="0" fontId="31" fillId="7" borderId="218" applyNumberFormat="0" applyAlignment="0" applyProtection="0"/>
    <xf numFmtId="0" fontId="24" fillId="20" borderId="218" applyNumberFormat="0" applyAlignment="0" applyProtection="0"/>
    <xf numFmtId="0" fontId="3" fillId="23" borderId="219" applyNumberFormat="0" applyFont="0" applyAlignment="0" applyProtection="0"/>
    <xf numFmtId="0" fontId="3" fillId="23" borderId="219" applyNumberFormat="0" applyFont="0" applyAlignment="0" applyProtection="0"/>
    <xf numFmtId="0" fontId="3" fillId="23" borderId="219" applyNumberFormat="0" applyFont="0" applyAlignment="0" applyProtection="0"/>
    <xf numFmtId="0" fontId="31" fillId="7" borderId="218" applyNumberFormat="0" applyAlignment="0" applyProtection="0"/>
    <xf numFmtId="0" fontId="35" fillId="0" borderId="221" applyNumberFormat="0" applyFill="0" applyAlignment="0" applyProtection="0"/>
    <xf numFmtId="0" fontId="31" fillId="7" borderId="218" applyNumberFormat="0" applyAlignment="0" applyProtection="0"/>
    <xf numFmtId="0" fontId="34" fillId="20" borderId="220" applyNumberFormat="0" applyAlignment="0" applyProtection="0"/>
    <xf numFmtId="0" fontId="3" fillId="23" borderId="219" applyNumberFormat="0" applyFont="0" applyAlignment="0" applyProtection="0"/>
    <xf numFmtId="0" fontId="24" fillId="20" borderId="218" applyNumberFormat="0" applyAlignment="0" applyProtection="0"/>
    <xf numFmtId="0" fontId="3" fillId="23" borderId="219" applyNumberFormat="0" applyFont="0" applyAlignment="0" applyProtection="0"/>
    <xf numFmtId="0" fontId="3" fillId="23" borderId="219" applyNumberFormat="0" applyFont="0" applyAlignment="0" applyProtection="0"/>
    <xf numFmtId="0" fontId="3" fillId="23" borderId="219" applyNumberFormat="0" applyFont="0" applyAlignment="0" applyProtection="0"/>
    <xf numFmtId="0" fontId="34" fillId="20" borderId="220" applyNumberFormat="0" applyAlignment="0" applyProtection="0"/>
    <xf numFmtId="0" fontId="3" fillId="23" borderId="219" applyNumberFormat="0" applyFont="0" applyAlignment="0" applyProtection="0"/>
    <xf numFmtId="0" fontId="3" fillId="23" borderId="219" applyNumberFormat="0" applyFont="0" applyAlignment="0" applyProtection="0"/>
    <xf numFmtId="0" fontId="24" fillId="20" borderId="218" applyNumberFormat="0" applyAlignment="0" applyProtection="0"/>
    <xf numFmtId="0" fontId="34" fillId="20" borderId="220" applyNumberFormat="0" applyAlignment="0" applyProtection="0"/>
    <xf numFmtId="0" fontId="3" fillId="23" borderId="219" applyNumberFormat="0" applyFont="0" applyAlignment="0" applyProtection="0"/>
    <xf numFmtId="0" fontId="3" fillId="23" borderId="219" applyNumberFormat="0" applyFont="0" applyAlignment="0" applyProtection="0"/>
    <xf numFmtId="0" fontId="24" fillId="20" borderId="218" applyNumberFormat="0" applyAlignment="0" applyProtection="0"/>
    <xf numFmtId="0" fontId="3" fillId="23" borderId="219" applyNumberFormat="0" applyFont="0" applyAlignment="0" applyProtection="0"/>
    <xf numFmtId="0" fontId="35" fillId="0" borderId="221" applyNumberFormat="0" applyFill="0" applyAlignment="0" applyProtection="0"/>
    <xf numFmtId="0" fontId="34" fillId="20" borderId="220" applyNumberFormat="0" applyAlignment="0" applyProtection="0"/>
    <xf numFmtId="0" fontId="31" fillId="7" borderId="218" applyNumberFormat="0" applyAlignment="0" applyProtection="0"/>
    <xf numFmtId="0" fontId="24" fillId="20" borderId="218" applyNumberFormat="0" applyAlignment="0" applyProtection="0"/>
    <xf numFmtId="0" fontId="34" fillId="20" borderId="220" applyNumberFormat="0" applyAlignment="0" applyProtection="0"/>
    <xf numFmtId="0" fontId="35" fillId="0" borderId="221" applyNumberFormat="0" applyFill="0" applyAlignment="0" applyProtection="0"/>
    <xf numFmtId="0" fontId="35" fillId="0" borderId="221" applyNumberFormat="0" applyFill="0" applyAlignment="0" applyProtection="0"/>
    <xf numFmtId="0" fontId="31" fillId="7" borderId="218" applyNumberFormat="0" applyAlignment="0" applyProtection="0"/>
    <xf numFmtId="0" fontId="31" fillId="7" borderId="218" applyNumberFormat="0" applyAlignment="0" applyProtection="0"/>
    <xf numFmtId="0" fontId="35" fillId="0" borderId="221" applyNumberFormat="0" applyFill="0" applyAlignment="0" applyProtection="0"/>
    <xf numFmtId="0" fontId="24" fillId="20" borderId="218" applyNumberFormat="0" applyAlignment="0" applyProtection="0"/>
    <xf numFmtId="0" fontId="35" fillId="0" borderId="221" applyNumberFormat="0" applyFill="0" applyAlignment="0" applyProtection="0"/>
    <xf numFmtId="0" fontId="34" fillId="20" borderId="220" applyNumberFormat="0" applyAlignment="0" applyProtection="0"/>
    <xf numFmtId="0" fontId="3" fillId="23" borderId="219" applyNumberFormat="0" applyFont="0" applyAlignment="0" applyProtection="0"/>
    <xf numFmtId="0" fontId="31" fillId="7" borderId="218" applyNumberFormat="0" applyAlignment="0" applyProtection="0"/>
    <xf numFmtId="0" fontId="24" fillId="20" borderId="218" applyNumberFormat="0" applyAlignment="0" applyProtection="0"/>
    <xf numFmtId="0" fontId="3" fillId="23" borderId="219" applyNumberFormat="0" applyFont="0" applyAlignment="0" applyProtection="0"/>
    <xf numFmtId="0" fontId="35" fillId="0" borderId="221" applyNumberFormat="0" applyFill="0" applyAlignment="0" applyProtection="0"/>
    <xf numFmtId="0" fontId="34" fillId="20" borderId="220" applyNumberFormat="0" applyAlignment="0" applyProtection="0"/>
    <xf numFmtId="0" fontId="3" fillId="23" borderId="219" applyNumberFormat="0" applyFont="0" applyAlignment="0" applyProtection="0"/>
    <xf numFmtId="0" fontId="31" fillId="7" borderId="218" applyNumberFormat="0" applyAlignment="0" applyProtection="0"/>
    <xf numFmtId="0" fontId="24" fillId="20" borderId="218" applyNumberFormat="0" applyAlignment="0" applyProtection="0"/>
    <xf numFmtId="0" fontId="24" fillId="20" borderId="218" applyNumberFormat="0" applyAlignment="0" applyProtection="0"/>
    <xf numFmtId="0" fontId="31" fillId="7" borderId="218" applyNumberFormat="0" applyAlignment="0" applyProtection="0"/>
    <xf numFmtId="0" fontId="3" fillId="23" borderId="219" applyNumberFormat="0" applyFont="0" applyAlignment="0" applyProtection="0"/>
    <xf numFmtId="0" fontId="34" fillId="20" borderId="220" applyNumberFormat="0" applyAlignment="0" applyProtection="0"/>
    <xf numFmtId="0" fontId="35" fillId="0" borderId="221" applyNumberFormat="0" applyFill="0" applyAlignment="0" applyProtection="0"/>
    <xf numFmtId="0" fontId="3" fillId="23" borderId="219" applyNumberFormat="0" applyFont="0" applyAlignment="0" applyProtection="0"/>
    <xf numFmtId="0" fontId="35" fillId="0" borderId="221" applyNumberFormat="0" applyFill="0" applyAlignment="0" applyProtection="0"/>
    <xf numFmtId="0" fontId="34" fillId="20" borderId="220" applyNumberFormat="0" applyAlignment="0" applyProtection="0"/>
    <xf numFmtId="0" fontId="3" fillId="23" borderId="219" applyNumberFormat="0" applyFont="0" applyAlignment="0" applyProtection="0"/>
    <xf numFmtId="0" fontId="31" fillId="7" borderId="218" applyNumberFormat="0" applyAlignment="0" applyProtection="0"/>
    <xf numFmtId="0" fontId="24" fillId="20" borderId="218" applyNumberFormat="0" applyAlignment="0" applyProtection="0"/>
    <xf numFmtId="0" fontId="3" fillId="23" borderId="219" applyNumberFormat="0" applyFont="0" applyAlignment="0" applyProtection="0"/>
    <xf numFmtId="0" fontId="3" fillId="23" borderId="219" applyNumberFormat="0" applyFont="0" applyAlignment="0" applyProtection="0"/>
    <xf numFmtId="0" fontId="3" fillId="23" borderId="219" applyNumberFormat="0" applyFont="0" applyAlignment="0" applyProtection="0"/>
    <xf numFmtId="0" fontId="31" fillId="7" borderId="218" applyNumberFormat="0" applyAlignment="0" applyProtection="0"/>
    <xf numFmtId="0" fontId="35" fillId="0" borderId="221" applyNumberFormat="0" applyFill="0" applyAlignment="0" applyProtection="0"/>
    <xf numFmtId="0" fontId="31" fillId="7" borderId="218" applyNumberFormat="0" applyAlignment="0" applyProtection="0"/>
    <xf numFmtId="0" fontId="34" fillId="20" borderId="220" applyNumberFormat="0" applyAlignment="0" applyProtection="0"/>
    <xf numFmtId="0" fontId="3" fillId="23" borderId="219" applyNumberFormat="0" applyFont="0" applyAlignment="0" applyProtection="0"/>
    <xf numFmtId="0" fontId="24" fillId="20" borderId="218" applyNumberFormat="0" applyAlignment="0" applyProtection="0"/>
    <xf numFmtId="0" fontId="3" fillId="23" borderId="219" applyNumberFormat="0" applyFont="0" applyAlignment="0" applyProtection="0"/>
    <xf numFmtId="0" fontId="3" fillId="23" borderId="219" applyNumberFormat="0" applyFont="0" applyAlignment="0" applyProtection="0"/>
    <xf numFmtId="0" fontId="3" fillId="23" borderId="219" applyNumberFormat="0" applyFont="0" applyAlignment="0" applyProtection="0"/>
    <xf numFmtId="0" fontId="34" fillId="20" borderId="220" applyNumberFormat="0" applyAlignment="0" applyProtection="0"/>
    <xf numFmtId="0" fontId="3" fillId="23" borderId="219" applyNumberFormat="0" applyFont="0" applyAlignment="0" applyProtection="0"/>
    <xf numFmtId="0" fontId="3" fillId="23" borderId="219" applyNumberFormat="0" applyFont="0" applyAlignment="0" applyProtection="0"/>
    <xf numFmtId="0" fontId="24" fillId="20" borderId="218" applyNumberFormat="0" applyAlignment="0" applyProtection="0"/>
    <xf numFmtId="0" fontId="34" fillId="20" borderId="220" applyNumberFormat="0" applyAlignment="0" applyProtection="0"/>
    <xf numFmtId="0" fontId="3" fillId="23" borderId="219" applyNumberFormat="0" applyFont="0" applyAlignment="0" applyProtection="0"/>
    <xf numFmtId="0" fontId="3" fillId="23" borderId="219" applyNumberFormat="0" applyFont="0" applyAlignment="0" applyProtection="0"/>
    <xf numFmtId="0" fontId="24" fillId="20" borderId="218" applyNumberFormat="0" applyAlignment="0" applyProtection="0"/>
    <xf numFmtId="0" fontId="3" fillId="23" borderId="219" applyNumberFormat="0" applyFont="0" applyAlignment="0" applyProtection="0"/>
    <xf numFmtId="0" fontId="35" fillId="0" borderId="221" applyNumberFormat="0" applyFill="0" applyAlignment="0" applyProtection="0"/>
    <xf numFmtId="0" fontId="34" fillId="20" borderId="220" applyNumberFormat="0" applyAlignment="0" applyProtection="0"/>
    <xf numFmtId="0" fontId="31" fillId="7" borderId="218" applyNumberFormat="0" applyAlignment="0" applyProtection="0"/>
    <xf numFmtId="0" fontId="24" fillId="20" borderId="218" applyNumberFormat="0" applyAlignment="0" applyProtection="0"/>
    <xf numFmtId="0" fontId="34" fillId="20" borderId="220" applyNumberFormat="0" applyAlignment="0" applyProtection="0"/>
    <xf numFmtId="0" fontId="35" fillId="0" borderId="221" applyNumberFormat="0" applyFill="0" applyAlignment="0" applyProtection="0"/>
    <xf numFmtId="0" fontId="35" fillId="0" borderId="221" applyNumberFormat="0" applyFill="0" applyAlignment="0" applyProtection="0"/>
    <xf numFmtId="0" fontId="31" fillId="7" borderId="218" applyNumberFormat="0" applyAlignment="0" applyProtection="0"/>
    <xf numFmtId="0" fontId="31" fillId="7" borderId="218" applyNumberFormat="0" applyAlignment="0" applyProtection="0"/>
    <xf numFmtId="0" fontId="35" fillId="0" borderId="221" applyNumberFormat="0" applyFill="0" applyAlignment="0" applyProtection="0"/>
    <xf numFmtId="0" fontId="24" fillId="20" borderId="218" applyNumberFormat="0" applyAlignment="0" applyProtection="0"/>
    <xf numFmtId="0" fontId="35" fillId="0" borderId="221" applyNumberFormat="0" applyFill="0" applyAlignment="0" applyProtection="0"/>
    <xf numFmtId="0" fontId="34" fillId="20" borderId="220" applyNumberFormat="0" applyAlignment="0" applyProtection="0"/>
    <xf numFmtId="0" fontId="3" fillId="23" borderId="219" applyNumberFormat="0" applyFont="0" applyAlignment="0" applyProtection="0"/>
    <xf numFmtId="0" fontId="31" fillId="7" borderId="218" applyNumberFormat="0" applyAlignment="0" applyProtection="0"/>
    <xf numFmtId="0" fontId="24" fillId="20" borderId="218" applyNumberFormat="0" applyAlignment="0" applyProtection="0"/>
    <xf numFmtId="0" fontId="24" fillId="20" borderId="218" applyNumberFormat="0" applyAlignment="0" applyProtection="0"/>
    <xf numFmtId="0" fontId="31" fillId="7" borderId="218" applyNumberFormat="0" applyAlignment="0" applyProtection="0"/>
    <xf numFmtId="0" fontId="3" fillId="23" borderId="219" applyNumberFormat="0" applyFont="0" applyAlignment="0" applyProtection="0"/>
    <xf numFmtId="0" fontId="34" fillId="20" borderId="220" applyNumberFormat="0" applyAlignment="0" applyProtection="0"/>
    <xf numFmtId="0" fontId="35" fillId="0" borderId="221" applyNumberFormat="0" applyFill="0" applyAlignment="0" applyProtection="0"/>
    <xf numFmtId="0" fontId="3" fillId="23" borderId="219" applyNumberFormat="0" applyFont="0" applyAlignment="0" applyProtection="0"/>
    <xf numFmtId="0" fontId="35" fillId="0" borderId="221" applyNumberFormat="0" applyFill="0" applyAlignment="0" applyProtection="0"/>
    <xf numFmtId="0" fontId="34" fillId="20" borderId="220" applyNumberFormat="0" applyAlignment="0" applyProtection="0"/>
    <xf numFmtId="0" fontId="3" fillId="23" borderId="219" applyNumberFormat="0" applyFont="0" applyAlignment="0" applyProtection="0"/>
    <xf numFmtId="0" fontId="31" fillId="7" borderId="218" applyNumberFormat="0" applyAlignment="0" applyProtection="0"/>
    <xf numFmtId="0" fontId="24" fillId="20" borderId="218" applyNumberFormat="0" applyAlignment="0" applyProtection="0"/>
    <xf numFmtId="0" fontId="3" fillId="23" borderId="219" applyNumberFormat="0" applyFont="0" applyAlignment="0" applyProtection="0"/>
    <xf numFmtId="0" fontId="3" fillId="23" borderId="219" applyNumberFormat="0" applyFont="0" applyAlignment="0" applyProtection="0"/>
    <xf numFmtId="0" fontId="3" fillId="23" borderId="219" applyNumberFormat="0" applyFont="0" applyAlignment="0" applyProtection="0"/>
    <xf numFmtId="0" fontId="31" fillId="7" borderId="218" applyNumberFormat="0" applyAlignment="0" applyProtection="0"/>
    <xf numFmtId="0" fontId="35" fillId="0" borderId="221" applyNumberFormat="0" applyFill="0" applyAlignment="0" applyProtection="0"/>
    <xf numFmtId="0" fontId="31" fillId="7" borderId="218" applyNumberFormat="0" applyAlignment="0" applyProtection="0"/>
    <xf numFmtId="0" fontId="34" fillId="20" borderId="220" applyNumberFormat="0" applyAlignment="0" applyProtection="0"/>
    <xf numFmtId="0" fontId="3" fillId="23" borderId="219" applyNumberFormat="0" applyFont="0" applyAlignment="0" applyProtection="0"/>
    <xf numFmtId="0" fontId="24" fillId="20" borderId="218" applyNumberFormat="0" applyAlignment="0" applyProtection="0"/>
    <xf numFmtId="0" fontId="3" fillId="23" borderId="219" applyNumberFormat="0" applyFont="0" applyAlignment="0" applyProtection="0"/>
    <xf numFmtId="0" fontId="3" fillId="23" borderId="219" applyNumberFormat="0" applyFont="0" applyAlignment="0" applyProtection="0"/>
    <xf numFmtId="0" fontId="3" fillId="23" borderId="219" applyNumberFormat="0" applyFont="0" applyAlignment="0" applyProtection="0"/>
    <xf numFmtId="0" fontId="34" fillId="20" borderId="220" applyNumberFormat="0" applyAlignment="0" applyProtection="0"/>
    <xf numFmtId="0" fontId="3" fillId="23" borderId="219" applyNumberFormat="0" applyFont="0" applyAlignment="0" applyProtection="0"/>
    <xf numFmtId="0" fontId="3" fillId="23" borderId="219" applyNumberFormat="0" applyFont="0" applyAlignment="0" applyProtection="0"/>
    <xf numFmtId="0" fontId="24" fillId="20" borderId="218" applyNumberFormat="0" applyAlignment="0" applyProtection="0"/>
    <xf numFmtId="0" fontId="34" fillId="20" borderId="220" applyNumberFormat="0" applyAlignment="0" applyProtection="0"/>
    <xf numFmtId="0" fontId="3" fillId="23" borderId="219" applyNumberFormat="0" applyFont="0" applyAlignment="0" applyProtection="0"/>
    <xf numFmtId="0" fontId="3" fillId="23" borderId="219" applyNumberFormat="0" applyFont="0" applyAlignment="0" applyProtection="0"/>
    <xf numFmtId="0" fontId="24" fillId="20" borderId="218" applyNumberFormat="0" applyAlignment="0" applyProtection="0"/>
    <xf numFmtId="0" fontId="3" fillId="23" borderId="219" applyNumberFormat="0" applyFont="0" applyAlignment="0" applyProtection="0"/>
    <xf numFmtId="0" fontId="35" fillId="0" borderId="221" applyNumberFormat="0" applyFill="0" applyAlignment="0" applyProtection="0"/>
    <xf numFmtId="0" fontId="34" fillId="20" borderId="220" applyNumberFormat="0" applyAlignment="0" applyProtection="0"/>
    <xf numFmtId="0" fontId="31" fillId="7" borderId="218" applyNumberFormat="0" applyAlignment="0" applyProtection="0"/>
    <xf numFmtId="0" fontId="24" fillId="20" borderId="218" applyNumberFormat="0" applyAlignment="0" applyProtection="0"/>
    <xf numFmtId="0" fontId="34" fillId="20" borderId="220" applyNumberFormat="0" applyAlignment="0" applyProtection="0"/>
    <xf numFmtId="0" fontId="35" fillId="0" borderId="221" applyNumberFormat="0" applyFill="0" applyAlignment="0" applyProtection="0"/>
    <xf numFmtId="0" fontId="35" fillId="0" borderId="221" applyNumberFormat="0" applyFill="0" applyAlignment="0" applyProtection="0"/>
    <xf numFmtId="0" fontId="31" fillId="7" borderId="218" applyNumberFormat="0" applyAlignment="0" applyProtection="0"/>
    <xf numFmtId="0" fontId="31" fillId="7" borderId="218" applyNumberFormat="0" applyAlignment="0" applyProtection="0"/>
    <xf numFmtId="0" fontId="35" fillId="0" borderId="221" applyNumberFormat="0" applyFill="0" applyAlignment="0" applyProtection="0"/>
    <xf numFmtId="0" fontId="24" fillId="20" borderId="218" applyNumberFormat="0" applyAlignment="0" applyProtection="0"/>
    <xf numFmtId="0" fontId="35" fillId="0" borderId="221" applyNumberFormat="0" applyFill="0" applyAlignment="0" applyProtection="0"/>
    <xf numFmtId="0" fontId="34" fillId="20" borderId="220" applyNumberFormat="0" applyAlignment="0" applyProtection="0"/>
    <xf numFmtId="0" fontId="3" fillId="23" borderId="219" applyNumberFormat="0" applyFont="0" applyAlignment="0" applyProtection="0"/>
    <xf numFmtId="0" fontId="31" fillId="7" borderId="218" applyNumberFormat="0" applyAlignment="0" applyProtection="0"/>
    <xf numFmtId="0" fontId="24" fillId="20" borderId="218" applyNumberFormat="0" applyAlignment="0" applyProtection="0"/>
    <xf numFmtId="0" fontId="3" fillId="23" borderId="223" applyNumberFormat="0" applyFont="0" applyAlignment="0" applyProtection="0"/>
    <xf numFmtId="0" fontId="34" fillId="20" borderId="224" applyNumberFormat="0" applyAlignment="0" applyProtection="0"/>
    <xf numFmtId="0" fontId="35" fillId="0" borderId="225" applyNumberFormat="0" applyFill="0" applyAlignment="0" applyProtection="0"/>
    <xf numFmtId="0" fontId="3" fillId="23" borderId="223" applyNumberFormat="0" applyFont="0" applyAlignment="0" applyProtection="0"/>
    <xf numFmtId="0" fontId="35" fillId="0" borderId="225" applyNumberFormat="0" applyFill="0" applyAlignment="0" applyProtection="0"/>
    <xf numFmtId="0" fontId="34" fillId="20" borderId="224" applyNumberFormat="0" applyAlignment="0" applyProtection="0"/>
    <xf numFmtId="0" fontId="3" fillId="23" borderId="223" applyNumberFormat="0" applyFont="0" applyAlignment="0" applyProtection="0"/>
    <xf numFmtId="0" fontId="31" fillId="7" borderId="222" applyNumberFormat="0" applyAlignment="0" applyProtection="0"/>
    <xf numFmtId="0" fontId="24" fillId="20" borderId="222" applyNumberFormat="0" applyAlignment="0" applyProtection="0"/>
    <xf numFmtId="0" fontId="3" fillId="23" borderId="223" applyNumberFormat="0" applyFont="0" applyAlignment="0" applyProtection="0"/>
    <xf numFmtId="0" fontId="3" fillId="23" borderId="223" applyNumberFormat="0" applyFont="0" applyAlignment="0" applyProtection="0"/>
    <xf numFmtId="0" fontId="3" fillId="23" borderId="223" applyNumberFormat="0" applyFont="0" applyAlignment="0" applyProtection="0"/>
    <xf numFmtId="0" fontId="31" fillId="7" borderId="222" applyNumberFormat="0" applyAlignment="0" applyProtection="0"/>
    <xf numFmtId="0" fontId="35" fillId="0" borderId="225" applyNumberFormat="0" applyFill="0" applyAlignment="0" applyProtection="0"/>
    <xf numFmtId="0" fontId="31" fillId="7" borderId="222" applyNumberFormat="0" applyAlignment="0" applyProtection="0"/>
    <xf numFmtId="0" fontId="34" fillId="20" borderId="224" applyNumberFormat="0" applyAlignment="0" applyProtection="0"/>
    <xf numFmtId="0" fontId="3" fillId="23" borderId="223" applyNumberFormat="0" applyFont="0" applyAlignment="0" applyProtection="0"/>
    <xf numFmtId="0" fontId="24" fillId="20" borderId="222" applyNumberFormat="0" applyAlignment="0" applyProtection="0"/>
    <xf numFmtId="0" fontId="3" fillId="23" borderId="223" applyNumberFormat="0" applyFont="0" applyAlignment="0" applyProtection="0"/>
    <xf numFmtId="0" fontId="3" fillId="23" borderId="223" applyNumberFormat="0" applyFont="0" applyAlignment="0" applyProtection="0"/>
    <xf numFmtId="0" fontId="3" fillId="23" borderId="223" applyNumberFormat="0" applyFont="0" applyAlignment="0" applyProtection="0"/>
    <xf numFmtId="0" fontId="34" fillId="20" borderId="224" applyNumberFormat="0" applyAlignment="0" applyProtection="0"/>
    <xf numFmtId="0" fontId="3" fillId="23" borderId="223" applyNumberFormat="0" applyFont="0" applyAlignment="0" applyProtection="0"/>
    <xf numFmtId="0" fontId="3" fillId="23" borderId="223" applyNumberFormat="0" applyFont="0" applyAlignment="0" applyProtection="0"/>
    <xf numFmtId="0" fontId="24" fillId="20" borderId="222" applyNumberFormat="0" applyAlignment="0" applyProtection="0"/>
    <xf numFmtId="0" fontId="34" fillId="20" borderId="224" applyNumberFormat="0" applyAlignment="0" applyProtection="0"/>
    <xf numFmtId="0" fontId="3" fillId="23" borderId="223" applyNumberFormat="0" applyFont="0" applyAlignment="0" applyProtection="0"/>
    <xf numFmtId="0" fontId="3" fillId="23" borderId="223" applyNumberFormat="0" applyFont="0" applyAlignment="0" applyProtection="0"/>
    <xf numFmtId="0" fontId="24" fillId="20" borderId="222" applyNumberFormat="0" applyAlignment="0" applyProtection="0"/>
    <xf numFmtId="0" fontId="3" fillId="23" borderId="223" applyNumberFormat="0" applyFont="0" applyAlignment="0" applyProtection="0"/>
    <xf numFmtId="0" fontId="35" fillId="0" borderId="225" applyNumberFormat="0" applyFill="0" applyAlignment="0" applyProtection="0"/>
    <xf numFmtId="0" fontId="34" fillId="20" borderId="224" applyNumberFormat="0" applyAlignment="0" applyProtection="0"/>
    <xf numFmtId="0" fontId="31" fillId="7" borderId="222" applyNumberFormat="0" applyAlignment="0" applyProtection="0"/>
    <xf numFmtId="0" fontId="24" fillId="20" borderId="222" applyNumberFormat="0" applyAlignment="0" applyProtection="0"/>
    <xf numFmtId="0" fontId="34" fillId="20" borderId="224" applyNumberFormat="0" applyAlignment="0" applyProtection="0"/>
    <xf numFmtId="0" fontId="35" fillId="0" borderId="225" applyNumberFormat="0" applyFill="0" applyAlignment="0" applyProtection="0"/>
    <xf numFmtId="0" fontId="35" fillId="0" borderId="225" applyNumberFormat="0" applyFill="0" applyAlignment="0" applyProtection="0"/>
    <xf numFmtId="0" fontId="31" fillId="7" borderId="222" applyNumberFormat="0" applyAlignment="0" applyProtection="0"/>
    <xf numFmtId="0" fontId="31" fillId="7" borderId="222" applyNumberFormat="0" applyAlignment="0" applyProtection="0"/>
    <xf numFmtId="0" fontId="35" fillId="0" borderId="225" applyNumberFormat="0" applyFill="0" applyAlignment="0" applyProtection="0"/>
    <xf numFmtId="0" fontId="24" fillId="20" borderId="222" applyNumberFormat="0" applyAlignment="0" applyProtection="0"/>
    <xf numFmtId="0" fontId="35" fillId="0" borderId="225" applyNumberFormat="0" applyFill="0" applyAlignment="0" applyProtection="0"/>
    <xf numFmtId="0" fontId="34" fillId="20" borderId="224" applyNumberFormat="0" applyAlignment="0" applyProtection="0"/>
    <xf numFmtId="0" fontId="3" fillId="23" borderId="223" applyNumberFormat="0" applyFont="0" applyAlignment="0" applyProtection="0"/>
    <xf numFmtId="0" fontId="31" fillId="7" borderId="222" applyNumberFormat="0" applyAlignment="0" applyProtection="0"/>
    <xf numFmtId="0" fontId="24" fillId="20" borderId="222" applyNumberFormat="0" applyAlignment="0" applyProtection="0"/>
    <xf numFmtId="0" fontId="24" fillId="20" borderId="222" applyNumberFormat="0" applyAlignment="0" applyProtection="0"/>
    <xf numFmtId="0" fontId="31" fillId="7" borderId="222" applyNumberFormat="0" applyAlignment="0" applyProtection="0"/>
    <xf numFmtId="0" fontId="3" fillId="23" borderId="223" applyNumberFormat="0" applyFont="0" applyAlignment="0" applyProtection="0"/>
    <xf numFmtId="0" fontId="34" fillId="20" borderId="224" applyNumberFormat="0" applyAlignment="0" applyProtection="0"/>
    <xf numFmtId="0" fontId="35" fillId="0" borderId="225" applyNumberFormat="0" applyFill="0" applyAlignment="0" applyProtection="0"/>
    <xf numFmtId="0" fontId="3" fillId="23" borderId="223" applyNumberFormat="0" applyFont="0" applyAlignment="0" applyProtection="0"/>
    <xf numFmtId="0" fontId="35" fillId="0" borderId="225" applyNumberFormat="0" applyFill="0" applyAlignment="0" applyProtection="0"/>
    <xf numFmtId="0" fontId="34" fillId="20" borderId="224" applyNumberFormat="0" applyAlignment="0" applyProtection="0"/>
    <xf numFmtId="0" fontId="3" fillId="23" borderId="223" applyNumberFormat="0" applyFont="0" applyAlignment="0" applyProtection="0"/>
    <xf numFmtId="0" fontId="31" fillId="7" borderId="222" applyNumberFormat="0" applyAlignment="0" applyProtection="0"/>
    <xf numFmtId="0" fontId="24" fillId="20" borderId="222" applyNumberFormat="0" applyAlignment="0" applyProtection="0"/>
    <xf numFmtId="0" fontId="3" fillId="23" borderId="223" applyNumberFormat="0" applyFont="0" applyAlignment="0" applyProtection="0"/>
    <xf numFmtId="0" fontId="3" fillId="23" borderId="223" applyNumberFormat="0" applyFont="0" applyAlignment="0" applyProtection="0"/>
    <xf numFmtId="0" fontId="3" fillId="23" borderId="223" applyNumberFormat="0" applyFont="0" applyAlignment="0" applyProtection="0"/>
    <xf numFmtId="0" fontId="31" fillId="7" borderId="222" applyNumberFormat="0" applyAlignment="0" applyProtection="0"/>
    <xf numFmtId="0" fontId="35" fillId="0" borderId="225" applyNumberFormat="0" applyFill="0" applyAlignment="0" applyProtection="0"/>
    <xf numFmtId="0" fontId="31" fillId="7" borderId="222" applyNumberFormat="0" applyAlignment="0" applyProtection="0"/>
    <xf numFmtId="0" fontId="34" fillId="20" borderId="224" applyNumberFormat="0" applyAlignment="0" applyProtection="0"/>
    <xf numFmtId="0" fontId="3" fillId="23" borderId="223" applyNumberFormat="0" applyFont="0" applyAlignment="0" applyProtection="0"/>
    <xf numFmtId="0" fontId="24" fillId="20" borderId="222" applyNumberFormat="0" applyAlignment="0" applyProtection="0"/>
    <xf numFmtId="0" fontId="3" fillId="23" borderId="223" applyNumberFormat="0" applyFont="0" applyAlignment="0" applyProtection="0"/>
    <xf numFmtId="0" fontId="3" fillId="23" borderId="223" applyNumberFormat="0" applyFont="0" applyAlignment="0" applyProtection="0"/>
    <xf numFmtId="0" fontId="3" fillId="23" borderId="223" applyNumberFormat="0" applyFont="0" applyAlignment="0" applyProtection="0"/>
    <xf numFmtId="0" fontId="34" fillId="20" borderId="224" applyNumberFormat="0" applyAlignment="0" applyProtection="0"/>
    <xf numFmtId="0" fontId="3" fillId="23" borderId="223" applyNumberFormat="0" applyFont="0" applyAlignment="0" applyProtection="0"/>
    <xf numFmtId="0" fontId="3" fillId="23" borderId="223" applyNumberFormat="0" applyFont="0" applyAlignment="0" applyProtection="0"/>
    <xf numFmtId="0" fontId="24" fillId="20" borderId="222" applyNumberFormat="0" applyAlignment="0" applyProtection="0"/>
    <xf numFmtId="0" fontId="34" fillId="20" borderId="224" applyNumberFormat="0" applyAlignment="0" applyProtection="0"/>
    <xf numFmtId="0" fontId="3" fillId="23" borderId="223" applyNumberFormat="0" applyFont="0" applyAlignment="0" applyProtection="0"/>
    <xf numFmtId="0" fontId="3" fillId="23" borderId="223" applyNumberFormat="0" applyFont="0" applyAlignment="0" applyProtection="0"/>
    <xf numFmtId="0" fontId="24" fillId="20" borderId="222" applyNumberFormat="0" applyAlignment="0" applyProtection="0"/>
    <xf numFmtId="0" fontId="3" fillId="23" borderId="223" applyNumberFormat="0" applyFont="0" applyAlignment="0" applyProtection="0"/>
    <xf numFmtId="0" fontId="35" fillId="0" borderId="225" applyNumberFormat="0" applyFill="0" applyAlignment="0" applyProtection="0"/>
    <xf numFmtId="0" fontId="34" fillId="20" borderId="224" applyNumberFormat="0" applyAlignment="0" applyProtection="0"/>
    <xf numFmtId="0" fontId="31" fillId="7" borderId="222" applyNumberFormat="0" applyAlignment="0" applyProtection="0"/>
    <xf numFmtId="0" fontId="24" fillId="20" borderId="222" applyNumberFormat="0" applyAlignment="0" applyProtection="0"/>
    <xf numFmtId="0" fontId="34" fillId="20" borderId="224" applyNumberFormat="0" applyAlignment="0" applyProtection="0"/>
    <xf numFmtId="0" fontId="35" fillId="0" borderId="225" applyNumberFormat="0" applyFill="0" applyAlignment="0" applyProtection="0"/>
    <xf numFmtId="0" fontId="35" fillId="0" borderId="225" applyNumberFormat="0" applyFill="0" applyAlignment="0" applyProtection="0"/>
    <xf numFmtId="0" fontId="31" fillId="7" borderId="222" applyNumberFormat="0" applyAlignment="0" applyProtection="0"/>
    <xf numFmtId="0" fontId="31" fillId="7" borderId="222" applyNumberFormat="0" applyAlignment="0" applyProtection="0"/>
    <xf numFmtId="0" fontId="35" fillId="0" borderId="225" applyNumberFormat="0" applyFill="0" applyAlignment="0" applyProtection="0"/>
    <xf numFmtId="0" fontId="24" fillId="20" borderId="222" applyNumberFormat="0" applyAlignment="0" applyProtection="0"/>
    <xf numFmtId="0" fontId="35" fillId="0" borderId="225" applyNumberFormat="0" applyFill="0" applyAlignment="0" applyProtection="0"/>
    <xf numFmtId="0" fontId="34" fillId="20" borderId="224" applyNumberFormat="0" applyAlignment="0" applyProtection="0"/>
    <xf numFmtId="0" fontId="3" fillId="23" borderId="223" applyNumberFormat="0" applyFont="0" applyAlignment="0" applyProtection="0"/>
    <xf numFmtId="0" fontId="31" fillId="7" borderId="222" applyNumberFormat="0" applyAlignment="0" applyProtection="0"/>
    <xf numFmtId="0" fontId="24" fillId="20" borderId="222" applyNumberFormat="0" applyAlignment="0" applyProtection="0"/>
    <xf numFmtId="0" fontId="3" fillId="23" borderId="223" applyNumberFormat="0" applyFont="0" applyAlignment="0" applyProtection="0"/>
    <xf numFmtId="0" fontId="35" fillId="0" borderId="225" applyNumberFormat="0" applyFill="0" applyAlignment="0" applyProtection="0"/>
    <xf numFmtId="0" fontId="34" fillId="20" borderId="224" applyNumberFormat="0" applyAlignment="0" applyProtection="0"/>
    <xf numFmtId="0" fontId="3" fillId="23" borderId="223" applyNumberFormat="0" applyFont="0" applyAlignment="0" applyProtection="0"/>
    <xf numFmtId="0" fontId="31" fillId="7" borderId="222" applyNumberFormat="0" applyAlignment="0" applyProtection="0"/>
    <xf numFmtId="0" fontId="24" fillId="20" borderId="222" applyNumberFormat="0" applyAlignment="0" applyProtection="0"/>
    <xf numFmtId="0" fontId="24" fillId="20" borderId="222" applyNumberFormat="0" applyAlignment="0" applyProtection="0"/>
    <xf numFmtId="0" fontId="31" fillId="7" borderId="222" applyNumberFormat="0" applyAlignment="0" applyProtection="0"/>
    <xf numFmtId="0" fontId="3" fillId="23" borderId="223" applyNumberFormat="0" applyFont="0" applyAlignment="0" applyProtection="0"/>
    <xf numFmtId="0" fontId="34" fillId="20" borderId="224" applyNumberFormat="0" applyAlignment="0" applyProtection="0"/>
    <xf numFmtId="0" fontId="35" fillId="0" borderId="225" applyNumberFormat="0" applyFill="0" applyAlignment="0" applyProtection="0"/>
    <xf numFmtId="0" fontId="3" fillId="23" borderId="223" applyNumberFormat="0" applyFont="0" applyAlignment="0" applyProtection="0"/>
    <xf numFmtId="0" fontId="35" fillId="0" borderId="225" applyNumberFormat="0" applyFill="0" applyAlignment="0" applyProtection="0"/>
    <xf numFmtId="0" fontId="34" fillId="20" borderId="224" applyNumberFormat="0" applyAlignment="0" applyProtection="0"/>
    <xf numFmtId="0" fontId="3" fillId="23" borderId="223" applyNumberFormat="0" applyFont="0" applyAlignment="0" applyProtection="0"/>
    <xf numFmtId="0" fontId="31" fillId="7" borderId="222" applyNumberFormat="0" applyAlignment="0" applyProtection="0"/>
    <xf numFmtId="0" fontId="24" fillId="20" borderId="222" applyNumberFormat="0" applyAlignment="0" applyProtection="0"/>
    <xf numFmtId="0" fontId="3" fillId="23" borderId="223" applyNumberFormat="0" applyFont="0" applyAlignment="0" applyProtection="0"/>
    <xf numFmtId="0" fontId="3" fillId="23" borderId="223" applyNumberFormat="0" applyFont="0" applyAlignment="0" applyProtection="0"/>
    <xf numFmtId="0" fontId="3" fillId="23" borderId="223" applyNumberFormat="0" applyFont="0" applyAlignment="0" applyProtection="0"/>
    <xf numFmtId="0" fontId="31" fillId="7" borderId="222" applyNumberFormat="0" applyAlignment="0" applyProtection="0"/>
    <xf numFmtId="0" fontId="35" fillId="0" borderId="225" applyNumberFormat="0" applyFill="0" applyAlignment="0" applyProtection="0"/>
    <xf numFmtId="0" fontId="31" fillId="7" borderId="222" applyNumberFormat="0" applyAlignment="0" applyProtection="0"/>
    <xf numFmtId="0" fontId="34" fillId="20" borderId="224" applyNumberFormat="0" applyAlignment="0" applyProtection="0"/>
    <xf numFmtId="0" fontId="3" fillId="23" borderId="223" applyNumberFormat="0" applyFont="0" applyAlignment="0" applyProtection="0"/>
    <xf numFmtId="0" fontId="24" fillId="20" borderId="222" applyNumberFormat="0" applyAlignment="0" applyProtection="0"/>
    <xf numFmtId="0" fontId="3" fillId="23" borderId="223" applyNumberFormat="0" applyFont="0" applyAlignment="0" applyProtection="0"/>
    <xf numFmtId="0" fontId="3" fillId="23" borderId="223" applyNumberFormat="0" applyFont="0" applyAlignment="0" applyProtection="0"/>
    <xf numFmtId="0" fontId="3" fillId="23" borderId="223" applyNumberFormat="0" applyFont="0" applyAlignment="0" applyProtection="0"/>
    <xf numFmtId="0" fontId="34" fillId="20" borderId="224" applyNumberFormat="0" applyAlignment="0" applyProtection="0"/>
    <xf numFmtId="0" fontId="3" fillId="23" borderId="223" applyNumberFormat="0" applyFont="0" applyAlignment="0" applyProtection="0"/>
    <xf numFmtId="0" fontId="3" fillId="23" borderId="223" applyNumberFormat="0" applyFont="0" applyAlignment="0" applyProtection="0"/>
    <xf numFmtId="0" fontId="24" fillId="20" borderId="222" applyNumberFormat="0" applyAlignment="0" applyProtection="0"/>
    <xf numFmtId="0" fontId="34" fillId="20" borderId="224" applyNumberFormat="0" applyAlignment="0" applyProtection="0"/>
    <xf numFmtId="0" fontId="3" fillId="23" borderId="223" applyNumberFormat="0" applyFont="0" applyAlignment="0" applyProtection="0"/>
    <xf numFmtId="0" fontId="3" fillId="23" borderId="223" applyNumberFormat="0" applyFont="0" applyAlignment="0" applyProtection="0"/>
    <xf numFmtId="0" fontId="24" fillId="20" borderId="222" applyNumberFormat="0" applyAlignment="0" applyProtection="0"/>
    <xf numFmtId="0" fontId="3" fillId="23" borderId="223" applyNumberFormat="0" applyFont="0" applyAlignment="0" applyProtection="0"/>
    <xf numFmtId="0" fontId="35" fillId="0" borderId="225" applyNumberFormat="0" applyFill="0" applyAlignment="0" applyProtection="0"/>
    <xf numFmtId="0" fontId="34" fillId="20" borderId="224" applyNumberFormat="0" applyAlignment="0" applyProtection="0"/>
    <xf numFmtId="0" fontId="31" fillId="7" borderId="222" applyNumberFormat="0" applyAlignment="0" applyProtection="0"/>
    <xf numFmtId="0" fontId="24" fillId="20" borderId="222" applyNumberFormat="0" applyAlignment="0" applyProtection="0"/>
    <xf numFmtId="0" fontId="34" fillId="20" borderId="224" applyNumberFormat="0" applyAlignment="0" applyProtection="0"/>
    <xf numFmtId="0" fontId="35" fillId="0" borderId="225" applyNumberFormat="0" applyFill="0" applyAlignment="0" applyProtection="0"/>
    <xf numFmtId="0" fontId="35" fillId="0" borderId="225" applyNumberFormat="0" applyFill="0" applyAlignment="0" applyProtection="0"/>
    <xf numFmtId="0" fontId="31" fillId="7" borderId="222" applyNumberFormat="0" applyAlignment="0" applyProtection="0"/>
    <xf numFmtId="0" fontId="31" fillId="7" borderId="222" applyNumberFormat="0" applyAlignment="0" applyProtection="0"/>
    <xf numFmtId="0" fontId="35" fillId="0" borderId="225" applyNumberFormat="0" applyFill="0" applyAlignment="0" applyProtection="0"/>
    <xf numFmtId="0" fontId="24" fillId="20" borderId="222" applyNumberFormat="0" applyAlignment="0" applyProtection="0"/>
    <xf numFmtId="0" fontId="35" fillId="0" borderId="225" applyNumberFormat="0" applyFill="0" applyAlignment="0" applyProtection="0"/>
    <xf numFmtId="0" fontId="34" fillId="20" borderId="224" applyNumberFormat="0" applyAlignment="0" applyProtection="0"/>
    <xf numFmtId="0" fontId="3" fillId="23" borderId="223" applyNumberFormat="0" applyFont="0" applyAlignment="0" applyProtection="0"/>
    <xf numFmtId="0" fontId="31" fillId="7" borderId="222" applyNumberFormat="0" applyAlignment="0" applyProtection="0"/>
    <xf numFmtId="0" fontId="24" fillId="20" borderId="222" applyNumberFormat="0" applyAlignment="0" applyProtection="0"/>
    <xf numFmtId="0" fontId="3" fillId="23" borderId="223" applyNumberFormat="0" applyFont="0" applyAlignment="0" applyProtection="0"/>
    <xf numFmtId="0" fontId="35" fillId="0" borderId="225" applyNumberFormat="0" applyFill="0" applyAlignment="0" applyProtection="0"/>
    <xf numFmtId="0" fontId="34" fillId="20" borderId="224" applyNumberFormat="0" applyAlignment="0" applyProtection="0"/>
    <xf numFmtId="0" fontId="3" fillId="23" borderId="223" applyNumberFormat="0" applyFont="0" applyAlignment="0" applyProtection="0"/>
    <xf numFmtId="0" fontId="31" fillId="7" borderId="222" applyNumberFormat="0" applyAlignment="0" applyProtection="0"/>
    <xf numFmtId="0" fontId="24" fillId="20" borderId="222" applyNumberFormat="0" applyAlignment="0" applyProtection="0"/>
    <xf numFmtId="0" fontId="24" fillId="20" borderId="222" applyNumberFormat="0" applyAlignment="0" applyProtection="0"/>
    <xf numFmtId="0" fontId="31" fillId="7" borderId="222" applyNumberFormat="0" applyAlignment="0" applyProtection="0"/>
    <xf numFmtId="0" fontId="3" fillId="23" borderId="223" applyNumberFormat="0" applyFont="0" applyAlignment="0" applyProtection="0"/>
    <xf numFmtId="0" fontId="34" fillId="20" borderId="224" applyNumberFormat="0" applyAlignment="0" applyProtection="0"/>
    <xf numFmtId="0" fontId="35" fillId="0" borderId="225" applyNumberFormat="0" applyFill="0" applyAlignment="0" applyProtection="0"/>
    <xf numFmtId="0" fontId="3" fillId="23" borderId="223" applyNumberFormat="0" applyFont="0" applyAlignment="0" applyProtection="0"/>
    <xf numFmtId="0" fontId="35" fillId="0" borderId="225" applyNumberFormat="0" applyFill="0" applyAlignment="0" applyProtection="0"/>
    <xf numFmtId="0" fontId="34" fillId="20" borderId="224" applyNumberFormat="0" applyAlignment="0" applyProtection="0"/>
    <xf numFmtId="0" fontId="3" fillId="23" borderId="223" applyNumberFormat="0" applyFont="0" applyAlignment="0" applyProtection="0"/>
    <xf numFmtId="0" fontId="31" fillId="7" borderId="222" applyNumberFormat="0" applyAlignment="0" applyProtection="0"/>
    <xf numFmtId="0" fontId="24" fillId="20" borderId="222" applyNumberFormat="0" applyAlignment="0" applyProtection="0"/>
    <xf numFmtId="0" fontId="3" fillId="23" borderId="223" applyNumberFormat="0" applyFont="0" applyAlignment="0" applyProtection="0"/>
    <xf numFmtId="0" fontId="3" fillId="23" borderId="223" applyNumberFormat="0" applyFont="0" applyAlignment="0" applyProtection="0"/>
    <xf numFmtId="0" fontId="3" fillId="23" borderId="223" applyNumberFormat="0" applyFont="0" applyAlignment="0" applyProtection="0"/>
    <xf numFmtId="0" fontId="31" fillId="7" borderId="222" applyNumberFormat="0" applyAlignment="0" applyProtection="0"/>
    <xf numFmtId="0" fontId="35" fillId="0" borderId="225" applyNumberFormat="0" applyFill="0" applyAlignment="0" applyProtection="0"/>
    <xf numFmtId="0" fontId="31" fillId="7" borderId="222" applyNumberFormat="0" applyAlignment="0" applyProtection="0"/>
    <xf numFmtId="0" fontId="34" fillId="20" borderId="224" applyNumberFormat="0" applyAlignment="0" applyProtection="0"/>
    <xf numFmtId="0" fontId="3" fillId="23" borderId="223" applyNumberFormat="0" applyFont="0" applyAlignment="0" applyProtection="0"/>
    <xf numFmtId="0" fontId="24" fillId="20" borderId="222" applyNumberFormat="0" applyAlignment="0" applyProtection="0"/>
    <xf numFmtId="0" fontId="3" fillId="23" borderId="223" applyNumberFormat="0" applyFont="0" applyAlignment="0" applyProtection="0"/>
    <xf numFmtId="0" fontId="3" fillId="23" borderId="223" applyNumberFormat="0" applyFont="0" applyAlignment="0" applyProtection="0"/>
    <xf numFmtId="0" fontId="3" fillId="23" borderId="223" applyNumberFormat="0" applyFont="0" applyAlignment="0" applyProtection="0"/>
    <xf numFmtId="0" fontId="34" fillId="20" borderId="224" applyNumberFormat="0" applyAlignment="0" applyProtection="0"/>
    <xf numFmtId="0" fontId="3" fillId="23" borderId="223" applyNumberFormat="0" applyFont="0" applyAlignment="0" applyProtection="0"/>
    <xf numFmtId="0" fontId="3" fillId="23" borderId="223" applyNumberFormat="0" applyFont="0" applyAlignment="0" applyProtection="0"/>
    <xf numFmtId="0" fontId="24" fillId="20" borderId="222" applyNumberFormat="0" applyAlignment="0" applyProtection="0"/>
    <xf numFmtId="0" fontId="34" fillId="20" borderId="224" applyNumberFormat="0" applyAlignment="0" applyProtection="0"/>
    <xf numFmtId="0" fontId="3" fillId="23" borderId="223" applyNumberFormat="0" applyFont="0" applyAlignment="0" applyProtection="0"/>
    <xf numFmtId="0" fontId="3" fillId="23" borderId="223" applyNumberFormat="0" applyFont="0" applyAlignment="0" applyProtection="0"/>
    <xf numFmtId="0" fontId="24" fillId="20" borderId="222" applyNumberFormat="0" applyAlignment="0" applyProtection="0"/>
    <xf numFmtId="0" fontId="3" fillId="23" borderId="223" applyNumberFormat="0" applyFont="0" applyAlignment="0" applyProtection="0"/>
    <xf numFmtId="0" fontId="35" fillId="0" borderId="225" applyNumberFormat="0" applyFill="0" applyAlignment="0" applyProtection="0"/>
    <xf numFmtId="0" fontId="34" fillId="20" borderId="224" applyNumberFormat="0" applyAlignment="0" applyProtection="0"/>
    <xf numFmtId="0" fontId="31" fillId="7" borderId="222" applyNumberFormat="0" applyAlignment="0" applyProtection="0"/>
    <xf numFmtId="0" fontId="24" fillId="20" borderId="222" applyNumberFormat="0" applyAlignment="0" applyProtection="0"/>
    <xf numFmtId="0" fontId="34" fillId="20" borderId="224" applyNumberFormat="0" applyAlignment="0" applyProtection="0"/>
    <xf numFmtId="0" fontId="35" fillId="0" borderId="225" applyNumberFormat="0" applyFill="0" applyAlignment="0" applyProtection="0"/>
    <xf numFmtId="0" fontId="35" fillId="0" borderId="225" applyNumberFormat="0" applyFill="0" applyAlignment="0" applyProtection="0"/>
    <xf numFmtId="0" fontId="31" fillId="7" borderId="222" applyNumberFormat="0" applyAlignment="0" applyProtection="0"/>
    <xf numFmtId="0" fontId="31" fillId="7" borderId="222" applyNumberFormat="0" applyAlignment="0" applyProtection="0"/>
    <xf numFmtId="0" fontId="35" fillId="0" borderId="225" applyNumberFormat="0" applyFill="0" applyAlignment="0" applyProtection="0"/>
    <xf numFmtId="0" fontId="24" fillId="20" borderId="222" applyNumberFormat="0" applyAlignment="0" applyProtection="0"/>
    <xf numFmtId="0" fontId="35" fillId="0" borderId="225" applyNumberFormat="0" applyFill="0" applyAlignment="0" applyProtection="0"/>
    <xf numFmtId="0" fontId="34" fillId="20" borderId="224" applyNumberFormat="0" applyAlignment="0" applyProtection="0"/>
    <xf numFmtId="0" fontId="3" fillId="23" borderId="223" applyNumberFormat="0" applyFont="0" applyAlignment="0" applyProtection="0"/>
    <xf numFmtId="0" fontId="31" fillId="7" borderId="222" applyNumberFormat="0" applyAlignment="0" applyProtection="0"/>
    <xf numFmtId="0" fontId="24" fillId="20" borderId="222" applyNumberFormat="0" applyAlignment="0" applyProtection="0"/>
    <xf numFmtId="0" fontId="24" fillId="20" borderId="222" applyNumberFormat="0" applyAlignment="0" applyProtection="0"/>
    <xf numFmtId="0" fontId="31" fillId="7" borderId="222" applyNumberFormat="0" applyAlignment="0" applyProtection="0"/>
    <xf numFmtId="0" fontId="3" fillId="23" borderId="223" applyNumberFormat="0" applyFont="0" applyAlignment="0" applyProtection="0"/>
    <xf numFmtId="0" fontId="34" fillId="20" borderId="224" applyNumberFormat="0" applyAlignment="0" applyProtection="0"/>
    <xf numFmtId="0" fontId="35" fillId="0" borderId="225" applyNumberFormat="0" applyFill="0" applyAlignment="0" applyProtection="0"/>
    <xf numFmtId="0" fontId="3" fillId="23" borderId="223" applyNumberFormat="0" applyFont="0" applyAlignment="0" applyProtection="0"/>
    <xf numFmtId="0" fontId="35" fillId="0" borderId="225" applyNumberFormat="0" applyFill="0" applyAlignment="0" applyProtection="0"/>
    <xf numFmtId="0" fontId="34" fillId="20" borderId="224" applyNumberFormat="0" applyAlignment="0" applyProtection="0"/>
    <xf numFmtId="0" fontId="3" fillId="23" borderId="223" applyNumberFormat="0" applyFont="0" applyAlignment="0" applyProtection="0"/>
    <xf numFmtId="0" fontId="31" fillId="7" borderId="222" applyNumberFormat="0" applyAlignment="0" applyProtection="0"/>
    <xf numFmtId="0" fontId="24" fillId="20" borderId="222" applyNumberFormat="0" applyAlignment="0" applyProtection="0"/>
    <xf numFmtId="0" fontId="3" fillId="23" borderId="223" applyNumberFormat="0" applyFont="0" applyAlignment="0" applyProtection="0"/>
    <xf numFmtId="0" fontId="3" fillId="23" borderId="223" applyNumberFormat="0" applyFont="0" applyAlignment="0" applyProtection="0"/>
    <xf numFmtId="0" fontId="3" fillId="23" borderId="223" applyNumberFormat="0" applyFont="0" applyAlignment="0" applyProtection="0"/>
    <xf numFmtId="0" fontId="31" fillId="7" borderId="222" applyNumberFormat="0" applyAlignment="0" applyProtection="0"/>
    <xf numFmtId="0" fontId="35" fillId="0" borderId="225" applyNumberFormat="0" applyFill="0" applyAlignment="0" applyProtection="0"/>
    <xf numFmtId="0" fontId="31" fillId="7" borderId="222" applyNumberFormat="0" applyAlignment="0" applyProtection="0"/>
    <xf numFmtId="0" fontId="34" fillId="20" borderId="224" applyNumberFormat="0" applyAlignment="0" applyProtection="0"/>
    <xf numFmtId="0" fontId="3" fillId="23" borderId="223" applyNumberFormat="0" applyFont="0" applyAlignment="0" applyProtection="0"/>
    <xf numFmtId="0" fontId="24" fillId="20" borderId="222" applyNumberFormat="0" applyAlignment="0" applyProtection="0"/>
    <xf numFmtId="0" fontId="3" fillId="23" borderId="223" applyNumberFormat="0" applyFont="0" applyAlignment="0" applyProtection="0"/>
    <xf numFmtId="0" fontId="3" fillId="23" borderId="223" applyNumberFormat="0" applyFont="0" applyAlignment="0" applyProtection="0"/>
    <xf numFmtId="0" fontId="3" fillId="23" borderId="223" applyNumberFormat="0" applyFont="0" applyAlignment="0" applyProtection="0"/>
    <xf numFmtId="0" fontId="34" fillId="20" borderId="224" applyNumberFormat="0" applyAlignment="0" applyProtection="0"/>
    <xf numFmtId="0" fontId="3" fillId="23" borderId="223" applyNumberFormat="0" applyFont="0" applyAlignment="0" applyProtection="0"/>
    <xf numFmtId="0" fontId="3" fillId="23" borderId="223" applyNumberFormat="0" applyFont="0" applyAlignment="0" applyProtection="0"/>
    <xf numFmtId="0" fontId="24" fillId="20" borderId="222" applyNumberFormat="0" applyAlignment="0" applyProtection="0"/>
    <xf numFmtId="0" fontId="34" fillId="20" borderId="224" applyNumberFormat="0" applyAlignment="0" applyProtection="0"/>
    <xf numFmtId="0" fontId="3" fillId="23" borderId="223" applyNumberFormat="0" applyFont="0" applyAlignment="0" applyProtection="0"/>
    <xf numFmtId="0" fontId="3" fillId="23" borderId="223" applyNumberFormat="0" applyFont="0" applyAlignment="0" applyProtection="0"/>
    <xf numFmtId="0" fontId="24" fillId="20" borderId="222" applyNumberFormat="0" applyAlignment="0" applyProtection="0"/>
    <xf numFmtId="0" fontId="3" fillId="23" borderId="223" applyNumberFormat="0" applyFont="0" applyAlignment="0" applyProtection="0"/>
    <xf numFmtId="0" fontId="35" fillId="0" borderId="225" applyNumberFormat="0" applyFill="0" applyAlignment="0" applyProtection="0"/>
    <xf numFmtId="0" fontId="34" fillId="20" borderId="224" applyNumberFormat="0" applyAlignment="0" applyProtection="0"/>
    <xf numFmtId="0" fontId="31" fillId="7" borderId="222" applyNumberFormat="0" applyAlignment="0" applyProtection="0"/>
    <xf numFmtId="0" fontId="24" fillId="20" borderId="222" applyNumberFormat="0" applyAlignment="0" applyProtection="0"/>
    <xf numFmtId="0" fontId="34" fillId="20" borderId="224" applyNumberFormat="0" applyAlignment="0" applyProtection="0"/>
    <xf numFmtId="0" fontId="35" fillId="0" borderId="225" applyNumberFormat="0" applyFill="0" applyAlignment="0" applyProtection="0"/>
    <xf numFmtId="0" fontId="35" fillId="0" borderId="225" applyNumberFormat="0" applyFill="0" applyAlignment="0" applyProtection="0"/>
    <xf numFmtId="0" fontId="31" fillId="7" borderId="222" applyNumberFormat="0" applyAlignment="0" applyProtection="0"/>
    <xf numFmtId="0" fontId="31" fillId="7" borderId="222" applyNumberFormat="0" applyAlignment="0" applyProtection="0"/>
    <xf numFmtId="0" fontId="35" fillId="0" borderId="225" applyNumberFormat="0" applyFill="0" applyAlignment="0" applyProtection="0"/>
    <xf numFmtId="0" fontId="24" fillId="20" borderId="222" applyNumberFormat="0" applyAlignment="0" applyProtection="0"/>
    <xf numFmtId="0" fontId="35" fillId="0" borderId="225" applyNumberFormat="0" applyFill="0" applyAlignment="0" applyProtection="0"/>
    <xf numFmtId="0" fontId="34" fillId="20" borderId="224" applyNumberFormat="0" applyAlignment="0" applyProtection="0"/>
    <xf numFmtId="0" fontId="3" fillId="23" borderId="223" applyNumberFormat="0" applyFont="0" applyAlignment="0" applyProtection="0"/>
    <xf numFmtId="0" fontId="31" fillId="7" borderId="222" applyNumberFormat="0" applyAlignment="0" applyProtection="0"/>
    <xf numFmtId="0" fontId="24" fillId="20" borderId="222" applyNumberFormat="0" applyAlignment="0" applyProtection="0"/>
    <xf numFmtId="0" fontId="3" fillId="23" borderId="227" applyNumberFormat="0" applyFont="0" applyAlignment="0" applyProtection="0"/>
    <xf numFmtId="0" fontId="34" fillId="20" borderId="228" applyNumberFormat="0" applyAlignment="0" applyProtection="0"/>
    <xf numFmtId="0" fontId="35" fillId="0" borderId="229" applyNumberFormat="0" applyFill="0" applyAlignment="0" applyProtection="0"/>
    <xf numFmtId="0" fontId="3" fillId="23" borderId="227" applyNumberFormat="0" applyFont="0" applyAlignment="0" applyProtection="0"/>
    <xf numFmtId="0" fontId="35" fillId="0" borderId="229" applyNumberFormat="0" applyFill="0" applyAlignment="0" applyProtection="0"/>
    <xf numFmtId="0" fontId="34" fillId="20" borderId="228" applyNumberFormat="0" applyAlignment="0" applyProtection="0"/>
    <xf numFmtId="0" fontId="3" fillId="23" borderId="227" applyNumberFormat="0" applyFont="0" applyAlignment="0" applyProtection="0"/>
    <xf numFmtId="0" fontId="31" fillId="7" borderId="226" applyNumberFormat="0" applyAlignment="0" applyProtection="0"/>
    <xf numFmtId="0" fontId="24" fillId="20" borderId="226" applyNumberFormat="0" applyAlignment="0" applyProtection="0"/>
    <xf numFmtId="0" fontId="3" fillId="23" borderId="227" applyNumberFormat="0" applyFont="0" applyAlignment="0" applyProtection="0"/>
    <xf numFmtId="0" fontId="3" fillId="23" borderId="227" applyNumberFormat="0" applyFont="0" applyAlignment="0" applyProtection="0"/>
    <xf numFmtId="0" fontId="3" fillId="23" borderId="227" applyNumberFormat="0" applyFont="0" applyAlignment="0" applyProtection="0"/>
    <xf numFmtId="0" fontId="31" fillId="7" borderId="226" applyNumberFormat="0" applyAlignment="0" applyProtection="0"/>
    <xf numFmtId="0" fontId="35" fillId="0" borderId="229" applyNumberFormat="0" applyFill="0" applyAlignment="0" applyProtection="0"/>
    <xf numFmtId="0" fontId="31" fillId="7" borderId="226" applyNumberFormat="0" applyAlignment="0" applyProtection="0"/>
    <xf numFmtId="0" fontId="34" fillId="20" borderId="228" applyNumberFormat="0" applyAlignment="0" applyProtection="0"/>
    <xf numFmtId="0" fontId="3" fillId="23" borderId="227" applyNumberFormat="0" applyFont="0" applyAlignment="0" applyProtection="0"/>
    <xf numFmtId="0" fontId="24" fillId="20" borderId="226" applyNumberFormat="0" applyAlignment="0" applyProtection="0"/>
    <xf numFmtId="0" fontId="3" fillId="23" borderId="227" applyNumberFormat="0" applyFont="0" applyAlignment="0" applyProtection="0"/>
    <xf numFmtId="0" fontId="3" fillId="23" borderId="227" applyNumberFormat="0" applyFont="0" applyAlignment="0" applyProtection="0"/>
    <xf numFmtId="0" fontId="3" fillId="23" borderId="227" applyNumberFormat="0" applyFont="0" applyAlignment="0" applyProtection="0"/>
    <xf numFmtId="0" fontId="34" fillId="20" borderId="228" applyNumberFormat="0" applyAlignment="0" applyProtection="0"/>
    <xf numFmtId="0" fontId="3" fillId="23" borderId="227" applyNumberFormat="0" applyFont="0" applyAlignment="0" applyProtection="0"/>
    <xf numFmtId="0" fontId="3" fillId="23" borderId="227" applyNumberFormat="0" applyFont="0" applyAlignment="0" applyProtection="0"/>
    <xf numFmtId="0" fontId="24" fillId="20" borderId="226" applyNumberFormat="0" applyAlignment="0" applyProtection="0"/>
    <xf numFmtId="0" fontId="34" fillId="20" borderId="228" applyNumberFormat="0" applyAlignment="0" applyProtection="0"/>
    <xf numFmtId="0" fontId="3" fillId="23" borderId="227" applyNumberFormat="0" applyFont="0" applyAlignment="0" applyProtection="0"/>
    <xf numFmtId="0" fontId="3" fillId="23" borderId="227" applyNumberFormat="0" applyFont="0" applyAlignment="0" applyProtection="0"/>
    <xf numFmtId="0" fontId="24" fillId="20" borderId="226" applyNumberFormat="0" applyAlignment="0" applyProtection="0"/>
    <xf numFmtId="0" fontId="3" fillId="23" borderId="227" applyNumberFormat="0" applyFont="0" applyAlignment="0" applyProtection="0"/>
    <xf numFmtId="0" fontId="35" fillId="0" borderId="229" applyNumberFormat="0" applyFill="0" applyAlignment="0" applyProtection="0"/>
    <xf numFmtId="0" fontId="34" fillId="20" borderId="228" applyNumberFormat="0" applyAlignment="0" applyProtection="0"/>
    <xf numFmtId="0" fontId="31" fillId="7" borderId="226" applyNumberFormat="0" applyAlignment="0" applyProtection="0"/>
    <xf numFmtId="0" fontId="24" fillId="20" borderId="226" applyNumberFormat="0" applyAlignment="0" applyProtection="0"/>
    <xf numFmtId="0" fontId="34" fillId="20" borderId="228" applyNumberFormat="0" applyAlignment="0" applyProtection="0"/>
    <xf numFmtId="0" fontId="35" fillId="0" borderId="229" applyNumberFormat="0" applyFill="0" applyAlignment="0" applyProtection="0"/>
    <xf numFmtId="0" fontId="35" fillId="0" borderId="229" applyNumberFormat="0" applyFill="0" applyAlignment="0" applyProtection="0"/>
    <xf numFmtId="0" fontId="31" fillId="7" borderId="226" applyNumberFormat="0" applyAlignment="0" applyProtection="0"/>
    <xf numFmtId="0" fontId="31" fillId="7" borderId="226" applyNumberFormat="0" applyAlignment="0" applyProtection="0"/>
    <xf numFmtId="0" fontId="35" fillId="0" borderId="229" applyNumberFormat="0" applyFill="0" applyAlignment="0" applyProtection="0"/>
    <xf numFmtId="0" fontId="24" fillId="20" borderId="226" applyNumberFormat="0" applyAlignment="0" applyProtection="0"/>
    <xf numFmtId="0" fontId="35" fillId="0" borderId="229" applyNumberFormat="0" applyFill="0" applyAlignment="0" applyProtection="0"/>
    <xf numFmtId="0" fontId="34" fillId="20" borderId="228" applyNumberFormat="0" applyAlignment="0" applyProtection="0"/>
    <xf numFmtId="0" fontId="3" fillId="23" borderId="227" applyNumberFormat="0" applyFont="0" applyAlignment="0" applyProtection="0"/>
    <xf numFmtId="0" fontId="31" fillId="7" borderId="226" applyNumberFormat="0" applyAlignment="0" applyProtection="0"/>
    <xf numFmtId="0" fontId="24" fillId="20" borderId="226" applyNumberFormat="0" applyAlignment="0" applyProtection="0"/>
    <xf numFmtId="0" fontId="24" fillId="20" borderId="226" applyNumberFormat="0" applyAlignment="0" applyProtection="0"/>
    <xf numFmtId="0" fontId="31" fillId="7" borderId="226" applyNumberFormat="0" applyAlignment="0" applyProtection="0"/>
    <xf numFmtId="0" fontId="3" fillId="23" borderId="227" applyNumberFormat="0" applyFont="0" applyAlignment="0" applyProtection="0"/>
    <xf numFmtId="0" fontId="34" fillId="20" borderId="228" applyNumberFormat="0" applyAlignment="0" applyProtection="0"/>
    <xf numFmtId="0" fontId="35" fillId="0" borderId="229" applyNumberFormat="0" applyFill="0" applyAlignment="0" applyProtection="0"/>
    <xf numFmtId="0" fontId="3" fillId="23" borderId="227" applyNumberFormat="0" applyFont="0" applyAlignment="0" applyProtection="0"/>
    <xf numFmtId="0" fontId="35" fillId="0" borderId="229" applyNumberFormat="0" applyFill="0" applyAlignment="0" applyProtection="0"/>
    <xf numFmtId="0" fontId="34" fillId="20" borderId="228" applyNumberFormat="0" applyAlignment="0" applyProtection="0"/>
    <xf numFmtId="0" fontId="3" fillId="23" borderId="227" applyNumberFormat="0" applyFont="0" applyAlignment="0" applyProtection="0"/>
    <xf numFmtId="0" fontId="31" fillId="7" borderId="226" applyNumberFormat="0" applyAlignment="0" applyProtection="0"/>
    <xf numFmtId="0" fontId="24" fillId="20" borderId="226" applyNumberFormat="0" applyAlignment="0" applyProtection="0"/>
    <xf numFmtId="0" fontId="3" fillId="23" borderId="227" applyNumberFormat="0" applyFont="0" applyAlignment="0" applyProtection="0"/>
    <xf numFmtId="0" fontId="3" fillId="23" borderId="227" applyNumberFormat="0" applyFont="0" applyAlignment="0" applyProtection="0"/>
    <xf numFmtId="0" fontId="3" fillId="23" borderId="227" applyNumberFormat="0" applyFont="0" applyAlignment="0" applyProtection="0"/>
    <xf numFmtId="0" fontId="31" fillId="7" borderId="226" applyNumberFormat="0" applyAlignment="0" applyProtection="0"/>
    <xf numFmtId="0" fontId="35" fillId="0" borderId="229" applyNumberFormat="0" applyFill="0" applyAlignment="0" applyProtection="0"/>
    <xf numFmtId="0" fontId="31" fillId="7" borderId="226" applyNumberFormat="0" applyAlignment="0" applyProtection="0"/>
    <xf numFmtId="0" fontId="34" fillId="20" borderId="228" applyNumberFormat="0" applyAlignment="0" applyProtection="0"/>
    <xf numFmtId="0" fontId="3" fillId="23" borderId="227" applyNumberFormat="0" applyFont="0" applyAlignment="0" applyProtection="0"/>
    <xf numFmtId="0" fontId="24" fillId="20" borderId="226" applyNumberFormat="0" applyAlignment="0" applyProtection="0"/>
    <xf numFmtId="0" fontId="3" fillId="23" borderId="227" applyNumberFormat="0" applyFont="0" applyAlignment="0" applyProtection="0"/>
    <xf numFmtId="0" fontId="3" fillId="23" borderId="227" applyNumberFormat="0" applyFont="0" applyAlignment="0" applyProtection="0"/>
    <xf numFmtId="0" fontId="3" fillId="23" borderId="227" applyNumberFormat="0" applyFont="0" applyAlignment="0" applyProtection="0"/>
    <xf numFmtId="0" fontId="34" fillId="20" borderId="228" applyNumberFormat="0" applyAlignment="0" applyProtection="0"/>
    <xf numFmtId="0" fontId="3" fillId="23" borderId="227" applyNumberFormat="0" applyFont="0" applyAlignment="0" applyProtection="0"/>
    <xf numFmtId="0" fontId="3" fillId="23" borderId="227" applyNumberFormat="0" applyFont="0" applyAlignment="0" applyProtection="0"/>
    <xf numFmtId="0" fontId="24" fillId="20" borderId="226" applyNumberFormat="0" applyAlignment="0" applyProtection="0"/>
    <xf numFmtId="0" fontId="34" fillId="20" borderId="228" applyNumberFormat="0" applyAlignment="0" applyProtection="0"/>
    <xf numFmtId="0" fontId="3" fillId="23" borderId="227" applyNumberFormat="0" applyFont="0" applyAlignment="0" applyProtection="0"/>
    <xf numFmtId="0" fontId="3" fillId="23" borderId="227" applyNumberFormat="0" applyFont="0" applyAlignment="0" applyProtection="0"/>
    <xf numFmtId="0" fontId="24" fillId="20" borderId="226" applyNumberFormat="0" applyAlignment="0" applyProtection="0"/>
    <xf numFmtId="0" fontId="3" fillId="23" borderId="227" applyNumberFormat="0" applyFont="0" applyAlignment="0" applyProtection="0"/>
    <xf numFmtId="0" fontId="35" fillId="0" borderId="229" applyNumberFormat="0" applyFill="0" applyAlignment="0" applyProtection="0"/>
    <xf numFmtId="0" fontId="34" fillId="20" borderId="228" applyNumberFormat="0" applyAlignment="0" applyProtection="0"/>
    <xf numFmtId="0" fontId="31" fillId="7" borderId="226" applyNumberFormat="0" applyAlignment="0" applyProtection="0"/>
    <xf numFmtId="0" fontId="24" fillId="20" borderId="226" applyNumberFormat="0" applyAlignment="0" applyProtection="0"/>
    <xf numFmtId="0" fontId="34" fillId="20" borderId="228" applyNumberFormat="0" applyAlignment="0" applyProtection="0"/>
    <xf numFmtId="0" fontId="35" fillId="0" borderId="229" applyNumberFormat="0" applyFill="0" applyAlignment="0" applyProtection="0"/>
    <xf numFmtId="0" fontId="35" fillId="0" borderId="229" applyNumberFormat="0" applyFill="0" applyAlignment="0" applyProtection="0"/>
    <xf numFmtId="0" fontId="31" fillId="7" borderId="226" applyNumberFormat="0" applyAlignment="0" applyProtection="0"/>
    <xf numFmtId="0" fontId="31" fillId="7" borderId="226" applyNumberFormat="0" applyAlignment="0" applyProtection="0"/>
    <xf numFmtId="0" fontId="35" fillId="0" borderId="229" applyNumberFormat="0" applyFill="0" applyAlignment="0" applyProtection="0"/>
    <xf numFmtId="0" fontId="24" fillId="20" borderId="226" applyNumberFormat="0" applyAlignment="0" applyProtection="0"/>
    <xf numFmtId="0" fontId="35" fillId="0" borderId="229" applyNumberFormat="0" applyFill="0" applyAlignment="0" applyProtection="0"/>
    <xf numFmtId="0" fontId="34" fillId="20" borderId="228" applyNumberFormat="0" applyAlignment="0" applyProtection="0"/>
    <xf numFmtId="0" fontId="3" fillId="23" borderId="227" applyNumberFormat="0" applyFont="0" applyAlignment="0" applyProtection="0"/>
    <xf numFmtId="0" fontId="31" fillId="7" borderId="226" applyNumberFormat="0" applyAlignment="0" applyProtection="0"/>
    <xf numFmtId="0" fontId="24" fillId="20" borderId="226" applyNumberFormat="0" applyAlignment="0" applyProtection="0"/>
    <xf numFmtId="0" fontId="3" fillId="23" borderId="227" applyNumberFormat="0" applyFont="0" applyAlignment="0" applyProtection="0"/>
    <xf numFmtId="0" fontId="35" fillId="0" borderId="229" applyNumberFormat="0" applyFill="0" applyAlignment="0" applyProtection="0"/>
    <xf numFmtId="0" fontId="34" fillId="20" borderId="228" applyNumberFormat="0" applyAlignment="0" applyProtection="0"/>
    <xf numFmtId="0" fontId="3" fillId="23" borderId="227" applyNumberFormat="0" applyFont="0" applyAlignment="0" applyProtection="0"/>
    <xf numFmtId="0" fontId="31" fillId="7" borderId="226" applyNumberFormat="0" applyAlignment="0" applyProtection="0"/>
    <xf numFmtId="0" fontId="24" fillId="20" borderId="226" applyNumberFormat="0" applyAlignment="0" applyProtection="0"/>
    <xf numFmtId="0" fontId="24" fillId="20" borderId="226" applyNumberFormat="0" applyAlignment="0" applyProtection="0"/>
    <xf numFmtId="0" fontId="31" fillId="7" borderId="226" applyNumberFormat="0" applyAlignment="0" applyProtection="0"/>
    <xf numFmtId="0" fontId="3" fillId="23" borderId="227" applyNumberFormat="0" applyFont="0" applyAlignment="0" applyProtection="0"/>
    <xf numFmtId="0" fontId="34" fillId="20" borderId="228" applyNumberFormat="0" applyAlignment="0" applyProtection="0"/>
    <xf numFmtId="0" fontId="35" fillId="0" borderId="229" applyNumberFormat="0" applyFill="0" applyAlignment="0" applyProtection="0"/>
    <xf numFmtId="0" fontId="3" fillId="23" borderId="227" applyNumberFormat="0" applyFont="0" applyAlignment="0" applyProtection="0"/>
    <xf numFmtId="0" fontId="35" fillId="0" borderId="229" applyNumberFormat="0" applyFill="0" applyAlignment="0" applyProtection="0"/>
    <xf numFmtId="0" fontId="34" fillId="20" borderId="228" applyNumberFormat="0" applyAlignment="0" applyProtection="0"/>
    <xf numFmtId="0" fontId="3" fillId="23" borderId="227" applyNumberFormat="0" applyFont="0" applyAlignment="0" applyProtection="0"/>
    <xf numFmtId="0" fontId="31" fillId="7" borderId="226" applyNumberFormat="0" applyAlignment="0" applyProtection="0"/>
    <xf numFmtId="0" fontId="24" fillId="20" borderId="226" applyNumberFormat="0" applyAlignment="0" applyProtection="0"/>
    <xf numFmtId="0" fontId="3" fillId="23" borderId="227" applyNumberFormat="0" applyFont="0" applyAlignment="0" applyProtection="0"/>
    <xf numFmtId="0" fontId="3" fillId="23" borderId="227" applyNumberFormat="0" applyFont="0" applyAlignment="0" applyProtection="0"/>
    <xf numFmtId="0" fontId="3" fillId="23" borderId="227" applyNumberFormat="0" applyFont="0" applyAlignment="0" applyProtection="0"/>
    <xf numFmtId="0" fontId="31" fillId="7" borderId="226" applyNumberFormat="0" applyAlignment="0" applyProtection="0"/>
    <xf numFmtId="0" fontId="35" fillId="0" borderId="229" applyNumberFormat="0" applyFill="0" applyAlignment="0" applyProtection="0"/>
    <xf numFmtId="0" fontId="31" fillId="7" borderId="226" applyNumberFormat="0" applyAlignment="0" applyProtection="0"/>
    <xf numFmtId="0" fontId="34" fillId="20" borderId="228" applyNumberFormat="0" applyAlignment="0" applyProtection="0"/>
    <xf numFmtId="0" fontId="3" fillId="23" borderId="227" applyNumberFormat="0" applyFont="0" applyAlignment="0" applyProtection="0"/>
    <xf numFmtId="0" fontId="24" fillId="20" borderId="226" applyNumberFormat="0" applyAlignment="0" applyProtection="0"/>
    <xf numFmtId="0" fontId="3" fillId="23" borderId="227" applyNumberFormat="0" applyFont="0" applyAlignment="0" applyProtection="0"/>
    <xf numFmtId="0" fontId="3" fillId="23" borderId="227" applyNumberFormat="0" applyFont="0" applyAlignment="0" applyProtection="0"/>
    <xf numFmtId="0" fontId="3" fillId="23" borderId="227" applyNumberFormat="0" applyFont="0" applyAlignment="0" applyProtection="0"/>
    <xf numFmtId="0" fontId="34" fillId="20" borderId="228" applyNumberFormat="0" applyAlignment="0" applyProtection="0"/>
    <xf numFmtId="0" fontId="3" fillId="23" borderId="227" applyNumberFormat="0" applyFont="0" applyAlignment="0" applyProtection="0"/>
    <xf numFmtId="0" fontId="3" fillId="23" borderId="227" applyNumberFormat="0" applyFont="0" applyAlignment="0" applyProtection="0"/>
    <xf numFmtId="0" fontId="24" fillId="20" borderId="226" applyNumberFormat="0" applyAlignment="0" applyProtection="0"/>
    <xf numFmtId="0" fontId="34" fillId="20" borderId="228" applyNumberFormat="0" applyAlignment="0" applyProtection="0"/>
    <xf numFmtId="0" fontId="3" fillId="23" borderId="227" applyNumberFormat="0" applyFont="0" applyAlignment="0" applyProtection="0"/>
    <xf numFmtId="0" fontId="3" fillId="23" borderId="227" applyNumberFormat="0" applyFont="0" applyAlignment="0" applyProtection="0"/>
    <xf numFmtId="0" fontId="24" fillId="20" borderId="226" applyNumberFormat="0" applyAlignment="0" applyProtection="0"/>
    <xf numFmtId="0" fontId="3" fillId="23" borderId="227" applyNumberFormat="0" applyFont="0" applyAlignment="0" applyProtection="0"/>
    <xf numFmtId="0" fontId="35" fillId="0" borderId="229" applyNumberFormat="0" applyFill="0" applyAlignment="0" applyProtection="0"/>
    <xf numFmtId="0" fontId="34" fillId="20" borderId="228" applyNumberFormat="0" applyAlignment="0" applyProtection="0"/>
    <xf numFmtId="0" fontId="31" fillId="7" borderId="226" applyNumberFormat="0" applyAlignment="0" applyProtection="0"/>
    <xf numFmtId="0" fontId="24" fillId="20" borderId="226" applyNumberFormat="0" applyAlignment="0" applyProtection="0"/>
    <xf numFmtId="0" fontId="34" fillId="20" borderId="228" applyNumberFormat="0" applyAlignment="0" applyProtection="0"/>
    <xf numFmtId="0" fontId="35" fillId="0" borderId="229" applyNumberFormat="0" applyFill="0" applyAlignment="0" applyProtection="0"/>
    <xf numFmtId="0" fontId="35" fillId="0" borderId="229" applyNumberFormat="0" applyFill="0" applyAlignment="0" applyProtection="0"/>
    <xf numFmtId="0" fontId="31" fillId="7" borderId="226" applyNumberFormat="0" applyAlignment="0" applyProtection="0"/>
    <xf numFmtId="0" fontId="31" fillId="7" borderId="226" applyNumberFormat="0" applyAlignment="0" applyProtection="0"/>
    <xf numFmtId="0" fontId="35" fillId="0" borderId="229" applyNumberFormat="0" applyFill="0" applyAlignment="0" applyProtection="0"/>
    <xf numFmtId="0" fontId="24" fillId="20" borderId="226" applyNumberFormat="0" applyAlignment="0" applyProtection="0"/>
    <xf numFmtId="0" fontId="35" fillId="0" borderId="229" applyNumberFormat="0" applyFill="0" applyAlignment="0" applyProtection="0"/>
    <xf numFmtId="0" fontId="34" fillId="20" borderId="228" applyNumberFormat="0" applyAlignment="0" applyProtection="0"/>
    <xf numFmtId="0" fontId="3" fillId="23" borderId="227" applyNumberFormat="0" applyFont="0" applyAlignment="0" applyProtection="0"/>
    <xf numFmtId="0" fontId="31" fillId="7" borderId="226" applyNumberFormat="0" applyAlignment="0" applyProtection="0"/>
    <xf numFmtId="0" fontId="24" fillId="20" borderId="226" applyNumberFormat="0" applyAlignment="0" applyProtection="0"/>
    <xf numFmtId="0" fontId="3" fillId="23" borderId="227" applyNumberFormat="0" applyFont="0" applyAlignment="0" applyProtection="0"/>
    <xf numFmtId="0" fontId="35" fillId="0" borderId="229" applyNumberFormat="0" applyFill="0" applyAlignment="0" applyProtection="0"/>
    <xf numFmtId="0" fontId="34" fillId="20" borderId="228" applyNumberFormat="0" applyAlignment="0" applyProtection="0"/>
    <xf numFmtId="0" fontId="3" fillId="23" borderId="227" applyNumberFormat="0" applyFont="0" applyAlignment="0" applyProtection="0"/>
    <xf numFmtId="0" fontId="31" fillId="7" borderId="226" applyNumberFormat="0" applyAlignment="0" applyProtection="0"/>
    <xf numFmtId="0" fontId="24" fillId="20" borderId="226" applyNumberFormat="0" applyAlignment="0" applyProtection="0"/>
    <xf numFmtId="0" fontId="24" fillId="20" borderId="226" applyNumberFormat="0" applyAlignment="0" applyProtection="0"/>
    <xf numFmtId="0" fontId="31" fillId="7" borderId="226" applyNumberFormat="0" applyAlignment="0" applyProtection="0"/>
    <xf numFmtId="0" fontId="3" fillId="23" borderId="227" applyNumberFormat="0" applyFont="0" applyAlignment="0" applyProtection="0"/>
    <xf numFmtId="0" fontId="34" fillId="20" borderId="228" applyNumberFormat="0" applyAlignment="0" applyProtection="0"/>
    <xf numFmtId="0" fontId="35" fillId="0" borderId="229" applyNumberFormat="0" applyFill="0" applyAlignment="0" applyProtection="0"/>
    <xf numFmtId="0" fontId="3" fillId="23" borderId="227" applyNumberFormat="0" applyFont="0" applyAlignment="0" applyProtection="0"/>
    <xf numFmtId="0" fontId="35" fillId="0" borderId="229" applyNumberFormat="0" applyFill="0" applyAlignment="0" applyProtection="0"/>
    <xf numFmtId="0" fontId="34" fillId="20" borderId="228" applyNumberFormat="0" applyAlignment="0" applyProtection="0"/>
    <xf numFmtId="0" fontId="3" fillId="23" borderId="227" applyNumberFormat="0" applyFont="0" applyAlignment="0" applyProtection="0"/>
    <xf numFmtId="0" fontId="31" fillId="7" borderId="226" applyNumberFormat="0" applyAlignment="0" applyProtection="0"/>
    <xf numFmtId="0" fontId="24" fillId="20" borderId="226" applyNumberFormat="0" applyAlignment="0" applyProtection="0"/>
    <xf numFmtId="0" fontId="3" fillId="23" borderId="227" applyNumberFormat="0" applyFont="0" applyAlignment="0" applyProtection="0"/>
    <xf numFmtId="0" fontId="3" fillId="23" borderId="227" applyNumberFormat="0" applyFont="0" applyAlignment="0" applyProtection="0"/>
    <xf numFmtId="0" fontId="3" fillId="23" borderId="227" applyNumberFormat="0" applyFont="0" applyAlignment="0" applyProtection="0"/>
    <xf numFmtId="0" fontId="31" fillId="7" borderId="226" applyNumberFormat="0" applyAlignment="0" applyProtection="0"/>
    <xf numFmtId="0" fontId="35" fillId="0" borderId="229" applyNumberFormat="0" applyFill="0" applyAlignment="0" applyProtection="0"/>
    <xf numFmtId="0" fontId="31" fillId="7" borderId="226" applyNumberFormat="0" applyAlignment="0" applyProtection="0"/>
    <xf numFmtId="0" fontId="34" fillId="20" borderId="228" applyNumberFormat="0" applyAlignment="0" applyProtection="0"/>
    <xf numFmtId="0" fontId="3" fillId="23" borderId="227" applyNumberFormat="0" applyFont="0" applyAlignment="0" applyProtection="0"/>
    <xf numFmtId="0" fontId="24" fillId="20" borderId="226" applyNumberFormat="0" applyAlignment="0" applyProtection="0"/>
    <xf numFmtId="0" fontId="3" fillId="23" borderId="227" applyNumberFormat="0" applyFont="0" applyAlignment="0" applyProtection="0"/>
    <xf numFmtId="0" fontId="3" fillId="23" borderId="227" applyNumberFormat="0" applyFont="0" applyAlignment="0" applyProtection="0"/>
    <xf numFmtId="0" fontId="3" fillId="23" borderId="227" applyNumberFormat="0" applyFont="0" applyAlignment="0" applyProtection="0"/>
    <xf numFmtId="0" fontId="34" fillId="20" borderId="228" applyNumberFormat="0" applyAlignment="0" applyProtection="0"/>
    <xf numFmtId="0" fontId="3" fillId="23" borderId="227" applyNumberFormat="0" applyFont="0" applyAlignment="0" applyProtection="0"/>
    <xf numFmtId="0" fontId="3" fillId="23" borderId="227" applyNumberFormat="0" applyFont="0" applyAlignment="0" applyProtection="0"/>
    <xf numFmtId="0" fontId="24" fillId="20" borderId="226" applyNumberFormat="0" applyAlignment="0" applyProtection="0"/>
    <xf numFmtId="0" fontId="34" fillId="20" borderId="228" applyNumberFormat="0" applyAlignment="0" applyProtection="0"/>
    <xf numFmtId="0" fontId="3" fillId="23" borderId="227" applyNumberFormat="0" applyFont="0" applyAlignment="0" applyProtection="0"/>
    <xf numFmtId="0" fontId="3" fillId="23" borderId="227" applyNumberFormat="0" applyFont="0" applyAlignment="0" applyProtection="0"/>
    <xf numFmtId="0" fontId="24" fillId="20" borderId="226" applyNumberFormat="0" applyAlignment="0" applyProtection="0"/>
    <xf numFmtId="0" fontId="3" fillId="23" borderId="227" applyNumberFormat="0" applyFont="0" applyAlignment="0" applyProtection="0"/>
    <xf numFmtId="0" fontId="35" fillId="0" borderId="229" applyNumberFormat="0" applyFill="0" applyAlignment="0" applyProtection="0"/>
    <xf numFmtId="0" fontId="34" fillId="20" borderId="228" applyNumberFormat="0" applyAlignment="0" applyProtection="0"/>
    <xf numFmtId="0" fontId="31" fillId="7" borderId="226" applyNumberFormat="0" applyAlignment="0" applyProtection="0"/>
    <xf numFmtId="0" fontId="24" fillId="20" borderId="226" applyNumberFormat="0" applyAlignment="0" applyProtection="0"/>
    <xf numFmtId="0" fontId="34" fillId="20" borderId="228" applyNumberFormat="0" applyAlignment="0" applyProtection="0"/>
    <xf numFmtId="0" fontId="35" fillId="0" borderId="229" applyNumberFormat="0" applyFill="0" applyAlignment="0" applyProtection="0"/>
    <xf numFmtId="0" fontId="35" fillId="0" borderId="229" applyNumberFormat="0" applyFill="0" applyAlignment="0" applyProtection="0"/>
    <xf numFmtId="0" fontId="31" fillId="7" borderId="226" applyNumberFormat="0" applyAlignment="0" applyProtection="0"/>
    <xf numFmtId="0" fontId="31" fillId="7" borderId="226" applyNumberFormat="0" applyAlignment="0" applyProtection="0"/>
    <xf numFmtId="0" fontId="35" fillId="0" borderId="229" applyNumberFormat="0" applyFill="0" applyAlignment="0" applyProtection="0"/>
    <xf numFmtId="0" fontId="24" fillId="20" borderId="226" applyNumberFormat="0" applyAlignment="0" applyProtection="0"/>
    <xf numFmtId="0" fontId="35" fillId="0" borderId="229" applyNumberFormat="0" applyFill="0" applyAlignment="0" applyProtection="0"/>
    <xf numFmtId="0" fontId="34" fillId="20" borderId="228" applyNumberFormat="0" applyAlignment="0" applyProtection="0"/>
    <xf numFmtId="0" fontId="3" fillId="23" borderId="227" applyNumberFormat="0" applyFont="0" applyAlignment="0" applyProtection="0"/>
    <xf numFmtId="0" fontId="31" fillId="7" borderId="226" applyNumberFormat="0" applyAlignment="0" applyProtection="0"/>
    <xf numFmtId="0" fontId="24" fillId="20" borderId="226" applyNumberFormat="0" applyAlignment="0" applyProtection="0"/>
    <xf numFmtId="0" fontId="24" fillId="20" borderId="226" applyNumberFormat="0" applyAlignment="0" applyProtection="0"/>
    <xf numFmtId="0" fontId="31" fillId="7" borderId="226" applyNumberFormat="0" applyAlignment="0" applyProtection="0"/>
    <xf numFmtId="0" fontId="3" fillId="23" borderId="227" applyNumberFormat="0" applyFont="0" applyAlignment="0" applyProtection="0"/>
    <xf numFmtId="0" fontId="34" fillId="20" borderId="228" applyNumberFormat="0" applyAlignment="0" applyProtection="0"/>
    <xf numFmtId="0" fontId="35" fillId="0" borderId="229" applyNumberFormat="0" applyFill="0" applyAlignment="0" applyProtection="0"/>
    <xf numFmtId="0" fontId="3" fillId="23" borderId="227" applyNumberFormat="0" applyFont="0" applyAlignment="0" applyProtection="0"/>
    <xf numFmtId="0" fontId="35" fillId="0" borderId="229" applyNumberFormat="0" applyFill="0" applyAlignment="0" applyProtection="0"/>
    <xf numFmtId="0" fontId="34" fillId="20" borderId="228" applyNumberFormat="0" applyAlignment="0" applyProtection="0"/>
    <xf numFmtId="0" fontId="3" fillId="23" borderId="227" applyNumberFormat="0" applyFont="0" applyAlignment="0" applyProtection="0"/>
    <xf numFmtId="0" fontId="31" fillId="7" borderId="226" applyNumberFormat="0" applyAlignment="0" applyProtection="0"/>
    <xf numFmtId="0" fontId="24" fillId="20" borderId="226" applyNumberFormat="0" applyAlignment="0" applyProtection="0"/>
    <xf numFmtId="0" fontId="3" fillId="23" borderId="227" applyNumberFormat="0" applyFont="0" applyAlignment="0" applyProtection="0"/>
    <xf numFmtId="0" fontId="3" fillId="23" borderId="227" applyNumberFormat="0" applyFont="0" applyAlignment="0" applyProtection="0"/>
    <xf numFmtId="0" fontId="3" fillId="23" borderId="227" applyNumberFormat="0" applyFont="0" applyAlignment="0" applyProtection="0"/>
    <xf numFmtId="0" fontId="31" fillId="7" borderId="226" applyNumberFormat="0" applyAlignment="0" applyProtection="0"/>
    <xf numFmtId="0" fontId="35" fillId="0" borderId="229" applyNumberFormat="0" applyFill="0" applyAlignment="0" applyProtection="0"/>
    <xf numFmtId="0" fontId="31" fillId="7" borderId="226" applyNumberFormat="0" applyAlignment="0" applyProtection="0"/>
    <xf numFmtId="0" fontId="34" fillId="20" borderId="228" applyNumberFormat="0" applyAlignment="0" applyProtection="0"/>
    <xf numFmtId="0" fontId="3" fillId="23" borderId="227" applyNumberFormat="0" applyFont="0" applyAlignment="0" applyProtection="0"/>
    <xf numFmtId="0" fontId="24" fillId="20" borderId="226" applyNumberFormat="0" applyAlignment="0" applyProtection="0"/>
    <xf numFmtId="0" fontId="3" fillId="23" borderId="227" applyNumberFormat="0" applyFont="0" applyAlignment="0" applyProtection="0"/>
    <xf numFmtId="0" fontId="3" fillId="23" borderId="227" applyNumberFormat="0" applyFont="0" applyAlignment="0" applyProtection="0"/>
    <xf numFmtId="0" fontId="3" fillId="23" borderId="227" applyNumberFormat="0" applyFont="0" applyAlignment="0" applyProtection="0"/>
    <xf numFmtId="0" fontId="34" fillId="20" borderId="228" applyNumberFormat="0" applyAlignment="0" applyProtection="0"/>
    <xf numFmtId="0" fontId="3" fillId="23" borderId="227" applyNumberFormat="0" applyFont="0" applyAlignment="0" applyProtection="0"/>
    <xf numFmtId="0" fontId="3" fillId="23" borderId="227" applyNumberFormat="0" applyFont="0" applyAlignment="0" applyProtection="0"/>
    <xf numFmtId="0" fontId="24" fillId="20" borderId="226" applyNumberFormat="0" applyAlignment="0" applyProtection="0"/>
    <xf numFmtId="0" fontId="34" fillId="20" borderId="228" applyNumberFormat="0" applyAlignment="0" applyProtection="0"/>
    <xf numFmtId="0" fontId="3" fillId="23" borderId="227" applyNumberFormat="0" applyFont="0" applyAlignment="0" applyProtection="0"/>
    <xf numFmtId="0" fontId="3" fillId="23" borderId="227" applyNumberFormat="0" applyFont="0" applyAlignment="0" applyProtection="0"/>
    <xf numFmtId="0" fontId="24" fillId="20" borderId="226" applyNumberFormat="0" applyAlignment="0" applyProtection="0"/>
    <xf numFmtId="0" fontId="3" fillId="23" borderId="227" applyNumberFormat="0" applyFont="0" applyAlignment="0" applyProtection="0"/>
    <xf numFmtId="0" fontId="35" fillId="0" borderId="229" applyNumberFormat="0" applyFill="0" applyAlignment="0" applyProtection="0"/>
    <xf numFmtId="0" fontId="34" fillId="20" borderId="228" applyNumberFormat="0" applyAlignment="0" applyProtection="0"/>
    <xf numFmtId="0" fontId="31" fillId="7" borderId="226" applyNumberFormat="0" applyAlignment="0" applyProtection="0"/>
    <xf numFmtId="0" fontId="24" fillId="20" borderId="226" applyNumberFormat="0" applyAlignment="0" applyProtection="0"/>
    <xf numFmtId="0" fontId="34" fillId="20" borderId="228" applyNumberFormat="0" applyAlignment="0" applyProtection="0"/>
    <xf numFmtId="0" fontId="35" fillId="0" borderId="229" applyNumberFormat="0" applyFill="0" applyAlignment="0" applyProtection="0"/>
    <xf numFmtId="0" fontId="35" fillId="0" borderId="229" applyNumberFormat="0" applyFill="0" applyAlignment="0" applyProtection="0"/>
    <xf numFmtId="0" fontId="31" fillId="7" borderId="226" applyNumberFormat="0" applyAlignment="0" applyProtection="0"/>
    <xf numFmtId="0" fontId="31" fillId="7" borderId="226" applyNumberFormat="0" applyAlignment="0" applyProtection="0"/>
    <xf numFmtId="0" fontId="35" fillId="0" borderId="229" applyNumberFormat="0" applyFill="0" applyAlignment="0" applyProtection="0"/>
    <xf numFmtId="0" fontId="24" fillId="20" borderId="226" applyNumberFormat="0" applyAlignment="0" applyProtection="0"/>
    <xf numFmtId="0" fontId="35" fillId="0" borderId="229" applyNumberFormat="0" applyFill="0" applyAlignment="0" applyProtection="0"/>
    <xf numFmtId="0" fontId="34" fillId="20" borderId="228" applyNumberFormat="0" applyAlignment="0" applyProtection="0"/>
    <xf numFmtId="0" fontId="3" fillId="23" borderId="227" applyNumberFormat="0" applyFont="0" applyAlignment="0" applyProtection="0"/>
    <xf numFmtId="0" fontId="31" fillId="7" borderId="226" applyNumberFormat="0" applyAlignment="0" applyProtection="0"/>
    <xf numFmtId="0" fontId="24" fillId="20" borderId="226" applyNumberFormat="0" applyAlignment="0" applyProtection="0"/>
    <xf numFmtId="0" fontId="24" fillId="20" borderId="230" applyNumberFormat="0" applyAlignment="0" applyProtection="0"/>
    <xf numFmtId="0" fontId="31" fillId="7" borderId="230" applyNumberFormat="0" applyAlignment="0" applyProtection="0"/>
    <xf numFmtId="0" fontId="3" fillId="23" borderId="231" applyNumberFormat="0" applyFont="0" applyAlignment="0" applyProtection="0"/>
    <xf numFmtId="0" fontId="34" fillId="20" borderId="232" applyNumberFormat="0" applyAlignment="0" applyProtection="0"/>
    <xf numFmtId="0" fontId="35" fillId="0" borderId="233" applyNumberFormat="0" applyFill="0" applyAlignment="0" applyProtection="0"/>
    <xf numFmtId="0" fontId="3" fillId="23" borderId="231" applyNumberFormat="0" applyFont="0" applyAlignment="0" applyProtection="0"/>
    <xf numFmtId="0" fontId="35" fillId="0" borderId="233" applyNumberFormat="0" applyFill="0" applyAlignment="0" applyProtection="0"/>
    <xf numFmtId="0" fontId="34" fillId="20" borderId="232" applyNumberFormat="0" applyAlignment="0" applyProtection="0"/>
    <xf numFmtId="0" fontId="3" fillId="23" borderId="231" applyNumberFormat="0" applyFont="0" applyAlignment="0" applyProtection="0"/>
    <xf numFmtId="0" fontId="31" fillId="7" borderId="230" applyNumberFormat="0" applyAlignment="0" applyProtection="0"/>
    <xf numFmtId="0" fontId="24" fillId="20" borderId="230" applyNumberFormat="0" applyAlignment="0" applyProtection="0"/>
    <xf numFmtId="0" fontId="3" fillId="23" borderId="231" applyNumberFormat="0" applyFont="0" applyAlignment="0" applyProtection="0"/>
    <xf numFmtId="0" fontId="3" fillId="23" borderId="231" applyNumberFormat="0" applyFont="0" applyAlignment="0" applyProtection="0"/>
    <xf numFmtId="0" fontId="3" fillId="23" borderId="231" applyNumberFormat="0" applyFont="0" applyAlignment="0" applyProtection="0"/>
    <xf numFmtId="0" fontId="31" fillId="7" borderId="230" applyNumberFormat="0" applyAlignment="0" applyProtection="0"/>
    <xf numFmtId="0" fontId="35" fillId="0" borderId="233" applyNumberFormat="0" applyFill="0" applyAlignment="0" applyProtection="0"/>
    <xf numFmtId="0" fontId="31" fillId="7" borderId="230" applyNumberFormat="0" applyAlignment="0" applyProtection="0"/>
    <xf numFmtId="0" fontId="34" fillId="20" borderId="232" applyNumberFormat="0" applyAlignment="0" applyProtection="0"/>
    <xf numFmtId="0" fontId="3" fillId="23" borderId="231" applyNumberFormat="0" applyFont="0" applyAlignment="0" applyProtection="0"/>
    <xf numFmtId="0" fontId="24" fillId="20" borderId="230" applyNumberFormat="0" applyAlignment="0" applyProtection="0"/>
    <xf numFmtId="0" fontId="3" fillId="23" borderId="231" applyNumberFormat="0" applyFont="0" applyAlignment="0" applyProtection="0"/>
    <xf numFmtId="0" fontId="3" fillId="23" borderId="231" applyNumberFormat="0" applyFont="0" applyAlignment="0" applyProtection="0"/>
    <xf numFmtId="0" fontId="3" fillId="23" borderId="231" applyNumberFormat="0" applyFont="0" applyAlignment="0" applyProtection="0"/>
    <xf numFmtId="0" fontId="34" fillId="20" borderId="232" applyNumberFormat="0" applyAlignment="0" applyProtection="0"/>
    <xf numFmtId="0" fontId="3" fillId="23" borderId="231" applyNumberFormat="0" applyFont="0" applyAlignment="0" applyProtection="0"/>
    <xf numFmtId="0" fontId="3" fillId="23" borderId="231" applyNumberFormat="0" applyFont="0" applyAlignment="0" applyProtection="0"/>
    <xf numFmtId="0" fontId="24" fillId="20" borderId="230" applyNumberFormat="0" applyAlignment="0" applyProtection="0"/>
    <xf numFmtId="0" fontId="34" fillId="20" borderId="232" applyNumberFormat="0" applyAlignment="0" applyProtection="0"/>
    <xf numFmtId="0" fontId="3" fillId="23" borderId="231" applyNumberFormat="0" applyFont="0" applyAlignment="0" applyProtection="0"/>
    <xf numFmtId="0" fontId="3" fillId="23" borderId="231" applyNumberFormat="0" applyFont="0" applyAlignment="0" applyProtection="0"/>
    <xf numFmtId="0" fontId="24" fillId="20" borderId="230" applyNumberFormat="0" applyAlignment="0" applyProtection="0"/>
    <xf numFmtId="0" fontId="3" fillId="23" borderId="231" applyNumberFormat="0" applyFont="0" applyAlignment="0" applyProtection="0"/>
    <xf numFmtId="0" fontId="35" fillId="0" borderId="233" applyNumberFormat="0" applyFill="0" applyAlignment="0" applyProtection="0"/>
    <xf numFmtId="0" fontId="34" fillId="20" borderId="232" applyNumberFormat="0" applyAlignment="0" applyProtection="0"/>
    <xf numFmtId="0" fontId="31" fillId="7" borderId="230" applyNumberFormat="0" applyAlignment="0" applyProtection="0"/>
    <xf numFmtId="0" fontId="24" fillId="20" borderId="230" applyNumberFormat="0" applyAlignment="0" applyProtection="0"/>
    <xf numFmtId="0" fontId="34" fillId="20" borderId="232" applyNumberFormat="0" applyAlignment="0" applyProtection="0"/>
    <xf numFmtId="0" fontId="35" fillId="0" borderId="233" applyNumberFormat="0" applyFill="0" applyAlignment="0" applyProtection="0"/>
    <xf numFmtId="0" fontId="35" fillId="0" borderId="233" applyNumberFormat="0" applyFill="0" applyAlignment="0" applyProtection="0"/>
    <xf numFmtId="0" fontId="31" fillId="7" borderId="230" applyNumberFormat="0" applyAlignment="0" applyProtection="0"/>
    <xf numFmtId="0" fontId="31" fillId="7" borderId="230" applyNumberFormat="0" applyAlignment="0" applyProtection="0"/>
    <xf numFmtId="0" fontId="35" fillId="0" borderId="233" applyNumberFormat="0" applyFill="0" applyAlignment="0" applyProtection="0"/>
    <xf numFmtId="0" fontId="24" fillId="20" borderId="230" applyNumberFormat="0" applyAlignment="0" applyProtection="0"/>
    <xf numFmtId="0" fontId="35" fillId="0" borderId="233" applyNumberFormat="0" applyFill="0" applyAlignment="0" applyProtection="0"/>
    <xf numFmtId="0" fontId="34" fillId="20" borderId="232" applyNumberFormat="0" applyAlignment="0" applyProtection="0"/>
    <xf numFmtId="0" fontId="3" fillId="23" borderId="231" applyNumberFormat="0" applyFont="0" applyAlignment="0" applyProtection="0"/>
    <xf numFmtId="0" fontId="31" fillId="7" borderId="230" applyNumberFormat="0" applyAlignment="0" applyProtection="0"/>
    <xf numFmtId="0" fontId="24" fillId="20" borderId="230" applyNumberFormat="0" applyAlignment="0" applyProtection="0"/>
    <xf numFmtId="0" fontId="24" fillId="20" borderId="230" applyNumberFormat="0" applyAlignment="0" applyProtection="0"/>
    <xf numFmtId="0" fontId="31" fillId="7" borderId="230" applyNumberFormat="0" applyAlignment="0" applyProtection="0"/>
    <xf numFmtId="0" fontId="3" fillId="23" borderId="231" applyNumberFormat="0" applyFont="0" applyAlignment="0" applyProtection="0"/>
    <xf numFmtId="0" fontId="34" fillId="20" borderId="232" applyNumberFormat="0" applyAlignment="0" applyProtection="0"/>
    <xf numFmtId="0" fontId="35" fillId="0" borderId="233" applyNumberFormat="0" applyFill="0" applyAlignment="0" applyProtection="0"/>
    <xf numFmtId="0" fontId="3" fillId="23" borderId="231" applyNumberFormat="0" applyFont="0" applyAlignment="0" applyProtection="0"/>
    <xf numFmtId="0" fontId="35" fillId="0" borderId="233" applyNumberFormat="0" applyFill="0" applyAlignment="0" applyProtection="0"/>
    <xf numFmtId="0" fontId="34" fillId="20" borderId="232" applyNumberFormat="0" applyAlignment="0" applyProtection="0"/>
    <xf numFmtId="0" fontId="3" fillId="23" borderId="231" applyNumberFormat="0" applyFont="0" applyAlignment="0" applyProtection="0"/>
    <xf numFmtId="0" fontId="31" fillId="7" borderId="230" applyNumberFormat="0" applyAlignment="0" applyProtection="0"/>
    <xf numFmtId="0" fontId="24" fillId="20" borderId="230" applyNumberFormat="0" applyAlignment="0" applyProtection="0"/>
    <xf numFmtId="0" fontId="3" fillId="23" borderId="231" applyNumberFormat="0" applyFont="0" applyAlignment="0" applyProtection="0"/>
    <xf numFmtId="0" fontId="3" fillId="23" borderId="231" applyNumberFormat="0" applyFont="0" applyAlignment="0" applyProtection="0"/>
    <xf numFmtId="0" fontId="3" fillId="23" borderId="231" applyNumberFormat="0" applyFont="0" applyAlignment="0" applyProtection="0"/>
    <xf numFmtId="0" fontId="31" fillId="7" borderId="230" applyNumberFormat="0" applyAlignment="0" applyProtection="0"/>
    <xf numFmtId="0" fontId="35" fillId="0" borderId="233" applyNumberFormat="0" applyFill="0" applyAlignment="0" applyProtection="0"/>
    <xf numFmtId="0" fontId="31" fillId="7" borderId="230" applyNumberFormat="0" applyAlignment="0" applyProtection="0"/>
    <xf numFmtId="0" fontId="34" fillId="20" borderId="232" applyNumberFormat="0" applyAlignment="0" applyProtection="0"/>
    <xf numFmtId="0" fontId="3" fillId="23" borderId="231" applyNumberFormat="0" applyFont="0" applyAlignment="0" applyProtection="0"/>
    <xf numFmtId="0" fontId="24" fillId="20" borderId="230" applyNumberFormat="0" applyAlignment="0" applyProtection="0"/>
    <xf numFmtId="0" fontId="3" fillId="23" borderId="231" applyNumberFormat="0" applyFont="0" applyAlignment="0" applyProtection="0"/>
    <xf numFmtId="0" fontId="3" fillId="23" borderId="231" applyNumberFormat="0" applyFont="0" applyAlignment="0" applyProtection="0"/>
    <xf numFmtId="0" fontId="3" fillId="23" borderId="231" applyNumberFormat="0" applyFont="0" applyAlignment="0" applyProtection="0"/>
    <xf numFmtId="0" fontId="34" fillId="20" borderId="232" applyNumberFormat="0" applyAlignment="0" applyProtection="0"/>
    <xf numFmtId="0" fontId="3" fillId="23" borderId="231" applyNumberFormat="0" applyFont="0" applyAlignment="0" applyProtection="0"/>
    <xf numFmtId="0" fontId="3" fillId="23" borderId="231" applyNumberFormat="0" applyFont="0" applyAlignment="0" applyProtection="0"/>
    <xf numFmtId="0" fontId="24" fillId="20" borderId="230" applyNumberFormat="0" applyAlignment="0" applyProtection="0"/>
    <xf numFmtId="0" fontId="34" fillId="20" borderId="232" applyNumberFormat="0" applyAlignment="0" applyProtection="0"/>
    <xf numFmtId="0" fontId="3" fillId="23" borderId="231" applyNumberFormat="0" applyFont="0" applyAlignment="0" applyProtection="0"/>
    <xf numFmtId="0" fontId="3" fillId="23" borderId="231" applyNumberFormat="0" applyFont="0" applyAlignment="0" applyProtection="0"/>
    <xf numFmtId="0" fontId="24" fillId="20" borderId="230" applyNumberFormat="0" applyAlignment="0" applyProtection="0"/>
    <xf numFmtId="0" fontId="3" fillId="23" borderId="231" applyNumberFormat="0" applyFont="0" applyAlignment="0" applyProtection="0"/>
    <xf numFmtId="0" fontId="35" fillId="0" borderId="233" applyNumberFormat="0" applyFill="0" applyAlignment="0" applyProtection="0"/>
    <xf numFmtId="0" fontId="34" fillId="20" borderId="232" applyNumberFormat="0" applyAlignment="0" applyProtection="0"/>
    <xf numFmtId="0" fontId="31" fillId="7" borderId="230" applyNumberFormat="0" applyAlignment="0" applyProtection="0"/>
    <xf numFmtId="0" fontId="24" fillId="20" borderId="230" applyNumberFormat="0" applyAlignment="0" applyProtection="0"/>
    <xf numFmtId="0" fontId="34" fillId="20" borderId="232" applyNumberFormat="0" applyAlignment="0" applyProtection="0"/>
    <xf numFmtId="0" fontId="35" fillId="0" borderId="233" applyNumberFormat="0" applyFill="0" applyAlignment="0" applyProtection="0"/>
    <xf numFmtId="0" fontId="35" fillId="0" borderId="233" applyNumberFormat="0" applyFill="0" applyAlignment="0" applyProtection="0"/>
    <xf numFmtId="0" fontId="31" fillId="7" borderId="230" applyNumberFormat="0" applyAlignment="0" applyProtection="0"/>
    <xf numFmtId="0" fontId="31" fillId="7" borderId="230" applyNumberFormat="0" applyAlignment="0" applyProtection="0"/>
    <xf numFmtId="0" fontId="35" fillId="0" borderId="233" applyNumberFormat="0" applyFill="0" applyAlignment="0" applyProtection="0"/>
    <xf numFmtId="0" fontId="24" fillId="20" borderId="230" applyNumberFormat="0" applyAlignment="0" applyProtection="0"/>
    <xf numFmtId="0" fontId="35" fillId="0" borderId="233" applyNumberFormat="0" applyFill="0" applyAlignment="0" applyProtection="0"/>
    <xf numFmtId="0" fontId="34" fillId="20" borderId="232" applyNumberFormat="0" applyAlignment="0" applyProtection="0"/>
    <xf numFmtId="0" fontId="3" fillId="23" borderId="231" applyNumberFormat="0" applyFont="0" applyAlignment="0" applyProtection="0"/>
    <xf numFmtId="0" fontId="31" fillId="7" borderId="230" applyNumberFormat="0" applyAlignment="0" applyProtection="0"/>
    <xf numFmtId="0" fontId="24" fillId="20" borderId="230" applyNumberFormat="0" applyAlignment="0" applyProtection="0"/>
    <xf numFmtId="0" fontId="3" fillId="23" borderId="231" applyNumberFormat="0" applyFont="0" applyAlignment="0" applyProtection="0"/>
    <xf numFmtId="0" fontId="35" fillId="0" borderId="233" applyNumberFormat="0" applyFill="0" applyAlignment="0" applyProtection="0"/>
    <xf numFmtId="0" fontId="34" fillId="20" borderId="232" applyNumberFormat="0" applyAlignment="0" applyProtection="0"/>
    <xf numFmtId="0" fontId="3" fillId="23" borderId="231" applyNumberFormat="0" applyFont="0" applyAlignment="0" applyProtection="0"/>
    <xf numFmtId="0" fontId="31" fillId="7" borderId="230" applyNumberFormat="0" applyAlignment="0" applyProtection="0"/>
    <xf numFmtId="0" fontId="24" fillId="20" borderId="230" applyNumberFormat="0" applyAlignment="0" applyProtection="0"/>
    <xf numFmtId="0" fontId="24" fillId="20" borderId="230" applyNumberFormat="0" applyAlignment="0" applyProtection="0"/>
    <xf numFmtId="0" fontId="31" fillId="7" borderId="230" applyNumberFormat="0" applyAlignment="0" applyProtection="0"/>
    <xf numFmtId="0" fontId="3" fillId="23" borderId="231" applyNumberFormat="0" applyFont="0" applyAlignment="0" applyProtection="0"/>
    <xf numFmtId="0" fontId="34" fillId="20" borderId="232" applyNumberFormat="0" applyAlignment="0" applyProtection="0"/>
    <xf numFmtId="0" fontId="35" fillId="0" borderId="233" applyNumberFormat="0" applyFill="0" applyAlignment="0" applyProtection="0"/>
    <xf numFmtId="0" fontId="3" fillId="23" borderId="231" applyNumberFormat="0" applyFont="0" applyAlignment="0" applyProtection="0"/>
    <xf numFmtId="0" fontId="35" fillId="0" borderId="233" applyNumberFormat="0" applyFill="0" applyAlignment="0" applyProtection="0"/>
    <xf numFmtId="0" fontId="34" fillId="20" borderId="232" applyNumberFormat="0" applyAlignment="0" applyProtection="0"/>
    <xf numFmtId="0" fontId="3" fillId="23" borderId="231" applyNumberFormat="0" applyFont="0" applyAlignment="0" applyProtection="0"/>
    <xf numFmtId="0" fontId="31" fillId="7" borderId="230" applyNumberFormat="0" applyAlignment="0" applyProtection="0"/>
    <xf numFmtId="0" fontId="24" fillId="20" borderId="230" applyNumberFormat="0" applyAlignment="0" applyProtection="0"/>
    <xf numFmtId="0" fontId="3" fillId="23" borderId="231" applyNumberFormat="0" applyFont="0" applyAlignment="0" applyProtection="0"/>
    <xf numFmtId="0" fontId="3" fillId="23" borderId="231" applyNumberFormat="0" applyFont="0" applyAlignment="0" applyProtection="0"/>
    <xf numFmtId="0" fontId="3" fillId="23" borderId="231" applyNumberFormat="0" applyFont="0" applyAlignment="0" applyProtection="0"/>
    <xf numFmtId="0" fontId="31" fillId="7" borderId="230" applyNumberFormat="0" applyAlignment="0" applyProtection="0"/>
    <xf numFmtId="0" fontId="35" fillId="0" borderId="233" applyNumberFormat="0" applyFill="0" applyAlignment="0" applyProtection="0"/>
    <xf numFmtId="0" fontId="31" fillId="7" borderId="230" applyNumberFormat="0" applyAlignment="0" applyProtection="0"/>
    <xf numFmtId="0" fontId="34" fillId="20" borderId="232" applyNumberFormat="0" applyAlignment="0" applyProtection="0"/>
    <xf numFmtId="0" fontId="3" fillId="23" borderId="231" applyNumberFormat="0" applyFont="0" applyAlignment="0" applyProtection="0"/>
    <xf numFmtId="0" fontId="24" fillId="20" borderId="230" applyNumberFormat="0" applyAlignment="0" applyProtection="0"/>
    <xf numFmtId="0" fontId="3" fillId="23" borderId="231" applyNumberFormat="0" applyFont="0" applyAlignment="0" applyProtection="0"/>
    <xf numFmtId="0" fontId="3" fillId="23" borderId="231" applyNumberFormat="0" applyFont="0" applyAlignment="0" applyProtection="0"/>
    <xf numFmtId="0" fontId="3" fillId="23" borderId="231" applyNumberFormat="0" applyFont="0" applyAlignment="0" applyProtection="0"/>
    <xf numFmtId="0" fontId="34" fillId="20" borderId="232" applyNumberFormat="0" applyAlignment="0" applyProtection="0"/>
    <xf numFmtId="0" fontId="3" fillId="23" borderId="231" applyNumberFormat="0" applyFont="0" applyAlignment="0" applyProtection="0"/>
    <xf numFmtId="0" fontId="3" fillId="23" borderId="231" applyNumberFormat="0" applyFont="0" applyAlignment="0" applyProtection="0"/>
    <xf numFmtId="0" fontId="24" fillId="20" borderId="230" applyNumberFormat="0" applyAlignment="0" applyProtection="0"/>
    <xf numFmtId="0" fontId="34" fillId="20" borderId="232" applyNumberFormat="0" applyAlignment="0" applyProtection="0"/>
    <xf numFmtId="0" fontId="3" fillId="23" borderId="231" applyNumberFormat="0" applyFont="0" applyAlignment="0" applyProtection="0"/>
    <xf numFmtId="0" fontId="3" fillId="23" borderId="231" applyNumberFormat="0" applyFont="0" applyAlignment="0" applyProtection="0"/>
    <xf numFmtId="0" fontId="24" fillId="20" borderId="230" applyNumberFormat="0" applyAlignment="0" applyProtection="0"/>
    <xf numFmtId="0" fontId="3" fillId="23" borderId="231" applyNumberFormat="0" applyFont="0" applyAlignment="0" applyProtection="0"/>
    <xf numFmtId="0" fontId="35" fillId="0" borderId="233" applyNumberFormat="0" applyFill="0" applyAlignment="0" applyProtection="0"/>
    <xf numFmtId="0" fontId="34" fillId="20" borderId="232" applyNumberFormat="0" applyAlignment="0" applyProtection="0"/>
    <xf numFmtId="0" fontId="31" fillId="7" borderId="230" applyNumberFormat="0" applyAlignment="0" applyProtection="0"/>
    <xf numFmtId="0" fontId="24" fillId="20" borderId="230" applyNumberFormat="0" applyAlignment="0" applyProtection="0"/>
    <xf numFmtId="0" fontId="34" fillId="20" borderId="232" applyNumberFormat="0" applyAlignment="0" applyProtection="0"/>
    <xf numFmtId="0" fontId="35" fillId="0" borderId="233" applyNumberFormat="0" applyFill="0" applyAlignment="0" applyProtection="0"/>
    <xf numFmtId="0" fontId="35" fillId="0" borderId="233" applyNumberFormat="0" applyFill="0" applyAlignment="0" applyProtection="0"/>
    <xf numFmtId="0" fontId="31" fillId="7" borderId="230" applyNumberFormat="0" applyAlignment="0" applyProtection="0"/>
    <xf numFmtId="0" fontId="31" fillId="7" borderId="230" applyNumberFormat="0" applyAlignment="0" applyProtection="0"/>
    <xf numFmtId="0" fontId="35" fillId="0" borderId="233" applyNumberFormat="0" applyFill="0" applyAlignment="0" applyProtection="0"/>
    <xf numFmtId="0" fontId="24" fillId="20" borderId="230" applyNumberFormat="0" applyAlignment="0" applyProtection="0"/>
    <xf numFmtId="0" fontId="35" fillId="0" borderId="233" applyNumberFormat="0" applyFill="0" applyAlignment="0" applyProtection="0"/>
    <xf numFmtId="0" fontId="34" fillId="20" borderId="232" applyNumberFormat="0" applyAlignment="0" applyProtection="0"/>
    <xf numFmtId="0" fontId="3" fillId="23" borderId="231" applyNumberFormat="0" applyFont="0" applyAlignment="0" applyProtection="0"/>
    <xf numFmtId="0" fontId="31" fillId="7" borderId="230" applyNumberFormat="0" applyAlignment="0" applyProtection="0"/>
    <xf numFmtId="0" fontId="24" fillId="20" borderId="230" applyNumberFormat="0" applyAlignment="0" applyProtection="0"/>
    <xf numFmtId="0" fontId="3" fillId="23" borderId="231" applyNumberFormat="0" applyFont="0" applyAlignment="0" applyProtection="0"/>
    <xf numFmtId="0" fontId="35" fillId="0" borderId="233" applyNumberFormat="0" applyFill="0" applyAlignment="0" applyProtection="0"/>
    <xf numFmtId="0" fontId="34" fillId="20" borderId="232" applyNumberFormat="0" applyAlignment="0" applyProtection="0"/>
    <xf numFmtId="0" fontId="3" fillId="23" borderId="231" applyNumberFormat="0" applyFont="0" applyAlignment="0" applyProtection="0"/>
    <xf numFmtId="0" fontId="31" fillId="7" borderId="230" applyNumberFormat="0" applyAlignment="0" applyProtection="0"/>
    <xf numFmtId="0" fontId="24" fillId="20" borderId="230" applyNumberFormat="0" applyAlignment="0" applyProtection="0"/>
    <xf numFmtId="0" fontId="24" fillId="20" borderId="230" applyNumberFormat="0" applyAlignment="0" applyProtection="0"/>
    <xf numFmtId="0" fontId="31" fillId="7" borderId="230" applyNumberFormat="0" applyAlignment="0" applyProtection="0"/>
    <xf numFmtId="0" fontId="3" fillId="23" borderId="231" applyNumberFormat="0" applyFont="0" applyAlignment="0" applyProtection="0"/>
    <xf numFmtId="0" fontId="34" fillId="20" borderId="232" applyNumberFormat="0" applyAlignment="0" applyProtection="0"/>
    <xf numFmtId="0" fontId="35" fillId="0" borderId="233" applyNumberFormat="0" applyFill="0" applyAlignment="0" applyProtection="0"/>
    <xf numFmtId="0" fontId="3" fillId="23" borderId="231" applyNumberFormat="0" applyFont="0" applyAlignment="0" applyProtection="0"/>
    <xf numFmtId="0" fontId="35" fillId="0" borderId="233" applyNumberFormat="0" applyFill="0" applyAlignment="0" applyProtection="0"/>
    <xf numFmtId="0" fontId="34" fillId="20" borderId="232" applyNumberFormat="0" applyAlignment="0" applyProtection="0"/>
    <xf numFmtId="0" fontId="3" fillId="23" borderId="231" applyNumberFormat="0" applyFont="0" applyAlignment="0" applyProtection="0"/>
    <xf numFmtId="0" fontId="31" fillId="7" borderId="230" applyNumberFormat="0" applyAlignment="0" applyProtection="0"/>
    <xf numFmtId="0" fontId="24" fillId="20" borderId="230" applyNumberFormat="0" applyAlignment="0" applyProtection="0"/>
    <xf numFmtId="0" fontId="3" fillId="23" borderId="231" applyNumberFormat="0" applyFont="0" applyAlignment="0" applyProtection="0"/>
    <xf numFmtId="0" fontId="3" fillId="23" borderId="231" applyNumberFormat="0" applyFont="0" applyAlignment="0" applyProtection="0"/>
    <xf numFmtId="0" fontId="3" fillId="23" borderId="231" applyNumberFormat="0" applyFont="0" applyAlignment="0" applyProtection="0"/>
    <xf numFmtId="0" fontId="31" fillId="7" borderId="230" applyNumberFormat="0" applyAlignment="0" applyProtection="0"/>
    <xf numFmtId="0" fontId="35" fillId="0" borderId="233" applyNumberFormat="0" applyFill="0" applyAlignment="0" applyProtection="0"/>
    <xf numFmtId="0" fontId="31" fillId="7" borderId="230" applyNumberFormat="0" applyAlignment="0" applyProtection="0"/>
    <xf numFmtId="0" fontId="34" fillId="20" borderId="232" applyNumberFormat="0" applyAlignment="0" applyProtection="0"/>
    <xf numFmtId="0" fontId="3" fillId="23" borderId="231" applyNumberFormat="0" applyFont="0" applyAlignment="0" applyProtection="0"/>
    <xf numFmtId="0" fontId="24" fillId="20" borderId="230" applyNumberFormat="0" applyAlignment="0" applyProtection="0"/>
    <xf numFmtId="0" fontId="3" fillId="23" borderId="231" applyNumberFormat="0" applyFont="0" applyAlignment="0" applyProtection="0"/>
    <xf numFmtId="0" fontId="3" fillId="23" borderId="231" applyNumberFormat="0" applyFont="0" applyAlignment="0" applyProtection="0"/>
    <xf numFmtId="0" fontId="3" fillId="23" borderId="231" applyNumberFormat="0" applyFont="0" applyAlignment="0" applyProtection="0"/>
    <xf numFmtId="0" fontId="34" fillId="20" borderId="232" applyNumberFormat="0" applyAlignment="0" applyProtection="0"/>
    <xf numFmtId="0" fontId="3" fillId="23" borderId="231" applyNumberFormat="0" applyFont="0" applyAlignment="0" applyProtection="0"/>
    <xf numFmtId="0" fontId="3" fillId="23" borderId="231" applyNumberFormat="0" applyFont="0" applyAlignment="0" applyProtection="0"/>
    <xf numFmtId="0" fontId="24" fillId="20" borderId="230" applyNumberFormat="0" applyAlignment="0" applyProtection="0"/>
    <xf numFmtId="0" fontId="34" fillId="20" borderId="232" applyNumberFormat="0" applyAlignment="0" applyProtection="0"/>
    <xf numFmtId="0" fontId="3" fillId="23" borderId="231" applyNumberFormat="0" applyFont="0" applyAlignment="0" applyProtection="0"/>
    <xf numFmtId="0" fontId="3" fillId="23" borderId="231" applyNumberFormat="0" applyFont="0" applyAlignment="0" applyProtection="0"/>
    <xf numFmtId="0" fontId="24" fillId="20" borderId="230" applyNumberFormat="0" applyAlignment="0" applyProtection="0"/>
    <xf numFmtId="0" fontId="3" fillId="23" borderId="231" applyNumberFormat="0" applyFont="0" applyAlignment="0" applyProtection="0"/>
    <xf numFmtId="0" fontId="35" fillId="0" borderId="233" applyNumberFormat="0" applyFill="0" applyAlignment="0" applyProtection="0"/>
    <xf numFmtId="0" fontId="34" fillId="20" borderId="232" applyNumberFormat="0" applyAlignment="0" applyProtection="0"/>
    <xf numFmtId="0" fontId="31" fillId="7" borderId="230" applyNumberFormat="0" applyAlignment="0" applyProtection="0"/>
    <xf numFmtId="0" fontId="24" fillId="20" borderId="230" applyNumberFormat="0" applyAlignment="0" applyProtection="0"/>
    <xf numFmtId="0" fontId="34" fillId="20" borderId="232" applyNumberFormat="0" applyAlignment="0" applyProtection="0"/>
    <xf numFmtId="0" fontId="35" fillId="0" borderId="233" applyNumberFormat="0" applyFill="0" applyAlignment="0" applyProtection="0"/>
    <xf numFmtId="0" fontId="35" fillId="0" borderId="233" applyNumberFormat="0" applyFill="0" applyAlignment="0" applyProtection="0"/>
    <xf numFmtId="0" fontId="31" fillId="7" borderId="230" applyNumberFormat="0" applyAlignment="0" applyProtection="0"/>
    <xf numFmtId="0" fontId="31" fillId="7" borderId="230" applyNumberFormat="0" applyAlignment="0" applyProtection="0"/>
    <xf numFmtId="0" fontId="35" fillId="0" borderId="233" applyNumberFormat="0" applyFill="0" applyAlignment="0" applyProtection="0"/>
    <xf numFmtId="0" fontId="24" fillId="20" borderId="230" applyNumberFormat="0" applyAlignment="0" applyProtection="0"/>
    <xf numFmtId="0" fontId="35" fillId="0" borderId="233" applyNumberFormat="0" applyFill="0" applyAlignment="0" applyProtection="0"/>
    <xf numFmtId="0" fontId="34" fillId="20" borderId="232" applyNumberFormat="0" applyAlignment="0" applyProtection="0"/>
    <xf numFmtId="0" fontId="3" fillId="23" borderId="231" applyNumberFormat="0" applyFont="0" applyAlignment="0" applyProtection="0"/>
    <xf numFmtId="0" fontId="31" fillId="7" borderId="230" applyNumberFormat="0" applyAlignment="0" applyProtection="0"/>
    <xf numFmtId="0" fontId="24" fillId="20" borderId="230" applyNumberFormat="0" applyAlignment="0" applyProtection="0"/>
    <xf numFmtId="0" fontId="24" fillId="20" borderId="230" applyNumberFormat="0" applyAlignment="0" applyProtection="0"/>
    <xf numFmtId="0" fontId="31" fillId="7" borderId="230" applyNumberFormat="0" applyAlignment="0" applyProtection="0"/>
    <xf numFmtId="0" fontId="3" fillId="23" borderId="231" applyNumberFormat="0" applyFont="0" applyAlignment="0" applyProtection="0"/>
    <xf numFmtId="0" fontId="34" fillId="20" borderId="232" applyNumberFormat="0" applyAlignment="0" applyProtection="0"/>
    <xf numFmtId="0" fontId="35" fillId="0" borderId="233" applyNumberFormat="0" applyFill="0" applyAlignment="0" applyProtection="0"/>
    <xf numFmtId="0" fontId="3" fillId="23" borderId="231" applyNumberFormat="0" applyFont="0" applyAlignment="0" applyProtection="0"/>
    <xf numFmtId="0" fontId="35" fillId="0" borderId="233" applyNumberFormat="0" applyFill="0" applyAlignment="0" applyProtection="0"/>
    <xf numFmtId="0" fontId="34" fillId="20" borderId="232" applyNumberFormat="0" applyAlignment="0" applyProtection="0"/>
    <xf numFmtId="0" fontId="3" fillId="23" borderId="231" applyNumberFormat="0" applyFont="0" applyAlignment="0" applyProtection="0"/>
    <xf numFmtId="0" fontId="31" fillId="7" borderId="230" applyNumberFormat="0" applyAlignment="0" applyProtection="0"/>
    <xf numFmtId="0" fontId="24" fillId="20" borderId="230" applyNumberFormat="0" applyAlignment="0" applyProtection="0"/>
    <xf numFmtId="0" fontId="3" fillId="23" borderId="231" applyNumberFormat="0" applyFont="0" applyAlignment="0" applyProtection="0"/>
    <xf numFmtId="0" fontId="3" fillId="23" borderId="231" applyNumberFormat="0" applyFont="0" applyAlignment="0" applyProtection="0"/>
    <xf numFmtId="0" fontId="3" fillId="23" borderId="231" applyNumberFormat="0" applyFont="0" applyAlignment="0" applyProtection="0"/>
    <xf numFmtId="0" fontId="31" fillId="7" borderId="230" applyNumberFormat="0" applyAlignment="0" applyProtection="0"/>
    <xf numFmtId="0" fontId="35" fillId="0" borderId="233" applyNumberFormat="0" applyFill="0" applyAlignment="0" applyProtection="0"/>
    <xf numFmtId="0" fontId="31" fillId="7" borderId="230" applyNumberFormat="0" applyAlignment="0" applyProtection="0"/>
    <xf numFmtId="0" fontId="34" fillId="20" borderId="232" applyNumberFormat="0" applyAlignment="0" applyProtection="0"/>
    <xf numFmtId="0" fontId="3" fillId="23" borderId="231" applyNumberFormat="0" applyFont="0" applyAlignment="0" applyProtection="0"/>
    <xf numFmtId="0" fontId="24" fillId="20" borderId="230" applyNumberFormat="0" applyAlignment="0" applyProtection="0"/>
    <xf numFmtId="0" fontId="3" fillId="23" borderId="231" applyNumberFormat="0" applyFont="0" applyAlignment="0" applyProtection="0"/>
    <xf numFmtId="0" fontId="3" fillId="23" borderId="231" applyNumberFormat="0" applyFont="0" applyAlignment="0" applyProtection="0"/>
    <xf numFmtId="0" fontId="3" fillId="23" borderId="231" applyNumberFormat="0" applyFont="0" applyAlignment="0" applyProtection="0"/>
    <xf numFmtId="0" fontId="34" fillId="20" borderId="232" applyNumberFormat="0" applyAlignment="0" applyProtection="0"/>
    <xf numFmtId="0" fontId="3" fillId="23" borderId="231" applyNumberFormat="0" applyFont="0" applyAlignment="0" applyProtection="0"/>
    <xf numFmtId="0" fontId="3" fillId="23" borderId="231" applyNumberFormat="0" applyFont="0" applyAlignment="0" applyProtection="0"/>
    <xf numFmtId="0" fontId="24" fillId="20" borderId="230" applyNumberFormat="0" applyAlignment="0" applyProtection="0"/>
    <xf numFmtId="0" fontId="34" fillId="20" borderId="232" applyNumberFormat="0" applyAlignment="0" applyProtection="0"/>
    <xf numFmtId="0" fontId="3" fillId="23" borderId="231" applyNumberFormat="0" applyFont="0" applyAlignment="0" applyProtection="0"/>
    <xf numFmtId="0" fontId="3" fillId="23" borderId="231" applyNumberFormat="0" applyFont="0" applyAlignment="0" applyProtection="0"/>
    <xf numFmtId="0" fontId="24" fillId="20" borderId="230" applyNumberFormat="0" applyAlignment="0" applyProtection="0"/>
    <xf numFmtId="0" fontId="3" fillId="23" borderId="231" applyNumberFormat="0" applyFont="0" applyAlignment="0" applyProtection="0"/>
    <xf numFmtId="0" fontId="35" fillId="0" borderId="233" applyNumberFormat="0" applyFill="0" applyAlignment="0" applyProtection="0"/>
    <xf numFmtId="0" fontId="34" fillId="20" borderId="232" applyNumberFormat="0" applyAlignment="0" applyProtection="0"/>
    <xf numFmtId="0" fontId="31" fillId="7" borderId="230" applyNumberFormat="0" applyAlignment="0" applyProtection="0"/>
    <xf numFmtId="0" fontId="24" fillId="20" borderId="230" applyNumberFormat="0" applyAlignment="0" applyProtection="0"/>
    <xf numFmtId="0" fontId="34" fillId="20" borderId="232" applyNumberFormat="0" applyAlignment="0" applyProtection="0"/>
    <xf numFmtId="0" fontId="35" fillId="0" borderId="233" applyNumberFormat="0" applyFill="0" applyAlignment="0" applyProtection="0"/>
    <xf numFmtId="0" fontId="35" fillId="0" borderId="233" applyNumberFormat="0" applyFill="0" applyAlignment="0" applyProtection="0"/>
    <xf numFmtId="0" fontId="31" fillId="7" borderId="230" applyNumberFormat="0" applyAlignment="0" applyProtection="0"/>
    <xf numFmtId="0" fontId="31" fillId="7" borderId="230" applyNumberFormat="0" applyAlignment="0" applyProtection="0"/>
    <xf numFmtId="0" fontId="35" fillId="0" borderId="233" applyNumberFormat="0" applyFill="0" applyAlignment="0" applyProtection="0"/>
    <xf numFmtId="0" fontId="24" fillId="20" borderId="230" applyNumberFormat="0" applyAlignment="0" applyProtection="0"/>
    <xf numFmtId="0" fontId="35" fillId="0" borderId="233" applyNumberFormat="0" applyFill="0" applyAlignment="0" applyProtection="0"/>
    <xf numFmtId="0" fontId="34" fillId="20" borderId="232" applyNumberFormat="0" applyAlignment="0" applyProtection="0"/>
    <xf numFmtId="0" fontId="3" fillId="23" borderId="231" applyNumberFormat="0" applyFont="0" applyAlignment="0" applyProtection="0"/>
    <xf numFmtId="0" fontId="31" fillId="7" borderId="230" applyNumberFormat="0" applyAlignment="0" applyProtection="0"/>
    <xf numFmtId="0" fontId="24" fillId="20" borderId="230" applyNumberFormat="0" applyAlignment="0" applyProtection="0"/>
    <xf numFmtId="0" fontId="3" fillId="23" borderId="239" applyNumberFormat="0" applyFont="0" applyAlignment="0" applyProtection="0"/>
    <xf numFmtId="0" fontId="34" fillId="20" borderId="240" applyNumberFormat="0" applyAlignment="0" applyProtection="0"/>
    <xf numFmtId="0" fontId="35" fillId="0" borderId="241" applyNumberFormat="0" applyFill="0" applyAlignment="0" applyProtection="0"/>
    <xf numFmtId="0" fontId="3" fillId="23" borderId="239" applyNumberFormat="0" applyFont="0" applyAlignment="0" applyProtection="0"/>
    <xf numFmtId="0" fontId="35" fillId="0" borderId="241" applyNumberFormat="0" applyFill="0" applyAlignment="0" applyProtection="0"/>
    <xf numFmtId="0" fontId="34" fillId="20" borderId="240" applyNumberFormat="0" applyAlignment="0" applyProtection="0"/>
    <xf numFmtId="0" fontId="3" fillId="23" borderId="239" applyNumberFormat="0" applyFont="0" applyAlignment="0" applyProtection="0"/>
    <xf numFmtId="0" fontId="31" fillId="7" borderId="238" applyNumberFormat="0" applyAlignment="0" applyProtection="0"/>
    <xf numFmtId="0" fontId="24" fillId="20" borderId="238" applyNumberFormat="0" applyAlignment="0" applyProtection="0"/>
    <xf numFmtId="0" fontId="3" fillId="23" borderId="239" applyNumberFormat="0" applyFont="0" applyAlignment="0" applyProtection="0"/>
    <xf numFmtId="0" fontId="3" fillId="23" borderId="239" applyNumberFormat="0" applyFont="0" applyAlignment="0" applyProtection="0"/>
    <xf numFmtId="0" fontId="3" fillId="23" borderId="239" applyNumberFormat="0" applyFont="0" applyAlignment="0" applyProtection="0"/>
    <xf numFmtId="0" fontId="31" fillId="7" borderId="238" applyNumberFormat="0" applyAlignment="0" applyProtection="0"/>
    <xf numFmtId="0" fontId="35" fillId="0" borderId="241" applyNumberFormat="0" applyFill="0" applyAlignment="0" applyProtection="0"/>
    <xf numFmtId="0" fontId="31" fillId="7" borderId="238" applyNumberFormat="0" applyAlignment="0" applyProtection="0"/>
    <xf numFmtId="0" fontId="34" fillId="20" borderId="240" applyNumberFormat="0" applyAlignment="0" applyProtection="0"/>
    <xf numFmtId="0" fontId="3" fillId="23" borderId="239" applyNumberFormat="0" applyFont="0" applyAlignment="0" applyProtection="0"/>
    <xf numFmtId="0" fontId="24" fillId="20" borderId="238" applyNumberFormat="0" applyAlignment="0" applyProtection="0"/>
    <xf numFmtId="0" fontId="3" fillId="23" borderId="239" applyNumberFormat="0" applyFont="0" applyAlignment="0" applyProtection="0"/>
    <xf numFmtId="0" fontId="3" fillId="23" borderId="239" applyNumberFormat="0" applyFont="0" applyAlignment="0" applyProtection="0"/>
    <xf numFmtId="0" fontId="3" fillId="23" borderId="239" applyNumberFormat="0" applyFont="0" applyAlignment="0" applyProtection="0"/>
    <xf numFmtId="0" fontId="34" fillId="20" borderId="240" applyNumberFormat="0" applyAlignment="0" applyProtection="0"/>
    <xf numFmtId="0" fontId="3" fillId="23" borderId="239" applyNumberFormat="0" applyFont="0" applyAlignment="0" applyProtection="0"/>
    <xf numFmtId="0" fontId="3" fillId="23" borderId="239" applyNumberFormat="0" applyFont="0" applyAlignment="0" applyProtection="0"/>
    <xf numFmtId="0" fontId="24" fillId="20" borderId="238" applyNumberFormat="0" applyAlignment="0" applyProtection="0"/>
    <xf numFmtId="0" fontId="34" fillId="20" borderId="240" applyNumberFormat="0" applyAlignment="0" applyProtection="0"/>
    <xf numFmtId="0" fontId="3" fillId="23" borderId="239" applyNumberFormat="0" applyFont="0" applyAlignment="0" applyProtection="0"/>
    <xf numFmtId="0" fontId="3" fillId="23" borderId="239" applyNumberFormat="0" applyFont="0" applyAlignment="0" applyProtection="0"/>
    <xf numFmtId="0" fontId="24" fillId="20" borderId="238" applyNumberFormat="0" applyAlignment="0" applyProtection="0"/>
    <xf numFmtId="0" fontId="3" fillId="23" borderId="239" applyNumberFormat="0" applyFont="0" applyAlignment="0" applyProtection="0"/>
    <xf numFmtId="0" fontId="35" fillId="0" borderId="241" applyNumberFormat="0" applyFill="0" applyAlignment="0" applyProtection="0"/>
    <xf numFmtId="0" fontId="34" fillId="20" borderId="240" applyNumberFormat="0" applyAlignment="0" applyProtection="0"/>
    <xf numFmtId="0" fontId="31" fillId="7" borderId="238" applyNumberFormat="0" applyAlignment="0" applyProtection="0"/>
    <xf numFmtId="0" fontId="24" fillId="20" borderId="238" applyNumberFormat="0" applyAlignment="0" applyProtection="0"/>
    <xf numFmtId="0" fontId="34" fillId="20" borderId="240" applyNumberFormat="0" applyAlignment="0" applyProtection="0"/>
    <xf numFmtId="0" fontId="35" fillId="0" borderId="241" applyNumberFormat="0" applyFill="0" applyAlignment="0" applyProtection="0"/>
    <xf numFmtId="0" fontId="35" fillId="0" borderId="241" applyNumberFormat="0" applyFill="0" applyAlignment="0" applyProtection="0"/>
    <xf numFmtId="0" fontId="31" fillId="7" borderId="238" applyNumberFormat="0" applyAlignment="0" applyProtection="0"/>
    <xf numFmtId="0" fontId="31" fillId="7" borderId="238" applyNumberFormat="0" applyAlignment="0" applyProtection="0"/>
    <xf numFmtId="0" fontId="35" fillId="0" borderId="241" applyNumberFormat="0" applyFill="0" applyAlignment="0" applyProtection="0"/>
    <xf numFmtId="0" fontId="24" fillId="20" borderId="238" applyNumberFormat="0" applyAlignment="0" applyProtection="0"/>
    <xf numFmtId="0" fontId="35" fillId="0" borderId="241" applyNumberFormat="0" applyFill="0" applyAlignment="0" applyProtection="0"/>
    <xf numFmtId="0" fontId="34" fillId="20" borderId="240" applyNumberFormat="0" applyAlignment="0" applyProtection="0"/>
    <xf numFmtId="0" fontId="3" fillId="23" borderId="239" applyNumberFormat="0" applyFont="0" applyAlignment="0" applyProtection="0"/>
    <xf numFmtId="0" fontId="31" fillId="7" borderId="238" applyNumberFormat="0" applyAlignment="0" applyProtection="0"/>
    <xf numFmtId="0" fontId="24" fillId="20" borderId="238" applyNumberFormat="0" applyAlignment="0" applyProtection="0"/>
    <xf numFmtId="0" fontId="24" fillId="20" borderId="238" applyNumberFormat="0" applyAlignment="0" applyProtection="0"/>
    <xf numFmtId="0" fontId="31" fillId="7" borderId="238" applyNumberFormat="0" applyAlignment="0" applyProtection="0"/>
    <xf numFmtId="0" fontId="3" fillId="23" borderId="239" applyNumberFormat="0" applyFont="0" applyAlignment="0" applyProtection="0"/>
    <xf numFmtId="0" fontId="34" fillId="20" borderId="240" applyNumberFormat="0" applyAlignment="0" applyProtection="0"/>
    <xf numFmtId="0" fontId="35" fillId="0" borderId="241" applyNumberFormat="0" applyFill="0" applyAlignment="0" applyProtection="0"/>
    <xf numFmtId="0" fontId="3" fillId="23" borderId="239" applyNumberFormat="0" applyFont="0" applyAlignment="0" applyProtection="0"/>
    <xf numFmtId="0" fontId="35" fillId="0" borderId="241" applyNumberFormat="0" applyFill="0" applyAlignment="0" applyProtection="0"/>
    <xf numFmtId="0" fontId="34" fillId="20" borderId="240" applyNumberFormat="0" applyAlignment="0" applyProtection="0"/>
    <xf numFmtId="0" fontId="3" fillId="23" borderId="239" applyNumberFormat="0" applyFont="0" applyAlignment="0" applyProtection="0"/>
    <xf numFmtId="0" fontId="31" fillId="7" borderId="238" applyNumberFormat="0" applyAlignment="0" applyProtection="0"/>
    <xf numFmtId="0" fontId="24" fillId="20" borderId="238" applyNumberFormat="0" applyAlignment="0" applyProtection="0"/>
    <xf numFmtId="0" fontId="3" fillId="23" borderId="239" applyNumberFormat="0" applyFont="0" applyAlignment="0" applyProtection="0"/>
    <xf numFmtId="0" fontId="3" fillId="23" borderId="239" applyNumberFormat="0" applyFont="0" applyAlignment="0" applyProtection="0"/>
    <xf numFmtId="0" fontId="3" fillId="23" borderId="239" applyNumberFormat="0" applyFont="0" applyAlignment="0" applyProtection="0"/>
    <xf numFmtId="0" fontId="31" fillId="7" borderId="238" applyNumberFormat="0" applyAlignment="0" applyProtection="0"/>
    <xf numFmtId="0" fontId="35" fillId="0" borderId="241" applyNumberFormat="0" applyFill="0" applyAlignment="0" applyProtection="0"/>
    <xf numFmtId="0" fontId="31" fillId="7" borderId="238" applyNumberFormat="0" applyAlignment="0" applyProtection="0"/>
    <xf numFmtId="0" fontId="34" fillId="20" borderId="240" applyNumberFormat="0" applyAlignment="0" applyProtection="0"/>
    <xf numFmtId="0" fontId="3" fillId="23" borderId="239" applyNumberFormat="0" applyFont="0" applyAlignment="0" applyProtection="0"/>
    <xf numFmtId="0" fontId="24" fillId="20" borderId="238" applyNumberFormat="0" applyAlignment="0" applyProtection="0"/>
    <xf numFmtId="0" fontId="3" fillId="23" borderId="239" applyNumberFormat="0" applyFont="0" applyAlignment="0" applyProtection="0"/>
    <xf numFmtId="0" fontId="3" fillId="23" borderId="239" applyNumberFormat="0" applyFont="0" applyAlignment="0" applyProtection="0"/>
    <xf numFmtId="0" fontId="3" fillId="23" borderId="239" applyNumberFormat="0" applyFont="0" applyAlignment="0" applyProtection="0"/>
    <xf numFmtId="0" fontId="34" fillId="20" borderId="240" applyNumberFormat="0" applyAlignment="0" applyProtection="0"/>
    <xf numFmtId="0" fontId="3" fillId="23" borderId="239" applyNumberFormat="0" applyFont="0" applyAlignment="0" applyProtection="0"/>
    <xf numFmtId="0" fontId="3" fillId="23" borderId="239" applyNumberFormat="0" applyFont="0" applyAlignment="0" applyProtection="0"/>
    <xf numFmtId="0" fontId="24" fillId="20" borderId="238" applyNumberFormat="0" applyAlignment="0" applyProtection="0"/>
    <xf numFmtId="0" fontId="34" fillId="20" borderId="240" applyNumberFormat="0" applyAlignment="0" applyProtection="0"/>
    <xf numFmtId="0" fontId="3" fillId="23" borderId="239" applyNumberFormat="0" applyFont="0" applyAlignment="0" applyProtection="0"/>
    <xf numFmtId="0" fontId="3" fillId="23" borderId="239" applyNumberFormat="0" applyFont="0" applyAlignment="0" applyProtection="0"/>
    <xf numFmtId="0" fontId="24" fillId="20" borderId="238" applyNumberFormat="0" applyAlignment="0" applyProtection="0"/>
    <xf numFmtId="0" fontId="3" fillId="23" borderId="239" applyNumberFormat="0" applyFont="0" applyAlignment="0" applyProtection="0"/>
    <xf numFmtId="0" fontId="35" fillId="0" borderId="241" applyNumberFormat="0" applyFill="0" applyAlignment="0" applyProtection="0"/>
    <xf numFmtId="0" fontId="34" fillId="20" borderId="240" applyNumberFormat="0" applyAlignment="0" applyProtection="0"/>
    <xf numFmtId="0" fontId="31" fillId="7" borderId="238" applyNumberFormat="0" applyAlignment="0" applyProtection="0"/>
    <xf numFmtId="0" fontId="24" fillId="20" borderId="238" applyNumberFormat="0" applyAlignment="0" applyProtection="0"/>
    <xf numFmtId="0" fontId="34" fillId="20" borderId="240" applyNumberFormat="0" applyAlignment="0" applyProtection="0"/>
    <xf numFmtId="0" fontId="35" fillId="0" borderId="241" applyNumberFormat="0" applyFill="0" applyAlignment="0" applyProtection="0"/>
    <xf numFmtId="0" fontId="35" fillId="0" borderId="241" applyNumberFormat="0" applyFill="0" applyAlignment="0" applyProtection="0"/>
    <xf numFmtId="0" fontId="31" fillId="7" borderId="238" applyNumberFormat="0" applyAlignment="0" applyProtection="0"/>
    <xf numFmtId="0" fontId="31" fillId="7" borderId="238" applyNumberFormat="0" applyAlignment="0" applyProtection="0"/>
    <xf numFmtId="0" fontId="35" fillId="0" borderId="241" applyNumberFormat="0" applyFill="0" applyAlignment="0" applyProtection="0"/>
    <xf numFmtId="0" fontId="24" fillId="20" borderId="238" applyNumberFormat="0" applyAlignment="0" applyProtection="0"/>
    <xf numFmtId="0" fontId="35" fillId="0" borderId="241" applyNumberFormat="0" applyFill="0" applyAlignment="0" applyProtection="0"/>
    <xf numFmtId="0" fontId="34" fillId="20" borderId="240" applyNumberFormat="0" applyAlignment="0" applyProtection="0"/>
    <xf numFmtId="0" fontId="3" fillId="23" borderId="239" applyNumberFormat="0" applyFont="0" applyAlignment="0" applyProtection="0"/>
    <xf numFmtId="0" fontId="31" fillId="7" borderId="238" applyNumberFormat="0" applyAlignment="0" applyProtection="0"/>
    <xf numFmtId="0" fontId="24" fillId="20" borderId="238" applyNumberFormat="0" applyAlignment="0" applyProtection="0"/>
    <xf numFmtId="0" fontId="3" fillId="23" borderId="239" applyNumberFormat="0" applyFont="0" applyAlignment="0" applyProtection="0"/>
    <xf numFmtId="0" fontId="35" fillId="0" borderId="241" applyNumberFormat="0" applyFill="0" applyAlignment="0" applyProtection="0"/>
    <xf numFmtId="0" fontId="34" fillId="20" borderId="240" applyNumberFormat="0" applyAlignment="0" applyProtection="0"/>
    <xf numFmtId="0" fontId="3" fillId="23" borderId="239" applyNumberFormat="0" applyFont="0" applyAlignment="0" applyProtection="0"/>
    <xf numFmtId="0" fontId="31" fillId="7" borderId="238" applyNumberFormat="0" applyAlignment="0" applyProtection="0"/>
    <xf numFmtId="0" fontId="24" fillId="20" borderId="238" applyNumberFormat="0" applyAlignment="0" applyProtection="0"/>
    <xf numFmtId="0" fontId="24" fillId="20" borderId="238" applyNumberFormat="0" applyAlignment="0" applyProtection="0"/>
    <xf numFmtId="0" fontId="31" fillId="7" borderId="238" applyNumberFormat="0" applyAlignment="0" applyProtection="0"/>
    <xf numFmtId="0" fontId="3" fillId="23" borderId="239" applyNumberFormat="0" applyFont="0" applyAlignment="0" applyProtection="0"/>
    <xf numFmtId="0" fontId="34" fillId="20" borderId="240" applyNumberFormat="0" applyAlignment="0" applyProtection="0"/>
    <xf numFmtId="0" fontId="35" fillId="0" borderId="241" applyNumberFormat="0" applyFill="0" applyAlignment="0" applyProtection="0"/>
    <xf numFmtId="0" fontId="3" fillId="23" borderId="239" applyNumberFormat="0" applyFont="0" applyAlignment="0" applyProtection="0"/>
    <xf numFmtId="0" fontId="35" fillId="0" borderId="241" applyNumberFormat="0" applyFill="0" applyAlignment="0" applyProtection="0"/>
    <xf numFmtId="0" fontId="34" fillId="20" borderId="240" applyNumberFormat="0" applyAlignment="0" applyProtection="0"/>
    <xf numFmtId="0" fontId="3" fillId="23" borderId="239" applyNumberFormat="0" applyFont="0" applyAlignment="0" applyProtection="0"/>
    <xf numFmtId="0" fontId="31" fillId="7" borderId="238" applyNumberFormat="0" applyAlignment="0" applyProtection="0"/>
    <xf numFmtId="0" fontId="24" fillId="20" borderId="238" applyNumberFormat="0" applyAlignment="0" applyProtection="0"/>
    <xf numFmtId="0" fontId="3" fillId="23" borderId="239" applyNumberFormat="0" applyFont="0" applyAlignment="0" applyProtection="0"/>
    <xf numFmtId="0" fontId="3" fillId="23" borderId="239" applyNumberFormat="0" applyFont="0" applyAlignment="0" applyProtection="0"/>
    <xf numFmtId="0" fontId="3" fillId="23" borderId="239" applyNumberFormat="0" applyFont="0" applyAlignment="0" applyProtection="0"/>
    <xf numFmtId="0" fontId="31" fillId="7" borderId="238" applyNumberFormat="0" applyAlignment="0" applyProtection="0"/>
    <xf numFmtId="0" fontId="35" fillId="0" borderId="241" applyNumberFormat="0" applyFill="0" applyAlignment="0" applyProtection="0"/>
    <xf numFmtId="0" fontId="31" fillId="7" borderId="238" applyNumberFormat="0" applyAlignment="0" applyProtection="0"/>
    <xf numFmtId="0" fontId="34" fillId="20" borderId="240" applyNumberFormat="0" applyAlignment="0" applyProtection="0"/>
    <xf numFmtId="0" fontId="3" fillId="23" borderId="239" applyNumberFormat="0" applyFont="0" applyAlignment="0" applyProtection="0"/>
    <xf numFmtId="0" fontId="24" fillId="20" borderId="238" applyNumberFormat="0" applyAlignment="0" applyProtection="0"/>
    <xf numFmtId="0" fontId="3" fillId="23" borderId="239" applyNumberFormat="0" applyFont="0" applyAlignment="0" applyProtection="0"/>
    <xf numFmtId="0" fontId="3" fillId="23" borderId="239" applyNumberFormat="0" applyFont="0" applyAlignment="0" applyProtection="0"/>
    <xf numFmtId="0" fontId="3" fillId="23" borderId="239" applyNumberFormat="0" applyFont="0" applyAlignment="0" applyProtection="0"/>
    <xf numFmtId="0" fontId="34" fillId="20" borderId="240" applyNumberFormat="0" applyAlignment="0" applyProtection="0"/>
    <xf numFmtId="0" fontId="3" fillId="23" borderId="239" applyNumberFormat="0" applyFont="0" applyAlignment="0" applyProtection="0"/>
    <xf numFmtId="0" fontId="3" fillId="23" borderId="239" applyNumberFormat="0" applyFont="0" applyAlignment="0" applyProtection="0"/>
    <xf numFmtId="0" fontId="24" fillId="20" borderId="238" applyNumberFormat="0" applyAlignment="0" applyProtection="0"/>
    <xf numFmtId="0" fontId="34" fillId="20" borderId="240" applyNumberFormat="0" applyAlignment="0" applyProtection="0"/>
    <xf numFmtId="0" fontId="3" fillId="23" borderId="239" applyNumberFormat="0" applyFont="0" applyAlignment="0" applyProtection="0"/>
    <xf numFmtId="0" fontId="3" fillId="23" borderId="239" applyNumberFormat="0" applyFont="0" applyAlignment="0" applyProtection="0"/>
    <xf numFmtId="0" fontId="24" fillId="20" borderId="238" applyNumberFormat="0" applyAlignment="0" applyProtection="0"/>
    <xf numFmtId="0" fontId="3" fillId="23" borderId="239" applyNumberFormat="0" applyFont="0" applyAlignment="0" applyProtection="0"/>
    <xf numFmtId="0" fontId="35" fillId="0" borderId="241" applyNumberFormat="0" applyFill="0" applyAlignment="0" applyProtection="0"/>
    <xf numFmtId="0" fontId="34" fillId="20" borderId="240" applyNumberFormat="0" applyAlignment="0" applyProtection="0"/>
    <xf numFmtId="0" fontId="31" fillId="7" borderId="238" applyNumberFormat="0" applyAlignment="0" applyProtection="0"/>
    <xf numFmtId="0" fontId="24" fillId="20" borderId="238" applyNumberFormat="0" applyAlignment="0" applyProtection="0"/>
    <xf numFmtId="0" fontId="34" fillId="20" borderId="240" applyNumberFormat="0" applyAlignment="0" applyProtection="0"/>
    <xf numFmtId="0" fontId="35" fillId="0" borderId="241" applyNumberFormat="0" applyFill="0" applyAlignment="0" applyProtection="0"/>
    <xf numFmtId="0" fontId="35" fillId="0" borderId="241" applyNumberFormat="0" applyFill="0" applyAlignment="0" applyProtection="0"/>
    <xf numFmtId="0" fontId="31" fillId="7" borderId="238" applyNumberFormat="0" applyAlignment="0" applyProtection="0"/>
    <xf numFmtId="0" fontId="31" fillId="7" borderId="238" applyNumberFormat="0" applyAlignment="0" applyProtection="0"/>
    <xf numFmtId="0" fontId="35" fillId="0" borderId="241" applyNumberFormat="0" applyFill="0" applyAlignment="0" applyProtection="0"/>
    <xf numFmtId="0" fontId="24" fillId="20" borderId="238" applyNumberFormat="0" applyAlignment="0" applyProtection="0"/>
    <xf numFmtId="0" fontId="35" fillId="0" borderId="241" applyNumberFormat="0" applyFill="0" applyAlignment="0" applyProtection="0"/>
    <xf numFmtId="0" fontId="34" fillId="20" borderId="240" applyNumberFormat="0" applyAlignment="0" applyProtection="0"/>
    <xf numFmtId="0" fontId="3" fillId="23" borderId="239" applyNumberFormat="0" applyFont="0" applyAlignment="0" applyProtection="0"/>
    <xf numFmtId="0" fontId="31" fillId="7" borderId="238" applyNumberFormat="0" applyAlignment="0" applyProtection="0"/>
    <xf numFmtId="0" fontId="24" fillId="20" borderId="238" applyNumberFormat="0" applyAlignment="0" applyProtection="0"/>
    <xf numFmtId="0" fontId="3" fillId="23" borderId="239" applyNumberFormat="0" applyFont="0" applyAlignment="0" applyProtection="0"/>
    <xf numFmtId="0" fontId="35" fillId="0" borderId="241" applyNumberFormat="0" applyFill="0" applyAlignment="0" applyProtection="0"/>
    <xf numFmtId="0" fontId="34" fillId="20" borderId="240" applyNumberFormat="0" applyAlignment="0" applyProtection="0"/>
    <xf numFmtId="0" fontId="3" fillId="23" borderId="239" applyNumberFormat="0" applyFont="0" applyAlignment="0" applyProtection="0"/>
    <xf numFmtId="0" fontId="31" fillId="7" borderId="238" applyNumberFormat="0" applyAlignment="0" applyProtection="0"/>
    <xf numFmtId="0" fontId="24" fillId="20" borderId="238" applyNumberFormat="0" applyAlignment="0" applyProtection="0"/>
    <xf numFmtId="0" fontId="24" fillId="20" borderId="238" applyNumberFormat="0" applyAlignment="0" applyProtection="0"/>
    <xf numFmtId="0" fontId="31" fillId="7" borderId="238" applyNumberFormat="0" applyAlignment="0" applyProtection="0"/>
    <xf numFmtId="0" fontId="3" fillId="23" borderId="239" applyNumberFormat="0" applyFont="0" applyAlignment="0" applyProtection="0"/>
    <xf numFmtId="0" fontId="34" fillId="20" borderId="240" applyNumberFormat="0" applyAlignment="0" applyProtection="0"/>
    <xf numFmtId="0" fontId="35" fillId="0" borderId="241" applyNumberFormat="0" applyFill="0" applyAlignment="0" applyProtection="0"/>
    <xf numFmtId="0" fontId="3" fillId="23" borderId="239" applyNumberFormat="0" applyFont="0" applyAlignment="0" applyProtection="0"/>
    <xf numFmtId="0" fontId="35" fillId="0" borderId="241" applyNumberFormat="0" applyFill="0" applyAlignment="0" applyProtection="0"/>
    <xf numFmtId="0" fontId="34" fillId="20" borderId="240" applyNumberFormat="0" applyAlignment="0" applyProtection="0"/>
    <xf numFmtId="0" fontId="3" fillId="23" borderId="239" applyNumberFormat="0" applyFont="0" applyAlignment="0" applyProtection="0"/>
    <xf numFmtId="0" fontId="31" fillId="7" borderId="238" applyNumberFormat="0" applyAlignment="0" applyProtection="0"/>
    <xf numFmtId="0" fontId="24" fillId="20" borderId="238" applyNumberFormat="0" applyAlignment="0" applyProtection="0"/>
    <xf numFmtId="0" fontId="3" fillId="23" borderId="239" applyNumberFormat="0" applyFont="0" applyAlignment="0" applyProtection="0"/>
    <xf numFmtId="0" fontId="3" fillId="23" borderId="239" applyNumberFormat="0" applyFont="0" applyAlignment="0" applyProtection="0"/>
    <xf numFmtId="0" fontId="3" fillId="23" borderId="239" applyNumberFormat="0" applyFont="0" applyAlignment="0" applyProtection="0"/>
    <xf numFmtId="0" fontId="31" fillId="7" borderId="238" applyNumberFormat="0" applyAlignment="0" applyProtection="0"/>
    <xf numFmtId="0" fontId="35" fillId="0" borderId="241" applyNumberFormat="0" applyFill="0" applyAlignment="0" applyProtection="0"/>
    <xf numFmtId="0" fontId="31" fillId="7" borderId="238" applyNumberFormat="0" applyAlignment="0" applyProtection="0"/>
    <xf numFmtId="0" fontId="34" fillId="20" borderId="240" applyNumberFormat="0" applyAlignment="0" applyProtection="0"/>
    <xf numFmtId="0" fontId="3" fillId="23" borderId="239" applyNumberFormat="0" applyFont="0" applyAlignment="0" applyProtection="0"/>
    <xf numFmtId="0" fontId="24" fillId="20" borderId="238" applyNumberFormat="0" applyAlignment="0" applyProtection="0"/>
    <xf numFmtId="0" fontId="3" fillId="23" borderId="239" applyNumberFormat="0" applyFont="0" applyAlignment="0" applyProtection="0"/>
    <xf numFmtId="0" fontId="3" fillId="23" borderId="239" applyNumberFormat="0" applyFont="0" applyAlignment="0" applyProtection="0"/>
    <xf numFmtId="0" fontId="3" fillId="23" borderId="239" applyNumberFormat="0" applyFont="0" applyAlignment="0" applyProtection="0"/>
    <xf numFmtId="0" fontId="34" fillId="20" borderId="240" applyNumberFormat="0" applyAlignment="0" applyProtection="0"/>
    <xf numFmtId="0" fontId="3" fillId="23" borderId="239" applyNumberFormat="0" applyFont="0" applyAlignment="0" applyProtection="0"/>
    <xf numFmtId="0" fontId="3" fillId="23" borderId="239" applyNumberFormat="0" applyFont="0" applyAlignment="0" applyProtection="0"/>
    <xf numFmtId="0" fontId="24" fillId="20" borderId="238" applyNumberFormat="0" applyAlignment="0" applyProtection="0"/>
    <xf numFmtId="0" fontId="34" fillId="20" borderId="240" applyNumberFormat="0" applyAlignment="0" applyProtection="0"/>
    <xf numFmtId="0" fontId="3" fillId="23" borderId="239" applyNumberFormat="0" applyFont="0" applyAlignment="0" applyProtection="0"/>
    <xf numFmtId="0" fontId="3" fillId="23" borderId="239" applyNumberFormat="0" applyFont="0" applyAlignment="0" applyProtection="0"/>
    <xf numFmtId="0" fontId="24" fillId="20" borderId="238" applyNumberFormat="0" applyAlignment="0" applyProtection="0"/>
    <xf numFmtId="0" fontId="3" fillId="23" borderId="239" applyNumberFormat="0" applyFont="0" applyAlignment="0" applyProtection="0"/>
    <xf numFmtId="0" fontId="35" fillId="0" borderId="241" applyNumberFormat="0" applyFill="0" applyAlignment="0" applyProtection="0"/>
    <xf numFmtId="0" fontId="34" fillId="20" borderId="240" applyNumberFormat="0" applyAlignment="0" applyProtection="0"/>
    <xf numFmtId="0" fontId="31" fillId="7" borderId="238" applyNumberFormat="0" applyAlignment="0" applyProtection="0"/>
    <xf numFmtId="0" fontId="24" fillId="20" borderId="238" applyNumberFormat="0" applyAlignment="0" applyProtection="0"/>
    <xf numFmtId="0" fontId="34" fillId="20" borderId="240" applyNumberFormat="0" applyAlignment="0" applyProtection="0"/>
    <xf numFmtId="0" fontId="35" fillId="0" borderId="241" applyNumberFormat="0" applyFill="0" applyAlignment="0" applyProtection="0"/>
    <xf numFmtId="0" fontId="35" fillId="0" borderId="241" applyNumberFormat="0" applyFill="0" applyAlignment="0" applyProtection="0"/>
    <xf numFmtId="0" fontId="31" fillId="7" borderId="238" applyNumberFormat="0" applyAlignment="0" applyProtection="0"/>
    <xf numFmtId="0" fontId="31" fillId="7" borderId="238" applyNumberFormat="0" applyAlignment="0" applyProtection="0"/>
    <xf numFmtId="0" fontId="35" fillId="0" borderId="241" applyNumberFormat="0" applyFill="0" applyAlignment="0" applyProtection="0"/>
    <xf numFmtId="0" fontId="24" fillId="20" borderId="238" applyNumberFormat="0" applyAlignment="0" applyProtection="0"/>
    <xf numFmtId="0" fontId="35" fillId="0" borderId="241" applyNumberFormat="0" applyFill="0" applyAlignment="0" applyProtection="0"/>
    <xf numFmtId="0" fontId="34" fillId="20" borderId="240" applyNumberFormat="0" applyAlignment="0" applyProtection="0"/>
    <xf numFmtId="0" fontId="3" fillId="23" borderId="239" applyNumberFormat="0" applyFont="0" applyAlignment="0" applyProtection="0"/>
    <xf numFmtId="0" fontId="31" fillId="7" borderId="238" applyNumberFormat="0" applyAlignment="0" applyProtection="0"/>
    <xf numFmtId="0" fontId="24" fillId="20" borderId="238" applyNumberFormat="0" applyAlignment="0" applyProtection="0"/>
    <xf numFmtId="0" fontId="24" fillId="20" borderId="238" applyNumberFormat="0" applyAlignment="0" applyProtection="0"/>
    <xf numFmtId="0" fontId="31" fillId="7" borderId="238" applyNumberFormat="0" applyAlignment="0" applyProtection="0"/>
    <xf numFmtId="0" fontId="3" fillId="23" borderId="239" applyNumberFormat="0" applyFont="0" applyAlignment="0" applyProtection="0"/>
    <xf numFmtId="0" fontId="34" fillId="20" borderId="240" applyNumberFormat="0" applyAlignment="0" applyProtection="0"/>
    <xf numFmtId="0" fontId="35" fillId="0" borderId="241" applyNumberFormat="0" applyFill="0" applyAlignment="0" applyProtection="0"/>
    <xf numFmtId="0" fontId="3" fillId="23" borderId="239" applyNumberFormat="0" applyFont="0" applyAlignment="0" applyProtection="0"/>
    <xf numFmtId="0" fontId="35" fillId="0" borderId="241" applyNumberFormat="0" applyFill="0" applyAlignment="0" applyProtection="0"/>
    <xf numFmtId="0" fontId="34" fillId="20" borderId="240" applyNumberFormat="0" applyAlignment="0" applyProtection="0"/>
    <xf numFmtId="0" fontId="3" fillId="23" borderId="239" applyNumberFormat="0" applyFont="0" applyAlignment="0" applyProtection="0"/>
    <xf numFmtId="0" fontId="31" fillId="7" borderId="238" applyNumberFormat="0" applyAlignment="0" applyProtection="0"/>
    <xf numFmtId="0" fontId="24" fillId="20" borderId="238" applyNumberFormat="0" applyAlignment="0" applyProtection="0"/>
    <xf numFmtId="0" fontId="3" fillId="23" borderId="239" applyNumberFormat="0" applyFont="0" applyAlignment="0" applyProtection="0"/>
    <xf numFmtId="0" fontId="3" fillId="23" borderId="239" applyNumberFormat="0" applyFont="0" applyAlignment="0" applyProtection="0"/>
    <xf numFmtId="0" fontId="3" fillId="23" borderId="239" applyNumberFormat="0" applyFont="0" applyAlignment="0" applyProtection="0"/>
    <xf numFmtId="0" fontId="31" fillId="7" borderId="238" applyNumberFormat="0" applyAlignment="0" applyProtection="0"/>
    <xf numFmtId="0" fontId="35" fillId="0" borderId="241" applyNumberFormat="0" applyFill="0" applyAlignment="0" applyProtection="0"/>
    <xf numFmtId="0" fontId="31" fillId="7" borderId="238" applyNumberFormat="0" applyAlignment="0" applyProtection="0"/>
    <xf numFmtId="0" fontId="34" fillId="20" borderId="240" applyNumberFormat="0" applyAlignment="0" applyProtection="0"/>
    <xf numFmtId="0" fontId="3" fillId="23" borderId="239" applyNumberFormat="0" applyFont="0" applyAlignment="0" applyProtection="0"/>
    <xf numFmtId="0" fontId="24" fillId="20" borderId="238" applyNumberFormat="0" applyAlignment="0" applyProtection="0"/>
    <xf numFmtId="0" fontId="3" fillId="23" borderId="239" applyNumberFormat="0" applyFont="0" applyAlignment="0" applyProtection="0"/>
    <xf numFmtId="0" fontId="3" fillId="23" borderId="239" applyNumberFormat="0" applyFont="0" applyAlignment="0" applyProtection="0"/>
    <xf numFmtId="0" fontId="3" fillId="23" borderId="239" applyNumberFormat="0" applyFont="0" applyAlignment="0" applyProtection="0"/>
    <xf numFmtId="0" fontId="34" fillId="20" borderId="240" applyNumberFormat="0" applyAlignment="0" applyProtection="0"/>
    <xf numFmtId="0" fontId="3" fillId="23" borderId="239" applyNumberFormat="0" applyFont="0" applyAlignment="0" applyProtection="0"/>
    <xf numFmtId="0" fontId="3" fillId="23" borderId="239" applyNumberFormat="0" applyFont="0" applyAlignment="0" applyProtection="0"/>
    <xf numFmtId="0" fontId="24" fillId="20" borderId="238" applyNumberFormat="0" applyAlignment="0" applyProtection="0"/>
    <xf numFmtId="0" fontId="34" fillId="20" borderId="240" applyNumberFormat="0" applyAlignment="0" applyProtection="0"/>
    <xf numFmtId="0" fontId="3" fillId="23" borderId="239" applyNumberFormat="0" applyFont="0" applyAlignment="0" applyProtection="0"/>
    <xf numFmtId="0" fontId="3" fillId="23" borderId="239" applyNumberFormat="0" applyFont="0" applyAlignment="0" applyProtection="0"/>
    <xf numFmtId="0" fontId="24" fillId="20" borderId="238" applyNumberFormat="0" applyAlignment="0" applyProtection="0"/>
    <xf numFmtId="0" fontId="3" fillId="23" borderId="239" applyNumberFormat="0" applyFont="0" applyAlignment="0" applyProtection="0"/>
    <xf numFmtId="0" fontId="35" fillId="0" borderId="241" applyNumberFormat="0" applyFill="0" applyAlignment="0" applyProtection="0"/>
    <xf numFmtId="0" fontId="34" fillId="20" borderId="240" applyNumberFormat="0" applyAlignment="0" applyProtection="0"/>
    <xf numFmtId="0" fontId="31" fillId="7" borderId="238" applyNumberFormat="0" applyAlignment="0" applyProtection="0"/>
    <xf numFmtId="0" fontId="24" fillId="20" borderId="238" applyNumberFormat="0" applyAlignment="0" applyProtection="0"/>
    <xf numFmtId="0" fontId="34" fillId="20" borderId="240" applyNumberFormat="0" applyAlignment="0" applyProtection="0"/>
    <xf numFmtId="0" fontId="35" fillId="0" borderId="241" applyNumberFormat="0" applyFill="0" applyAlignment="0" applyProtection="0"/>
    <xf numFmtId="0" fontId="35" fillId="0" borderId="241" applyNumberFormat="0" applyFill="0" applyAlignment="0" applyProtection="0"/>
    <xf numFmtId="0" fontId="31" fillId="7" borderId="238" applyNumberFormat="0" applyAlignment="0" applyProtection="0"/>
    <xf numFmtId="0" fontId="31" fillId="7" borderId="238" applyNumberFormat="0" applyAlignment="0" applyProtection="0"/>
    <xf numFmtId="0" fontId="35" fillId="0" borderId="241" applyNumberFormat="0" applyFill="0" applyAlignment="0" applyProtection="0"/>
    <xf numFmtId="0" fontId="24" fillId="20" borderId="238" applyNumberFormat="0" applyAlignment="0" applyProtection="0"/>
    <xf numFmtId="0" fontId="35" fillId="0" borderId="241" applyNumberFormat="0" applyFill="0" applyAlignment="0" applyProtection="0"/>
    <xf numFmtId="0" fontId="34" fillId="20" borderId="240" applyNumberFormat="0" applyAlignment="0" applyProtection="0"/>
    <xf numFmtId="0" fontId="3" fillId="23" borderId="239" applyNumberFormat="0" applyFont="0" applyAlignment="0" applyProtection="0"/>
    <xf numFmtId="0" fontId="31" fillId="7" borderId="238" applyNumberFormat="0" applyAlignment="0" applyProtection="0"/>
    <xf numFmtId="0" fontId="24" fillId="20" borderId="238" applyNumberFormat="0" applyAlignment="0" applyProtection="0"/>
    <xf numFmtId="0" fontId="24" fillId="20" borderId="242" applyNumberFormat="0" applyAlignment="0" applyProtection="0"/>
    <xf numFmtId="0" fontId="31" fillId="7" borderId="242" applyNumberFormat="0" applyAlignment="0" applyProtection="0"/>
    <xf numFmtId="0" fontId="3" fillId="23" borderId="243" applyNumberFormat="0" applyFont="0" applyAlignment="0" applyProtection="0"/>
    <xf numFmtId="0" fontId="34" fillId="20" borderId="244" applyNumberFormat="0" applyAlignment="0" applyProtection="0"/>
    <xf numFmtId="0" fontId="35" fillId="0" borderId="245" applyNumberFormat="0" applyFill="0" applyAlignment="0" applyProtection="0"/>
    <xf numFmtId="0" fontId="3" fillId="23" borderId="243" applyNumberFormat="0" applyFont="0" applyAlignment="0" applyProtection="0"/>
    <xf numFmtId="0" fontId="35" fillId="0" borderId="245" applyNumberFormat="0" applyFill="0" applyAlignment="0" applyProtection="0"/>
    <xf numFmtId="0" fontId="34" fillId="20" borderId="244" applyNumberFormat="0" applyAlignment="0" applyProtection="0"/>
    <xf numFmtId="0" fontId="3" fillId="23" borderId="243" applyNumberFormat="0" applyFont="0" applyAlignment="0" applyProtection="0"/>
    <xf numFmtId="0" fontId="31" fillId="7" borderId="242" applyNumberFormat="0" applyAlignment="0" applyProtection="0"/>
    <xf numFmtId="0" fontId="24" fillId="20" borderId="242" applyNumberFormat="0" applyAlignment="0" applyProtection="0"/>
    <xf numFmtId="0" fontId="3" fillId="23" borderId="243" applyNumberFormat="0" applyFont="0" applyAlignment="0" applyProtection="0"/>
    <xf numFmtId="0" fontId="3" fillId="23" borderId="243" applyNumberFormat="0" applyFont="0" applyAlignment="0" applyProtection="0"/>
    <xf numFmtId="0" fontId="3" fillId="23" borderId="243" applyNumberFormat="0" applyFont="0" applyAlignment="0" applyProtection="0"/>
    <xf numFmtId="0" fontId="31" fillId="7" borderId="242" applyNumberFormat="0" applyAlignment="0" applyProtection="0"/>
    <xf numFmtId="0" fontId="35" fillId="0" borderId="245" applyNumberFormat="0" applyFill="0" applyAlignment="0" applyProtection="0"/>
    <xf numFmtId="0" fontId="31" fillId="7" borderId="242" applyNumberFormat="0" applyAlignment="0" applyProtection="0"/>
    <xf numFmtId="0" fontId="34" fillId="20" borderId="244" applyNumberFormat="0" applyAlignment="0" applyProtection="0"/>
    <xf numFmtId="0" fontId="3" fillId="23" borderId="243" applyNumberFormat="0" applyFont="0" applyAlignment="0" applyProtection="0"/>
    <xf numFmtId="0" fontId="24" fillId="20" borderId="242" applyNumberFormat="0" applyAlignment="0" applyProtection="0"/>
    <xf numFmtId="0" fontId="3" fillId="23" borderId="243" applyNumberFormat="0" applyFont="0" applyAlignment="0" applyProtection="0"/>
    <xf numFmtId="0" fontId="3" fillId="23" borderId="243" applyNumberFormat="0" applyFont="0" applyAlignment="0" applyProtection="0"/>
    <xf numFmtId="0" fontId="3" fillId="23" borderId="243" applyNumberFormat="0" applyFont="0" applyAlignment="0" applyProtection="0"/>
    <xf numFmtId="0" fontId="34" fillId="20" borderId="244" applyNumberFormat="0" applyAlignment="0" applyProtection="0"/>
    <xf numFmtId="0" fontId="3" fillId="23" borderId="243" applyNumberFormat="0" applyFont="0" applyAlignment="0" applyProtection="0"/>
    <xf numFmtId="0" fontId="3" fillId="23" borderId="243" applyNumberFormat="0" applyFont="0" applyAlignment="0" applyProtection="0"/>
    <xf numFmtId="0" fontId="24" fillId="20" borderId="242" applyNumberFormat="0" applyAlignment="0" applyProtection="0"/>
    <xf numFmtId="0" fontId="34" fillId="20" borderId="244" applyNumberFormat="0" applyAlignment="0" applyProtection="0"/>
    <xf numFmtId="0" fontId="3" fillId="23" borderId="243" applyNumberFormat="0" applyFont="0" applyAlignment="0" applyProtection="0"/>
    <xf numFmtId="0" fontId="3" fillId="23" borderId="243" applyNumberFormat="0" applyFont="0" applyAlignment="0" applyProtection="0"/>
    <xf numFmtId="0" fontId="24" fillId="20" borderId="242" applyNumberFormat="0" applyAlignment="0" applyProtection="0"/>
    <xf numFmtId="0" fontId="3" fillId="23" borderId="243" applyNumberFormat="0" applyFont="0" applyAlignment="0" applyProtection="0"/>
    <xf numFmtId="0" fontId="35" fillId="0" borderId="245" applyNumberFormat="0" applyFill="0" applyAlignment="0" applyProtection="0"/>
    <xf numFmtId="0" fontId="34" fillId="20" borderId="244" applyNumberFormat="0" applyAlignment="0" applyProtection="0"/>
    <xf numFmtId="0" fontId="31" fillId="7" borderId="242" applyNumberFormat="0" applyAlignment="0" applyProtection="0"/>
    <xf numFmtId="0" fontId="24" fillId="20" borderId="242" applyNumberFormat="0" applyAlignment="0" applyProtection="0"/>
    <xf numFmtId="0" fontId="34" fillId="20" borderId="244" applyNumberFormat="0" applyAlignment="0" applyProtection="0"/>
    <xf numFmtId="0" fontId="35" fillId="0" borderId="245" applyNumberFormat="0" applyFill="0" applyAlignment="0" applyProtection="0"/>
    <xf numFmtId="0" fontId="35" fillId="0" borderId="245" applyNumberFormat="0" applyFill="0" applyAlignment="0" applyProtection="0"/>
    <xf numFmtId="0" fontId="31" fillId="7" borderId="242" applyNumberFormat="0" applyAlignment="0" applyProtection="0"/>
    <xf numFmtId="0" fontId="31" fillId="7" borderId="242" applyNumberFormat="0" applyAlignment="0" applyProtection="0"/>
    <xf numFmtId="0" fontId="35" fillId="0" borderId="245" applyNumberFormat="0" applyFill="0" applyAlignment="0" applyProtection="0"/>
    <xf numFmtId="0" fontId="24" fillId="20" borderId="242" applyNumberFormat="0" applyAlignment="0" applyProtection="0"/>
    <xf numFmtId="0" fontId="35" fillId="0" borderId="245" applyNumberFormat="0" applyFill="0" applyAlignment="0" applyProtection="0"/>
    <xf numFmtId="0" fontId="34" fillId="20" borderId="244" applyNumberFormat="0" applyAlignment="0" applyProtection="0"/>
    <xf numFmtId="0" fontId="3" fillId="23" borderId="243" applyNumberFormat="0" applyFont="0" applyAlignment="0" applyProtection="0"/>
    <xf numFmtId="0" fontId="31" fillId="7" borderId="242" applyNumberFormat="0" applyAlignment="0" applyProtection="0"/>
    <xf numFmtId="0" fontId="24" fillId="20" borderId="242" applyNumberFormat="0" applyAlignment="0" applyProtection="0"/>
    <xf numFmtId="0" fontId="24" fillId="20" borderId="242" applyNumberFormat="0" applyAlignment="0" applyProtection="0"/>
    <xf numFmtId="0" fontId="31" fillId="7" borderId="242" applyNumberFormat="0" applyAlignment="0" applyProtection="0"/>
    <xf numFmtId="0" fontId="3" fillId="23" borderId="243" applyNumberFormat="0" applyFont="0" applyAlignment="0" applyProtection="0"/>
    <xf numFmtId="0" fontId="34" fillId="20" borderId="244" applyNumberFormat="0" applyAlignment="0" applyProtection="0"/>
    <xf numFmtId="0" fontId="35" fillId="0" borderId="245" applyNumberFormat="0" applyFill="0" applyAlignment="0" applyProtection="0"/>
    <xf numFmtId="0" fontId="3" fillId="23" borderId="243" applyNumberFormat="0" applyFont="0" applyAlignment="0" applyProtection="0"/>
    <xf numFmtId="0" fontId="35" fillId="0" borderId="245" applyNumberFormat="0" applyFill="0" applyAlignment="0" applyProtection="0"/>
    <xf numFmtId="0" fontId="34" fillId="20" borderId="244" applyNumberFormat="0" applyAlignment="0" applyProtection="0"/>
    <xf numFmtId="0" fontId="3" fillId="23" borderId="243" applyNumberFormat="0" applyFont="0" applyAlignment="0" applyProtection="0"/>
    <xf numFmtId="0" fontId="31" fillId="7" borderId="242" applyNumberFormat="0" applyAlignment="0" applyProtection="0"/>
    <xf numFmtId="0" fontId="24" fillId="20" borderId="242" applyNumberFormat="0" applyAlignment="0" applyProtection="0"/>
    <xf numFmtId="0" fontId="3" fillId="23" borderId="243" applyNumberFormat="0" applyFont="0" applyAlignment="0" applyProtection="0"/>
    <xf numFmtId="0" fontId="3" fillId="23" borderId="243" applyNumberFormat="0" applyFont="0" applyAlignment="0" applyProtection="0"/>
    <xf numFmtId="0" fontId="3" fillId="23" borderId="243" applyNumberFormat="0" applyFont="0" applyAlignment="0" applyProtection="0"/>
    <xf numFmtId="0" fontId="31" fillId="7" borderId="242" applyNumberFormat="0" applyAlignment="0" applyProtection="0"/>
    <xf numFmtId="0" fontId="35" fillId="0" borderId="245" applyNumberFormat="0" applyFill="0" applyAlignment="0" applyProtection="0"/>
    <xf numFmtId="0" fontId="31" fillId="7" borderId="242" applyNumberFormat="0" applyAlignment="0" applyProtection="0"/>
    <xf numFmtId="0" fontId="34" fillId="20" borderId="244" applyNumberFormat="0" applyAlignment="0" applyProtection="0"/>
    <xf numFmtId="0" fontId="3" fillId="23" borderId="243" applyNumberFormat="0" applyFont="0" applyAlignment="0" applyProtection="0"/>
    <xf numFmtId="0" fontId="24" fillId="20" borderId="242" applyNumberFormat="0" applyAlignment="0" applyProtection="0"/>
    <xf numFmtId="0" fontId="3" fillId="23" borderId="243" applyNumberFormat="0" applyFont="0" applyAlignment="0" applyProtection="0"/>
    <xf numFmtId="0" fontId="3" fillId="23" borderId="243" applyNumberFormat="0" applyFont="0" applyAlignment="0" applyProtection="0"/>
    <xf numFmtId="0" fontId="3" fillId="23" borderId="243" applyNumberFormat="0" applyFont="0" applyAlignment="0" applyProtection="0"/>
    <xf numFmtId="0" fontId="34" fillId="20" borderId="244" applyNumberFormat="0" applyAlignment="0" applyProtection="0"/>
    <xf numFmtId="0" fontId="3" fillId="23" borderId="243" applyNumberFormat="0" applyFont="0" applyAlignment="0" applyProtection="0"/>
    <xf numFmtId="0" fontId="3" fillId="23" borderId="243" applyNumberFormat="0" applyFont="0" applyAlignment="0" applyProtection="0"/>
    <xf numFmtId="0" fontId="24" fillId="20" borderId="242" applyNumberFormat="0" applyAlignment="0" applyProtection="0"/>
    <xf numFmtId="0" fontId="34" fillId="20" borderId="244" applyNumberFormat="0" applyAlignment="0" applyProtection="0"/>
    <xf numFmtId="0" fontId="3" fillId="23" borderId="243" applyNumberFormat="0" applyFont="0" applyAlignment="0" applyProtection="0"/>
    <xf numFmtId="0" fontId="3" fillId="23" borderId="243" applyNumberFormat="0" applyFont="0" applyAlignment="0" applyProtection="0"/>
    <xf numFmtId="0" fontId="24" fillId="20" borderId="242" applyNumberFormat="0" applyAlignment="0" applyProtection="0"/>
    <xf numFmtId="0" fontId="3" fillId="23" borderId="243" applyNumberFormat="0" applyFont="0" applyAlignment="0" applyProtection="0"/>
    <xf numFmtId="0" fontId="35" fillId="0" borderId="245" applyNumberFormat="0" applyFill="0" applyAlignment="0" applyProtection="0"/>
    <xf numFmtId="0" fontId="34" fillId="20" borderId="244" applyNumberFormat="0" applyAlignment="0" applyProtection="0"/>
    <xf numFmtId="0" fontId="31" fillId="7" borderId="242" applyNumberFormat="0" applyAlignment="0" applyProtection="0"/>
    <xf numFmtId="0" fontId="24" fillId="20" borderId="242" applyNumberFormat="0" applyAlignment="0" applyProtection="0"/>
    <xf numFmtId="0" fontId="34" fillId="20" borderId="244" applyNumberFormat="0" applyAlignment="0" applyProtection="0"/>
    <xf numFmtId="0" fontId="35" fillId="0" borderId="245" applyNumberFormat="0" applyFill="0" applyAlignment="0" applyProtection="0"/>
    <xf numFmtId="0" fontId="35" fillId="0" borderId="245" applyNumberFormat="0" applyFill="0" applyAlignment="0" applyProtection="0"/>
    <xf numFmtId="0" fontId="31" fillId="7" borderId="242" applyNumberFormat="0" applyAlignment="0" applyProtection="0"/>
    <xf numFmtId="0" fontId="31" fillId="7" borderId="242" applyNumberFormat="0" applyAlignment="0" applyProtection="0"/>
    <xf numFmtId="0" fontId="35" fillId="0" borderId="245" applyNumberFormat="0" applyFill="0" applyAlignment="0" applyProtection="0"/>
    <xf numFmtId="0" fontId="24" fillId="20" borderId="242" applyNumberFormat="0" applyAlignment="0" applyProtection="0"/>
    <xf numFmtId="0" fontId="35" fillId="0" borderId="245" applyNumberFormat="0" applyFill="0" applyAlignment="0" applyProtection="0"/>
    <xf numFmtId="0" fontId="34" fillId="20" borderId="244" applyNumberFormat="0" applyAlignment="0" applyProtection="0"/>
    <xf numFmtId="0" fontId="3" fillId="23" borderId="243" applyNumberFormat="0" applyFont="0" applyAlignment="0" applyProtection="0"/>
    <xf numFmtId="0" fontId="31" fillId="7" borderId="242" applyNumberFormat="0" applyAlignment="0" applyProtection="0"/>
    <xf numFmtId="0" fontId="24" fillId="20" borderId="242" applyNumberFormat="0" applyAlignment="0" applyProtection="0"/>
    <xf numFmtId="0" fontId="3" fillId="23" borderId="243" applyNumberFormat="0" applyFont="0" applyAlignment="0" applyProtection="0"/>
    <xf numFmtId="0" fontId="35" fillId="0" borderId="245" applyNumberFormat="0" applyFill="0" applyAlignment="0" applyProtection="0"/>
    <xf numFmtId="0" fontId="34" fillId="20" borderId="244" applyNumberFormat="0" applyAlignment="0" applyProtection="0"/>
    <xf numFmtId="0" fontId="3" fillId="23" borderId="243" applyNumberFormat="0" applyFont="0" applyAlignment="0" applyProtection="0"/>
    <xf numFmtId="0" fontId="31" fillId="7" borderId="242" applyNumberFormat="0" applyAlignment="0" applyProtection="0"/>
    <xf numFmtId="0" fontId="24" fillId="20" borderId="242" applyNumberFormat="0" applyAlignment="0" applyProtection="0"/>
    <xf numFmtId="0" fontId="24" fillId="20" borderId="242" applyNumberFormat="0" applyAlignment="0" applyProtection="0"/>
    <xf numFmtId="0" fontId="31" fillId="7" borderId="242" applyNumberFormat="0" applyAlignment="0" applyProtection="0"/>
    <xf numFmtId="0" fontId="3" fillId="23" borderId="243" applyNumberFormat="0" applyFont="0" applyAlignment="0" applyProtection="0"/>
    <xf numFmtId="0" fontId="34" fillId="20" borderId="244" applyNumberFormat="0" applyAlignment="0" applyProtection="0"/>
    <xf numFmtId="0" fontId="35" fillId="0" borderId="245" applyNumberFormat="0" applyFill="0" applyAlignment="0" applyProtection="0"/>
    <xf numFmtId="0" fontId="3" fillId="23" borderId="243" applyNumberFormat="0" applyFont="0" applyAlignment="0" applyProtection="0"/>
    <xf numFmtId="0" fontId="35" fillId="0" borderId="245" applyNumberFormat="0" applyFill="0" applyAlignment="0" applyProtection="0"/>
    <xf numFmtId="0" fontId="34" fillId="20" borderId="244" applyNumberFormat="0" applyAlignment="0" applyProtection="0"/>
    <xf numFmtId="0" fontId="3" fillId="23" borderId="243" applyNumberFormat="0" applyFont="0" applyAlignment="0" applyProtection="0"/>
    <xf numFmtId="0" fontId="31" fillId="7" borderId="242" applyNumberFormat="0" applyAlignment="0" applyProtection="0"/>
    <xf numFmtId="0" fontId="24" fillId="20" borderId="242" applyNumberFormat="0" applyAlignment="0" applyProtection="0"/>
    <xf numFmtId="0" fontId="3" fillId="23" borderId="243" applyNumberFormat="0" applyFont="0" applyAlignment="0" applyProtection="0"/>
    <xf numFmtId="0" fontId="3" fillId="23" borderId="243" applyNumberFormat="0" applyFont="0" applyAlignment="0" applyProtection="0"/>
    <xf numFmtId="0" fontId="3" fillId="23" borderId="243" applyNumberFormat="0" applyFont="0" applyAlignment="0" applyProtection="0"/>
    <xf numFmtId="0" fontId="31" fillId="7" borderId="242" applyNumberFormat="0" applyAlignment="0" applyProtection="0"/>
    <xf numFmtId="0" fontId="35" fillId="0" borderId="245" applyNumberFormat="0" applyFill="0" applyAlignment="0" applyProtection="0"/>
    <xf numFmtId="0" fontId="31" fillId="7" borderId="242" applyNumberFormat="0" applyAlignment="0" applyProtection="0"/>
    <xf numFmtId="0" fontId="34" fillId="20" borderId="244" applyNumberFormat="0" applyAlignment="0" applyProtection="0"/>
    <xf numFmtId="0" fontId="3" fillId="23" borderId="243" applyNumberFormat="0" applyFont="0" applyAlignment="0" applyProtection="0"/>
    <xf numFmtId="0" fontId="24" fillId="20" borderId="242" applyNumberFormat="0" applyAlignment="0" applyProtection="0"/>
    <xf numFmtId="0" fontId="3" fillId="23" borderId="243" applyNumberFormat="0" applyFont="0" applyAlignment="0" applyProtection="0"/>
    <xf numFmtId="0" fontId="3" fillId="23" borderId="243" applyNumberFormat="0" applyFont="0" applyAlignment="0" applyProtection="0"/>
    <xf numFmtId="0" fontId="3" fillId="23" borderId="243" applyNumberFormat="0" applyFont="0" applyAlignment="0" applyProtection="0"/>
    <xf numFmtId="0" fontId="34" fillId="20" borderId="244" applyNumberFormat="0" applyAlignment="0" applyProtection="0"/>
    <xf numFmtId="0" fontId="3" fillId="23" borderId="243" applyNumberFormat="0" applyFont="0" applyAlignment="0" applyProtection="0"/>
    <xf numFmtId="0" fontId="3" fillId="23" borderId="243" applyNumberFormat="0" applyFont="0" applyAlignment="0" applyProtection="0"/>
    <xf numFmtId="0" fontId="24" fillId="20" borderId="242" applyNumberFormat="0" applyAlignment="0" applyProtection="0"/>
    <xf numFmtId="0" fontId="34" fillId="20" borderId="244" applyNumberFormat="0" applyAlignment="0" applyProtection="0"/>
    <xf numFmtId="0" fontId="3" fillId="23" borderId="243" applyNumberFormat="0" applyFont="0" applyAlignment="0" applyProtection="0"/>
    <xf numFmtId="0" fontId="3" fillId="23" borderId="243" applyNumberFormat="0" applyFont="0" applyAlignment="0" applyProtection="0"/>
    <xf numFmtId="0" fontId="24" fillId="20" borderId="242" applyNumberFormat="0" applyAlignment="0" applyProtection="0"/>
    <xf numFmtId="0" fontId="3" fillId="23" borderId="243" applyNumberFormat="0" applyFont="0" applyAlignment="0" applyProtection="0"/>
    <xf numFmtId="0" fontId="35" fillId="0" borderId="245" applyNumberFormat="0" applyFill="0" applyAlignment="0" applyProtection="0"/>
    <xf numFmtId="0" fontId="34" fillId="20" borderId="244" applyNumberFormat="0" applyAlignment="0" applyProtection="0"/>
    <xf numFmtId="0" fontId="31" fillId="7" borderId="242" applyNumberFormat="0" applyAlignment="0" applyProtection="0"/>
    <xf numFmtId="0" fontId="24" fillId="20" borderId="242" applyNumberFormat="0" applyAlignment="0" applyProtection="0"/>
    <xf numFmtId="0" fontId="34" fillId="20" borderId="244" applyNumberFormat="0" applyAlignment="0" applyProtection="0"/>
    <xf numFmtId="0" fontId="35" fillId="0" borderId="245" applyNumberFormat="0" applyFill="0" applyAlignment="0" applyProtection="0"/>
    <xf numFmtId="0" fontId="35" fillId="0" borderId="245" applyNumberFormat="0" applyFill="0" applyAlignment="0" applyProtection="0"/>
    <xf numFmtId="0" fontId="31" fillId="7" borderId="242" applyNumberFormat="0" applyAlignment="0" applyProtection="0"/>
    <xf numFmtId="0" fontId="31" fillId="7" borderId="242" applyNumberFormat="0" applyAlignment="0" applyProtection="0"/>
    <xf numFmtId="0" fontId="35" fillId="0" borderId="245" applyNumberFormat="0" applyFill="0" applyAlignment="0" applyProtection="0"/>
    <xf numFmtId="0" fontId="24" fillId="20" borderId="242" applyNumberFormat="0" applyAlignment="0" applyProtection="0"/>
    <xf numFmtId="0" fontId="35" fillId="0" borderId="245" applyNumberFormat="0" applyFill="0" applyAlignment="0" applyProtection="0"/>
    <xf numFmtId="0" fontId="34" fillId="20" borderId="244" applyNumberFormat="0" applyAlignment="0" applyProtection="0"/>
    <xf numFmtId="0" fontId="3" fillId="23" borderId="243" applyNumberFormat="0" applyFont="0" applyAlignment="0" applyProtection="0"/>
    <xf numFmtId="0" fontId="31" fillId="7" borderId="242" applyNumberFormat="0" applyAlignment="0" applyProtection="0"/>
    <xf numFmtId="0" fontId="24" fillId="20" borderId="242" applyNumberFormat="0" applyAlignment="0" applyProtection="0"/>
    <xf numFmtId="0" fontId="3" fillId="23" borderId="243" applyNumberFormat="0" applyFont="0" applyAlignment="0" applyProtection="0"/>
    <xf numFmtId="0" fontId="35" fillId="0" borderId="245" applyNumberFormat="0" applyFill="0" applyAlignment="0" applyProtection="0"/>
    <xf numFmtId="0" fontId="34" fillId="20" borderId="244" applyNumberFormat="0" applyAlignment="0" applyProtection="0"/>
    <xf numFmtId="0" fontId="3" fillId="23" borderId="243" applyNumberFormat="0" applyFont="0" applyAlignment="0" applyProtection="0"/>
    <xf numFmtId="0" fontId="31" fillId="7" borderId="242" applyNumberFormat="0" applyAlignment="0" applyProtection="0"/>
    <xf numFmtId="0" fontId="24" fillId="20" borderId="242" applyNumberFormat="0" applyAlignment="0" applyProtection="0"/>
    <xf numFmtId="0" fontId="24" fillId="20" borderId="242" applyNumberFormat="0" applyAlignment="0" applyProtection="0"/>
    <xf numFmtId="0" fontId="31" fillId="7" borderId="242" applyNumberFormat="0" applyAlignment="0" applyProtection="0"/>
    <xf numFmtId="0" fontId="3" fillId="23" borderId="243" applyNumberFormat="0" applyFont="0" applyAlignment="0" applyProtection="0"/>
    <xf numFmtId="0" fontId="34" fillId="20" borderId="244" applyNumberFormat="0" applyAlignment="0" applyProtection="0"/>
    <xf numFmtId="0" fontId="35" fillId="0" borderId="245" applyNumberFormat="0" applyFill="0" applyAlignment="0" applyProtection="0"/>
    <xf numFmtId="0" fontId="3" fillId="23" borderId="243" applyNumberFormat="0" applyFont="0" applyAlignment="0" applyProtection="0"/>
    <xf numFmtId="0" fontId="35" fillId="0" borderId="245" applyNumberFormat="0" applyFill="0" applyAlignment="0" applyProtection="0"/>
    <xf numFmtId="0" fontId="34" fillId="20" borderId="244" applyNumberFormat="0" applyAlignment="0" applyProtection="0"/>
    <xf numFmtId="0" fontId="3" fillId="23" borderId="243" applyNumberFormat="0" applyFont="0" applyAlignment="0" applyProtection="0"/>
    <xf numFmtId="0" fontId="31" fillId="7" borderId="242" applyNumberFormat="0" applyAlignment="0" applyProtection="0"/>
    <xf numFmtId="0" fontId="24" fillId="20" borderId="242" applyNumberFormat="0" applyAlignment="0" applyProtection="0"/>
    <xf numFmtId="0" fontId="3" fillId="23" borderId="243" applyNumberFormat="0" applyFont="0" applyAlignment="0" applyProtection="0"/>
    <xf numFmtId="0" fontId="3" fillId="23" borderId="243" applyNumberFormat="0" applyFont="0" applyAlignment="0" applyProtection="0"/>
    <xf numFmtId="0" fontId="3" fillId="23" borderId="243" applyNumberFormat="0" applyFont="0" applyAlignment="0" applyProtection="0"/>
    <xf numFmtId="0" fontId="31" fillId="7" borderId="242" applyNumberFormat="0" applyAlignment="0" applyProtection="0"/>
    <xf numFmtId="0" fontId="35" fillId="0" borderId="245" applyNumberFormat="0" applyFill="0" applyAlignment="0" applyProtection="0"/>
    <xf numFmtId="0" fontId="31" fillId="7" borderId="242" applyNumberFormat="0" applyAlignment="0" applyProtection="0"/>
    <xf numFmtId="0" fontId="34" fillId="20" borderId="244" applyNumberFormat="0" applyAlignment="0" applyProtection="0"/>
    <xf numFmtId="0" fontId="3" fillId="23" borderId="243" applyNumberFormat="0" applyFont="0" applyAlignment="0" applyProtection="0"/>
    <xf numFmtId="0" fontId="24" fillId="20" borderId="242" applyNumberFormat="0" applyAlignment="0" applyProtection="0"/>
    <xf numFmtId="0" fontId="3" fillId="23" borderId="243" applyNumberFormat="0" applyFont="0" applyAlignment="0" applyProtection="0"/>
    <xf numFmtId="0" fontId="3" fillId="23" borderId="243" applyNumberFormat="0" applyFont="0" applyAlignment="0" applyProtection="0"/>
    <xf numFmtId="0" fontId="3" fillId="23" borderId="243" applyNumberFormat="0" applyFont="0" applyAlignment="0" applyProtection="0"/>
    <xf numFmtId="0" fontId="34" fillId="20" borderId="244" applyNumberFormat="0" applyAlignment="0" applyProtection="0"/>
    <xf numFmtId="0" fontId="3" fillId="23" borderId="243" applyNumberFormat="0" applyFont="0" applyAlignment="0" applyProtection="0"/>
    <xf numFmtId="0" fontId="3" fillId="23" borderId="243" applyNumberFormat="0" applyFont="0" applyAlignment="0" applyProtection="0"/>
    <xf numFmtId="0" fontId="24" fillId="20" borderId="242" applyNumberFormat="0" applyAlignment="0" applyProtection="0"/>
    <xf numFmtId="0" fontId="34" fillId="20" borderId="244" applyNumberFormat="0" applyAlignment="0" applyProtection="0"/>
    <xf numFmtId="0" fontId="3" fillId="23" borderId="243" applyNumberFormat="0" applyFont="0" applyAlignment="0" applyProtection="0"/>
    <xf numFmtId="0" fontId="3" fillId="23" borderId="243" applyNumberFormat="0" applyFont="0" applyAlignment="0" applyProtection="0"/>
    <xf numFmtId="0" fontId="24" fillId="20" borderId="242" applyNumberFormat="0" applyAlignment="0" applyProtection="0"/>
    <xf numFmtId="0" fontId="3" fillId="23" borderId="243" applyNumberFormat="0" applyFont="0" applyAlignment="0" applyProtection="0"/>
    <xf numFmtId="0" fontId="35" fillId="0" borderId="245" applyNumberFormat="0" applyFill="0" applyAlignment="0" applyProtection="0"/>
    <xf numFmtId="0" fontId="34" fillId="20" borderId="244" applyNumberFormat="0" applyAlignment="0" applyProtection="0"/>
    <xf numFmtId="0" fontId="31" fillId="7" borderId="242" applyNumberFormat="0" applyAlignment="0" applyProtection="0"/>
    <xf numFmtId="0" fontId="24" fillId="20" borderId="242" applyNumberFormat="0" applyAlignment="0" applyProtection="0"/>
    <xf numFmtId="0" fontId="34" fillId="20" borderId="244" applyNumberFormat="0" applyAlignment="0" applyProtection="0"/>
    <xf numFmtId="0" fontId="35" fillId="0" borderId="245" applyNumberFormat="0" applyFill="0" applyAlignment="0" applyProtection="0"/>
    <xf numFmtId="0" fontId="35" fillId="0" borderId="245" applyNumberFormat="0" applyFill="0" applyAlignment="0" applyProtection="0"/>
    <xf numFmtId="0" fontId="31" fillId="7" borderId="242" applyNumberFormat="0" applyAlignment="0" applyProtection="0"/>
    <xf numFmtId="0" fontId="31" fillId="7" borderId="242" applyNumberFormat="0" applyAlignment="0" applyProtection="0"/>
    <xf numFmtId="0" fontId="35" fillId="0" borderId="245" applyNumberFormat="0" applyFill="0" applyAlignment="0" applyProtection="0"/>
    <xf numFmtId="0" fontId="24" fillId="20" borderId="242" applyNumberFormat="0" applyAlignment="0" applyProtection="0"/>
    <xf numFmtId="0" fontId="35" fillId="0" borderId="245" applyNumberFormat="0" applyFill="0" applyAlignment="0" applyProtection="0"/>
    <xf numFmtId="0" fontId="34" fillId="20" borderId="244" applyNumberFormat="0" applyAlignment="0" applyProtection="0"/>
    <xf numFmtId="0" fontId="3" fillId="23" borderId="243" applyNumberFormat="0" applyFont="0" applyAlignment="0" applyProtection="0"/>
    <xf numFmtId="0" fontId="31" fillId="7" borderId="242" applyNumberFormat="0" applyAlignment="0" applyProtection="0"/>
    <xf numFmtId="0" fontId="24" fillId="20" borderId="242" applyNumberFormat="0" applyAlignment="0" applyProtection="0"/>
    <xf numFmtId="0" fontId="24" fillId="20" borderId="242" applyNumberFormat="0" applyAlignment="0" applyProtection="0"/>
    <xf numFmtId="0" fontId="31" fillId="7" borderId="242" applyNumberFormat="0" applyAlignment="0" applyProtection="0"/>
    <xf numFmtId="0" fontId="3" fillId="23" borderId="243" applyNumberFormat="0" applyFont="0" applyAlignment="0" applyProtection="0"/>
    <xf numFmtId="0" fontId="34" fillId="20" borderId="244" applyNumberFormat="0" applyAlignment="0" applyProtection="0"/>
    <xf numFmtId="0" fontId="35" fillId="0" borderId="245" applyNumberFormat="0" applyFill="0" applyAlignment="0" applyProtection="0"/>
    <xf numFmtId="0" fontId="3" fillId="23" borderId="243" applyNumberFormat="0" applyFont="0" applyAlignment="0" applyProtection="0"/>
    <xf numFmtId="0" fontId="35" fillId="0" borderId="245" applyNumberFormat="0" applyFill="0" applyAlignment="0" applyProtection="0"/>
    <xf numFmtId="0" fontId="34" fillId="20" borderId="244" applyNumberFormat="0" applyAlignment="0" applyProtection="0"/>
    <xf numFmtId="0" fontId="3" fillId="23" borderId="243" applyNumberFormat="0" applyFont="0" applyAlignment="0" applyProtection="0"/>
    <xf numFmtId="0" fontId="31" fillId="7" borderId="242" applyNumberFormat="0" applyAlignment="0" applyProtection="0"/>
    <xf numFmtId="0" fontId="24" fillId="20" borderId="242" applyNumberFormat="0" applyAlignment="0" applyProtection="0"/>
    <xf numFmtId="0" fontId="3" fillId="23" borderId="243" applyNumberFormat="0" applyFont="0" applyAlignment="0" applyProtection="0"/>
    <xf numFmtId="0" fontId="3" fillId="23" borderId="243" applyNumberFormat="0" applyFont="0" applyAlignment="0" applyProtection="0"/>
    <xf numFmtId="0" fontId="3" fillId="23" borderId="243" applyNumberFormat="0" applyFont="0" applyAlignment="0" applyProtection="0"/>
    <xf numFmtId="0" fontId="31" fillId="7" borderId="242" applyNumberFormat="0" applyAlignment="0" applyProtection="0"/>
    <xf numFmtId="0" fontId="35" fillId="0" borderId="245" applyNumberFormat="0" applyFill="0" applyAlignment="0" applyProtection="0"/>
    <xf numFmtId="0" fontId="31" fillId="7" borderId="242" applyNumberFormat="0" applyAlignment="0" applyProtection="0"/>
    <xf numFmtId="0" fontId="34" fillId="20" borderId="244" applyNumberFormat="0" applyAlignment="0" applyProtection="0"/>
    <xf numFmtId="0" fontId="3" fillId="23" borderId="243" applyNumberFormat="0" applyFont="0" applyAlignment="0" applyProtection="0"/>
    <xf numFmtId="0" fontId="24" fillId="20" borderId="242" applyNumberFormat="0" applyAlignment="0" applyProtection="0"/>
    <xf numFmtId="0" fontId="3" fillId="23" borderId="243" applyNumberFormat="0" applyFont="0" applyAlignment="0" applyProtection="0"/>
    <xf numFmtId="0" fontId="3" fillId="23" borderId="243" applyNumberFormat="0" applyFont="0" applyAlignment="0" applyProtection="0"/>
    <xf numFmtId="0" fontId="3" fillId="23" borderId="243" applyNumberFormat="0" applyFont="0" applyAlignment="0" applyProtection="0"/>
    <xf numFmtId="0" fontId="34" fillId="20" borderId="244" applyNumberFormat="0" applyAlignment="0" applyProtection="0"/>
    <xf numFmtId="0" fontId="3" fillId="23" borderId="243" applyNumberFormat="0" applyFont="0" applyAlignment="0" applyProtection="0"/>
    <xf numFmtId="0" fontId="3" fillId="23" borderId="243" applyNumberFormat="0" applyFont="0" applyAlignment="0" applyProtection="0"/>
    <xf numFmtId="0" fontId="24" fillId="20" borderId="242" applyNumberFormat="0" applyAlignment="0" applyProtection="0"/>
    <xf numFmtId="0" fontId="34" fillId="20" borderId="244" applyNumberFormat="0" applyAlignment="0" applyProtection="0"/>
    <xf numFmtId="0" fontId="3" fillId="23" borderId="243" applyNumberFormat="0" applyFont="0" applyAlignment="0" applyProtection="0"/>
    <xf numFmtId="0" fontId="3" fillId="23" borderId="243" applyNumberFormat="0" applyFont="0" applyAlignment="0" applyProtection="0"/>
    <xf numFmtId="0" fontId="24" fillId="20" borderId="242" applyNumberFormat="0" applyAlignment="0" applyProtection="0"/>
    <xf numFmtId="0" fontId="3" fillId="23" borderId="243" applyNumberFormat="0" applyFont="0" applyAlignment="0" applyProtection="0"/>
    <xf numFmtId="0" fontId="35" fillId="0" borderId="245" applyNumberFormat="0" applyFill="0" applyAlignment="0" applyProtection="0"/>
    <xf numFmtId="0" fontId="34" fillId="20" borderId="244" applyNumberFormat="0" applyAlignment="0" applyProtection="0"/>
    <xf numFmtId="0" fontId="31" fillId="7" borderId="242" applyNumberFormat="0" applyAlignment="0" applyProtection="0"/>
    <xf numFmtId="0" fontId="24" fillId="20" borderId="242" applyNumberFormat="0" applyAlignment="0" applyProtection="0"/>
    <xf numFmtId="0" fontId="34" fillId="20" borderId="244" applyNumberFormat="0" applyAlignment="0" applyProtection="0"/>
    <xf numFmtId="0" fontId="35" fillId="0" borderId="245" applyNumberFormat="0" applyFill="0" applyAlignment="0" applyProtection="0"/>
    <xf numFmtId="0" fontId="35" fillId="0" borderId="245" applyNumberFormat="0" applyFill="0" applyAlignment="0" applyProtection="0"/>
    <xf numFmtId="0" fontId="31" fillId="7" borderId="242" applyNumberFormat="0" applyAlignment="0" applyProtection="0"/>
    <xf numFmtId="0" fontId="31" fillId="7" borderId="242" applyNumberFormat="0" applyAlignment="0" applyProtection="0"/>
    <xf numFmtId="0" fontId="35" fillId="0" borderId="245" applyNumberFormat="0" applyFill="0" applyAlignment="0" applyProtection="0"/>
    <xf numFmtId="0" fontId="24" fillId="20" borderId="242" applyNumberFormat="0" applyAlignment="0" applyProtection="0"/>
    <xf numFmtId="0" fontId="35" fillId="0" borderId="245" applyNumberFormat="0" applyFill="0" applyAlignment="0" applyProtection="0"/>
    <xf numFmtId="0" fontId="34" fillId="20" borderId="244" applyNumberFormat="0" applyAlignment="0" applyProtection="0"/>
    <xf numFmtId="0" fontId="3" fillId="23" borderId="243" applyNumberFormat="0" applyFont="0" applyAlignment="0" applyProtection="0"/>
    <xf numFmtId="0" fontId="31" fillId="7" borderId="242" applyNumberFormat="0" applyAlignment="0" applyProtection="0"/>
    <xf numFmtId="0" fontId="24" fillId="20" borderId="242" applyNumberFormat="0" applyAlignment="0" applyProtection="0"/>
    <xf numFmtId="0" fontId="24" fillId="20" borderId="246" applyNumberFormat="0" applyAlignment="0" applyProtection="0"/>
    <xf numFmtId="0" fontId="31" fillId="7" borderId="246" applyNumberFormat="0" applyAlignment="0" applyProtection="0"/>
    <xf numFmtId="0" fontId="3" fillId="23" borderId="247" applyNumberFormat="0" applyFont="0" applyAlignment="0" applyProtection="0"/>
    <xf numFmtId="0" fontId="34" fillId="20" borderId="248" applyNumberFormat="0" applyAlignment="0" applyProtection="0"/>
    <xf numFmtId="0" fontId="35" fillId="0" borderId="249" applyNumberFormat="0" applyFill="0" applyAlignment="0" applyProtection="0"/>
    <xf numFmtId="0" fontId="3" fillId="23" borderId="247" applyNumberFormat="0" applyFont="0" applyAlignment="0" applyProtection="0"/>
    <xf numFmtId="0" fontId="35" fillId="0" borderId="249" applyNumberFormat="0" applyFill="0" applyAlignment="0" applyProtection="0"/>
    <xf numFmtId="0" fontId="34" fillId="20" borderId="248" applyNumberFormat="0" applyAlignment="0" applyProtection="0"/>
    <xf numFmtId="0" fontId="3" fillId="23" borderId="247" applyNumberFormat="0" applyFont="0" applyAlignment="0" applyProtection="0"/>
    <xf numFmtId="0" fontId="31" fillId="7" borderId="246" applyNumberFormat="0" applyAlignment="0" applyProtection="0"/>
    <xf numFmtId="0" fontId="24" fillId="20" borderId="246" applyNumberFormat="0" applyAlignment="0" applyProtection="0"/>
    <xf numFmtId="0" fontId="3" fillId="23" borderId="247" applyNumberFormat="0" applyFont="0" applyAlignment="0" applyProtection="0"/>
    <xf numFmtId="0" fontId="3" fillId="23" borderId="247" applyNumberFormat="0" applyFont="0" applyAlignment="0" applyProtection="0"/>
    <xf numFmtId="0" fontId="3" fillId="23" borderId="247" applyNumberFormat="0" applyFont="0" applyAlignment="0" applyProtection="0"/>
    <xf numFmtId="0" fontId="31" fillId="7" borderId="246" applyNumberFormat="0" applyAlignment="0" applyProtection="0"/>
    <xf numFmtId="0" fontId="35" fillId="0" borderId="249" applyNumberFormat="0" applyFill="0" applyAlignment="0" applyProtection="0"/>
    <xf numFmtId="0" fontId="31" fillId="7" borderId="246" applyNumberFormat="0" applyAlignment="0" applyProtection="0"/>
    <xf numFmtId="0" fontId="34" fillId="20" borderId="248" applyNumberFormat="0" applyAlignment="0" applyProtection="0"/>
    <xf numFmtId="0" fontId="3" fillId="23" borderId="247" applyNumberFormat="0" applyFont="0" applyAlignment="0" applyProtection="0"/>
    <xf numFmtId="0" fontId="24" fillId="20" borderId="246" applyNumberFormat="0" applyAlignment="0" applyProtection="0"/>
    <xf numFmtId="0" fontId="3" fillId="23" borderId="247" applyNumberFormat="0" applyFont="0" applyAlignment="0" applyProtection="0"/>
    <xf numFmtId="0" fontId="3" fillId="23" borderId="247" applyNumberFormat="0" applyFont="0" applyAlignment="0" applyProtection="0"/>
    <xf numFmtId="0" fontId="3" fillId="23" borderId="247" applyNumberFormat="0" applyFont="0" applyAlignment="0" applyProtection="0"/>
    <xf numFmtId="0" fontId="34" fillId="20" borderId="248" applyNumberFormat="0" applyAlignment="0" applyProtection="0"/>
    <xf numFmtId="0" fontId="3" fillId="23" borderId="247" applyNumberFormat="0" applyFont="0" applyAlignment="0" applyProtection="0"/>
    <xf numFmtId="0" fontId="3" fillId="23" borderId="247" applyNumberFormat="0" applyFont="0" applyAlignment="0" applyProtection="0"/>
    <xf numFmtId="0" fontId="24" fillId="20" borderId="246" applyNumberFormat="0" applyAlignment="0" applyProtection="0"/>
    <xf numFmtId="0" fontId="34" fillId="20" borderId="248" applyNumberFormat="0" applyAlignment="0" applyProtection="0"/>
    <xf numFmtId="0" fontId="3" fillId="23" borderId="247" applyNumberFormat="0" applyFont="0" applyAlignment="0" applyProtection="0"/>
    <xf numFmtId="0" fontId="3" fillId="23" borderId="247" applyNumberFormat="0" applyFont="0" applyAlignment="0" applyProtection="0"/>
    <xf numFmtId="0" fontId="24" fillId="20" borderId="246" applyNumberFormat="0" applyAlignment="0" applyProtection="0"/>
    <xf numFmtId="0" fontId="3" fillId="23" borderId="247" applyNumberFormat="0" applyFont="0" applyAlignment="0" applyProtection="0"/>
    <xf numFmtId="0" fontId="35" fillId="0" borderId="249" applyNumberFormat="0" applyFill="0" applyAlignment="0" applyProtection="0"/>
    <xf numFmtId="0" fontId="34" fillId="20" borderId="248" applyNumberFormat="0" applyAlignment="0" applyProtection="0"/>
    <xf numFmtId="0" fontId="31" fillId="7" borderId="246" applyNumberFormat="0" applyAlignment="0" applyProtection="0"/>
    <xf numFmtId="0" fontId="24" fillId="20" borderId="246" applyNumberFormat="0" applyAlignment="0" applyProtection="0"/>
    <xf numFmtId="0" fontId="34" fillId="20" borderId="248" applyNumberFormat="0" applyAlignment="0" applyProtection="0"/>
    <xf numFmtId="0" fontId="35" fillId="0" borderId="249" applyNumberFormat="0" applyFill="0" applyAlignment="0" applyProtection="0"/>
    <xf numFmtId="0" fontId="35" fillId="0" borderId="249" applyNumberFormat="0" applyFill="0" applyAlignment="0" applyProtection="0"/>
    <xf numFmtId="0" fontId="31" fillId="7" borderId="246" applyNumberFormat="0" applyAlignment="0" applyProtection="0"/>
    <xf numFmtId="0" fontId="31" fillId="7" borderId="246" applyNumberFormat="0" applyAlignment="0" applyProtection="0"/>
    <xf numFmtId="0" fontId="35" fillId="0" borderId="249" applyNumberFormat="0" applyFill="0" applyAlignment="0" applyProtection="0"/>
    <xf numFmtId="0" fontId="24" fillId="20" borderId="246" applyNumberFormat="0" applyAlignment="0" applyProtection="0"/>
    <xf numFmtId="0" fontId="35" fillId="0" borderId="249" applyNumberFormat="0" applyFill="0" applyAlignment="0" applyProtection="0"/>
    <xf numFmtId="0" fontId="34" fillId="20" borderId="248" applyNumberFormat="0" applyAlignment="0" applyProtection="0"/>
    <xf numFmtId="0" fontId="3" fillId="23" borderId="247" applyNumberFormat="0" applyFont="0" applyAlignment="0" applyProtection="0"/>
    <xf numFmtId="0" fontId="31" fillId="7" borderId="246" applyNumberFormat="0" applyAlignment="0" applyProtection="0"/>
    <xf numFmtId="0" fontId="24" fillId="20" borderId="246" applyNumberFormat="0" applyAlignment="0" applyProtection="0"/>
    <xf numFmtId="0" fontId="24" fillId="20" borderId="246" applyNumberFormat="0" applyAlignment="0" applyProtection="0"/>
    <xf numFmtId="0" fontId="31" fillId="7" borderId="246" applyNumberFormat="0" applyAlignment="0" applyProtection="0"/>
    <xf numFmtId="0" fontId="3" fillId="23" borderId="247" applyNumberFormat="0" applyFont="0" applyAlignment="0" applyProtection="0"/>
    <xf numFmtId="0" fontId="34" fillId="20" borderId="248" applyNumberFormat="0" applyAlignment="0" applyProtection="0"/>
    <xf numFmtId="0" fontId="35" fillId="0" borderId="249" applyNumberFormat="0" applyFill="0" applyAlignment="0" applyProtection="0"/>
    <xf numFmtId="0" fontId="3" fillId="23" borderId="247" applyNumberFormat="0" applyFont="0" applyAlignment="0" applyProtection="0"/>
    <xf numFmtId="0" fontId="35" fillId="0" borderId="249" applyNumberFormat="0" applyFill="0" applyAlignment="0" applyProtection="0"/>
    <xf numFmtId="0" fontId="34" fillId="20" borderId="248" applyNumberFormat="0" applyAlignment="0" applyProtection="0"/>
    <xf numFmtId="0" fontId="3" fillId="23" borderId="247" applyNumberFormat="0" applyFont="0" applyAlignment="0" applyProtection="0"/>
    <xf numFmtId="0" fontId="31" fillId="7" borderId="246" applyNumberFormat="0" applyAlignment="0" applyProtection="0"/>
    <xf numFmtId="0" fontId="24" fillId="20" borderId="246" applyNumberFormat="0" applyAlignment="0" applyProtection="0"/>
    <xf numFmtId="0" fontId="3" fillId="23" borderId="247" applyNumberFormat="0" applyFont="0" applyAlignment="0" applyProtection="0"/>
    <xf numFmtId="0" fontId="3" fillId="23" borderId="247" applyNumberFormat="0" applyFont="0" applyAlignment="0" applyProtection="0"/>
    <xf numFmtId="0" fontId="3" fillId="23" borderId="247" applyNumberFormat="0" applyFont="0" applyAlignment="0" applyProtection="0"/>
    <xf numFmtId="0" fontId="31" fillId="7" borderId="246" applyNumberFormat="0" applyAlignment="0" applyProtection="0"/>
    <xf numFmtId="0" fontId="35" fillId="0" borderId="249" applyNumberFormat="0" applyFill="0" applyAlignment="0" applyProtection="0"/>
    <xf numFmtId="0" fontId="31" fillId="7" borderId="246" applyNumberFormat="0" applyAlignment="0" applyProtection="0"/>
    <xf numFmtId="0" fontId="34" fillId="20" borderId="248" applyNumberFormat="0" applyAlignment="0" applyProtection="0"/>
    <xf numFmtId="0" fontId="3" fillId="23" borderId="247" applyNumberFormat="0" applyFont="0" applyAlignment="0" applyProtection="0"/>
    <xf numFmtId="0" fontId="24" fillId="20" borderId="246" applyNumberFormat="0" applyAlignment="0" applyProtection="0"/>
    <xf numFmtId="0" fontId="3" fillId="23" borderId="247" applyNumberFormat="0" applyFont="0" applyAlignment="0" applyProtection="0"/>
    <xf numFmtId="0" fontId="3" fillId="23" borderId="247" applyNumberFormat="0" applyFont="0" applyAlignment="0" applyProtection="0"/>
    <xf numFmtId="0" fontId="3" fillId="23" borderId="247" applyNumberFormat="0" applyFont="0" applyAlignment="0" applyProtection="0"/>
    <xf numFmtId="0" fontId="34" fillId="20" borderId="248" applyNumberFormat="0" applyAlignment="0" applyProtection="0"/>
    <xf numFmtId="0" fontId="3" fillId="23" borderId="247" applyNumberFormat="0" applyFont="0" applyAlignment="0" applyProtection="0"/>
    <xf numFmtId="0" fontId="3" fillId="23" borderId="247" applyNumberFormat="0" applyFont="0" applyAlignment="0" applyProtection="0"/>
    <xf numFmtId="0" fontId="24" fillId="20" borderId="246" applyNumberFormat="0" applyAlignment="0" applyProtection="0"/>
    <xf numFmtId="0" fontId="34" fillId="20" borderId="248" applyNumberFormat="0" applyAlignment="0" applyProtection="0"/>
    <xf numFmtId="0" fontId="3" fillId="23" borderId="247" applyNumberFormat="0" applyFont="0" applyAlignment="0" applyProtection="0"/>
    <xf numFmtId="0" fontId="3" fillId="23" borderId="247" applyNumberFormat="0" applyFont="0" applyAlignment="0" applyProtection="0"/>
    <xf numFmtId="0" fontId="24" fillId="20" borderId="246" applyNumberFormat="0" applyAlignment="0" applyProtection="0"/>
    <xf numFmtId="0" fontId="3" fillId="23" borderId="247" applyNumberFormat="0" applyFont="0" applyAlignment="0" applyProtection="0"/>
    <xf numFmtId="0" fontId="35" fillId="0" borderId="249" applyNumberFormat="0" applyFill="0" applyAlignment="0" applyProtection="0"/>
    <xf numFmtId="0" fontId="34" fillId="20" borderId="248" applyNumberFormat="0" applyAlignment="0" applyProtection="0"/>
    <xf numFmtId="0" fontId="31" fillId="7" borderId="246" applyNumberFormat="0" applyAlignment="0" applyProtection="0"/>
    <xf numFmtId="0" fontId="24" fillId="20" borderId="246" applyNumberFormat="0" applyAlignment="0" applyProtection="0"/>
    <xf numFmtId="0" fontId="34" fillId="20" borderId="248" applyNumberFormat="0" applyAlignment="0" applyProtection="0"/>
    <xf numFmtId="0" fontId="35" fillId="0" borderId="249" applyNumberFormat="0" applyFill="0" applyAlignment="0" applyProtection="0"/>
    <xf numFmtId="0" fontId="35" fillId="0" borderId="249" applyNumberFormat="0" applyFill="0" applyAlignment="0" applyProtection="0"/>
    <xf numFmtId="0" fontId="31" fillId="7" borderId="246" applyNumberFormat="0" applyAlignment="0" applyProtection="0"/>
    <xf numFmtId="0" fontId="31" fillId="7" borderId="246" applyNumberFormat="0" applyAlignment="0" applyProtection="0"/>
    <xf numFmtId="0" fontId="35" fillId="0" borderId="249" applyNumberFormat="0" applyFill="0" applyAlignment="0" applyProtection="0"/>
    <xf numFmtId="0" fontId="24" fillId="20" borderId="246" applyNumberFormat="0" applyAlignment="0" applyProtection="0"/>
    <xf numFmtId="0" fontId="35" fillId="0" borderId="249" applyNumberFormat="0" applyFill="0" applyAlignment="0" applyProtection="0"/>
    <xf numFmtId="0" fontId="34" fillId="20" borderId="248" applyNumberFormat="0" applyAlignment="0" applyProtection="0"/>
    <xf numFmtId="0" fontId="3" fillId="23" borderId="247" applyNumberFormat="0" applyFont="0" applyAlignment="0" applyProtection="0"/>
    <xf numFmtId="0" fontId="31" fillId="7" borderId="246" applyNumberFormat="0" applyAlignment="0" applyProtection="0"/>
    <xf numFmtId="0" fontId="24" fillId="20" borderId="246" applyNumberFormat="0" applyAlignment="0" applyProtection="0"/>
    <xf numFmtId="0" fontId="3" fillId="23" borderId="247" applyNumberFormat="0" applyFont="0" applyAlignment="0" applyProtection="0"/>
    <xf numFmtId="0" fontId="35" fillId="0" borderId="249" applyNumberFormat="0" applyFill="0" applyAlignment="0" applyProtection="0"/>
    <xf numFmtId="0" fontId="34" fillId="20" borderId="248" applyNumberFormat="0" applyAlignment="0" applyProtection="0"/>
    <xf numFmtId="0" fontId="3" fillId="23" borderId="247" applyNumberFormat="0" applyFont="0" applyAlignment="0" applyProtection="0"/>
    <xf numFmtId="0" fontId="31" fillId="7" borderId="246" applyNumberFormat="0" applyAlignment="0" applyProtection="0"/>
    <xf numFmtId="0" fontId="24" fillId="20" borderId="246" applyNumberFormat="0" applyAlignment="0" applyProtection="0"/>
    <xf numFmtId="0" fontId="24" fillId="20" borderId="246" applyNumberFormat="0" applyAlignment="0" applyProtection="0"/>
    <xf numFmtId="0" fontId="31" fillId="7" borderId="246" applyNumberFormat="0" applyAlignment="0" applyProtection="0"/>
    <xf numFmtId="0" fontId="3" fillId="23" borderId="247" applyNumberFormat="0" applyFont="0" applyAlignment="0" applyProtection="0"/>
    <xf numFmtId="0" fontId="34" fillId="20" borderId="248" applyNumberFormat="0" applyAlignment="0" applyProtection="0"/>
    <xf numFmtId="0" fontId="35" fillId="0" borderId="249" applyNumberFormat="0" applyFill="0" applyAlignment="0" applyProtection="0"/>
    <xf numFmtId="0" fontId="3" fillId="23" borderId="247" applyNumberFormat="0" applyFont="0" applyAlignment="0" applyProtection="0"/>
    <xf numFmtId="0" fontId="35" fillId="0" borderId="249" applyNumberFormat="0" applyFill="0" applyAlignment="0" applyProtection="0"/>
    <xf numFmtId="0" fontId="34" fillId="20" borderId="248" applyNumberFormat="0" applyAlignment="0" applyProtection="0"/>
    <xf numFmtId="0" fontId="3" fillId="23" borderId="247" applyNumberFormat="0" applyFont="0" applyAlignment="0" applyProtection="0"/>
    <xf numFmtId="0" fontId="31" fillId="7" borderId="246" applyNumberFormat="0" applyAlignment="0" applyProtection="0"/>
    <xf numFmtId="0" fontId="24" fillId="20" borderId="246" applyNumberFormat="0" applyAlignment="0" applyProtection="0"/>
    <xf numFmtId="0" fontId="3" fillId="23" borderId="247" applyNumberFormat="0" applyFont="0" applyAlignment="0" applyProtection="0"/>
    <xf numFmtId="0" fontId="3" fillId="23" borderId="247" applyNumberFormat="0" applyFont="0" applyAlignment="0" applyProtection="0"/>
    <xf numFmtId="0" fontId="3" fillId="23" borderId="247" applyNumberFormat="0" applyFont="0" applyAlignment="0" applyProtection="0"/>
    <xf numFmtId="0" fontId="31" fillId="7" borderId="246" applyNumberFormat="0" applyAlignment="0" applyProtection="0"/>
    <xf numFmtId="0" fontId="35" fillId="0" borderId="249" applyNumberFormat="0" applyFill="0" applyAlignment="0" applyProtection="0"/>
    <xf numFmtId="0" fontId="31" fillId="7" borderId="246" applyNumberFormat="0" applyAlignment="0" applyProtection="0"/>
    <xf numFmtId="0" fontId="34" fillId="20" borderId="248" applyNumberFormat="0" applyAlignment="0" applyProtection="0"/>
    <xf numFmtId="0" fontId="3" fillId="23" borderId="247" applyNumberFormat="0" applyFont="0" applyAlignment="0" applyProtection="0"/>
    <xf numFmtId="0" fontId="24" fillId="20" borderId="246" applyNumberFormat="0" applyAlignment="0" applyProtection="0"/>
    <xf numFmtId="0" fontId="3" fillId="23" borderId="247" applyNumberFormat="0" applyFont="0" applyAlignment="0" applyProtection="0"/>
    <xf numFmtId="0" fontId="3" fillId="23" borderId="247" applyNumberFormat="0" applyFont="0" applyAlignment="0" applyProtection="0"/>
    <xf numFmtId="0" fontId="3" fillId="23" borderId="247" applyNumberFormat="0" applyFont="0" applyAlignment="0" applyProtection="0"/>
    <xf numFmtId="0" fontId="34" fillId="20" borderId="248" applyNumberFormat="0" applyAlignment="0" applyProtection="0"/>
    <xf numFmtId="0" fontId="3" fillId="23" borderId="247" applyNumberFormat="0" applyFont="0" applyAlignment="0" applyProtection="0"/>
    <xf numFmtId="0" fontId="3" fillId="23" borderId="247" applyNumberFormat="0" applyFont="0" applyAlignment="0" applyProtection="0"/>
    <xf numFmtId="0" fontId="24" fillId="20" borderId="246" applyNumberFormat="0" applyAlignment="0" applyProtection="0"/>
    <xf numFmtId="0" fontId="34" fillId="20" borderId="248" applyNumberFormat="0" applyAlignment="0" applyProtection="0"/>
    <xf numFmtId="0" fontId="3" fillId="23" borderId="247" applyNumberFormat="0" applyFont="0" applyAlignment="0" applyProtection="0"/>
    <xf numFmtId="0" fontId="3" fillId="23" borderId="247" applyNumberFormat="0" applyFont="0" applyAlignment="0" applyProtection="0"/>
    <xf numFmtId="0" fontId="24" fillId="20" borderId="246" applyNumberFormat="0" applyAlignment="0" applyProtection="0"/>
    <xf numFmtId="0" fontId="3" fillId="23" borderId="247" applyNumberFormat="0" applyFont="0" applyAlignment="0" applyProtection="0"/>
    <xf numFmtId="0" fontId="35" fillId="0" borderId="249" applyNumberFormat="0" applyFill="0" applyAlignment="0" applyProtection="0"/>
    <xf numFmtId="0" fontId="34" fillId="20" borderId="248" applyNumberFormat="0" applyAlignment="0" applyProtection="0"/>
    <xf numFmtId="0" fontId="31" fillId="7" borderId="246" applyNumberFormat="0" applyAlignment="0" applyProtection="0"/>
    <xf numFmtId="0" fontId="24" fillId="20" borderId="246" applyNumberFormat="0" applyAlignment="0" applyProtection="0"/>
    <xf numFmtId="0" fontId="34" fillId="20" borderId="248" applyNumberFormat="0" applyAlignment="0" applyProtection="0"/>
    <xf numFmtId="0" fontId="35" fillId="0" borderId="249" applyNumberFormat="0" applyFill="0" applyAlignment="0" applyProtection="0"/>
    <xf numFmtId="0" fontId="35" fillId="0" borderId="249" applyNumberFormat="0" applyFill="0" applyAlignment="0" applyProtection="0"/>
    <xf numFmtId="0" fontId="31" fillId="7" borderId="246" applyNumberFormat="0" applyAlignment="0" applyProtection="0"/>
    <xf numFmtId="0" fontId="31" fillId="7" borderId="246" applyNumberFormat="0" applyAlignment="0" applyProtection="0"/>
    <xf numFmtId="0" fontId="35" fillId="0" borderId="249" applyNumberFormat="0" applyFill="0" applyAlignment="0" applyProtection="0"/>
    <xf numFmtId="0" fontId="24" fillId="20" borderId="246" applyNumberFormat="0" applyAlignment="0" applyProtection="0"/>
    <xf numFmtId="0" fontId="35" fillId="0" borderId="249" applyNumberFormat="0" applyFill="0" applyAlignment="0" applyProtection="0"/>
    <xf numFmtId="0" fontId="34" fillId="20" borderId="248" applyNumberFormat="0" applyAlignment="0" applyProtection="0"/>
    <xf numFmtId="0" fontId="3" fillId="23" borderId="247" applyNumberFormat="0" applyFont="0" applyAlignment="0" applyProtection="0"/>
    <xf numFmtId="0" fontId="31" fillId="7" borderId="246" applyNumberFormat="0" applyAlignment="0" applyProtection="0"/>
    <xf numFmtId="0" fontId="24" fillId="20" borderId="246" applyNumberFormat="0" applyAlignment="0" applyProtection="0"/>
    <xf numFmtId="0" fontId="3" fillId="23" borderId="247" applyNumberFormat="0" applyFont="0" applyAlignment="0" applyProtection="0"/>
    <xf numFmtId="0" fontId="35" fillId="0" borderId="249" applyNumberFormat="0" applyFill="0" applyAlignment="0" applyProtection="0"/>
    <xf numFmtId="0" fontId="34" fillId="20" borderId="248" applyNumberFormat="0" applyAlignment="0" applyProtection="0"/>
    <xf numFmtId="0" fontId="3" fillId="23" borderId="247" applyNumberFormat="0" applyFont="0" applyAlignment="0" applyProtection="0"/>
    <xf numFmtId="0" fontId="31" fillId="7" borderId="246" applyNumberFormat="0" applyAlignment="0" applyProtection="0"/>
    <xf numFmtId="0" fontId="24" fillId="20" borderId="246" applyNumberFormat="0" applyAlignment="0" applyProtection="0"/>
    <xf numFmtId="0" fontId="24" fillId="20" borderId="246" applyNumberFormat="0" applyAlignment="0" applyProtection="0"/>
    <xf numFmtId="0" fontId="31" fillId="7" borderId="246" applyNumberFormat="0" applyAlignment="0" applyProtection="0"/>
    <xf numFmtId="0" fontId="3" fillId="23" borderId="247" applyNumberFormat="0" applyFont="0" applyAlignment="0" applyProtection="0"/>
    <xf numFmtId="0" fontId="34" fillId="20" borderId="248" applyNumberFormat="0" applyAlignment="0" applyProtection="0"/>
    <xf numFmtId="0" fontId="35" fillId="0" borderId="249" applyNumberFormat="0" applyFill="0" applyAlignment="0" applyProtection="0"/>
    <xf numFmtId="0" fontId="3" fillId="23" borderId="247" applyNumberFormat="0" applyFont="0" applyAlignment="0" applyProtection="0"/>
    <xf numFmtId="0" fontId="35" fillId="0" borderId="249" applyNumberFormat="0" applyFill="0" applyAlignment="0" applyProtection="0"/>
    <xf numFmtId="0" fontId="34" fillId="20" borderId="248" applyNumberFormat="0" applyAlignment="0" applyProtection="0"/>
    <xf numFmtId="0" fontId="3" fillId="23" borderId="247" applyNumberFormat="0" applyFont="0" applyAlignment="0" applyProtection="0"/>
    <xf numFmtId="0" fontId="31" fillId="7" borderId="246" applyNumberFormat="0" applyAlignment="0" applyProtection="0"/>
    <xf numFmtId="0" fontId="24" fillId="20" borderId="246" applyNumberFormat="0" applyAlignment="0" applyProtection="0"/>
    <xf numFmtId="0" fontId="3" fillId="23" borderId="247" applyNumberFormat="0" applyFont="0" applyAlignment="0" applyProtection="0"/>
    <xf numFmtId="0" fontId="3" fillId="23" borderId="247" applyNumberFormat="0" applyFont="0" applyAlignment="0" applyProtection="0"/>
    <xf numFmtId="0" fontId="3" fillId="23" borderId="247" applyNumberFormat="0" applyFont="0" applyAlignment="0" applyProtection="0"/>
    <xf numFmtId="0" fontId="31" fillId="7" borderId="246" applyNumberFormat="0" applyAlignment="0" applyProtection="0"/>
    <xf numFmtId="0" fontId="35" fillId="0" borderId="249" applyNumberFormat="0" applyFill="0" applyAlignment="0" applyProtection="0"/>
    <xf numFmtId="0" fontId="31" fillId="7" borderId="246" applyNumberFormat="0" applyAlignment="0" applyProtection="0"/>
    <xf numFmtId="0" fontId="34" fillId="20" borderId="248" applyNumberFormat="0" applyAlignment="0" applyProtection="0"/>
    <xf numFmtId="0" fontId="3" fillId="23" borderId="247" applyNumberFormat="0" applyFont="0" applyAlignment="0" applyProtection="0"/>
    <xf numFmtId="0" fontId="24" fillId="20" borderId="246" applyNumberFormat="0" applyAlignment="0" applyProtection="0"/>
    <xf numFmtId="0" fontId="3" fillId="23" borderId="247" applyNumberFormat="0" applyFont="0" applyAlignment="0" applyProtection="0"/>
    <xf numFmtId="0" fontId="3" fillId="23" borderId="247" applyNumberFormat="0" applyFont="0" applyAlignment="0" applyProtection="0"/>
    <xf numFmtId="0" fontId="3" fillId="23" borderId="247" applyNumberFormat="0" applyFont="0" applyAlignment="0" applyProtection="0"/>
    <xf numFmtId="0" fontId="34" fillId="20" borderId="248" applyNumberFormat="0" applyAlignment="0" applyProtection="0"/>
    <xf numFmtId="0" fontId="3" fillId="23" borderId="247" applyNumberFormat="0" applyFont="0" applyAlignment="0" applyProtection="0"/>
    <xf numFmtId="0" fontId="3" fillId="23" borderId="247" applyNumberFormat="0" applyFont="0" applyAlignment="0" applyProtection="0"/>
    <xf numFmtId="0" fontId="24" fillId="20" borderId="246" applyNumberFormat="0" applyAlignment="0" applyProtection="0"/>
    <xf numFmtId="0" fontId="34" fillId="20" borderId="248" applyNumberFormat="0" applyAlignment="0" applyProtection="0"/>
    <xf numFmtId="0" fontId="3" fillId="23" borderId="247" applyNumberFormat="0" applyFont="0" applyAlignment="0" applyProtection="0"/>
    <xf numFmtId="0" fontId="3" fillId="23" borderId="247" applyNumberFormat="0" applyFont="0" applyAlignment="0" applyProtection="0"/>
    <xf numFmtId="0" fontId="24" fillId="20" borderId="246" applyNumberFormat="0" applyAlignment="0" applyProtection="0"/>
    <xf numFmtId="0" fontId="3" fillId="23" borderId="247" applyNumberFormat="0" applyFont="0" applyAlignment="0" applyProtection="0"/>
    <xf numFmtId="0" fontId="35" fillId="0" borderId="249" applyNumberFormat="0" applyFill="0" applyAlignment="0" applyProtection="0"/>
    <xf numFmtId="0" fontId="34" fillId="20" borderId="248" applyNumberFormat="0" applyAlignment="0" applyProtection="0"/>
    <xf numFmtId="0" fontId="31" fillId="7" borderId="246" applyNumberFormat="0" applyAlignment="0" applyProtection="0"/>
    <xf numFmtId="0" fontId="24" fillId="20" borderId="246" applyNumberFormat="0" applyAlignment="0" applyProtection="0"/>
    <xf numFmtId="0" fontId="34" fillId="20" borderId="248" applyNumberFormat="0" applyAlignment="0" applyProtection="0"/>
    <xf numFmtId="0" fontId="35" fillId="0" borderId="249" applyNumberFormat="0" applyFill="0" applyAlignment="0" applyProtection="0"/>
    <xf numFmtId="0" fontId="35" fillId="0" borderId="249" applyNumberFormat="0" applyFill="0" applyAlignment="0" applyProtection="0"/>
    <xf numFmtId="0" fontId="31" fillId="7" borderId="246" applyNumberFormat="0" applyAlignment="0" applyProtection="0"/>
    <xf numFmtId="0" fontId="31" fillId="7" borderId="246" applyNumberFormat="0" applyAlignment="0" applyProtection="0"/>
    <xf numFmtId="0" fontId="35" fillId="0" borderId="249" applyNumberFormat="0" applyFill="0" applyAlignment="0" applyProtection="0"/>
    <xf numFmtId="0" fontId="24" fillId="20" borderId="246" applyNumberFormat="0" applyAlignment="0" applyProtection="0"/>
    <xf numFmtId="0" fontId="35" fillId="0" borderId="249" applyNumberFormat="0" applyFill="0" applyAlignment="0" applyProtection="0"/>
    <xf numFmtId="0" fontId="34" fillId="20" borderId="248" applyNumberFormat="0" applyAlignment="0" applyProtection="0"/>
    <xf numFmtId="0" fontId="3" fillId="23" borderId="247" applyNumberFormat="0" applyFont="0" applyAlignment="0" applyProtection="0"/>
    <xf numFmtId="0" fontId="31" fillId="7" borderId="246" applyNumberFormat="0" applyAlignment="0" applyProtection="0"/>
    <xf numFmtId="0" fontId="24" fillId="20" borderId="246" applyNumberFormat="0" applyAlignment="0" applyProtection="0"/>
    <xf numFmtId="0" fontId="24" fillId="20" borderId="246" applyNumberFormat="0" applyAlignment="0" applyProtection="0"/>
    <xf numFmtId="0" fontId="31" fillId="7" borderId="246" applyNumberFormat="0" applyAlignment="0" applyProtection="0"/>
    <xf numFmtId="0" fontId="3" fillId="23" borderId="247" applyNumberFormat="0" applyFont="0" applyAlignment="0" applyProtection="0"/>
    <xf numFmtId="0" fontId="34" fillId="20" borderId="248" applyNumberFormat="0" applyAlignment="0" applyProtection="0"/>
    <xf numFmtId="0" fontId="35" fillId="0" borderId="249" applyNumberFormat="0" applyFill="0" applyAlignment="0" applyProtection="0"/>
    <xf numFmtId="0" fontId="3" fillId="23" borderId="247" applyNumberFormat="0" applyFont="0" applyAlignment="0" applyProtection="0"/>
    <xf numFmtId="0" fontId="35" fillId="0" borderId="249" applyNumberFormat="0" applyFill="0" applyAlignment="0" applyProtection="0"/>
    <xf numFmtId="0" fontId="34" fillId="20" borderId="248" applyNumberFormat="0" applyAlignment="0" applyProtection="0"/>
    <xf numFmtId="0" fontId="3" fillId="23" borderId="247" applyNumberFormat="0" applyFont="0" applyAlignment="0" applyProtection="0"/>
    <xf numFmtId="0" fontId="31" fillId="7" borderId="246" applyNumberFormat="0" applyAlignment="0" applyProtection="0"/>
    <xf numFmtId="0" fontId="24" fillId="20" borderId="246" applyNumberFormat="0" applyAlignment="0" applyProtection="0"/>
    <xf numFmtId="0" fontId="3" fillId="23" borderId="247" applyNumberFormat="0" applyFont="0" applyAlignment="0" applyProtection="0"/>
    <xf numFmtId="0" fontId="3" fillId="23" borderId="247" applyNumberFormat="0" applyFont="0" applyAlignment="0" applyProtection="0"/>
    <xf numFmtId="0" fontId="3" fillId="23" borderId="247" applyNumberFormat="0" applyFont="0" applyAlignment="0" applyProtection="0"/>
    <xf numFmtId="0" fontId="31" fillId="7" borderId="246" applyNumberFormat="0" applyAlignment="0" applyProtection="0"/>
    <xf numFmtId="0" fontId="35" fillId="0" borderId="249" applyNumberFormat="0" applyFill="0" applyAlignment="0" applyProtection="0"/>
    <xf numFmtId="0" fontId="31" fillId="7" borderId="246" applyNumberFormat="0" applyAlignment="0" applyProtection="0"/>
    <xf numFmtId="0" fontId="34" fillId="20" borderId="248" applyNumberFormat="0" applyAlignment="0" applyProtection="0"/>
    <xf numFmtId="0" fontId="3" fillId="23" borderId="247" applyNumberFormat="0" applyFont="0" applyAlignment="0" applyProtection="0"/>
    <xf numFmtId="0" fontId="24" fillId="20" borderId="246" applyNumberFormat="0" applyAlignment="0" applyProtection="0"/>
    <xf numFmtId="0" fontId="3" fillId="23" borderId="247" applyNumberFormat="0" applyFont="0" applyAlignment="0" applyProtection="0"/>
    <xf numFmtId="0" fontId="3" fillId="23" borderId="247" applyNumberFormat="0" applyFont="0" applyAlignment="0" applyProtection="0"/>
    <xf numFmtId="0" fontId="3" fillId="23" borderId="247" applyNumberFormat="0" applyFont="0" applyAlignment="0" applyProtection="0"/>
    <xf numFmtId="0" fontId="34" fillId="20" borderId="248" applyNumberFormat="0" applyAlignment="0" applyProtection="0"/>
    <xf numFmtId="0" fontId="3" fillId="23" borderId="247" applyNumberFormat="0" applyFont="0" applyAlignment="0" applyProtection="0"/>
    <xf numFmtId="0" fontId="3" fillId="23" borderId="247" applyNumberFormat="0" applyFont="0" applyAlignment="0" applyProtection="0"/>
    <xf numFmtId="0" fontId="24" fillId="20" borderId="246" applyNumberFormat="0" applyAlignment="0" applyProtection="0"/>
    <xf numFmtId="0" fontId="34" fillId="20" borderId="248" applyNumberFormat="0" applyAlignment="0" applyProtection="0"/>
    <xf numFmtId="0" fontId="3" fillId="23" borderId="247" applyNumberFormat="0" applyFont="0" applyAlignment="0" applyProtection="0"/>
    <xf numFmtId="0" fontId="3" fillId="23" borderId="247" applyNumberFormat="0" applyFont="0" applyAlignment="0" applyProtection="0"/>
    <xf numFmtId="0" fontId="24" fillId="20" borderId="246" applyNumberFormat="0" applyAlignment="0" applyProtection="0"/>
    <xf numFmtId="0" fontId="3" fillId="23" borderId="247" applyNumberFormat="0" applyFont="0" applyAlignment="0" applyProtection="0"/>
    <xf numFmtId="0" fontId="35" fillId="0" borderId="249" applyNumberFormat="0" applyFill="0" applyAlignment="0" applyProtection="0"/>
    <xf numFmtId="0" fontId="34" fillId="20" borderId="248" applyNumberFormat="0" applyAlignment="0" applyProtection="0"/>
    <xf numFmtId="0" fontId="31" fillId="7" borderId="246" applyNumberFormat="0" applyAlignment="0" applyProtection="0"/>
    <xf numFmtId="0" fontId="24" fillId="20" borderId="246" applyNumberFormat="0" applyAlignment="0" applyProtection="0"/>
    <xf numFmtId="0" fontId="34" fillId="20" borderId="248" applyNumberFormat="0" applyAlignment="0" applyProtection="0"/>
    <xf numFmtId="0" fontId="35" fillId="0" borderId="249" applyNumberFormat="0" applyFill="0" applyAlignment="0" applyProtection="0"/>
    <xf numFmtId="0" fontId="35" fillId="0" borderId="249" applyNumberFormat="0" applyFill="0" applyAlignment="0" applyProtection="0"/>
    <xf numFmtId="0" fontId="31" fillId="7" borderId="246" applyNumberFormat="0" applyAlignment="0" applyProtection="0"/>
    <xf numFmtId="0" fontId="31" fillId="7" borderId="246" applyNumberFormat="0" applyAlignment="0" applyProtection="0"/>
    <xf numFmtId="0" fontId="35" fillId="0" borderId="249" applyNumberFormat="0" applyFill="0" applyAlignment="0" applyProtection="0"/>
    <xf numFmtId="0" fontId="24" fillId="20" borderId="246" applyNumberFormat="0" applyAlignment="0" applyProtection="0"/>
    <xf numFmtId="0" fontId="35" fillId="0" borderId="249" applyNumberFormat="0" applyFill="0" applyAlignment="0" applyProtection="0"/>
    <xf numFmtId="0" fontId="34" fillId="20" borderId="248" applyNumberFormat="0" applyAlignment="0" applyProtection="0"/>
    <xf numFmtId="0" fontId="3" fillId="23" borderId="247" applyNumberFormat="0" applyFont="0" applyAlignment="0" applyProtection="0"/>
    <xf numFmtId="0" fontId="31" fillId="7" borderId="246" applyNumberFormat="0" applyAlignment="0" applyProtection="0"/>
    <xf numFmtId="0" fontId="24" fillId="20" borderId="246" applyNumberFormat="0" applyAlignment="0" applyProtection="0"/>
    <xf numFmtId="0" fontId="36" fillId="0" borderId="0"/>
    <xf numFmtId="0" fontId="36" fillId="0" borderId="0"/>
    <xf numFmtId="0" fontId="36" fillId="0" borderId="0"/>
    <xf numFmtId="0" fontId="36" fillId="0" borderId="0"/>
    <xf numFmtId="0" fontId="36" fillId="0" borderId="0"/>
    <xf numFmtId="0" fontId="271" fillId="0" borderId="0"/>
    <xf numFmtId="0" fontId="2" fillId="0" borderId="0"/>
    <xf numFmtId="0" fontId="2" fillId="0" borderId="0"/>
  </cellStyleXfs>
  <cellXfs count="4602">
    <xf numFmtId="0" fontId="0" fillId="0" borderId="0" xfId="0"/>
    <xf numFmtId="0" fontId="3" fillId="0" borderId="0" xfId="61" applyNumberFormat="1" applyFont="1" applyAlignment="1"/>
    <xf numFmtId="0" fontId="4" fillId="0" borderId="0" xfId="0" applyNumberFormat="1" applyFont="1" applyFill="1" applyBorder="1" applyAlignment="1"/>
    <xf numFmtId="0" fontId="2" fillId="0" borderId="17" xfId="61" applyNumberFormat="1" applyFont="1" applyBorder="1" applyAlignment="1"/>
    <xf numFmtId="0" fontId="2" fillId="0" borderId="0" xfId="0" applyNumberFormat="1" applyFont="1" applyFill="1" applyBorder="1" applyAlignment="1"/>
    <xf numFmtId="0" fontId="4" fillId="0" borderId="18" xfId="0" applyNumberFormat="1" applyFont="1" applyFill="1" applyBorder="1" applyAlignment="1"/>
    <xf numFmtId="0" fontId="4" fillId="0" borderId="19" xfId="0" applyNumberFormat="1" applyFont="1" applyFill="1" applyBorder="1" applyAlignment="1"/>
    <xf numFmtId="0" fontId="4" fillId="0" borderId="20" xfId="0" applyNumberFormat="1" applyFont="1" applyFill="1" applyBorder="1" applyAlignment="1">
      <alignment horizontal="center"/>
    </xf>
    <xf numFmtId="0" fontId="4" fillId="0" borderId="21" xfId="0" applyNumberFormat="1" applyFont="1" applyFill="1" applyBorder="1" applyAlignment="1"/>
    <xf numFmtId="0" fontId="4" fillId="0" borderId="22" xfId="0" applyNumberFormat="1" applyFont="1" applyFill="1" applyBorder="1" applyAlignment="1">
      <alignment horizontal="center"/>
    </xf>
    <xf numFmtId="168" fontId="2" fillId="0" borderId="23" xfId="0" applyNumberFormat="1" applyFont="1" applyFill="1" applyBorder="1" applyAlignment="1"/>
    <xf numFmtId="168" fontId="2" fillId="0" borderId="0" xfId="0" applyNumberFormat="1" applyFont="1" applyFill="1" applyAlignment="1"/>
    <xf numFmtId="0" fontId="2" fillId="0" borderId="24" xfId="0" applyNumberFormat="1" applyFont="1" applyFill="1" applyBorder="1" applyAlignment="1"/>
    <xf numFmtId="0" fontId="2" fillId="0" borderId="26" xfId="0" applyNumberFormat="1" applyFont="1" applyFill="1" applyBorder="1" applyAlignment="1">
      <alignment horizontal="center"/>
    </xf>
    <xf numFmtId="168" fontId="2" fillId="0" borderId="27" xfId="0" applyNumberFormat="1" applyFont="1" applyFill="1" applyBorder="1" applyAlignment="1"/>
    <xf numFmtId="0" fontId="2" fillId="0" borderId="21" xfId="0" applyNumberFormat="1" applyFont="1" applyFill="1" applyBorder="1" applyAlignment="1"/>
    <xf numFmtId="0" fontId="2" fillId="0" borderId="22" xfId="0" applyNumberFormat="1" applyFont="1" applyFill="1" applyBorder="1" applyAlignment="1">
      <alignment horizontal="center"/>
    </xf>
    <xf numFmtId="168" fontId="2" fillId="0" borderId="22" xfId="0" applyNumberFormat="1" applyFont="1" applyFill="1" applyBorder="1" applyAlignment="1"/>
    <xf numFmtId="168" fontId="2" fillId="0" borderId="28" xfId="0" applyNumberFormat="1" applyFont="1" applyFill="1" applyBorder="1" applyAlignment="1"/>
    <xf numFmtId="0" fontId="4" fillId="0" borderId="29" xfId="0" applyNumberFormat="1" applyFont="1" applyFill="1" applyBorder="1" applyAlignment="1"/>
    <xf numFmtId="0" fontId="4" fillId="0" borderId="0" xfId="0" applyNumberFormat="1" applyFont="1" applyFill="1" applyBorder="1" applyAlignment="1">
      <alignment horizontal="center"/>
    </xf>
    <xf numFmtId="168" fontId="4" fillId="0" borderId="30" xfId="0" applyNumberFormat="1" applyFont="1" applyFill="1" applyBorder="1" applyAlignment="1">
      <alignment horizontal="center"/>
    </xf>
    <xf numFmtId="0" fontId="2" fillId="0" borderId="29" xfId="0" applyNumberFormat="1" applyFont="1" applyFill="1" applyBorder="1" applyAlignment="1"/>
    <xf numFmtId="168" fontId="2" fillId="0" borderId="30" xfId="0" applyNumberFormat="1" applyFont="1" applyFill="1" applyBorder="1" applyAlignment="1"/>
    <xf numFmtId="0" fontId="4" fillId="0" borderId="31" xfId="0" applyNumberFormat="1" applyFont="1" applyFill="1" applyBorder="1" applyAlignment="1">
      <alignment horizontal="left"/>
    </xf>
    <xf numFmtId="0" fontId="4" fillId="0" borderId="32" xfId="0" applyNumberFormat="1" applyFont="1" applyFill="1" applyBorder="1" applyAlignment="1">
      <alignment horizontal="left"/>
    </xf>
    <xf numFmtId="0" fontId="2" fillId="0" borderId="32" xfId="0" applyNumberFormat="1" applyFont="1" applyFill="1" applyBorder="1" applyAlignment="1">
      <alignment horizontal="center"/>
    </xf>
    <xf numFmtId="0" fontId="4" fillId="0" borderId="34" xfId="0" applyNumberFormat="1" applyFont="1" applyFill="1" applyBorder="1" applyAlignment="1">
      <alignment horizontal="left"/>
    </xf>
    <xf numFmtId="4" fontId="2" fillId="0" borderId="29" xfId="0" applyNumberFormat="1" applyFont="1" applyFill="1" applyBorder="1" applyAlignment="1"/>
    <xf numFmtId="0" fontId="2" fillId="0" borderId="17" xfId="0" applyNumberFormat="1" applyFont="1" applyFill="1" applyBorder="1" applyAlignment="1"/>
    <xf numFmtId="0" fontId="2" fillId="0" borderId="17" xfId="0" applyNumberFormat="1" applyFont="1" applyFill="1" applyBorder="1" applyAlignment="1">
      <alignment horizontal="center"/>
    </xf>
    <xf numFmtId="168" fontId="2" fillId="0" borderId="35" xfId="0" applyNumberFormat="1" applyFont="1" applyFill="1" applyBorder="1" applyAlignment="1"/>
    <xf numFmtId="4" fontId="4" fillId="0" borderId="29" xfId="0" applyNumberFormat="1" applyFont="1" applyFill="1" applyBorder="1" applyAlignment="1"/>
    <xf numFmtId="0" fontId="4" fillId="0" borderId="34" xfId="0" applyNumberFormat="1" applyFont="1" applyFill="1" applyBorder="1" applyAlignment="1"/>
    <xf numFmtId="0" fontId="4" fillId="0" borderId="36" xfId="0" applyNumberFormat="1" applyFont="1" applyFill="1" applyBorder="1" applyAlignment="1">
      <alignment horizontal="centerContinuous"/>
    </xf>
    <xf numFmtId="0" fontId="4" fillId="0" borderId="37" xfId="0" applyNumberFormat="1" applyFont="1" applyFill="1" applyBorder="1" applyAlignment="1">
      <alignment horizontal="centerContinuous"/>
    </xf>
    <xf numFmtId="0" fontId="4" fillId="0" borderId="36" xfId="0" applyNumberFormat="1" applyFont="1" applyFill="1" applyBorder="1" applyAlignment="1">
      <alignment horizontal="left"/>
    </xf>
    <xf numFmtId="3" fontId="4" fillId="0" borderId="40" xfId="0" applyNumberFormat="1" applyFont="1" applyFill="1" applyBorder="1" applyAlignment="1">
      <alignment horizontal="left"/>
    </xf>
    <xf numFmtId="3" fontId="4" fillId="0" borderId="42" xfId="0" applyNumberFormat="1" applyFont="1" applyFill="1" applyBorder="1" applyAlignment="1">
      <alignment horizontal="left"/>
    </xf>
    <xf numFmtId="0" fontId="4" fillId="0" borderId="43" xfId="0" applyNumberFormat="1" applyFont="1" applyFill="1" applyBorder="1" applyAlignment="1">
      <alignment horizontal="left"/>
    </xf>
    <xf numFmtId="0" fontId="9" fillId="0" borderId="40" xfId="0" applyFont="1" applyFill="1" applyBorder="1"/>
    <xf numFmtId="0" fontId="3" fillId="0" borderId="17" xfId="0" applyFont="1" applyFill="1" applyBorder="1"/>
    <xf numFmtId="0" fontId="3" fillId="0" borderId="0" xfId="0" applyFont="1" applyFill="1" applyBorder="1" applyAlignment="1">
      <alignment horizontal="center"/>
    </xf>
    <xf numFmtId="0" fontId="4" fillId="0" borderId="0" xfId="61" applyNumberFormat="1" applyFont="1" applyAlignment="1">
      <alignment horizontal="right"/>
    </xf>
    <xf numFmtId="0" fontId="3" fillId="0" borderId="0" xfId="102" applyFont="1"/>
    <xf numFmtId="0" fontId="4" fillId="0" borderId="0" xfId="61" applyNumberFormat="1" applyFont="1" applyAlignment="1" applyProtection="1">
      <alignment horizontal="right"/>
    </xf>
    <xf numFmtId="0" fontId="3" fillId="0" borderId="0" xfId="61" applyNumberFormat="1" applyFont="1" applyAlignment="1" applyProtection="1"/>
    <xf numFmtId="0" fontId="9" fillId="24" borderId="0" xfId="117" applyNumberFormat="1" applyFont="1" applyFill="1" applyAlignment="1" applyProtection="1"/>
    <xf numFmtId="171" fontId="11" fillId="0" borderId="0" xfId="109" applyFont="1" applyFill="1" applyAlignment="1" applyProtection="1">
      <alignment horizontal="left" indent="3"/>
    </xf>
    <xf numFmtId="0" fontId="4" fillId="32" borderId="62" xfId="0" applyNumberFormat="1" applyFont="1" applyFill="1" applyBorder="1" applyAlignment="1">
      <alignment horizontal="left" indent="2"/>
    </xf>
    <xf numFmtId="0" fontId="2" fillId="32" borderId="63" xfId="0" applyNumberFormat="1" applyFont="1" applyFill="1" applyBorder="1" applyAlignment="1"/>
    <xf numFmtId="0" fontId="2" fillId="32" borderId="64" xfId="0" applyNumberFormat="1" applyFont="1" applyFill="1" applyBorder="1" applyAlignment="1">
      <alignment horizontal="center"/>
    </xf>
    <xf numFmtId="168" fontId="2" fillId="32" borderId="64" xfId="0" applyNumberFormat="1" applyFont="1" applyFill="1" applyBorder="1" applyAlignment="1">
      <alignment horizontal="right" vertical="center"/>
    </xf>
    <xf numFmtId="167" fontId="40" fillId="0" borderId="0" xfId="123" applyNumberFormat="1" applyFont="1"/>
    <xf numFmtId="0" fontId="44" fillId="0" borderId="0" xfId="61" applyNumberFormat="1" applyFont="1" applyAlignment="1"/>
    <xf numFmtId="0" fontId="44" fillId="0" borderId="0" xfId="61" applyNumberFormat="1" applyFont="1" applyBorder="1" applyAlignment="1"/>
    <xf numFmtId="0" fontId="45" fillId="0" borderId="0" xfId="61" applyNumberFormat="1" applyFont="1" applyBorder="1" applyAlignment="1">
      <alignment horizontal="right"/>
    </xf>
    <xf numFmtId="0" fontId="45" fillId="0" borderId="0" xfId="61" applyNumberFormat="1" applyFont="1" applyBorder="1" applyAlignment="1"/>
    <xf numFmtId="4" fontId="43" fillId="0" borderId="0" xfId="61" applyNumberFormat="1" applyFont="1" applyBorder="1" applyAlignment="1"/>
    <xf numFmtId="4" fontId="45" fillId="0" borderId="0" xfId="61" applyNumberFormat="1" applyFont="1" applyBorder="1" applyAlignment="1"/>
    <xf numFmtId="0" fontId="46" fillId="0" borderId="0" xfId="0" applyFont="1" applyAlignment="1">
      <alignment wrapText="1"/>
    </xf>
    <xf numFmtId="0" fontId="46" fillId="0" borderId="0" xfId="0" applyFont="1" applyAlignment="1"/>
    <xf numFmtId="0" fontId="46" fillId="0" borderId="0" xfId="0" applyFont="1" applyFill="1"/>
    <xf numFmtId="0" fontId="46" fillId="43" borderId="0" xfId="0" applyFont="1" applyFill="1" applyBorder="1"/>
    <xf numFmtId="0" fontId="46" fillId="40" borderId="0" xfId="0" applyFont="1" applyFill="1" applyBorder="1"/>
    <xf numFmtId="0" fontId="46" fillId="43" borderId="66" xfId="0" applyFont="1" applyFill="1" applyBorder="1"/>
    <xf numFmtId="0" fontId="46" fillId="40" borderId="67" xfId="0" applyFont="1" applyFill="1" applyBorder="1"/>
    <xf numFmtId="0" fontId="0" fillId="0" borderId="0" xfId="0"/>
    <xf numFmtId="0" fontId="3" fillId="0" borderId="0" xfId="0" applyFont="1" applyFill="1" applyBorder="1"/>
    <xf numFmtId="0" fontId="42" fillId="0" borderId="0" xfId="0" applyFont="1" applyFill="1" applyBorder="1"/>
    <xf numFmtId="49" fontId="42" fillId="0" borderId="0" xfId="0" applyNumberFormat="1" applyFont="1" applyFill="1" applyBorder="1"/>
    <xf numFmtId="0" fontId="42" fillId="0" borderId="0" xfId="0" applyFont="1" applyFill="1" applyBorder="1" applyAlignment="1">
      <alignment horizontal="center"/>
    </xf>
    <xf numFmtId="0" fontId="9" fillId="0" borderId="0" xfId="0" applyFont="1" applyFill="1" applyBorder="1"/>
    <xf numFmtId="42" fontId="42" fillId="0" borderId="0" xfId="0" applyNumberFormat="1" applyFont="1" applyFill="1" applyBorder="1"/>
    <xf numFmtId="41" fontId="42" fillId="0" borderId="0" xfId="0" applyNumberFormat="1" applyFont="1" applyFill="1" applyBorder="1"/>
    <xf numFmtId="41" fontId="42" fillId="0" borderId="11" xfId="0" applyNumberFormat="1" applyFont="1" applyFill="1" applyBorder="1"/>
    <xf numFmtId="42" fontId="42" fillId="0" borderId="12" xfId="0" applyNumberFormat="1" applyFont="1" applyFill="1" applyBorder="1"/>
    <xf numFmtId="0" fontId="42" fillId="39" borderId="0" xfId="0" applyFont="1" applyFill="1"/>
    <xf numFmtId="167" fontId="3" fillId="0" borderId="0" xfId="123" applyNumberFormat="1" applyFont="1" applyFill="1" applyBorder="1"/>
    <xf numFmtId="167" fontId="3" fillId="0" borderId="11" xfId="123" applyNumberFormat="1" applyFont="1" applyFill="1" applyBorder="1"/>
    <xf numFmtId="37" fontId="42" fillId="0" borderId="0" xfId="123" applyNumberFormat="1" applyFont="1"/>
    <xf numFmtId="2" fontId="42" fillId="0" borderId="0" xfId="0" applyNumberFormat="1" applyFont="1"/>
    <xf numFmtId="37" fontId="42" fillId="0" borderId="0" xfId="0" applyNumberFormat="1" applyFont="1"/>
    <xf numFmtId="0" fontId="42" fillId="39" borderId="0" xfId="0" applyFont="1" applyFill="1" applyAlignment="1"/>
    <xf numFmtId="0" fontId="42" fillId="39" borderId="0" xfId="0" applyFont="1" applyFill="1" applyAlignment="1">
      <alignment horizontal="right"/>
    </xf>
    <xf numFmtId="167" fontId="42" fillId="0" borderId="0" xfId="123" applyNumberFormat="1" applyFont="1" applyFill="1" applyBorder="1"/>
    <xf numFmtId="167" fontId="42" fillId="0" borderId="11" xfId="123" applyNumberFormat="1" applyFont="1" applyFill="1" applyBorder="1"/>
    <xf numFmtId="178" fontId="42" fillId="39" borderId="0" xfId="0" applyNumberFormat="1" applyFont="1" applyFill="1"/>
    <xf numFmtId="0" fontId="47" fillId="0" borderId="0" xfId="0" applyFont="1" applyFill="1" applyBorder="1" applyAlignment="1">
      <alignment horizontal="left" wrapText="1"/>
    </xf>
    <xf numFmtId="167" fontId="2" fillId="31" borderId="11" xfId="123" applyNumberFormat="1" applyFont="1" applyFill="1" applyBorder="1" applyAlignment="1" applyProtection="1">
      <protection locked="0"/>
    </xf>
    <xf numFmtId="0" fontId="9" fillId="0" borderId="0" xfId="61" applyNumberFormat="1" applyFont="1" applyFill="1" applyAlignment="1" applyProtection="1"/>
    <xf numFmtId="4" fontId="3" fillId="0" borderId="0" xfId="61" applyNumberFormat="1" applyFont="1" applyAlignment="1" applyProtection="1"/>
    <xf numFmtId="0" fontId="3" fillId="0" borderId="0" xfId="61" applyNumberFormat="1" applyFont="1" applyFill="1" applyAlignment="1" applyProtection="1"/>
    <xf numFmtId="0" fontId="3" fillId="0" borderId="0" xfId="61" applyNumberFormat="1" applyFont="1" applyBorder="1" applyAlignment="1" applyProtection="1"/>
    <xf numFmtId="0" fontId="3" fillId="0" borderId="0" xfId="0" applyFont="1" applyProtection="1"/>
    <xf numFmtId="43" fontId="3" fillId="0" borderId="0" xfId="0" applyNumberFormat="1" applyFont="1" applyProtection="1"/>
    <xf numFmtId="0" fontId="42" fillId="0" borderId="0" xfId="0" applyFont="1" applyProtection="1"/>
    <xf numFmtId="0" fontId="2" fillId="0" borderId="0" xfId="61" applyNumberFormat="1" applyFont="1" applyAlignment="1" applyProtection="1">
      <alignment horizontal="center"/>
    </xf>
    <xf numFmtId="41" fontId="3" fillId="0" borderId="0" xfId="0" applyNumberFormat="1" applyFont="1" applyProtection="1"/>
    <xf numFmtId="0" fontId="3" fillId="0" borderId="0" xfId="61" applyNumberFormat="1" applyFont="1" applyFill="1" applyBorder="1" applyAlignment="1" applyProtection="1"/>
    <xf numFmtId="167" fontId="2" fillId="31" borderId="0" xfId="123" applyNumberFormat="1" applyFont="1" applyFill="1" applyAlignment="1" applyProtection="1">
      <alignment horizontal="right"/>
      <protection locked="0"/>
    </xf>
    <xf numFmtId="167" fontId="2" fillId="31" borderId="11" xfId="123" applyNumberFormat="1" applyFont="1" applyFill="1" applyBorder="1" applyAlignment="1" applyProtection="1">
      <alignment horizontal="right"/>
      <protection locked="0"/>
    </xf>
    <xf numFmtId="44" fontId="3" fillId="0" borderId="0" xfId="48" applyFont="1" applyFill="1" applyBorder="1" applyAlignment="1" applyProtection="1"/>
    <xf numFmtId="0" fontId="12" fillId="0" borderId="0" xfId="61" applyNumberFormat="1" applyFont="1" applyAlignment="1" applyProtection="1"/>
    <xf numFmtId="49" fontId="10" fillId="0" borderId="0" xfId="61" applyNumberFormat="1" applyFont="1" applyAlignment="1" applyProtection="1">
      <alignment textRotation="45"/>
    </xf>
    <xf numFmtId="49" fontId="12" fillId="0" borderId="0" xfId="0" applyNumberFormat="1" applyFont="1" applyProtection="1"/>
    <xf numFmtId="49" fontId="10" fillId="0" borderId="0" xfId="61" applyNumberFormat="1" applyFont="1" applyAlignment="1" applyProtection="1">
      <alignment horizontal="center"/>
    </xf>
    <xf numFmtId="49" fontId="10" fillId="0" borderId="0" xfId="110" applyNumberFormat="1" applyFont="1" applyFill="1" applyAlignment="1" applyProtection="1">
      <alignment horizontal="center"/>
    </xf>
    <xf numFmtId="49" fontId="12" fillId="0" borderId="0" xfId="61" applyNumberFormat="1" applyFont="1" applyFill="1" applyAlignment="1" applyProtection="1">
      <alignment horizontal="center"/>
    </xf>
    <xf numFmtId="167" fontId="3" fillId="31" borderId="0" xfId="123" applyNumberFormat="1" applyFont="1" applyFill="1" applyProtection="1">
      <protection locked="0"/>
    </xf>
    <xf numFmtId="167" fontId="3" fillId="31" borderId="11" xfId="123" applyNumberFormat="1" applyFont="1" applyFill="1" applyBorder="1" applyProtection="1">
      <protection locked="0"/>
    </xf>
    <xf numFmtId="0" fontId="3" fillId="0" borderId="0" xfId="61" applyFont="1" applyFill="1" applyProtection="1"/>
    <xf numFmtId="0" fontId="3" fillId="0" borderId="0" xfId="61" applyFont="1" applyProtection="1"/>
    <xf numFmtId="39" fontId="3" fillId="0" borderId="0" xfId="29" applyNumberFormat="1" applyFont="1" applyFill="1" applyProtection="1"/>
    <xf numFmtId="0" fontId="3" fillId="0" borderId="0" xfId="111" applyFont="1" applyProtection="1"/>
    <xf numFmtId="0" fontId="3" fillId="0" borderId="0" xfId="113" applyFont="1" applyProtection="1"/>
    <xf numFmtId="0" fontId="3" fillId="0" borderId="0" xfId="115" applyFont="1" applyProtection="1"/>
    <xf numFmtId="43" fontId="3" fillId="0" borderId="0" xfId="112" applyNumberFormat="1" applyFont="1" applyProtection="1"/>
    <xf numFmtId="43" fontId="3" fillId="0" borderId="0" xfId="111" applyNumberFormat="1" applyFont="1" applyFill="1" applyProtection="1"/>
    <xf numFmtId="0" fontId="9" fillId="0" borderId="0" xfId="0" applyFont="1"/>
    <xf numFmtId="0" fontId="3" fillId="0" borderId="0" xfId="0" applyFont="1"/>
    <xf numFmtId="41" fontId="3" fillId="0" borderId="0" xfId="0" applyNumberFormat="1" applyFont="1" applyFill="1" applyBorder="1"/>
    <xf numFmtId="42" fontId="3" fillId="0" borderId="12" xfId="0" applyNumberFormat="1" applyFont="1" applyFill="1" applyBorder="1"/>
    <xf numFmtId="42" fontId="3" fillId="0" borderId="0" xfId="0" applyNumberFormat="1" applyFont="1" applyFill="1" applyBorder="1"/>
    <xf numFmtId="41" fontId="3" fillId="0" borderId="0" xfId="0" applyNumberFormat="1" applyFont="1" applyFill="1" applyBorder="1" applyAlignment="1">
      <alignment horizontal="right"/>
    </xf>
    <xf numFmtId="0" fontId="3" fillId="24" borderId="0" xfId="0" applyFont="1" applyFill="1" applyBorder="1"/>
    <xf numFmtId="42" fontId="3" fillId="24" borderId="0" xfId="47" applyNumberFormat="1" applyFont="1" applyFill="1" applyBorder="1"/>
    <xf numFmtId="42" fontId="3" fillId="24" borderId="0" xfId="0" applyNumberFormat="1" applyFont="1" applyFill="1" applyBorder="1"/>
    <xf numFmtId="41" fontId="3" fillId="24" borderId="0" xfId="47" applyNumberFormat="1" applyFont="1" applyFill="1" applyBorder="1"/>
    <xf numFmtId="0" fontId="3" fillId="0" borderId="0" xfId="0" applyFont="1" applyFill="1"/>
    <xf numFmtId="41" fontId="3" fillId="24" borderId="0" xfId="123" applyNumberFormat="1" applyFont="1" applyFill="1" applyBorder="1"/>
    <xf numFmtId="41" fontId="3" fillId="24" borderId="11" xfId="123" applyNumberFormat="1" applyFont="1" applyFill="1" applyBorder="1"/>
    <xf numFmtId="0" fontId="46" fillId="0" borderId="0" xfId="0" applyFont="1"/>
    <xf numFmtId="178" fontId="46" fillId="40" borderId="0" xfId="0" applyNumberFormat="1" applyFont="1" applyFill="1" applyBorder="1"/>
    <xf numFmtId="0" fontId="46" fillId="0" borderId="0" xfId="0" applyFont="1" applyFill="1" applyBorder="1"/>
    <xf numFmtId="0" fontId="46" fillId="43" borderId="67" xfId="0" applyFont="1" applyFill="1" applyBorder="1"/>
    <xf numFmtId="178" fontId="46" fillId="40" borderId="15" xfId="0" applyNumberFormat="1" applyFont="1" applyFill="1" applyBorder="1"/>
    <xf numFmtId="0" fontId="46" fillId="40" borderId="85" xfId="0" applyFont="1" applyFill="1" applyBorder="1"/>
    <xf numFmtId="0" fontId="46" fillId="40" borderId="0" xfId="0" applyFont="1" applyFill="1"/>
    <xf numFmtId="0" fontId="4" fillId="0" borderId="0" xfId="61" applyNumberFormat="1" applyFont="1" applyBorder="1" applyAlignment="1">
      <alignment horizontal="right"/>
    </xf>
    <xf numFmtId="0" fontId="3" fillId="0" borderId="0" xfId="61" applyNumberFormat="1" applyFont="1" applyBorder="1" applyAlignment="1"/>
    <xf numFmtId="0" fontId="42" fillId="0" borderId="0" xfId="0" applyFont="1"/>
    <xf numFmtId="0" fontId="3" fillId="0" borderId="0" xfId="0" applyFont="1" applyFill="1" applyBorder="1" applyAlignment="1">
      <alignment horizontal="left" wrapText="1"/>
    </xf>
    <xf numFmtId="0" fontId="42" fillId="0" borderId="0" xfId="0" applyFont="1" applyBorder="1"/>
    <xf numFmtId="0" fontId="42" fillId="0" borderId="15" xfId="0" applyFont="1" applyBorder="1"/>
    <xf numFmtId="41" fontId="42" fillId="0" borderId="11" xfId="0" quotePrefix="1" applyNumberFormat="1" applyFont="1" applyFill="1" applyBorder="1" applyAlignment="1">
      <alignment horizontal="center"/>
    </xf>
    <xf numFmtId="0" fontId="42" fillId="0" borderId="11" xfId="0" applyFont="1" applyBorder="1" applyAlignment="1">
      <alignment horizontal="center"/>
    </xf>
    <xf numFmtId="0" fontId="42" fillId="0" borderId="14" xfId="0" applyFont="1" applyBorder="1" applyAlignment="1">
      <alignment horizontal="center"/>
    </xf>
    <xf numFmtId="0" fontId="42" fillId="0" borderId="16" xfId="0" applyFont="1" applyBorder="1"/>
    <xf numFmtId="174" fontId="42" fillId="0" borderId="0" xfId="48" applyNumberFormat="1" applyFont="1" applyBorder="1"/>
    <xf numFmtId="178" fontId="42" fillId="0" borderId="0" xfId="0" applyNumberFormat="1" applyFont="1" applyBorder="1" applyAlignment="1">
      <alignment horizontal="center"/>
    </xf>
    <xf numFmtId="181" fontId="42" fillId="0" borderId="0" xfId="0" applyNumberFormat="1" applyFont="1" applyBorder="1"/>
    <xf numFmtId="169" fontId="42" fillId="0" borderId="16" xfId="126" applyNumberFormat="1" applyFont="1" applyBorder="1"/>
    <xf numFmtId="167" fontId="42" fillId="0" borderId="0" xfId="123" applyNumberFormat="1" applyFont="1" applyBorder="1"/>
    <xf numFmtId="37" fontId="42" fillId="0" borderId="0" xfId="0" applyNumberFormat="1" applyFont="1" applyBorder="1"/>
    <xf numFmtId="182" fontId="42" fillId="0" borderId="0" xfId="0" applyNumberFormat="1" applyFont="1" applyBorder="1"/>
    <xf numFmtId="0" fontId="42" fillId="0" borderId="0" xfId="0" applyFont="1" applyBorder="1" applyAlignment="1">
      <alignment horizontal="right"/>
    </xf>
    <xf numFmtId="42" fontId="42" fillId="0" borderId="0" xfId="0" applyNumberFormat="1" applyFont="1" applyBorder="1"/>
    <xf numFmtId="0" fontId="9" fillId="0" borderId="11" xfId="0" applyFont="1" applyFill="1" applyBorder="1"/>
    <xf numFmtId="0" fontId="42" fillId="0" borderId="11" xfId="0" applyFont="1" applyFill="1" applyBorder="1"/>
    <xf numFmtId="0" fontId="42" fillId="0" borderId="11" xfId="0" applyFont="1" applyBorder="1"/>
    <xf numFmtId="0" fontId="42" fillId="0" borderId="11" xfId="0" applyFont="1" applyFill="1" applyBorder="1" applyAlignment="1">
      <alignment horizontal="right"/>
    </xf>
    <xf numFmtId="42" fontId="42" fillId="0" borderId="11" xfId="0" applyNumberFormat="1" applyFont="1" applyFill="1" applyBorder="1"/>
    <xf numFmtId="42" fontId="42" fillId="0" borderId="14" xfId="0" applyNumberFormat="1" applyFont="1" applyFill="1" applyBorder="1"/>
    <xf numFmtId="41" fontId="42" fillId="0" borderId="0" xfId="0" applyNumberFormat="1" applyFont="1" applyFill="1" applyBorder="1" applyAlignment="1">
      <alignment horizontal="center"/>
    </xf>
    <xf numFmtId="174" fontId="42" fillId="0" borderId="0" xfId="48" applyNumberFormat="1" applyFont="1" applyFill="1" applyBorder="1"/>
    <xf numFmtId="0" fontId="42" fillId="0" borderId="13" xfId="0" applyFont="1" applyBorder="1"/>
    <xf numFmtId="0" fontId="42" fillId="0" borderId="14" xfId="0" applyFont="1" applyBorder="1"/>
    <xf numFmtId="0" fontId="3" fillId="0" borderId="0" xfId="65" applyFont="1" applyFill="1" applyBorder="1"/>
    <xf numFmtId="0" fontId="3" fillId="0" borderId="0" xfId="65" applyFont="1" applyFill="1" applyBorder="1" applyAlignment="1">
      <alignment horizontal="center"/>
    </xf>
    <xf numFmtId="42" fontId="3" fillId="0" borderId="0" xfId="65" applyNumberFormat="1" applyFont="1" applyFill="1" applyBorder="1"/>
    <xf numFmtId="41" fontId="3" fillId="0" borderId="0" xfId="65" applyNumberFormat="1" applyFont="1" applyFill="1" applyBorder="1" applyAlignment="1">
      <alignment horizontal="right"/>
    </xf>
    <xf numFmtId="0" fontId="3" fillId="0" borderId="0" xfId="65" applyFont="1" applyFill="1" applyBorder="1" applyAlignment="1">
      <alignment horizontal="right"/>
    </xf>
    <xf numFmtId="41" fontId="3" fillId="0" borderId="0" xfId="65" applyNumberFormat="1" applyFont="1" applyFill="1" applyBorder="1"/>
    <xf numFmtId="41" fontId="3" fillId="0" borderId="11" xfId="65" applyNumberFormat="1" applyFont="1" applyFill="1" applyBorder="1"/>
    <xf numFmtId="0" fontId="9" fillId="0" borderId="0" xfId="65" applyFont="1" applyFill="1" applyBorder="1"/>
    <xf numFmtId="42" fontId="3" fillId="0" borderId="12" xfId="65" applyNumberFormat="1" applyFont="1" applyFill="1" applyBorder="1"/>
    <xf numFmtId="0" fontId="9" fillId="0" borderId="0" xfId="65" applyFont="1" applyFill="1" applyBorder="1" applyAlignment="1">
      <alignment horizontal="right"/>
    </xf>
    <xf numFmtId="0" fontId="9" fillId="0" borderId="11" xfId="65" applyFont="1" applyFill="1" applyBorder="1"/>
    <xf numFmtId="0" fontId="3" fillId="0" borderId="11" xfId="65" applyFont="1" applyFill="1" applyBorder="1"/>
    <xf numFmtId="42" fontId="3" fillId="0" borderId="11" xfId="65" applyNumberFormat="1" applyFont="1" applyFill="1" applyBorder="1"/>
    <xf numFmtId="41" fontId="3" fillId="0" borderId="11" xfId="65" applyNumberFormat="1" applyFont="1" applyFill="1" applyBorder="1" applyAlignment="1">
      <alignment horizontal="right"/>
    </xf>
    <xf numFmtId="0" fontId="42" fillId="39" borderId="0" xfId="0" applyFont="1" applyFill="1" applyAlignment="1">
      <alignment horizontal="center"/>
    </xf>
    <xf numFmtId="0" fontId="4" fillId="0" borderId="0" xfId="61" applyNumberFormat="1" applyFont="1" applyFill="1" applyBorder="1" applyAlignment="1"/>
    <xf numFmtId="0" fontId="42" fillId="0" borderId="0" xfId="0" applyFont="1" applyFill="1"/>
    <xf numFmtId="42" fontId="42" fillId="0" borderId="11" xfId="0" applyNumberFormat="1" applyFont="1" applyBorder="1"/>
    <xf numFmtId="182" fontId="42" fillId="0" borderId="11" xfId="0" applyNumberFormat="1" applyFont="1" applyBorder="1"/>
    <xf numFmtId="169" fontId="42" fillId="0" borderId="14" xfId="126" applyNumberFormat="1" applyFont="1" applyBorder="1"/>
    <xf numFmtId="181" fontId="42" fillId="0" borderId="0" xfId="0" applyNumberFormat="1" applyFont="1" applyFill="1" applyBorder="1"/>
    <xf numFmtId="176" fontId="42" fillId="0" borderId="0" xfId="123" applyNumberFormat="1" applyFont="1" applyFill="1" applyBorder="1"/>
    <xf numFmtId="0" fontId="46" fillId="0" borderId="0" xfId="0" applyFont="1" applyAlignment="1">
      <alignment horizontal="center"/>
    </xf>
    <xf numFmtId="175" fontId="46" fillId="44" borderId="0" xfId="0" applyNumberFormat="1" applyFont="1" applyFill="1" applyBorder="1"/>
    <xf numFmtId="0" fontId="47" fillId="44" borderId="0" xfId="0" applyFont="1" applyFill="1" applyBorder="1" applyAlignment="1">
      <alignment horizontal="center"/>
    </xf>
    <xf numFmtId="176" fontId="46" fillId="44" borderId="0" xfId="123" applyNumberFormat="1" applyFont="1" applyFill="1" applyBorder="1"/>
    <xf numFmtId="176" fontId="46" fillId="44" borderId="15" xfId="123" applyNumberFormat="1" applyFont="1" applyFill="1" applyBorder="1"/>
    <xf numFmtId="0" fontId="46" fillId="44" borderId="0" xfId="0" applyFont="1" applyFill="1" applyBorder="1"/>
    <xf numFmtId="167" fontId="0" fillId="44" borderId="57" xfId="123" applyNumberFormat="1" applyFont="1" applyFill="1" applyBorder="1" applyAlignment="1">
      <alignment wrapText="1"/>
    </xf>
    <xf numFmtId="167" fontId="0" fillId="44" borderId="58" xfId="123" applyNumberFormat="1" applyFont="1" applyFill="1" applyBorder="1" applyAlignment="1">
      <alignment wrapText="1"/>
    </xf>
    <xf numFmtId="0" fontId="60" fillId="40" borderId="56" xfId="0" applyFont="1" applyFill="1" applyBorder="1" applyAlignment="1">
      <alignment horizontal="center" wrapText="1"/>
    </xf>
    <xf numFmtId="41" fontId="3" fillId="24" borderId="11" xfId="47" applyNumberFormat="1" applyFont="1" applyFill="1" applyBorder="1"/>
    <xf numFmtId="0" fontId="42" fillId="0" borderId="0" xfId="0" applyFont="1" applyAlignment="1">
      <alignment horizontal="right"/>
    </xf>
    <xf numFmtId="167" fontId="42" fillId="0" borderId="0" xfId="123" applyNumberFormat="1" applyFont="1"/>
    <xf numFmtId="0" fontId="42" fillId="40" borderId="29" xfId="0" applyFont="1" applyFill="1" applyBorder="1"/>
    <xf numFmtId="0" fontId="42" fillId="40" borderId="30" xfId="0" applyFont="1" applyFill="1" applyBorder="1"/>
    <xf numFmtId="167" fontId="42" fillId="40" borderId="0" xfId="123" applyNumberFormat="1" applyFont="1" applyFill="1" applyBorder="1"/>
    <xf numFmtId="0" fontId="42" fillId="40" borderId="29" xfId="0" applyFont="1" applyFill="1" applyBorder="1" applyAlignment="1"/>
    <xf numFmtId="0" fontId="42" fillId="40" borderId="0" xfId="0" applyFont="1" applyFill="1" applyBorder="1" applyAlignment="1"/>
    <xf numFmtId="0" fontId="42" fillId="40" borderId="66" xfId="0" applyFont="1" applyFill="1" applyBorder="1"/>
    <xf numFmtId="0" fontId="42" fillId="40" borderId="67" xfId="0" applyFont="1" applyFill="1" applyBorder="1"/>
    <xf numFmtId="0" fontId="42" fillId="40" borderId="0" xfId="0" applyFont="1" applyFill="1" applyBorder="1" applyAlignment="1">
      <alignment horizontal="left"/>
    </xf>
    <xf numFmtId="0" fontId="42" fillId="40" borderId="0" xfId="0" applyFont="1" applyFill="1" applyBorder="1" applyAlignment="1">
      <alignment horizontal="right"/>
    </xf>
    <xf numFmtId="167" fontId="3" fillId="40" borderId="0" xfId="123" applyNumberFormat="1" applyFont="1" applyFill="1" applyBorder="1" applyAlignment="1">
      <alignment horizontal="right"/>
    </xf>
    <xf numFmtId="0" fontId="42" fillId="0" borderId="0" xfId="0" applyFont="1" applyAlignment="1"/>
    <xf numFmtId="0" fontId="42" fillId="0" borderId="0" xfId="0" applyFont="1" applyBorder="1" applyAlignment="1"/>
    <xf numFmtId="0" fontId="42" fillId="40" borderId="30" xfId="0" applyFont="1" applyFill="1" applyBorder="1" applyAlignment="1"/>
    <xf numFmtId="173" fontId="46" fillId="0" borderId="0" xfId="0" applyNumberFormat="1" applyFont="1" applyAlignment="1"/>
    <xf numFmtId="173" fontId="46" fillId="0" borderId="0" xfId="0" applyNumberFormat="1" applyFont="1" applyAlignment="1">
      <alignment horizontal="center"/>
    </xf>
    <xf numFmtId="0" fontId="46" fillId="40" borderId="0" xfId="0" applyFont="1" applyFill="1" applyAlignment="1"/>
    <xf numFmtId="0" fontId="46" fillId="0" borderId="0" xfId="0" applyFont="1" applyBorder="1" applyAlignment="1"/>
    <xf numFmtId="0" fontId="9" fillId="40" borderId="0" xfId="0" applyFont="1" applyFill="1" applyProtection="1"/>
    <xf numFmtId="0" fontId="3" fillId="40" borderId="0" xfId="61" applyNumberFormat="1" applyFont="1" applyFill="1" applyAlignment="1" applyProtection="1"/>
    <xf numFmtId="0" fontId="3" fillId="40" borderId="0" xfId="0" applyFont="1" applyFill="1" applyBorder="1" applyProtection="1"/>
    <xf numFmtId="0" fontId="2" fillId="40" borderId="0" xfId="61" applyNumberFormat="1" applyFont="1" applyFill="1" applyAlignment="1" applyProtection="1">
      <alignment horizontal="left" indent="2"/>
    </xf>
    <xf numFmtId="0" fontId="4" fillId="40" borderId="0" xfId="61" applyNumberFormat="1" applyFont="1" applyFill="1" applyAlignment="1" applyProtection="1">
      <alignment horizontal="left" indent="3"/>
    </xf>
    <xf numFmtId="0" fontId="2" fillId="40" borderId="0" xfId="61" applyNumberFormat="1" applyFont="1" applyFill="1" applyAlignment="1" applyProtection="1"/>
    <xf numFmtId="39" fontId="2" fillId="40" borderId="0" xfId="61" applyNumberFormat="1" applyFont="1" applyFill="1" applyAlignment="1" applyProtection="1"/>
    <xf numFmtId="0" fontId="2" fillId="40" borderId="0" xfId="61" applyNumberFormat="1" applyFont="1" applyFill="1" applyBorder="1" applyAlignment="1" applyProtection="1"/>
    <xf numFmtId="0" fontId="4" fillId="40" borderId="0" xfId="61" applyNumberFormat="1" applyFont="1" applyFill="1" applyBorder="1" applyAlignment="1" applyProtection="1">
      <alignment horizontal="center" vertical="center"/>
    </xf>
    <xf numFmtId="0" fontId="2" fillId="40" borderId="0" xfId="61" applyNumberFormat="1" applyFont="1" applyFill="1" applyBorder="1" applyAlignment="1" applyProtection="1">
      <alignment horizontal="center"/>
    </xf>
    <xf numFmtId="0" fontId="4" fillId="40" borderId="11" xfId="61" applyNumberFormat="1" applyFont="1" applyFill="1" applyBorder="1" applyAlignment="1" applyProtection="1">
      <alignment vertical="center"/>
    </xf>
    <xf numFmtId="41" fontId="9" fillId="40" borderId="11" xfId="0" applyNumberFormat="1" applyFont="1" applyFill="1" applyBorder="1" applyAlignment="1" applyProtection="1">
      <alignment horizontal="center"/>
    </xf>
    <xf numFmtId="0" fontId="2" fillId="40" borderId="0" xfId="61" applyNumberFormat="1" applyFont="1" applyFill="1" applyAlignment="1" applyProtection="1">
      <alignment horizontal="center"/>
    </xf>
    <xf numFmtId="174" fontId="2" fillId="40" borderId="0" xfId="61" applyNumberFormat="1" applyFont="1" applyFill="1" applyBorder="1" applyAlignment="1" applyProtection="1"/>
    <xf numFmtId="43" fontId="3" fillId="40" borderId="0" xfId="123" applyFont="1" applyFill="1" applyProtection="1"/>
    <xf numFmtId="39" fontId="2" fillId="40" borderId="0" xfId="61" applyNumberFormat="1" applyFont="1" applyFill="1" applyBorder="1" applyAlignment="1" applyProtection="1"/>
    <xf numFmtId="43" fontId="3" fillId="40" borderId="0" xfId="0" applyNumberFormat="1" applyFont="1" applyFill="1" applyBorder="1" applyProtection="1"/>
    <xf numFmtId="174" fontId="3" fillId="40" borderId="0" xfId="0" applyNumberFormat="1" applyFont="1" applyFill="1" applyProtection="1"/>
    <xf numFmtId="41" fontId="3" fillId="40" borderId="0" xfId="0" applyNumberFormat="1" applyFont="1" applyFill="1" applyProtection="1"/>
    <xf numFmtId="43" fontId="42" fillId="40" borderId="0" xfId="123" applyFont="1" applyFill="1" applyProtection="1"/>
    <xf numFmtId="0" fontId="42" fillId="40" borderId="0" xfId="0" applyFont="1" applyFill="1" applyBorder="1" applyProtection="1"/>
    <xf numFmtId="41" fontId="9" fillId="40" borderId="0" xfId="0" applyNumberFormat="1" applyFont="1" applyFill="1" applyAlignment="1" applyProtection="1">
      <alignment horizontal="center" vertical="center"/>
    </xf>
    <xf numFmtId="41" fontId="9" fillId="40" borderId="0" xfId="0" applyNumberFormat="1" applyFont="1" applyFill="1" applyProtection="1"/>
    <xf numFmtId="41" fontId="9" fillId="40" borderId="0" xfId="0" applyNumberFormat="1" applyFont="1" applyFill="1" applyAlignment="1" applyProtection="1">
      <alignment horizontal="center"/>
    </xf>
    <xf numFmtId="167" fontId="42" fillId="40" borderId="0" xfId="123" applyNumberFormat="1" applyFont="1" applyFill="1" applyProtection="1"/>
    <xf numFmtId="49" fontId="10" fillId="40" borderId="0" xfId="61" applyNumberFormat="1" applyFont="1" applyFill="1" applyBorder="1" applyAlignment="1" applyProtection="1">
      <alignment horizontal="center"/>
    </xf>
    <xf numFmtId="4" fontId="2" fillId="40" borderId="0" xfId="61" applyNumberFormat="1" applyFont="1" applyFill="1" applyAlignment="1" applyProtection="1">
      <alignment horizontal="right"/>
    </xf>
    <xf numFmtId="4" fontId="2" fillId="40" borderId="0" xfId="61" applyNumberFormat="1" applyFont="1" applyFill="1" applyBorder="1" applyAlignment="1" applyProtection="1">
      <alignment horizontal="right"/>
    </xf>
    <xf numFmtId="4" fontId="4" fillId="40" borderId="0" xfId="61" applyNumberFormat="1" applyFont="1" applyFill="1" applyBorder="1" applyAlignment="1" applyProtection="1">
      <alignment horizontal="center"/>
    </xf>
    <xf numFmtId="165" fontId="2" fillId="40" borderId="0" xfId="61" applyNumberFormat="1" applyFont="1" applyFill="1" applyBorder="1" applyAlignment="1" applyProtection="1">
      <alignment horizontal="center"/>
    </xf>
    <xf numFmtId="165" fontId="4" fillId="40" borderId="0" xfId="61" applyNumberFormat="1" applyFont="1" applyFill="1" applyBorder="1" applyAlignment="1" applyProtection="1">
      <alignment horizontal="center"/>
    </xf>
    <xf numFmtId="0" fontId="3" fillId="40" borderId="11" xfId="61" applyNumberFormat="1" applyFont="1" applyFill="1" applyBorder="1" applyAlignment="1" applyProtection="1"/>
    <xf numFmtId="4" fontId="2" fillId="40" borderId="0" xfId="61" applyNumberFormat="1" applyFont="1" applyFill="1" applyBorder="1" applyAlignment="1" applyProtection="1">
      <alignment horizontal="center"/>
    </xf>
    <xf numFmtId="0" fontId="4" fillId="40" borderId="0" xfId="61" applyNumberFormat="1" applyFont="1" applyFill="1" applyAlignment="1" applyProtection="1"/>
    <xf numFmtId="0" fontId="2" fillId="40" borderId="0" xfId="61" applyNumberFormat="1" applyFont="1" applyFill="1" applyAlignment="1" applyProtection="1">
      <alignment horizontal="left"/>
    </xf>
    <xf numFmtId="0" fontId="4" fillId="40" borderId="0" xfId="61" applyNumberFormat="1" applyFont="1" applyFill="1" applyAlignment="1" applyProtection="1">
      <alignment horizontal="left"/>
    </xf>
    <xf numFmtId="0" fontId="3" fillId="40" borderId="0" xfId="0" applyFont="1" applyFill="1" applyAlignment="1" applyProtection="1">
      <alignment horizontal="left"/>
    </xf>
    <xf numFmtId="167" fontId="2" fillId="40" borderId="0" xfId="123" applyNumberFormat="1" applyFont="1" applyFill="1" applyAlignment="1" applyProtection="1"/>
    <xf numFmtId="167" fontId="3" fillId="40" borderId="0" xfId="123" applyNumberFormat="1" applyFont="1" applyFill="1" applyAlignment="1" applyProtection="1"/>
    <xf numFmtId="164" fontId="2" fillId="40" borderId="0" xfId="61" applyNumberFormat="1" applyFont="1" applyFill="1" applyAlignment="1" applyProtection="1">
      <alignment horizontal="left"/>
    </xf>
    <xf numFmtId="39" fontId="2" fillId="40" borderId="0" xfId="61" applyNumberFormat="1" applyFont="1" applyFill="1" applyBorder="1" applyAlignment="1" applyProtection="1">
      <alignment horizontal="right"/>
    </xf>
    <xf numFmtId="174" fontId="2" fillId="40" borderId="0" xfId="61" applyNumberFormat="1" applyFont="1" applyFill="1" applyBorder="1" applyAlignment="1" applyProtection="1">
      <alignment horizontal="right"/>
    </xf>
    <xf numFmtId="167" fontId="2" fillId="40" borderId="0" xfId="123" applyNumberFormat="1" applyFont="1" applyFill="1" applyBorder="1" applyAlignment="1" applyProtection="1">
      <alignment horizontal="right"/>
    </xf>
    <xf numFmtId="167" fontId="3" fillId="40" borderId="0" xfId="0" applyNumberFormat="1" applyFont="1" applyFill="1" applyProtection="1"/>
    <xf numFmtId="164" fontId="2" fillId="40" borderId="0" xfId="61" applyNumberFormat="1" applyFont="1" applyFill="1" applyBorder="1" applyAlignment="1" applyProtection="1">
      <alignment horizontal="right"/>
    </xf>
    <xf numFmtId="39" fontId="3" fillId="40" borderId="0" xfId="61" applyNumberFormat="1" applyFont="1" applyFill="1" applyBorder="1" applyAlignment="1" applyProtection="1"/>
    <xf numFmtId="39" fontId="4" fillId="40" borderId="0" xfId="61" applyNumberFormat="1" applyFont="1" applyFill="1" applyBorder="1" applyAlignment="1" applyProtection="1">
      <alignment horizontal="right"/>
    </xf>
    <xf numFmtId="49" fontId="10" fillId="40" borderId="0" xfId="110" applyNumberFormat="1" applyFont="1" applyFill="1" applyAlignment="1" applyProtection="1">
      <alignment horizontal="center"/>
    </xf>
    <xf numFmtId="166" fontId="2" fillId="40" borderId="0" xfId="61" applyNumberFormat="1" applyFont="1" applyFill="1" applyBorder="1" applyAlignment="1" applyProtection="1">
      <alignment horizontal="left"/>
    </xf>
    <xf numFmtId="0" fontId="4" fillId="40" borderId="0" xfId="61" applyNumberFormat="1" applyFont="1" applyFill="1" applyBorder="1" applyAlignment="1" applyProtection="1"/>
    <xf numFmtId="0" fontId="3" fillId="40" borderId="0" xfId="61" applyNumberFormat="1" applyFont="1" applyFill="1" applyBorder="1" applyAlignment="1" applyProtection="1"/>
    <xf numFmtId="0" fontId="4" fillId="40" borderId="0" xfId="61" applyNumberFormat="1" applyFont="1" applyFill="1" applyAlignment="1" applyProtection="1">
      <alignment horizontal="left" indent="2"/>
    </xf>
    <xf numFmtId="39" fontId="3" fillId="40" borderId="0" xfId="0" applyNumberFormat="1" applyFont="1" applyFill="1" applyProtection="1"/>
    <xf numFmtId="39" fontId="3" fillId="40" borderId="0" xfId="0" applyNumberFormat="1" applyFont="1" applyFill="1" applyBorder="1" applyProtection="1"/>
    <xf numFmtId="164" fontId="2" fillId="40" borderId="0" xfId="61" applyNumberFormat="1" applyFont="1" applyFill="1" applyBorder="1" applyAlignment="1" applyProtection="1"/>
    <xf numFmtId="39" fontId="3" fillId="40" borderId="0" xfId="61" applyNumberFormat="1" applyFont="1" applyFill="1" applyAlignment="1" applyProtection="1"/>
    <xf numFmtId="167" fontId="3" fillId="40" borderId="11" xfId="123" applyNumberFormat="1" applyFont="1" applyFill="1" applyBorder="1" applyProtection="1"/>
    <xf numFmtId="4" fontId="2" fillId="40" borderId="0" xfId="61" applyNumberFormat="1" applyFont="1" applyFill="1" applyBorder="1" applyAlignment="1" applyProtection="1"/>
    <xf numFmtId="0" fontId="12" fillId="0" borderId="97" xfId="61" applyNumberFormat="1" applyFont="1" applyBorder="1" applyAlignment="1" applyProtection="1"/>
    <xf numFmtId="49" fontId="10" fillId="0" borderId="97" xfId="61" applyNumberFormat="1" applyFont="1" applyBorder="1" applyAlignment="1" applyProtection="1">
      <alignment horizontal="center"/>
    </xf>
    <xf numFmtId="41" fontId="9" fillId="40" borderId="0" xfId="0" applyNumberFormat="1" applyFont="1" applyFill="1" applyBorder="1" applyAlignment="1" applyProtection="1">
      <alignment horizontal="center"/>
    </xf>
    <xf numFmtId="49" fontId="10" fillId="40" borderId="0" xfId="61" applyNumberFormat="1" applyFont="1" applyFill="1" applyAlignment="1" applyProtection="1">
      <alignment textRotation="45"/>
    </xf>
    <xf numFmtId="49" fontId="12" fillId="40" borderId="0" xfId="61" applyNumberFormat="1" applyFont="1" applyFill="1" applyAlignment="1" applyProtection="1">
      <alignment horizontal="center"/>
    </xf>
    <xf numFmtId="0" fontId="3" fillId="40" borderId="0" xfId="61" applyFont="1" applyFill="1" applyProtection="1"/>
    <xf numFmtId="167" fontId="9" fillId="40" borderId="11" xfId="110" applyNumberFormat="1" applyFont="1" applyFill="1" applyBorder="1" applyAlignment="1" applyProtection="1">
      <alignment horizontal="center" vertical="center"/>
    </xf>
    <xf numFmtId="0" fontId="9" fillId="40" borderId="0" xfId="61" applyFont="1" applyFill="1" applyProtection="1"/>
    <xf numFmtId="0" fontId="3" fillId="40" borderId="0" xfId="111" applyFont="1" applyFill="1" applyProtection="1"/>
    <xf numFmtId="43" fontId="3" fillId="40" borderId="0" xfId="61" applyNumberFormat="1" applyFont="1" applyFill="1" applyProtection="1"/>
    <xf numFmtId="0" fontId="9" fillId="40" borderId="0" xfId="61" applyFont="1" applyFill="1" applyAlignment="1" applyProtection="1">
      <alignment horizontal="left"/>
    </xf>
    <xf numFmtId="0" fontId="3" fillId="40" borderId="0" xfId="61" applyFont="1" applyFill="1" applyAlignment="1" applyProtection="1">
      <alignment horizontal="left"/>
    </xf>
    <xf numFmtId="0" fontId="7" fillId="40" borderId="0" xfId="113" applyFont="1" applyFill="1" applyProtection="1"/>
    <xf numFmtId="0" fontId="3" fillId="40" borderId="0" xfId="115" applyFont="1" applyFill="1" applyProtection="1"/>
    <xf numFmtId="0" fontId="9" fillId="40" borderId="0" xfId="61" applyFont="1" applyFill="1" applyAlignment="1" applyProtection="1">
      <alignment horizontal="left" indent="2"/>
    </xf>
    <xf numFmtId="39" fontId="3" fillId="40" borderId="0" xfId="29" applyNumberFormat="1" applyFont="1" applyFill="1" applyProtection="1"/>
    <xf numFmtId="0" fontId="9" fillId="40" borderId="0" xfId="61" applyFont="1" applyFill="1" applyAlignment="1" applyProtection="1">
      <alignment horizontal="left" indent="1"/>
    </xf>
    <xf numFmtId="0" fontId="3" fillId="40" borderId="0" xfId="61" applyFont="1" applyFill="1" applyAlignment="1" applyProtection="1">
      <alignment horizontal="left" indent="2"/>
    </xf>
    <xf numFmtId="0" fontId="3" fillId="40" borderId="0" xfId="112" applyFont="1" applyFill="1" applyProtection="1"/>
    <xf numFmtId="0" fontId="3" fillId="40" borderId="0" xfId="116" applyFont="1" applyFill="1" applyProtection="1"/>
    <xf numFmtId="0" fontId="3" fillId="40" borderId="0" xfId="114" applyFont="1" applyFill="1" applyProtection="1"/>
    <xf numFmtId="44" fontId="3" fillId="40" borderId="0" xfId="48" applyFont="1" applyFill="1" applyBorder="1" applyProtection="1"/>
    <xf numFmtId="43" fontId="9" fillId="0" borderId="11" xfId="123" applyFont="1" applyBorder="1" applyAlignment="1">
      <alignment horizontal="center" vertical="center"/>
    </xf>
    <xf numFmtId="43" fontId="9" fillId="0" borderId="0" xfId="123" applyFont="1" applyBorder="1" applyAlignment="1">
      <alignment horizontal="center" vertical="center"/>
    </xf>
    <xf numFmtId="0" fontId="3" fillId="0" borderId="0" xfId="61" applyNumberFormat="1" applyFont="1" applyAlignment="1" applyProtection="1">
      <protection locked="0"/>
    </xf>
    <xf numFmtId="0" fontId="11" fillId="0" borderId="0" xfId="61" applyNumberFormat="1" applyFont="1" applyAlignment="1" applyProtection="1">
      <protection locked="0"/>
    </xf>
    <xf numFmtId="39" fontId="11" fillId="0" borderId="0" xfId="61" applyNumberFormat="1" applyFont="1" applyAlignment="1" applyProtection="1"/>
    <xf numFmtId="0" fontId="6" fillId="0" borderId="0" xfId="61" applyNumberFormat="1" applyFont="1" applyFill="1" applyAlignment="1" applyProtection="1"/>
    <xf numFmtId="0" fontId="11" fillId="0" borderId="0" xfId="61" applyNumberFormat="1" applyFont="1" applyAlignment="1" applyProtection="1"/>
    <xf numFmtId="39" fontId="11" fillId="31" borderId="0" xfId="61" applyNumberFormat="1" applyFont="1" applyFill="1" applyAlignment="1" applyProtection="1">
      <protection locked="0"/>
    </xf>
    <xf numFmtId="0" fontId="59" fillId="0" borderId="0" xfId="0" applyFont="1" applyProtection="1"/>
    <xf numFmtId="0" fontId="11" fillId="0" borderId="0" xfId="61" applyNumberFormat="1" applyFont="1" applyAlignment="1" applyProtection="1">
      <alignment wrapText="1"/>
    </xf>
    <xf numFmtId="0" fontId="4" fillId="24" borderId="0" xfId="117" applyFont="1" applyFill="1" applyAlignment="1" applyProtection="1"/>
    <xf numFmtId="0" fontId="2" fillId="24" borderId="0" xfId="117" applyFont="1" applyFill="1" applyAlignment="1" applyProtection="1"/>
    <xf numFmtId="0" fontId="4" fillId="32" borderId="0" xfId="117" applyFont="1" applyFill="1" applyAlignment="1" applyProtection="1">
      <alignment horizontal="center"/>
    </xf>
    <xf numFmtId="0" fontId="2" fillId="32" borderId="0" xfId="117" applyFont="1" applyFill="1" applyAlignment="1" applyProtection="1">
      <alignment horizontal="center"/>
    </xf>
    <xf numFmtId="0" fontId="3" fillId="0" borderId="0" xfId="117" applyFont="1" applyAlignment="1" applyProtection="1"/>
    <xf numFmtId="0" fontId="3" fillId="0" borderId="0" xfId="117" applyFont="1" applyProtection="1"/>
    <xf numFmtId="0" fontId="4" fillId="24" borderId="0" xfId="117" applyNumberFormat="1" applyFont="1" applyFill="1" applyAlignment="1" applyProtection="1">
      <alignment horizontal="centerContinuous"/>
    </xf>
    <xf numFmtId="0" fontId="2" fillId="24" borderId="0" xfId="117" applyNumberFormat="1" applyFont="1" applyFill="1" applyAlignment="1" applyProtection="1"/>
    <xf numFmtId="0" fontId="4" fillId="38" borderId="11" xfId="117" applyFont="1" applyFill="1" applyBorder="1" applyAlignment="1" applyProtection="1">
      <alignment horizontal="center"/>
    </xf>
    <xf numFmtId="0" fontId="4" fillId="32" borderId="11" xfId="117" applyFont="1" applyFill="1" applyBorder="1" applyAlignment="1" applyProtection="1">
      <alignment horizontal="center"/>
    </xf>
    <xf numFmtId="0" fontId="2" fillId="24" borderId="0" xfId="117" applyFont="1" applyFill="1" applyBorder="1" applyAlignment="1" applyProtection="1"/>
    <xf numFmtId="0" fontId="4" fillId="24" borderId="0" xfId="117" applyNumberFormat="1" applyFont="1" applyFill="1" applyAlignment="1" applyProtection="1"/>
    <xf numFmtId="170" fontId="4" fillId="24" borderId="0" xfId="117" applyNumberFormat="1" applyFont="1" applyFill="1" applyAlignment="1" applyProtection="1"/>
    <xf numFmtId="170" fontId="2" fillId="24" borderId="0" xfId="117" applyNumberFormat="1" applyFont="1" applyFill="1" applyBorder="1" applyAlignment="1" applyProtection="1"/>
    <xf numFmtId="0" fontId="4" fillId="24" borderId="11" xfId="117" applyNumberFormat="1" applyFont="1" applyFill="1" applyBorder="1" applyAlignment="1" applyProtection="1"/>
    <xf numFmtId="0" fontId="2" fillId="0" borderId="0" xfId="117" applyNumberFormat="1" applyFont="1" applyFill="1" applyAlignment="1" applyProtection="1"/>
    <xf numFmtId="39" fontId="2" fillId="0" borderId="0" xfId="117" applyNumberFormat="1" applyFont="1" applyFill="1" applyBorder="1" applyAlignment="1" applyProtection="1"/>
    <xf numFmtId="170" fontId="2" fillId="0" borderId="0" xfId="117" applyNumberFormat="1" applyFont="1" applyFill="1" applyBorder="1" applyAlignment="1" applyProtection="1"/>
    <xf numFmtId="0" fontId="3" fillId="0" borderId="0" xfId="117" applyFont="1" applyAlignment="1" applyProtection="1">
      <protection locked="0"/>
    </xf>
    <xf numFmtId="39" fontId="2" fillId="0" borderId="0" xfId="117" applyNumberFormat="1" applyFont="1" applyFill="1" applyAlignment="1" applyProtection="1"/>
    <xf numFmtId="170" fontId="2" fillId="0" borderId="0" xfId="117" applyNumberFormat="1" applyFont="1" applyFill="1" applyAlignment="1" applyProtection="1"/>
    <xf numFmtId="170" fontId="2" fillId="26" borderId="0" xfId="117" applyNumberFormat="1" applyFont="1" applyFill="1" applyBorder="1" applyAlignment="1" applyProtection="1"/>
    <xf numFmtId="170" fontId="2" fillId="24" borderId="0" xfId="117" applyNumberFormat="1" applyFont="1" applyFill="1" applyAlignment="1" applyProtection="1"/>
    <xf numFmtId="170" fontId="2" fillId="28" borderId="0" xfId="117" applyNumberFormat="1" applyFont="1" applyFill="1" applyAlignment="1" applyProtection="1">
      <alignment horizontal="right"/>
    </xf>
    <xf numFmtId="39" fontId="2" fillId="24" borderId="0" xfId="117" applyNumberFormat="1" applyFont="1" applyFill="1" applyAlignment="1" applyProtection="1"/>
    <xf numFmtId="0" fontId="4" fillId="0" borderId="0" xfId="117" applyNumberFormat="1" applyFont="1" applyFill="1" applyAlignment="1" applyProtection="1"/>
    <xf numFmtId="0" fontId="3" fillId="24" borderId="0" xfId="117" applyFont="1" applyFill="1" applyAlignment="1" applyProtection="1"/>
    <xf numFmtId="0" fontId="3" fillId="0" borderId="0" xfId="117" applyFont="1" applyAlignment="1"/>
    <xf numFmtId="0" fontId="3" fillId="0" borderId="0" xfId="117" applyFont="1"/>
    <xf numFmtId="0" fontId="2" fillId="24" borderId="0" xfId="117" applyFont="1" applyFill="1" applyAlignment="1"/>
    <xf numFmtId="0" fontId="2" fillId="24" borderId="0" xfId="117" applyNumberFormat="1" applyFont="1" applyFill="1" applyAlignment="1"/>
    <xf numFmtId="170" fontId="2" fillId="24" borderId="0" xfId="117" applyNumberFormat="1" applyFont="1" applyFill="1" applyBorder="1" applyAlignment="1"/>
    <xf numFmtId="0" fontId="72" fillId="24" borderId="0" xfId="117" applyNumberFormat="1" applyFont="1" applyFill="1" applyBorder="1" applyAlignment="1"/>
    <xf numFmtId="0" fontId="4" fillId="24" borderId="0" xfId="117" applyNumberFormat="1" applyFont="1" applyFill="1" applyBorder="1" applyAlignment="1"/>
    <xf numFmtId="0" fontId="2" fillId="0" borderId="0" xfId="117" applyNumberFormat="1" applyFont="1" applyFill="1" applyAlignment="1"/>
    <xf numFmtId="39" fontId="2" fillId="0" borderId="0" xfId="117" applyNumberFormat="1" applyFont="1" applyFill="1" applyBorder="1" applyAlignment="1"/>
    <xf numFmtId="39" fontId="2" fillId="0" borderId="0" xfId="117" applyNumberFormat="1" applyFont="1" applyFill="1" applyAlignment="1"/>
    <xf numFmtId="0" fontId="4" fillId="0" borderId="0" xfId="117" applyNumberFormat="1" applyFont="1" applyFill="1" applyAlignment="1"/>
    <xf numFmtId="170" fontId="2" fillId="0" borderId="0" xfId="117" applyNumberFormat="1" applyFont="1" applyFill="1" applyBorder="1" applyAlignment="1"/>
    <xf numFmtId="0" fontId="3" fillId="0" borderId="0" xfId="117" applyFont="1" applyBorder="1" applyAlignment="1" applyProtection="1">
      <protection locked="0"/>
    </xf>
    <xf numFmtId="170" fontId="2" fillId="0" borderId="0" xfId="117" applyNumberFormat="1" applyFont="1" applyFill="1" applyAlignment="1"/>
    <xf numFmtId="0" fontId="4" fillId="24" borderId="0" xfId="117" applyNumberFormat="1" applyFont="1" applyFill="1" applyAlignment="1"/>
    <xf numFmtId="170" fontId="2" fillId="24" borderId="0" xfId="117" applyNumberFormat="1" applyFont="1" applyFill="1" applyAlignment="1"/>
    <xf numFmtId="39" fontId="2" fillId="24" borderId="0" xfId="117" applyNumberFormat="1" applyFont="1" applyFill="1" applyAlignment="1"/>
    <xf numFmtId="39" fontId="2" fillId="24" borderId="0" xfId="117" applyNumberFormat="1" applyFont="1" applyFill="1" applyBorder="1" applyAlignment="1"/>
    <xf numFmtId="0" fontId="3" fillId="0" borderId="0" xfId="117" applyFont="1" applyBorder="1" applyAlignment="1"/>
    <xf numFmtId="0" fontId="2" fillId="24" borderId="0" xfId="117" applyFont="1" applyFill="1" applyBorder="1" applyAlignment="1"/>
    <xf numFmtId="0" fontId="3" fillId="0" borderId="48" xfId="117" applyFont="1" applyBorder="1" applyAlignment="1"/>
    <xf numFmtId="0" fontId="3" fillId="0" borderId="25" xfId="117" applyFont="1" applyBorder="1" applyAlignment="1"/>
    <xf numFmtId="0" fontId="3" fillId="0" borderId="49" xfId="117" applyFont="1" applyBorder="1" applyAlignment="1"/>
    <xf numFmtId="0" fontId="3" fillId="0" borderId="17" xfId="117" applyFont="1" applyBorder="1" applyAlignment="1"/>
    <xf numFmtId="0" fontId="3" fillId="0" borderId="47" xfId="117" applyFont="1" applyBorder="1" applyAlignment="1"/>
    <xf numFmtId="0" fontId="3" fillId="0" borderId="0" xfId="61" applyFont="1" applyFill="1" applyBorder="1" applyProtection="1"/>
    <xf numFmtId="39" fontId="3" fillId="0" borderId="48" xfId="29" applyNumberFormat="1" applyFont="1" applyBorder="1" applyProtection="1"/>
    <xf numFmtId="39" fontId="3" fillId="0" borderId="17" xfId="29" applyNumberFormat="1" applyFont="1" applyBorder="1" applyProtection="1"/>
    <xf numFmtId="44" fontId="73" fillId="31" borderId="17" xfId="47" applyFont="1" applyFill="1" applyBorder="1" applyProtection="1">
      <protection locked="0"/>
    </xf>
    <xf numFmtId="0" fontId="9" fillId="0" borderId="0" xfId="61" applyFont="1" applyBorder="1" applyAlignment="1" applyProtection="1">
      <alignment horizontal="center"/>
    </xf>
    <xf numFmtId="0" fontId="3" fillId="0" borderId="0" xfId="61" applyFont="1" applyBorder="1" applyProtection="1"/>
    <xf numFmtId="0" fontId="71" fillId="0" borderId="0" xfId="0" applyFont="1"/>
    <xf numFmtId="0" fontId="71" fillId="0" borderId="0" xfId="0" applyFont="1" applyBorder="1"/>
    <xf numFmtId="0" fontId="71" fillId="0" borderId="0" xfId="0" applyFont="1" applyBorder="1" applyAlignment="1">
      <alignment horizontal="center"/>
    </xf>
    <xf numFmtId="168" fontId="71" fillId="0" borderId="0" xfId="0" applyNumberFormat="1" applyFont="1" applyBorder="1"/>
    <xf numFmtId="168" fontId="71" fillId="0" borderId="0" xfId="0" applyNumberFormat="1" applyFont="1"/>
    <xf numFmtId="0" fontId="71" fillId="0" borderId="0" xfId="0" applyFont="1" applyFill="1" applyBorder="1"/>
    <xf numFmtId="0" fontId="71" fillId="0" borderId="0" xfId="0" applyFont="1" applyFill="1" applyBorder="1" applyAlignment="1">
      <alignment horizontal="center"/>
    </xf>
    <xf numFmtId="168" fontId="71" fillId="0" borderId="0" xfId="0" applyNumberFormat="1" applyFont="1" applyFill="1" applyBorder="1"/>
    <xf numFmtId="0" fontId="71" fillId="0" borderId="19" xfId="0" applyFont="1" applyFill="1" applyBorder="1" applyAlignment="1">
      <alignment horizontal="center"/>
    </xf>
    <xf numFmtId="168" fontId="71" fillId="0" borderId="38" xfId="0" applyNumberFormat="1" applyFont="1" applyFill="1" applyBorder="1"/>
    <xf numFmtId="0" fontId="71" fillId="0" borderId="37" xfId="0" applyFont="1" applyFill="1" applyBorder="1"/>
    <xf numFmtId="0" fontId="71" fillId="0" borderId="38" xfId="0" applyFont="1" applyFill="1" applyBorder="1" applyAlignment="1">
      <alignment horizontal="center"/>
    </xf>
    <xf numFmtId="0" fontId="71" fillId="0" borderId="23" xfId="0" applyFont="1" applyFill="1" applyBorder="1" applyAlignment="1">
      <alignment horizontal="center"/>
    </xf>
    <xf numFmtId="168" fontId="71" fillId="0" borderId="41" xfId="0" applyNumberFormat="1" applyFont="1" applyFill="1" applyBorder="1"/>
    <xf numFmtId="0" fontId="71" fillId="0" borderId="44" xfId="0" applyFont="1" applyFill="1" applyBorder="1"/>
    <xf numFmtId="0" fontId="71" fillId="0" borderId="45" xfId="0" applyFont="1" applyFill="1" applyBorder="1" applyAlignment="1">
      <alignment horizontal="center"/>
    </xf>
    <xf numFmtId="0" fontId="71" fillId="0" borderId="40" xfId="0" applyFont="1" applyFill="1" applyBorder="1"/>
    <xf numFmtId="168" fontId="71" fillId="0" borderId="39" xfId="0" applyNumberFormat="1" applyFont="1" applyFill="1" applyBorder="1"/>
    <xf numFmtId="0" fontId="71" fillId="0" borderId="17" xfId="0" applyFont="1" applyFill="1" applyBorder="1"/>
    <xf numFmtId="0" fontId="71" fillId="0" borderId="0" xfId="0" applyFont="1" applyAlignment="1">
      <alignment horizontal="center"/>
    </xf>
    <xf numFmtId="0" fontId="71" fillId="0" borderId="47" xfId="0" applyFont="1" applyBorder="1"/>
    <xf numFmtId="0" fontId="71" fillId="0" borderId="48" xfId="0" applyFont="1" applyBorder="1"/>
    <xf numFmtId="0" fontId="71" fillId="0" borderId="25" xfId="0" applyFont="1" applyBorder="1"/>
    <xf numFmtId="0" fontId="71" fillId="0" borderId="25" xfId="0" applyFont="1" applyBorder="1" applyAlignment="1">
      <alignment horizontal="center"/>
    </xf>
    <xf numFmtId="0" fontId="71" fillId="0" borderId="49" xfId="0" applyFont="1" applyBorder="1"/>
    <xf numFmtId="0" fontId="71" fillId="0" borderId="17" xfId="0" applyFont="1" applyBorder="1"/>
    <xf numFmtId="0" fontId="0" fillId="40" borderId="0" xfId="0" applyFill="1"/>
    <xf numFmtId="0" fontId="4" fillId="40" borderId="0" xfId="61" applyNumberFormat="1" applyFont="1" applyFill="1" applyBorder="1" applyAlignment="1">
      <alignment horizontal="right"/>
    </xf>
    <xf numFmtId="0" fontId="3" fillId="40" borderId="0" xfId="61" applyNumberFormat="1" applyFont="1" applyFill="1" applyBorder="1" applyAlignment="1"/>
    <xf numFmtId="0" fontId="3" fillId="40" borderId="0" xfId="0" applyFont="1" applyFill="1" applyAlignment="1">
      <alignment horizontal="center"/>
    </xf>
    <xf numFmtId="0" fontId="3" fillId="40" borderId="11" xfId="0" applyFont="1" applyFill="1" applyBorder="1" applyAlignment="1">
      <alignment horizontal="left"/>
    </xf>
    <xf numFmtId="0" fontId="3" fillId="40" borderId="11" xfId="0" applyFont="1" applyFill="1" applyBorder="1" applyAlignment="1">
      <alignment horizontal="center"/>
    </xf>
    <xf numFmtId="37" fontId="3" fillId="40" borderId="0" xfId="0" applyNumberFormat="1" applyFont="1" applyFill="1" applyBorder="1"/>
    <xf numFmtId="37" fontId="3" fillId="40" borderId="0" xfId="0" applyNumberFormat="1" applyFont="1" applyFill="1"/>
    <xf numFmtId="37" fontId="3" fillId="40" borderId="0" xfId="0" applyNumberFormat="1" applyFont="1" applyFill="1" applyBorder="1" applyAlignment="1">
      <alignment horizontal="right"/>
    </xf>
    <xf numFmtId="167" fontId="3" fillId="40" borderId="11" xfId="123" applyNumberFormat="1" applyFont="1" applyFill="1" applyBorder="1"/>
    <xf numFmtId="0" fontId="9" fillId="40" borderId="0" xfId="0" applyFont="1" applyFill="1"/>
    <xf numFmtId="37" fontId="9" fillId="40" borderId="0" xfId="0" applyNumberFormat="1" applyFont="1" applyFill="1" applyBorder="1" applyAlignment="1">
      <alignment horizontal="right"/>
    </xf>
    <xf numFmtId="42" fontId="3" fillId="40" borderId="12" xfId="0" applyNumberFormat="1" applyFont="1" applyFill="1" applyBorder="1"/>
    <xf numFmtId="41" fontId="3" fillId="40" borderId="0" xfId="0" applyNumberFormat="1" applyFont="1" applyFill="1"/>
    <xf numFmtId="41" fontId="3" fillId="40" borderId="11" xfId="0" applyNumberFormat="1" applyFont="1" applyFill="1" applyBorder="1"/>
    <xf numFmtId="42" fontId="3" fillId="40" borderId="0" xfId="0" applyNumberFormat="1" applyFont="1" applyFill="1" applyBorder="1"/>
    <xf numFmtId="174" fontId="3" fillId="40" borderId="0" xfId="47" applyNumberFormat="1" applyFont="1" applyFill="1" applyBorder="1" applyAlignment="1">
      <alignment horizontal="right"/>
    </xf>
    <xf numFmtId="174" fontId="3" fillId="40" borderId="0" xfId="47" applyNumberFormat="1" applyFont="1" applyFill="1" applyBorder="1"/>
    <xf numFmtId="167" fontId="3" fillId="40" borderId="0" xfId="123" applyNumberFormat="1" applyFont="1" applyFill="1" applyBorder="1"/>
    <xf numFmtId="41" fontId="3" fillId="40" borderId="0" xfId="47" applyNumberFormat="1" applyFont="1" applyFill="1" applyBorder="1"/>
    <xf numFmtId="0" fontId="3" fillId="40" borderId="11" xfId="0" applyFont="1" applyFill="1" applyBorder="1"/>
    <xf numFmtId="0" fontId="9" fillId="40" borderId="0" xfId="0" applyFont="1" applyFill="1" applyBorder="1"/>
    <xf numFmtId="0" fontId="57" fillId="40" borderId="0" xfId="0" applyFont="1" applyFill="1" applyAlignment="1">
      <alignment horizontal="left"/>
    </xf>
    <xf numFmtId="174" fontId="3" fillId="24" borderId="0" xfId="47" applyNumberFormat="1" applyFont="1" applyFill="1" applyBorder="1"/>
    <xf numFmtId="0" fontId="3" fillId="40" borderId="0" xfId="0" applyFont="1" applyFill="1" applyBorder="1" applyAlignment="1">
      <alignment horizontal="left"/>
    </xf>
    <xf numFmtId="180" fontId="3" fillId="40" borderId="0" xfId="0" applyNumberFormat="1" applyFont="1" applyFill="1" applyBorder="1"/>
    <xf numFmtId="42" fontId="3" fillId="40" borderId="12" xfId="47" applyNumberFormat="1" applyFont="1" applyFill="1" applyBorder="1"/>
    <xf numFmtId="0" fontId="46" fillId="40" borderId="0" xfId="0" applyFont="1" applyFill="1" applyBorder="1" applyAlignment="1"/>
    <xf numFmtId="41" fontId="3" fillId="31" borderId="0" xfId="0" applyNumberFormat="1" applyFont="1" applyFill="1" applyBorder="1" applyProtection="1">
      <protection locked="0"/>
    </xf>
    <xf numFmtId="41" fontId="3" fillId="31" borderId="11" xfId="0" applyNumberFormat="1" applyFont="1" applyFill="1" applyBorder="1" applyProtection="1">
      <protection locked="0"/>
    </xf>
    <xf numFmtId="173" fontId="46" fillId="40" borderId="0" xfId="0" applyNumberFormat="1" applyFont="1" applyFill="1" applyBorder="1" applyAlignment="1">
      <alignment horizontal="center"/>
    </xf>
    <xf numFmtId="183" fontId="2" fillId="31" borderId="0" xfId="61" applyNumberFormat="1" applyFont="1" applyFill="1" applyAlignment="1" applyProtection="1">
      <alignment horizontal="right"/>
      <protection locked="0"/>
    </xf>
    <xf numFmtId="183" fontId="2" fillId="31" borderId="0" xfId="61" applyNumberFormat="1" applyFont="1" applyFill="1" applyBorder="1" applyAlignment="1" applyProtection="1">
      <protection locked="0"/>
    </xf>
    <xf numFmtId="184" fontId="3" fillId="31" borderId="0" xfId="47" applyNumberFormat="1" applyFont="1" applyFill="1" applyProtection="1">
      <protection locked="0"/>
    </xf>
    <xf numFmtId="184" fontId="3" fillId="24" borderId="0" xfId="47" applyNumberFormat="1" applyFont="1" applyFill="1" applyBorder="1"/>
    <xf numFmtId="184" fontId="3" fillId="40" borderId="12" xfId="47" applyNumberFormat="1" applyFont="1" applyFill="1" applyBorder="1"/>
    <xf numFmtId="0" fontId="3" fillId="40" borderId="0" xfId="0" applyFont="1" applyFill="1" applyBorder="1" applyAlignment="1">
      <alignment horizontal="centerContinuous"/>
    </xf>
    <xf numFmtId="0" fontId="3" fillId="40" borderId="0" xfId="0" applyFont="1" applyFill="1" applyBorder="1" applyAlignment="1"/>
    <xf numFmtId="42" fontId="3" fillId="40" borderId="0" xfId="123" applyNumberFormat="1" applyFont="1" applyFill="1" applyBorder="1"/>
    <xf numFmtId="41" fontId="3" fillId="40" borderId="0" xfId="123" applyNumberFormat="1" applyFont="1" applyFill="1" applyBorder="1"/>
    <xf numFmtId="41" fontId="3" fillId="40" borderId="11" xfId="123" applyNumberFormat="1" applyFont="1" applyFill="1" applyBorder="1"/>
    <xf numFmtId="0" fontId="57" fillId="40" borderId="0" xfId="0" applyFont="1" applyFill="1" applyBorder="1" applyAlignment="1">
      <alignment horizontal="left"/>
    </xf>
    <xf numFmtId="0" fontId="42" fillId="40" borderId="0" xfId="0" applyFont="1" applyFill="1" applyAlignment="1">
      <alignment horizontal="center"/>
    </xf>
    <xf numFmtId="49" fontId="42" fillId="40" borderId="0" xfId="0" applyNumberFormat="1" applyFont="1" applyFill="1" applyBorder="1"/>
    <xf numFmtId="174" fontId="3" fillId="40" borderId="0" xfId="48" applyNumberFormat="1" applyFont="1" applyFill="1" applyBorder="1"/>
    <xf numFmtId="42" fontId="42" fillId="40" borderId="0" xfId="0" applyNumberFormat="1" applyFont="1" applyFill="1" applyBorder="1"/>
    <xf numFmtId="174" fontId="42" fillId="40" borderId="0" xfId="47" applyNumberFormat="1" applyFont="1" applyFill="1" applyBorder="1"/>
    <xf numFmtId="41" fontId="42" fillId="40" borderId="0" xfId="0" applyNumberFormat="1" applyFont="1" applyFill="1" applyBorder="1"/>
    <xf numFmtId="41" fontId="42" fillId="40" borderId="11" xfId="0" applyNumberFormat="1" applyFont="1" applyFill="1" applyBorder="1"/>
    <xf numFmtId="174" fontId="3" fillId="40" borderId="12" xfId="48" applyNumberFormat="1" applyFont="1" applyFill="1" applyBorder="1"/>
    <xf numFmtId="42" fontId="42" fillId="40" borderId="12" xfId="0" applyNumberFormat="1" applyFont="1" applyFill="1" applyBorder="1"/>
    <xf numFmtId="169" fontId="3" fillId="40" borderId="0" xfId="126" applyNumberFormat="1" applyFont="1" applyFill="1" applyBorder="1" applyAlignment="1">
      <alignment horizontal="right" vertical="top" wrapText="1"/>
    </xf>
    <xf numFmtId="169" fontId="3" fillId="40" borderId="0" xfId="0" applyNumberFormat="1" applyFont="1" applyFill="1" applyBorder="1" applyAlignment="1">
      <alignment horizontal="right" vertical="top" wrapText="1"/>
    </xf>
    <xf numFmtId="2" fontId="3" fillId="40" borderId="0" xfId="0" applyNumberFormat="1" applyFont="1" applyFill="1" applyBorder="1"/>
    <xf numFmtId="37" fontId="3" fillId="40" borderId="0" xfId="123" quotePrefix="1" applyNumberFormat="1" applyFont="1" applyFill="1" applyBorder="1" applyAlignment="1">
      <alignment horizontal="center"/>
    </xf>
    <xf numFmtId="37" fontId="3" fillId="40" borderId="0" xfId="123" applyNumberFormat="1" applyFont="1" applyFill="1" applyBorder="1"/>
    <xf numFmtId="0" fontId="7" fillId="40" borderId="0" xfId="0" applyFont="1" applyFill="1" applyBorder="1"/>
    <xf numFmtId="0" fontId="9" fillId="40" borderId="0" xfId="0" applyFont="1" applyFill="1" applyBorder="1" applyAlignment="1">
      <alignment horizontal="center"/>
    </xf>
    <xf numFmtId="3" fontId="42" fillId="40" borderId="0" xfId="0" applyNumberFormat="1" applyFont="1" applyFill="1" applyBorder="1"/>
    <xf numFmtId="184" fontId="3" fillId="40" borderId="0" xfId="0" applyNumberFormat="1" applyFont="1" applyFill="1" applyBorder="1"/>
    <xf numFmtId="173" fontId="46" fillId="40" borderId="0" xfId="0" applyNumberFormat="1" applyFont="1" applyFill="1" applyAlignment="1">
      <alignment horizontal="center"/>
    </xf>
    <xf numFmtId="167" fontId="2" fillId="31" borderId="0" xfId="123" applyNumberFormat="1" applyFont="1" applyFill="1" applyAlignment="1" applyProtection="1">
      <protection locked="0"/>
    </xf>
    <xf numFmtId="184" fontId="3" fillId="31" borderId="0" xfId="0" applyNumberFormat="1" applyFont="1" applyFill="1" applyBorder="1" applyProtection="1">
      <protection locked="0"/>
    </xf>
    <xf numFmtId="37" fontId="42" fillId="0" borderId="11" xfId="0" applyNumberFormat="1" applyFont="1" applyBorder="1"/>
    <xf numFmtId="176" fontId="42" fillId="0" borderId="11" xfId="123" applyNumberFormat="1" applyFont="1" applyFill="1" applyBorder="1"/>
    <xf numFmtId="167" fontId="42" fillId="0" borderId="11" xfId="123" applyNumberFormat="1" applyFont="1" applyBorder="1"/>
    <xf numFmtId="178" fontId="42" fillId="0" borderId="11" xfId="0" applyNumberFormat="1" applyFont="1" applyBorder="1" applyAlignment="1">
      <alignment horizontal="center"/>
    </xf>
    <xf numFmtId="175" fontId="42" fillId="0" borderId="11" xfId="47" applyNumberFormat="1" applyFont="1" applyFill="1" applyBorder="1"/>
    <xf numFmtId="0" fontId="42" fillId="40" borderId="0" xfId="0" applyFont="1" applyFill="1" applyAlignment="1"/>
    <xf numFmtId="0" fontId="42" fillId="40" borderId="29" xfId="0" applyFont="1" applyFill="1" applyBorder="1" applyAlignment="1">
      <alignment horizontal="left" indent="2"/>
    </xf>
    <xf numFmtId="167" fontId="42" fillId="31" borderId="98" xfId="123" applyNumberFormat="1" applyFont="1" applyFill="1" applyBorder="1" applyProtection="1">
      <protection locked="0"/>
    </xf>
    <xf numFmtId="0" fontId="3" fillId="40" borderId="0" xfId="0" applyFont="1" applyFill="1" applyBorder="1" applyAlignment="1">
      <alignment horizontal="right"/>
    </xf>
    <xf numFmtId="0" fontId="3" fillId="40" borderId="67" xfId="0" applyFont="1" applyFill="1" applyBorder="1" applyAlignment="1">
      <alignment horizontal="right"/>
    </xf>
    <xf numFmtId="0" fontId="42" fillId="40" borderId="73" xfId="0" applyFont="1" applyFill="1" applyBorder="1" applyAlignment="1"/>
    <xf numFmtId="0" fontId="42" fillId="40" borderId="74" xfId="0" applyFont="1" applyFill="1" applyBorder="1" applyAlignment="1"/>
    <xf numFmtId="0" fontId="42" fillId="40" borderId="75" xfId="0" applyFont="1" applyFill="1" applyBorder="1" applyAlignment="1"/>
    <xf numFmtId="0" fontId="42" fillId="29" borderId="0" xfId="0" applyFont="1" applyFill="1" applyBorder="1" applyAlignment="1"/>
    <xf numFmtId="0" fontId="42" fillId="31" borderId="98" xfId="0" applyFont="1" applyFill="1" applyBorder="1" applyAlignment="1" applyProtection="1">
      <protection locked="0"/>
    </xf>
    <xf numFmtId="0" fontId="42" fillId="31" borderId="98" xfId="0" applyFont="1" applyFill="1" applyBorder="1" applyProtection="1">
      <protection locked="0"/>
    </xf>
    <xf numFmtId="49" fontId="42" fillId="31" borderId="98" xfId="0" applyNumberFormat="1" applyFont="1" applyFill="1" applyBorder="1" applyProtection="1">
      <protection locked="0"/>
    </xf>
    <xf numFmtId="49" fontId="42" fillId="40" borderId="0" xfId="0" applyNumberFormat="1" applyFont="1" applyFill="1" applyAlignment="1">
      <alignment horizontal="center"/>
    </xf>
    <xf numFmtId="173" fontId="42" fillId="40" borderId="0" xfId="0" applyNumberFormat="1" applyFont="1" applyFill="1" applyAlignment="1">
      <alignment horizontal="center"/>
    </xf>
    <xf numFmtId="174" fontId="42" fillId="31" borderId="98" xfId="47" applyNumberFormat="1" applyFont="1" applyFill="1" applyBorder="1" applyProtection="1">
      <protection locked="0"/>
    </xf>
    <xf numFmtId="0" fontId="42" fillId="40" borderId="11" xfId="0" applyFont="1" applyFill="1" applyBorder="1"/>
    <xf numFmtId="0" fontId="42" fillId="40" borderId="0" xfId="0" applyFont="1" applyFill="1" applyAlignment="1">
      <alignment horizontal="right"/>
    </xf>
    <xf numFmtId="42" fontId="42" fillId="40" borderId="0" xfId="0" applyNumberFormat="1" applyFont="1" applyFill="1" applyAlignment="1">
      <alignment horizontal="right"/>
    </xf>
    <xf numFmtId="41" fontId="42" fillId="40" borderId="0" xfId="0" applyNumberFormat="1" applyFont="1" applyFill="1" applyAlignment="1">
      <alignment horizontal="right"/>
    </xf>
    <xf numFmtId="37" fontId="42" fillId="40" borderId="0" xfId="0" applyNumberFormat="1" applyFont="1" applyFill="1" applyBorder="1" applyAlignment="1">
      <alignment horizontal="right"/>
    </xf>
    <xf numFmtId="174" fontId="42" fillId="40" borderId="12" xfId="47" applyNumberFormat="1" applyFont="1" applyFill="1" applyBorder="1"/>
    <xf numFmtId="167" fontId="42" fillId="31" borderId="0" xfId="123" applyNumberFormat="1" applyFont="1" applyFill="1" applyBorder="1" applyAlignment="1" applyProtection="1">
      <alignment horizontal="right"/>
      <protection locked="0"/>
    </xf>
    <xf numFmtId="167" fontId="42" fillId="31" borderId="11" xfId="123" applyNumberFormat="1" applyFont="1" applyFill="1" applyBorder="1" applyAlignment="1" applyProtection="1">
      <alignment horizontal="right"/>
      <protection locked="0"/>
    </xf>
    <xf numFmtId="174" fontId="3" fillId="0" borderId="0" xfId="48" applyNumberFormat="1" applyFont="1" applyAlignment="1" applyProtection="1"/>
    <xf numFmtId="183" fontId="3" fillId="40" borderId="0" xfId="29" applyNumberFormat="1" applyFont="1" applyFill="1" applyProtection="1"/>
    <xf numFmtId="0" fontId="3" fillId="24" borderId="0" xfId="0" applyFont="1" applyFill="1" applyBorder="1" applyAlignment="1">
      <alignment horizontal="center"/>
    </xf>
    <xf numFmtId="0" fontId="76" fillId="0" borderId="0" xfId="0" applyFont="1" applyAlignment="1" applyProtection="1">
      <alignment horizontal="right"/>
    </xf>
    <xf numFmtId="0" fontId="46" fillId="0" borderId="0" xfId="0" applyFont="1" applyProtection="1"/>
    <xf numFmtId="0" fontId="46" fillId="40" borderId="0" xfId="0" applyFont="1" applyFill="1" applyProtection="1"/>
    <xf numFmtId="0" fontId="3" fillId="40" borderId="0" xfId="0" applyFont="1" applyFill="1" applyAlignment="1" applyProtection="1">
      <alignment horizontal="center"/>
    </xf>
    <xf numFmtId="0" fontId="3" fillId="40" borderId="11" xfId="0" applyFont="1" applyFill="1" applyBorder="1" applyAlignment="1" applyProtection="1">
      <alignment horizontal="left"/>
    </xf>
    <xf numFmtId="0" fontId="3" fillId="40" borderId="11" xfId="0" applyFont="1" applyFill="1" applyBorder="1" applyAlignment="1" applyProtection="1">
      <alignment horizontal="center"/>
    </xf>
    <xf numFmtId="0" fontId="3" fillId="40" borderId="0" xfId="0" applyFont="1" applyFill="1" applyBorder="1" applyAlignment="1" applyProtection="1">
      <alignment horizontal="center"/>
    </xf>
    <xf numFmtId="49" fontId="3" fillId="40" borderId="11" xfId="0" applyNumberFormat="1" applyFont="1" applyFill="1" applyBorder="1" applyAlignment="1" applyProtection="1">
      <alignment horizontal="center"/>
    </xf>
    <xf numFmtId="37" fontId="3" fillId="40" borderId="0" xfId="0" applyNumberFormat="1" applyFont="1" applyFill="1" applyBorder="1" applyProtection="1"/>
    <xf numFmtId="37" fontId="3" fillId="40" borderId="0" xfId="0" applyNumberFormat="1" applyFont="1" applyFill="1" applyProtection="1"/>
    <xf numFmtId="37" fontId="3" fillId="40" borderId="0" xfId="0" applyNumberFormat="1" applyFont="1" applyFill="1" applyBorder="1" applyAlignment="1" applyProtection="1">
      <alignment horizontal="right"/>
    </xf>
    <xf numFmtId="167" fontId="3" fillId="40" borderId="0" xfId="123" applyNumberFormat="1" applyFont="1" applyFill="1" applyBorder="1" applyAlignment="1" applyProtection="1">
      <alignment horizontal="right"/>
    </xf>
    <xf numFmtId="42" fontId="3" fillId="40" borderId="0" xfId="0" applyNumberFormat="1" applyFont="1" applyFill="1" applyBorder="1" applyProtection="1"/>
    <xf numFmtId="37" fontId="9" fillId="40" borderId="0" xfId="0" applyNumberFormat="1" applyFont="1" applyFill="1" applyBorder="1" applyAlignment="1" applyProtection="1">
      <alignment horizontal="right"/>
    </xf>
    <xf numFmtId="42" fontId="3" fillId="40" borderId="12" xfId="0" applyNumberFormat="1" applyFont="1" applyFill="1" applyBorder="1" applyProtection="1"/>
    <xf numFmtId="41" fontId="3" fillId="40" borderId="0" xfId="0" applyNumberFormat="1" applyFont="1" applyFill="1" applyBorder="1" applyProtection="1"/>
    <xf numFmtId="184" fontId="3" fillId="40" borderId="12" xfId="0" applyNumberFormat="1" applyFont="1" applyFill="1" applyBorder="1" applyProtection="1"/>
    <xf numFmtId="0" fontId="11" fillId="0" borderId="0" xfId="61" applyNumberFormat="1" applyFont="1" applyFill="1" applyAlignment="1" applyProtection="1"/>
    <xf numFmtId="0" fontId="66" fillId="36" borderId="17" xfId="61" applyNumberFormat="1" applyFont="1" applyFill="1" applyBorder="1" applyAlignment="1" applyProtection="1">
      <alignment wrapText="1"/>
    </xf>
    <xf numFmtId="39" fontId="66" fillId="0" borderId="17" xfId="61" applyNumberFormat="1" applyFont="1" applyBorder="1" applyAlignment="1" applyProtection="1"/>
    <xf numFmtId="0" fontId="6" fillId="29" borderId="0" xfId="61" applyNumberFormat="1" applyFont="1" applyFill="1" applyAlignment="1" applyProtection="1"/>
    <xf numFmtId="0" fontId="67" fillId="0" borderId="17" xfId="61" applyNumberFormat="1" applyFont="1" applyBorder="1" applyAlignment="1" applyProtection="1">
      <alignment horizontal="left" wrapText="1"/>
    </xf>
    <xf numFmtId="0" fontId="68" fillId="0" borderId="0" xfId="61" applyNumberFormat="1" applyFont="1" applyFill="1" applyAlignment="1" applyProtection="1"/>
    <xf numFmtId="0" fontId="66" fillId="0" borderId="17" xfId="61" applyNumberFormat="1" applyFont="1" applyBorder="1" applyAlignment="1" applyProtection="1">
      <alignment horizontal="left" wrapText="1"/>
    </xf>
    <xf numFmtId="0" fontId="11" fillId="0" borderId="0" xfId="61" applyNumberFormat="1" applyFont="1" applyBorder="1" applyAlignment="1" applyProtection="1"/>
    <xf numFmtId="0" fontId="67" fillId="0" borderId="0" xfId="0" applyNumberFormat="1" applyFont="1" applyFill="1" applyBorder="1" applyAlignment="1" applyProtection="1">
      <alignment horizontal="right"/>
    </xf>
    <xf numFmtId="0" fontId="66" fillId="0" borderId="0" xfId="0" applyNumberFormat="1" applyFont="1" applyFill="1" applyBorder="1" applyAlignment="1" applyProtection="1">
      <alignment horizontal="right"/>
    </xf>
    <xf numFmtId="0" fontId="67" fillId="0" borderId="17" xfId="61" applyNumberFormat="1" applyFont="1" applyBorder="1" applyAlignment="1" applyProtection="1">
      <alignment wrapText="1"/>
    </xf>
    <xf numFmtId="0" fontId="66" fillId="0" borderId="17" xfId="61" applyNumberFormat="1" applyFont="1" applyFill="1" applyBorder="1" applyAlignment="1" applyProtection="1">
      <alignment horizontal="left" wrapText="1"/>
    </xf>
    <xf numFmtId="0" fontId="67" fillId="24" borderId="0" xfId="61" applyNumberFormat="1" applyFont="1" applyFill="1" applyAlignment="1" applyProtection="1"/>
    <xf numFmtId="0" fontId="66" fillId="0" borderId="17" xfId="61" applyNumberFormat="1" applyFont="1" applyBorder="1" applyAlignment="1" applyProtection="1">
      <alignment wrapText="1"/>
    </xf>
    <xf numFmtId="168" fontId="6" fillId="0" borderId="0" xfId="0" applyNumberFormat="1" applyFont="1" applyFill="1" applyBorder="1" applyAlignment="1" applyProtection="1"/>
    <xf numFmtId="168" fontId="70" fillId="0" borderId="0" xfId="0" applyNumberFormat="1" applyFont="1" applyFill="1" applyBorder="1" applyAlignment="1" applyProtection="1"/>
    <xf numFmtId="0" fontId="66" fillId="0" borderId="15" xfId="61" applyNumberFormat="1" applyFont="1" applyFill="1" applyBorder="1" applyAlignment="1" applyProtection="1">
      <alignment horizontal="left" wrapText="1"/>
    </xf>
    <xf numFmtId="0" fontId="66" fillId="0" borderId="0" xfId="61" applyNumberFormat="1" applyFont="1" applyFill="1" applyAlignment="1" applyProtection="1">
      <alignment horizontal="left" wrapText="1"/>
    </xf>
    <xf numFmtId="0" fontId="66" fillId="36" borderId="15" xfId="61" applyNumberFormat="1" applyFont="1" applyFill="1" applyBorder="1" applyAlignment="1" applyProtection="1">
      <alignment wrapText="1"/>
    </xf>
    <xf numFmtId="0" fontId="66" fillId="36" borderId="13" xfId="61" applyNumberFormat="1" applyFont="1" applyFill="1" applyBorder="1" applyAlignment="1" applyProtection="1">
      <alignment wrapText="1"/>
    </xf>
    <xf numFmtId="39" fontId="67" fillId="0" borderId="10" xfId="61" applyNumberFormat="1" applyFont="1" applyBorder="1" applyAlignment="1" applyProtection="1"/>
    <xf numFmtId="39" fontId="67" fillId="0" borderId="0" xfId="61" applyNumberFormat="1" applyFont="1" applyAlignment="1" applyProtection="1"/>
    <xf numFmtId="39" fontId="67" fillId="0" borderId="0" xfId="61" applyNumberFormat="1" applyFont="1" applyFill="1" applyAlignment="1" applyProtection="1"/>
    <xf numFmtId="39" fontId="67" fillId="0" borderId="0" xfId="61" applyNumberFormat="1" applyFont="1" applyAlignment="1" applyProtection="1">
      <alignment horizontal="right"/>
    </xf>
    <xf numFmtId="39" fontId="69" fillId="0" borderId="0" xfId="61" applyNumberFormat="1" applyFont="1" applyAlignment="1" applyProtection="1"/>
    <xf numFmtId="0" fontId="6" fillId="0" borderId="0" xfId="61" applyNumberFormat="1" applyFont="1" applyFill="1" applyBorder="1" applyAlignment="1" applyProtection="1"/>
    <xf numFmtId="0" fontId="67" fillId="0" borderId="0" xfId="0" applyNumberFormat="1" applyFont="1" applyFill="1" applyBorder="1" applyAlignment="1" applyProtection="1"/>
    <xf numFmtId="0" fontId="70" fillId="0" borderId="0" xfId="0" applyNumberFormat="1" applyFont="1" applyBorder="1" applyAlignment="1" applyProtection="1">
      <alignment wrapText="1"/>
    </xf>
    <xf numFmtId="0" fontId="11" fillId="36" borderId="0" xfId="0" applyNumberFormat="1" applyFont="1" applyFill="1" applyBorder="1" applyAlignment="1" applyProtection="1">
      <alignment wrapText="1"/>
    </xf>
    <xf numFmtId="39" fontId="11" fillId="0" borderId="0" xfId="61" applyNumberFormat="1" applyFont="1" applyBorder="1" applyAlignment="1" applyProtection="1"/>
    <xf numFmtId="0" fontId="11" fillId="0" borderId="0" xfId="61" applyNumberFormat="1" applyFont="1" applyFill="1" applyBorder="1" applyAlignment="1" applyProtection="1"/>
    <xf numFmtId="0" fontId="67" fillId="36" borderId="0" xfId="0" applyNumberFormat="1" applyFont="1" applyFill="1" applyBorder="1" applyAlignment="1" applyProtection="1">
      <alignment wrapText="1"/>
    </xf>
    <xf numFmtId="0" fontId="67" fillId="0" borderId="0" xfId="0" applyNumberFormat="1" applyFont="1" applyBorder="1" applyAlignment="1" applyProtection="1">
      <alignment wrapText="1"/>
    </xf>
    <xf numFmtId="168" fontId="70" fillId="0" borderId="0" xfId="0" applyNumberFormat="1" applyFont="1" applyFill="1" applyAlignment="1" applyProtection="1"/>
    <xf numFmtId="168" fontId="11" fillId="0" borderId="0" xfId="0" applyNumberFormat="1" applyFont="1" applyFill="1" applyBorder="1" applyAlignment="1" applyProtection="1"/>
    <xf numFmtId="0" fontId="11" fillId="0" borderId="0" xfId="0" applyNumberFormat="1" applyFont="1" applyAlignment="1" applyProtection="1">
      <alignment wrapText="1"/>
    </xf>
    <xf numFmtId="168" fontId="70" fillId="36" borderId="0" xfId="0" applyNumberFormat="1" applyFont="1" applyFill="1" applyAlignment="1" applyProtection="1">
      <alignment wrapText="1"/>
    </xf>
    <xf numFmtId="168" fontId="11" fillId="36" borderId="0" xfId="0" applyNumberFormat="1" applyFont="1" applyFill="1" applyAlignment="1" applyProtection="1">
      <alignment wrapText="1"/>
    </xf>
    <xf numFmtId="168" fontId="70" fillId="36" borderId="11" xfId="0" applyNumberFormat="1" applyFont="1" applyFill="1" applyBorder="1" applyAlignment="1" applyProtection="1">
      <alignment wrapText="1"/>
    </xf>
    <xf numFmtId="0" fontId="11" fillId="0" borderId="0" xfId="61" applyNumberFormat="1" applyFont="1" applyFill="1" applyAlignment="1" applyProtection="1">
      <alignment wrapText="1"/>
    </xf>
    <xf numFmtId="184" fontId="3" fillId="24" borderId="0" xfId="0" applyNumberFormat="1" applyFont="1" applyFill="1" applyBorder="1"/>
    <xf numFmtId="0" fontId="3" fillId="40" borderId="0" xfId="0" applyFont="1" applyFill="1" applyBorder="1" applyAlignment="1">
      <alignment horizontal="center" vertical="center"/>
    </xf>
    <xf numFmtId="0" fontId="3" fillId="40" borderId="0" xfId="102" applyFont="1" applyFill="1"/>
    <xf numFmtId="179" fontId="3" fillId="40" borderId="0" xfId="0" applyNumberFormat="1" applyFont="1" applyFill="1" applyBorder="1"/>
    <xf numFmtId="0" fontId="42" fillId="40" borderId="0" xfId="0" applyFont="1" applyFill="1" applyAlignment="1">
      <alignment vertical="top" wrapText="1"/>
    </xf>
    <xf numFmtId="0" fontId="3" fillId="24" borderId="11" xfId="0" applyFont="1" applyFill="1" applyBorder="1" applyAlignment="1">
      <alignment horizontal="center"/>
    </xf>
    <xf numFmtId="183" fontId="3" fillId="0" borderId="12" xfId="0" applyNumberFormat="1" applyFont="1" applyBorder="1" applyProtection="1"/>
    <xf numFmtId="183" fontId="3" fillId="40" borderId="12" xfId="0" applyNumberFormat="1" applyFont="1" applyFill="1" applyBorder="1" applyProtection="1"/>
    <xf numFmtId="185" fontId="3" fillId="40" borderId="11" xfId="123" applyNumberFormat="1" applyFont="1" applyFill="1" applyBorder="1" applyProtection="1"/>
    <xf numFmtId="185" fontId="2" fillId="40" borderId="0" xfId="123" applyNumberFormat="1" applyFont="1" applyFill="1" applyBorder="1" applyAlignment="1" applyProtection="1"/>
    <xf numFmtId="185" fontId="3" fillId="40" borderId="0" xfId="123" applyNumberFormat="1" applyFont="1" applyFill="1" applyProtection="1"/>
    <xf numFmtId="183" fontId="3" fillId="40" borderId="12" xfId="48" applyNumberFormat="1" applyFont="1" applyFill="1" applyBorder="1" applyProtection="1"/>
    <xf numFmtId="0" fontId="3" fillId="31" borderId="0" xfId="0" applyFont="1" applyFill="1" applyBorder="1" applyAlignment="1" applyProtection="1">
      <alignment horizontal="left"/>
      <protection locked="0"/>
    </xf>
    <xf numFmtId="167" fontId="42" fillId="40" borderId="0" xfId="123" applyNumberFormat="1" applyFont="1" applyFill="1"/>
    <xf numFmtId="0" fontId="57" fillId="40" borderId="0" xfId="0" quotePrefix="1" applyFont="1" applyFill="1"/>
    <xf numFmtId="0" fontId="57" fillId="40" borderId="0" xfId="0" applyFont="1" applyFill="1" applyAlignment="1"/>
    <xf numFmtId="0" fontId="57" fillId="40" borderId="0" xfId="0" applyFont="1" applyFill="1" applyAlignment="1">
      <alignment horizontal="left" indent="5"/>
    </xf>
    <xf numFmtId="0" fontId="78" fillId="0" borderId="0" xfId="0" applyFont="1"/>
    <xf numFmtId="0" fontId="42" fillId="40" borderId="0" xfId="0" applyFont="1" applyFill="1" applyAlignment="1">
      <alignment horizontal="left" indent="8"/>
    </xf>
    <xf numFmtId="0" fontId="3" fillId="40" borderId="0" xfId="0" applyFont="1" applyFill="1" applyAlignment="1">
      <alignment horizontal="left" indent="8"/>
    </xf>
    <xf numFmtId="0" fontId="42" fillId="40" borderId="0" xfId="0" applyFont="1" applyFill="1" applyAlignment="1">
      <alignment horizontal="left" indent="10"/>
    </xf>
    <xf numFmtId="0" fontId="42" fillId="40" borderId="0" xfId="0" applyFont="1" applyFill="1" applyAlignment="1">
      <alignment horizontal="left" vertical="top" indent="10"/>
    </xf>
    <xf numFmtId="0" fontId="42" fillId="39" borderId="11" xfId="0" applyFont="1" applyFill="1" applyBorder="1" applyAlignment="1">
      <alignment horizontal="center" wrapText="1"/>
    </xf>
    <xf numFmtId="185" fontId="3" fillId="40" borderId="0" xfId="123" applyNumberFormat="1" applyFont="1" applyFill="1" applyBorder="1"/>
    <xf numFmtId="185" fontId="3" fillId="40" borderId="0" xfId="0" applyNumberFormat="1" applyFont="1" applyFill="1" applyBorder="1"/>
    <xf numFmtId="185" fontId="3" fillId="40" borderId="11" xfId="123" applyNumberFormat="1" applyFont="1" applyFill="1" applyBorder="1"/>
    <xf numFmtId="185" fontId="42" fillId="40" borderId="0" xfId="0" applyNumberFormat="1" applyFont="1" applyFill="1"/>
    <xf numFmtId="184" fontId="3" fillId="40" borderId="0" xfId="48" applyNumberFormat="1" applyFont="1" applyFill="1" applyBorder="1"/>
    <xf numFmtId="183" fontId="3" fillId="40" borderId="12" xfId="48" applyNumberFormat="1" applyFont="1" applyFill="1" applyBorder="1"/>
    <xf numFmtId="0" fontId="60" fillId="0" borderId="0" xfId="0" applyFont="1"/>
    <xf numFmtId="0" fontId="80" fillId="40" borderId="0" xfId="0" applyFont="1" applyFill="1" applyAlignment="1">
      <alignment horizontal="left"/>
    </xf>
    <xf numFmtId="173" fontId="45" fillId="40" borderId="0" xfId="61" applyNumberFormat="1" applyFont="1" applyFill="1" applyAlignment="1">
      <alignment horizontal="center"/>
    </xf>
    <xf numFmtId="0" fontId="44" fillId="40" borderId="0" xfId="61" applyNumberFormat="1" applyFont="1" applyFill="1" applyAlignment="1"/>
    <xf numFmtId="0" fontId="81" fillId="40" borderId="0" xfId="0" applyFont="1" applyFill="1" applyAlignment="1">
      <alignment horizontal="left"/>
    </xf>
    <xf numFmtId="185" fontId="42" fillId="40" borderId="0" xfId="0" applyNumberFormat="1" applyFont="1" applyFill="1" applyBorder="1"/>
    <xf numFmtId="185" fontId="3" fillId="40" borderId="11" xfId="0" applyNumberFormat="1" applyFont="1" applyFill="1" applyBorder="1"/>
    <xf numFmtId="0" fontId="9" fillId="0" borderId="0" xfId="61" applyNumberFormat="1" applyFont="1" applyAlignment="1">
      <alignment horizontal="center"/>
    </xf>
    <xf numFmtId="4" fontId="3" fillId="0" borderId="0" xfId="61" applyNumberFormat="1" applyFont="1" applyAlignment="1" applyProtection="1">
      <alignment horizontal="centerContinuous"/>
    </xf>
    <xf numFmtId="4" fontId="9" fillId="32" borderId="73" xfId="61" applyNumberFormat="1" applyFont="1" applyFill="1" applyBorder="1" applyAlignment="1" applyProtection="1"/>
    <xf numFmtId="4" fontId="9" fillId="32" borderId="29" xfId="61" applyNumberFormat="1" applyFont="1" applyFill="1" applyBorder="1" applyAlignment="1" applyProtection="1">
      <alignment horizontal="center"/>
    </xf>
    <xf numFmtId="4" fontId="3" fillId="0" borderId="95" xfId="61" applyNumberFormat="1" applyFont="1" applyBorder="1" applyAlignment="1" applyProtection="1"/>
    <xf numFmtId="4" fontId="3" fillId="0" borderId="29" xfId="61" applyNumberFormat="1" applyFont="1" applyBorder="1" applyAlignment="1" applyProtection="1"/>
    <xf numFmtId="3" fontId="3" fillId="0" borderId="0" xfId="61" applyNumberFormat="1" applyFont="1" applyAlignment="1" applyProtection="1"/>
    <xf numFmtId="4" fontId="3" fillId="0" borderId="0" xfId="61" applyNumberFormat="1" applyFont="1" applyFill="1" applyBorder="1" applyAlignment="1" applyProtection="1"/>
    <xf numFmtId="169" fontId="3" fillId="0" borderId="0" xfId="61" applyNumberFormat="1" applyFont="1" applyFill="1" applyAlignment="1" applyProtection="1"/>
    <xf numFmtId="169" fontId="3" fillId="0" borderId="0" xfId="61" applyNumberFormat="1" applyFont="1" applyAlignment="1" applyProtection="1"/>
    <xf numFmtId="4" fontId="3" fillId="0" borderId="29" xfId="61" applyNumberFormat="1" applyFont="1" applyBorder="1" applyAlignment="1" applyProtection="1">
      <alignment horizontal="left" indent="1"/>
    </xf>
    <xf numFmtId="4" fontId="3" fillId="0" borderId="29" xfId="61" applyNumberFormat="1" applyFont="1" applyBorder="1" applyAlignment="1" applyProtection="1">
      <alignment horizontal="left" indent="3"/>
    </xf>
    <xf numFmtId="0" fontId="4" fillId="0" borderId="0" xfId="61" applyNumberFormat="1" applyFont="1" applyAlignment="1" applyProtection="1">
      <alignment horizontal="left"/>
    </xf>
    <xf numFmtId="4" fontId="3" fillId="0" borderId="19" xfId="61" applyNumberFormat="1" applyFont="1" applyBorder="1" applyAlignment="1" applyProtection="1"/>
    <xf numFmtId="4" fontId="3" fillId="0" borderId="76" xfId="61" applyNumberFormat="1" applyFont="1" applyBorder="1" applyAlignment="1" applyProtection="1"/>
    <xf numFmtId="4" fontId="3" fillId="0" borderId="99" xfId="61" applyNumberFormat="1" applyFont="1" applyBorder="1" applyAlignment="1" applyProtection="1"/>
    <xf numFmtId="9" fontId="3" fillId="0" borderId="30" xfId="126" applyFont="1" applyBorder="1" applyAlignment="1" applyProtection="1"/>
    <xf numFmtId="4" fontId="3" fillId="0" borderId="30" xfId="61" applyNumberFormat="1" applyFont="1" applyBorder="1" applyAlignment="1" applyProtection="1"/>
    <xf numFmtId="4" fontId="3" fillId="0" borderId="77" xfId="61" applyNumberFormat="1" applyFont="1" applyBorder="1" applyAlignment="1" applyProtection="1"/>
    <xf numFmtId="4" fontId="3" fillId="0" borderId="66" xfId="61" applyNumberFormat="1" applyFont="1" applyBorder="1" applyAlignment="1" applyProtection="1">
      <alignment horizontal="right"/>
    </xf>
    <xf numFmtId="4" fontId="9" fillId="32" borderId="75" xfId="61" applyNumberFormat="1" applyFont="1" applyFill="1" applyBorder="1" applyAlignment="1" applyProtection="1">
      <alignment horizontal="center"/>
    </xf>
    <xf numFmtId="4" fontId="9" fillId="32" borderId="30" xfId="61" applyNumberFormat="1" applyFont="1" applyFill="1" applyBorder="1" applyAlignment="1" applyProtection="1">
      <alignment horizontal="center"/>
    </xf>
    <xf numFmtId="4" fontId="9" fillId="32" borderId="76" xfId="61" applyNumberFormat="1" applyFont="1" applyFill="1" applyBorder="1" applyAlignment="1" applyProtection="1"/>
    <xf numFmtId="4" fontId="9" fillId="32" borderId="77" xfId="61" applyNumberFormat="1" applyFont="1" applyFill="1" applyBorder="1" applyAlignment="1" applyProtection="1">
      <alignment horizontal="center"/>
    </xf>
    <xf numFmtId="4" fontId="9" fillId="32" borderId="74" xfId="61" applyNumberFormat="1" applyFont="1" applyFill="1" applyBorder="1" applyAlignment="1" applyProtection="1">
      <alignment horizontal="center"/>
    </xf>
    <xf numFmtId="4" fontId="9" fillId="32" borderId="0" xfId="61" applyNumberFormat="1" applyFont="1" applyFill="1" applyBorder="1" applyAlignment="1" applyProtection="1">
      <alignment horizontal="center"/>
    </xf>
    <xf numFmtId="4" fontId="9" fillId="32" borderId="76" xfId="61" applyNumberFormat="1" applyFont="1" applyFill="1" applyBorder="1" applyAlignment="1" applyProtection="1">
      <alignment horizontal="center"/>
    </xf>
    <xf numFmtId="4" fontId="3" fillId="0" borderId="100" xfId="61" applyNumberFormat="1" applyFont="1" applyBorder="1" applyAlignment="1" applyProtection="1"/>
    <xf numFmtId="9" fontId="3" fillId="0" borderId="68" xfId="126" applyFont="1" applyBorder="1" applyAlignment="1" applyProtection="1"/>
    <xf numFmtId="0" fontId="3" fillId="0" borderId="101" xfId="61" applyFont="1" applyBorder="1" applyProtection="1"/>
    <xf numFmtId="0" fontId="3" fillId="0" borderId="102" xfId="61" applyFont="1" applyBorder="1" applyProtection="1"/>
    <xf numFmtId="0" fontId="3" fillId="0" borderId="103" xfId="61" applyFont="1" applyBorder="1" applyProtection="1"/>
    <xf numFmtId="0" fontId="9" fillId="0" borderId="104" xfId="61" applyFont="1" applyBorder="1" applyProtection="1"/>
    <xf numFmtId="0" fontId="9" fillId="0" borderId="106" xfId="61" applyFont="1" applyBorder="1" applyProtection="1"/>
    <xf numFmtId="44" fontId="73" fillId="0" borderId="107" xfId="47" applyFont="1" applyFill="1" applyBorder="1" applyProtection="1"/>
    <xf numFmtId="0" fontId="3" fillId="0" borderId="108" xfId="61" applyFont="1" applyBorder="1" applyProtection="1"/>
    <xf numFmtId="0" fontId="9" fillId="0" borderId="108" xfId="61" applyFont="1" applyBorder="1" applyProtection="1"/>
    <xf numFmtId="39" fontId="3" fillId="0" borderId="107" xfId="29" applyNumberFormat="1" applyFont="1" applyBorder="1" applyProtection="1"/>
    <xf numFmtId="0" fontId="3" fillId="0" borderId="108" xfId="61" applyFont="1" applyBorder="1" applyAlignment="1" applyProtection="1">
      <alignment horizontal="left" indent="2"/>
    </xf>
    <xf numFmtId="0" fontId="2" fillId="0" borderId="108" xfId="61" applyNumberFormat="1" applyFont="1" applyBorder="1" applyAlignment="1" applyProtection="1">
      <alignment horizontal="left" indent="2"/>
    </xf>
    <xf numFmtId="44" fontId="3" fillId="0" borderId="105" xfId="47" applyFont="1" applyBorder="1" applyProtection="1"/>
    <xf numFmtId="44" fontId="3" fillId="0" borderId="109" xfId="47" applyFont="1" applyBorder="1" applyProtection="1"/>
    <xf numFmtId="0" fontId="3" fillId="0" borderId="110" xfId="61" applyFont="1" applyBorder="1" applyProtection="1"/>
    <xf numFmtId="0" fontId="3" fillId="0" borderId="111" xfId="61" applyFont="1" applyBorder="1" applyProtection="1"/>
    <xf numFmtId="0" fontId="3" fillId="0" borderId="112" xfId="61" applyFont="1" applyBorder="1" applyProtection="1"/>
    <xf numFmtId="0" fontId="42" fillId="40" borderId="29" xfId="0" applyFont="1" applyFill="1" applyBorder="1" applyAlignment="1">
      <alignment horizontal="center"/>
    </xf>
    <xf numFmtId="0" fontId="42" fillId="40" borderId="30" xfId="0" applyFont="1" applyFill="1" applyBorder="1" applyAlignment="1">
      <alignment horizontal="center"/>
    </xf>
    <xf numFmtId="187" fontId="3" fillId="24" borderId="0" xfId="123" applyNumberFormat="1" applyFont="1" applyFill="1" applyBorder="1"/>
    <xf numFmtId="187" fontId="3" fillId="24" borderId="11" xfId="123" applyNumberFormat="1" applyFont="1" applyFill="1" applyBorder="1"/>
    <xf numFmtId="167" fontId="67" fillId="40" borderId="15" xfId="123" applyNumberFormat="1" applyFont="1" applyFill="1" applyBorder="1" applyAlignment="1" applyProtection="1"/>
    <xf numFmtId="167" fontId="11" fillId="36" borderId="15" xfId="123" applyNumberFormat="1" applyFont="1" applyFill="1" applyBorder="1" applyAlignment="1" applyProtection="1"/>
    <xf numFmtId="167" fontId="11" fillId="40" borderId="15" xfId="123" applyNumberFormat="1" applyFont="1" applyFill="1" applyBorder="1" applyAlignment="1" applyProtection="1"/>
    <xf numFmtId="167" fontId="11" fillId="40" borderId="13" xfId="123" applyNumberFormat="1" applyFont="1" applyFill="1" applyBorder="1" applyAlignment="1" applyProtection="1"/>
    <xf numFmtId="167" fontId="11" fillId="40" borderId="16" xfId="123" applyNumberFormat="1" applyFont="1" applyFill="1" applyBorder="1" applyAlignment="1" applyProtection="1"/>
    <xf numFmtId="167" fontId="11" fillId="36" borderId="16" xfId="123" applyNumberFormat="1" applyFont="1" applyFill="1" applyBorder="1" applyAlignment="1" applyProtection="1"/>
    <xf numFmtId="167" fontId="11" fillId="40" borderId="14" xfId="123" applyNumberFormat="1" applyFont="1" applyFill="1" applyBorder="1" applyAlignment="1" applyProtection="1"/>
    <xf numFmtId="0" fontId="67" fillId="0" borderId="0" xfId="61" applyNumberFormat="1" applyFont="1" applyFill="1" applyAlignment="1" applyProtection="1">
      <alignment horizontal="left" wrapText="1"/>
    </xf>
    <xf numFmtId="0" fontId="67" fillId="36" borderId="17" xfId="61" applyNumberFormat="1" applyFont="1" applyFill="1" applyBorder="1" applyAlignment="1" applyProtection="1">
      <alignment horizontal="right" wrapText="1"/>
    </xf>
    <xf numFmtId="0" fontId="42" fillId="0" borderId="0" xfId="0" applyFont="1" applyFill="1" applyBorder="1" applyAlignment="1">
      <alignment horizontal="right"/>
    </xf>
    <xf numFmtId="49" fontId="66" fillId="36" borderId="0" xfId="61" applyNumberFormat="1" applyFont="1" applyFill="1" applyBorder="1" applyAlignment="1" applyProtection="1">
      <alignment horizontal="center"/>
    </xf>
    <xf numFmtId="49" fontId="67" fillId="0" borderId="16" xfId="61" applyNumberFormat="1" applyFont="1" applyFill="1" applyBorder="1" applyAlignment="1" applyProtection="1">
      <alignment horizontal="center"/>
    </xf>
    <xf numFmtId="49" fontId="11" fillId="0" borderId="0" xfId="61" applyNumberFormat="1" applyFont="1" applyFill="1" applyAlignment="1" applyProtection="1">
      <alignment horizontal="center"/>
    </xf>
    <xf numFmtId="49" fontId="67" fillId="0" borderId="0" xfId="61" applyNumberFormat="1" applyFont="1" applyFill="1" applyBorder="1" applyAlignment="1" applyProtection="1">
      <alignment horizontal="center"/>
    </xf>
    <xf numFmtId="49" fontId="67" fillId="24" borderId="0" xfId="61" applyNumberFormat="1" applyFont="1" applyFill="1" applyAlignment="1" applyProtection="1">
      <alignment horizontal="center"/>
    </xf>
    <xf numFmtId="49" fontId="11" fillId="0" borderId="0" xfId="61" applyNumberFormat="1" applyFont="1" applyAlignment="1" applyProtection="1">
      <alignment horizontal="center"/>
    </xf>
    <xf numFmtId="49" fontId="66" fillId="0" borderId="0" xfId="61" applyNumberFormat="1" applyFont="1" applyFill="1" applyAlignment="1" applyProtection="1">
      <alignment horizontal="center"/>
    </xf>
    <xf numFmtId="49" fontId="66" fillId="36" borderId="59" xfId="61" applyNumberFormat="1" applyFont="1" applyFill="1" applyBorder="1" applyAlignment="1" applyProtection="1">
      <alignment horizontal="center"/>
    </xf>
    <xf numFmtId="49" fontId="66" fillId="36" borderId="51" xfId="61" applyNumberFormat="1" applyFont="1" applyFill="1" applyBorder="1" applyAlignment="1" applyProtection="1">
      <alignment horizontal="center"/>
    </xf>
    <xf numFmtId="49" fontId="67" fillId="0" borderId="0" xfId="61" applyNumberFormat="1" applyFont="1" applyBorder="1" applyAlignment="1" applyProtection="1">
      <alignment horizontal="center"/>
    </xf>
    <xf numFmtId="49" fontId="70" fillId="36" borderId="0" xfId="0" applyNumberFormat="1" applyFont="1" applyFill="1" applyBorder="1" applyAlignment="1" applyProtection="1">
      <alignment horizontal="center"/>
    </xf>
    <xf numFmtId="49" fontId="67" fillId="36" borderId="0" xfId="61" applyNumberFormat="1" applyFont="1" applyFill="1" applyAlignment="1" applyProtection="1">
      <alignment horizontal="center"/>
    </xf>
    <xf numFmtId="49" fontId="11" fillId="0" borderId="0" xfId="0" applyNumberFormat="1" applyFont="1" applyBorder="1" applyAlignment="1" applyProtection="1">
      <alignment horizontal="center"/>
    </xf>
    <xf numFmtId="49" fontId="67" fillId="36" borderId="0" xfId="0" applyNumberFormat="1" applyFont="1" applyFill="1" applyBorder="1" applyAlignment="1" applyProtection="1">
      <alignment horizontal="center"/>
    </xf>
    <xf numFmtId="49" fontId="67" fillId="0" borderId="0" xfId="0" applyNumberFormat="1" applyFont="1" applyBorder="1" applyAlignment="1" applyProtection="1">
      <alignment horizontal="center"/>
    </xf>
    <xf numFmtId="49" fontId="11" fillId="0" borderId="0" xfId="0" applyNumberFormat="1" applyFont="1" applyAlignment="1" applyProtection="1">
      <alignment horizontal="center"/>
    </xf>
    <xf numFmtId="49" fontId="70" fillId="36" borderId="0" xfId="0" applyNumberFormat="1" applyFont="1" applyFill="1" applyAlignment="1" applyProtection="1">
      <alignment horizontal="center"/>
    </xf>
    <xf numFmtId="49" fontId="11" fillId="36" borderId="0" xfId="0" applyNumberFormat="1" applyFont="1" applyFill="1" applyAlignment="1" applyProtection="1">
      <alignment horizontal="center"/>
    </xf>
    <xf numFmtId="49" fontId="70" fillId="36" borderId="11" xfId="0" applyNumberFormat="1" applyFont="1" applyFill="1" applyBorder="1" applyAlignment="1" applyProtection="1">
      <alignment horizontal="center"/>
    </xf>
    <xf numFmtId="39" fontId="59" fillId="0" borderId="0" xfId="0" applyNumberFormat="1" applyFont="1" applyFill="1" applyProtection="1"/>
    <xf numFmtId="39" fontId="59" fillId="0" borderId="0" xfId="0" applyNumberFormat="1" applyFont="1" applyFill="1" applyBorder="1" applyProtection="1"/>
    <xf numFmtId="39" fontId="59" fillId="32" borderId="55" xfId="0" applyNumberFormat="1" applyFont="1" applyFill="1" applyBorder="1" applyProtection="1"/>
    <xf numFmtId="39" fontId="70" fillId="0" borderId="0" xfId="0" applyNumberFormat="1" applyFont="1" applyFill="1" applyBorder="1" applyAlignment="1" applyProtection="1"/>
    <xf numFmtId="39" fontId="11" fillId="0" borderId="0" xfId="0" applyNumberFormat="1" applyFont="1" applyBorder="1" applyAlignment="1" applyProtection="1"/>
    <xf numFmtId="39" fontId="11" fillId="0" borderId="0" xfId="0" applyNumberFormat="1" applyFont="1" applyFill="1" applyBorder="1" applyAlignment="1" applyProtection="1"/>
    <xf numFmtId="39" fontId="59" fillId="31" borderId="0" xfId="0" applyNumberFormat="1" applyFont="1" applyFill="1" applyProtection="1">
      <protection locked="0"/>
    </xf>
    <xf numFmtId="0" fontId="59" fillId="0" borderId="0" xfId="0" applyFont="1" applyFill="1" applyAlignment="1"/>
    <xf numFmtId="0" fontId="3" fillId="24" borderId="0" xfId="117" applyNumberFormat="1" applyFont="1" applyFill="1" applyAlignment="1" applyProtection="1"/>
    <xf numFmtId="0" fontId="42" fillId="40" borderId="0" xfId="0" applyFont="1" applyFill="1" applyBorder="1" applyAlignment="1">
      <alignment horizontal="center"/>
    </xf>
    <xf numFmtId="0" fontId="11" fillId="39" borderId="0" xfId="61" applyNumberFormat="1" applyFont="1" applyFill="1" applyBorder="1" applyAlignment="1" applyProtection="1"/>
    <xf numFmtId="0" fontId="56" fillId="39" borderId="0" xfId="61" applyNumberFormat="1" applyFont="1" applyFill="1" applyBorder="1" applyAlignment="1" applyProtection="1">
      <alignment horizontal="left" wrapText="1"/>
    </xf>
    <xf numFmtId="167" fontId="42" fillId="0" borderId="0" xfId="0" applyNumberFormat="1" applyFont="1"/>
    <xf numFmtId="176" fontId="42" fillId="0" borderId="0" xfId="123" applyNumberFormat="1" applyFont="1" applyBorder="1"/>
    <xf numFmtId="0" fontId="42" fillId="0" borderId="0" xfId="0" applyFont="1" applyBorder="1" applyAlignment="1">
      <alignment horizontal="left" indent="1"/>
    </xf>
    <xf numFmtId="188" fontId="42" fillId="40" borderId="0" xfId="47" applyNumberFormat="1" applyFont="1" applyFill="1" applyBorder="1"/>
    <xf numFmtId="0" fontId="78" fillId="40" borderId="0" xfId="0" applyFont="1" applyFill="1" applyBorder="1"/>
    <xf numFmtId="0" fontId="78" fillId="0" borderId="0" xfId="0" applyFont="1" applyBorder="1"/>
    <xf numFmtId="0" fontId="57" fillId="40" borderId="0" xfId="0" applyFont="1" applyFill="1" applyBorder="1" applyAlignment="1"/>
    <xf numFmtId="0" fontId="42" fillId="40" borderId="0" xfId="0" applyFont="1" applyFill="1" applyBorder="1" applyAlignment="1">
      <alignment horizontal="left" indent="2"/>
    </xf>
    <xf numFmtId="0" fontId="42" fillId="40" borderId="15" xfId="0" applyFont="1" applyFill="1" applyBorder="1"/>
    <xf numFmtId="0" fontId="42" fillId="40" borderId="16" xfId="0" applyFont="1" applyFill="1" applyBorder="1"/>
    <xf numFmtId="0" fontId="42" fillId="40" borderId="13" xfId="0" applyFont="1" applyFill="1" applyBorder="1"/>
    <xf numFmtId="0" fontId="42" fillId="40" borderId="11" xfId="0" applyFont="1" applyFill="1" applyBorder="1" applyAlignment="1">
      <alignment horizontal="left" indent="2"/>
    </xf>
    <xf numFmtId="0" fontId="42" fillId="40" borderId="14" xfId="0" applyFont="1" applyFill="1" applyBorder="1"/>
    <xf numFmtId="0" fontId="95" fillId="0" borderId="0" xfId="0" applyFont="1" applyBorder="1"/>
    <xf numFmtId="0" fontId="96" fillId="40" borderId="0" xfId="0" applyFont="1" applyFill="1" applyBorder="1" applyAlignment="1">
      <alignment horizontal="center"/>
    </xf>
    <xf numFmtId="175" fontId="42" fillId="40" borderId="0" xfId="47" applyNumberFormat="1" applyFont="1" applyFill="1" applyBorder="1"/>
    <xf numFmtId="175" fontId="42" fillId="0" borderId="0" xfId="47" applyNumberFormat="1" applyFont="1" applyBorder="1"/>
    <xf numFmtId="175" fontId="42" fillId="40" borderId="0" xfId="47" applyNumberFormat="1" applyFont="1" applyFill="1" applyBorder="1" applyAlignment="1"/>
    <xf numFmtId="0" fontId="97" fillId="40" borderId="0" xfId="0" applyFont="1" applyFill="1" applyBorder="1"/>
    <xf numFmtId="0" fontId="98" fillId="40" borderId="0" xfId="0" applyFont="1" applyFill="1" applyBorder="1"/>
    <xf numFmtId="0" fontId="98" fillId="40" borderId="0" xfId="0" applyFont="1" applyFill="1" applyBorder="1" applyAlignment="1">
      <alignment horizontal="center"/>
    </xf>
    <xf numFmtId="0" fontId="98" fillId="40" borderId="0" xfId="0" applyFont="1" applyFill="1" applyBorder="1" applyAlignment="1">
      <alignment horizontal="left" indent="1"/>
    </xf>
    <xf numFmtId="0" fontId="98" fillId="0" borderId="0" xfId="0" applyFont="1"/>
    <xf numFmtId="175" fontId="42" fillId="40" borderId="11" xfId="47" applyNumberFormat="1" applyFont="1" applyFill="1" applyBorder="1"/>
    <xf numFmtId="175" fontId="42" fillId="40" borderId="11" xfId="47" applyNumberFormat="1" applyFont="1" applyFill="1" applyBorder="1" applyAlignment="1"/>
    <xf numFmtId="0" fontId="42" fillId="39" borderId="11" xfId="0" applyFont="1" applyFill="1" applyBorder="1"/>
    <xf numFmtId="0" fontId="4" fillId="40" borderId="0" xfId="61" applyNumberFormat="1" applyFont="1" applyFill="1" applyAlignment="1" applyProtection="1">
      <alignment horizontal="center"/>
    </xf>
    <xf numFmtId="0" fontId="9" fillId="40" borderId="0" xfId="61" applyNumberFormat="1" applyFont="1" applyFill="1" applyAlignment="1" applyProtection="1">
      <alignment horizontal="center"/>
    </xf>
    <xf numFmtId="167" fontId="3" fillId="0" borderId="0" xfId="123" applyNumberFormat="1" applyFont="1" applyFill="1" applyProtection="1"/>
    <xf numFmtId="43" fontId="59" fillId="0" borderId="0" xfId="123" applyNumberFormat="1" applyFont="1" applyProtection="1"/>
    <xf numFmtId="43" fontId="59" fillId="0" borderId="0" xfId="123" applyNumberFormat="1" applyFont="1" applyFill="1" applyProtection="1"/>
    <xf numFmtId="171" fontId="11" fillId="0" borderId="0" xfId="109" applyFont="1" applyProtection="1"/>
    <xf numFmtId="171" fontId="99" fillId="0" borderId="0" xfId="109" applyFont="1" applyFill="1" applyAlignment="1" applyProtection="1">
      <alignment horizontal="center" wrapText="1"/>
    </xf>
    <xf numFmtId="171" fontId="56" fillId="0" borderId="0" xfId="109" applyFont="1" applyFill="1" applyAlignment="1" applyProtection="1">
      <alignment wrapText="1"/>
    </xf>
    <xf numFmtId="171" fontId="99" fillId="0" borderId="0" xfId="109" applyFont="1" applyFill="1" applyAlignment="1" applyProtection="1">
      <alignment horizontal="center"/>
    </xf>
    <xf numFmtId="171" fontId="56" fillId="0" borderId="0" xfId="109" applyFont="1" applyProtection="1"/>
    <xf numFmtId="171" fontId="11" fillId="0" borderId="0" xfId="109" applyFont="1" applyAlignment="1" applyProtection="1">
      <alignment horizontal="left" indent="3"/>
    </xf>
    <xf numFmtId="171" fontId="11" fillId="0" borderId="0" xfId="109" applyFont="1" applyProtection="1">
      <protection locked="0"/>
    </xf>
    <xf numFmtId="171" fontId="90" fillId="0" borderId="0" xfId="109" applyFont="1" applyFill="1" applyAlignment="1" applyProtection="1">
      <alignment horizontal="left" indent="5"/>
    </xf>
    <xf numFmtId="171" fontId="11" fillId="0" borderId="0" xfId="109" applyFont="1" applyAlignment="1" applyProtection="1"/>
    <xf numFmtId="171" fontId="11" fillId="0" borderId="0" xfId="109" applyFont="1" applyAlignment="1" applyProtection="1">
      <alignment horizontal="left" indent="5"/>
    </xf>
    <xf numFmtId="171" fontId="56" fillId="0" borderId="0" xfId="109" applyFont="1" applyFill="1" applyProtection="1"/>
    <xf numFmtId="171" fontId="11" fillId="0" borderId="0" xfId="109" applyFont="1" applyFill="1" applyAlignment="1" applyProtection="1">
      <alignment horizontal="left" indent="5"/>
    </xf>
    <xf numFmtId="171" fontId="11" fillId="0" borderId="0" xfId="109" applyFont="1" applyFill="1" applyProtection="1"/>
    <xf numFmtId="171" fontId="56" fillId="0" borderId="0" xfId="109" applyFont="1" applyFill="1" applyBorder="1" applyAlignment="1" applyProtection="1">
      <alignment wrapText="1"/>
    </xf>
    <xf numFmtId="0" fontId="67" fillId="0" borderId="0" xfId="61" applyNumberFormat="1" applyFont="1" applyBorder="1" applyAlignment="1" applyProtection="1">
      <alignment horizontal="left" indent="3"/>
    </xf>
    <xf numFmtId="44" fontId="11" fillId="0" borderId="0" xfId="47" applyFont="1" applyBorder="1" applyProtection="1"/>
    <xf numFmtId="44" fontId="66" fillId="0" borderId="0" xfId="47" applyFont="1" applyAlignment="1" applyProtection="1">
      <alignment horizontal="right"/>
    </xf>
    <xf numFmtId="44" fontId="11" fillId="0" borderId="0" xfId="47" applyFont="1" applyProtection="1"/>
    <xf numFmtId="44" fontId="11" fillId="0" borderId="0" xfId="47" applyFont="1" applyFill="1" applyProtection="1"/>
    <xf numFmtId="44" fontId="56" fillId="0" borderId="0" xfId="47" applyFont="1" applyProtection="1"/>
    <xf numFmtId="44" fontId="11" fillId="0" borderId="11" xfId="47" applyFont="1" applyBorder="1" applyProtection="1"/>
    <xf numFmtId="171" fontId="56" fillId="0" borderId="0" xfId="109" applyFont="1" applyFill="1" applyAlignment="1" applyProtection="1">
      <alignment horizontal="right"/>
    </xf>
    <xf numFmtId="0" fontId="60" fillId="31" borderId="0" xfId="0" applyFont="1" applyFill="1" applyAlignment="1" applyProtection="1">
      <alignment horizontal="right"/>
      <protection locked="0"/>
    </xf>
    <xf numFmtId="0" fontId="42" fillId="40" borderId="0" xfId="0" applyFont="1" applyFill="1" applyBorder="1" applyAlignment="1" applyProtection="1">
      <alignment horizontal="left"/>
      <protection locked="0"/>
    </xf>
    <xf numFmtId="0" fontId="3" fillId="40" borderId="0" xfId="0" applyFont="1" applyFill="1" applyBorder="1" applyAlignment="1">
      <alignment horizontal="left" vertical="center"/>
    </xf>
    <xf numFmtId="0" fontId="101" fillId="0" borderId="0" xfId="0" applyFont="1" applyAlignment="1"/>
    <xf numFmtId="173" fontId="101" fillId="0" borderId="0" xfId="0" applyNumberFormat="1" applyFont="1" applyAlignment="1"/>
    <xf numFmtId="173" fontId="101" fillId="0" borderId="0" xfId="0" applyNumberFormat="1" applyFont="1" applyAlignment="1">
      <alignment horizontal="center"/>
    </xf>
    <xf numFmtId="0" fontId="102" fillId="0" borderId="0" xfId="0" applyFont="1" applyAlignment="1"/>
    <xf numFmtId="49" fontId="102" fillId="0" borderId="0" xfId="0" applyNumberFormat="1" applyFont="1" applyAlignment="1"/>
    <xf numFmtId="0" fontId="78" fillId="0" borderId="0" xfId="0" applyFont="1" applyAlignment="1"/>
    <xf numFmtId="49" fontId="60" fillId="31" borderId="0" xfId="0" applyNumberFormat="1" applyFont="1" applyFill="1" applyAlignment="1" applyProtection="1">
      <alignment horizontal="right" indent="1"/>
      <protection locked="0"/>
    </xf>
    <xf numFmtId="49" fontId="84" fillId="31" borderId="0" xfId="0" applyNumberFormat="1" applyFont="1" applyFill="1" applyProtection="1">
      <protection locked="0"/>
    </xf>
    <xf numFmtId="0" fontId="0" fillId="31" borderId="0" xfId="0" applyFill="1" applyProtection="1">
      <protection locked="0"/>
    </xf>
    <xf numFmtId="0" fontId="86" fillId="40" borderId="0" xfId="0" applyFont="1" applyFill="1" applyAlignment="1">
      <alignment horizontal="left"/>
    </xf>
    <xf numFmtId="174" fontId="3" fillId="31" borderId="0" xfId="47" applyNumberFormat="1" applyFont="1" applyFill="1" applyProtection="1">
      <protection locked="0"/>
    </xf>
    <xf numFmtId="42" fontId="3" fillId="31" borderId="0" xfId="0" applyNumberFormat="1" applyFont="1" applyFill="1" applyBorder="1" applyProtection="1">
      <protection locked="0"/>
    </xf>
    <xf numFmtId="183" fontId="42" fillId="31" borderId="0" xfId="47" applyNumberFormat="1" applyFont="1" applyFill="1" applyAlignment="1" applyProtection="1">
      <alignment horizontal="right"/>
      <protection locked="0"/>
    </xf>
    <xf numFmtId="167" fontId="42" fillId="31" borderId="0" xfId="123" applyNumberFormat="1" applyFont="1" applyFill="1" applyAlignment="1" applyProtection="1">
      <alignment horizontal="right"/>
      <protection locked="0"/>
    </xf>
    <xf numFmtId="0" fontId="42" fillId="0" borderId="0" xfId="0" applyFont="1" applyFill="1" applyAlignment="1">
      <alignment horizontal="center"/>
    </xf>
    <xf numFmtId="167" fontId="42" fillId="0" borderId="0" xfId="123" applyNumberFormat="1" applyFont="1" applyFill="1"/>
    <xf numFmtId="0" fontId="9" fillId="0" borderId="0" xfId="0" applyFont="1" applyFill="1" applyBorder="1" applyAlignment="1">
      <alignment horizontal="left"/>
    </xf>
    <xf numFmtId="0" fontId="3" fillId="0" borderId="0" xfId="0" applyFont="1" applyFill="1" applyBorder="1" applyAlignment="1">
      <alignment horizontal="right"/>
    </xf>
    <xf numFmtId="0" fontId="3" fillId="0" borderId="0" xfId="0" applyFont="1" applyFill="1" applyBorder="1" applyAlignment="1">
      <alignment horizontal="left"/>
    </xf>
    <xf numFmtId="167" fontId="3" fillId="0" borderId="0" xfId="123" applyNumberFormat="1" applyFont="1" applyFill="1" applyBorder="1" applyAlignment="1"/>
    <xf numFmtId="0" fontId="42" fillId="0" borderId="0" xfId="0" applyFont="1" applyFill="1" applyBorder="1" applyAlignment="1"/>
    <xf numFmtId="167" fontId="3" fillId="0" borderId="0" xfId="123" applyNumberFormat="1" applyFont="1" applyFill="1" applyBorder="1" applyAlignment="1">
      <alignment horizontal="center"/>
    </xf>
    <xf numFmtId="0" fontId="103" fillId="0" borderId="0" xfId="0" applyFont="1" applyFill="1"/>
    <xf numFmtId="167" fontId="103" fillId="0" borderId="0" xfId="123" applyNumberFormat="1" applyFont="1" applyFill="1"/>
    <xf numFmtId="169" fontId="3" fillId="0" borderId="0" xfId="0" applyNumberFormat="1" applyFont="1" applyFill="1" applyBorder="1" applyAlignment="1">
      <alignment horizontal="right" vertical="top" wrapText="1"/>
    </xf>
    <xf numFmtId="0" fontId="4" fillId="0" borderId="0" xfId="61" applyNumberFormat="1" applyFont="1" applyFill="1" applyBorder="1" applyAlignment="1">
      <alignment horizontal="right"/>
    </xf>
    <xf numFmtId="0" fontId="103" fillId="0" borderId="0" xfId="0" applyFont="1" applyFill="1" applyAlignment="1">
      <alignment horizontal="right"/>
    </xf>
    <xf numFmtId="167" fontId="42" fillId="0" borderId="0" xfId="123" applyNumberFormat="1" applyFont="1" applyFill="1" applyAlignment="1">
      <alignment horizontal="right"/>
    </xf>
    <xf numFmtId="167" fontId="42" fillId="0" borderId="0" xfId="123" applyNumberFormat="1" applyFont="1" applyFill="1" applyAlignment="1">
      <alignment horizontal="center"/>
    </xf>
    <xf numFmtId="167" fontId="3" fillId="0" borderId="0" xfId="123" applyNumberFormat="1" applyFont="1" applyFill="1" applyBorder="1" applyAlignment="1">
      <alignment horizontal="right"/>
    </xf>
    <xf numFmtId="167" fontId="3" fillId="0" borderId="11" xfId="123" applyNumberFormat="1" applyFont="1" applyFill="1" applyBorder="1" applyAlignment="1">
      <alignment horizontal="right"/>
    </xf>
    <xf numFmtId="0" fontId="105" fillId="0" borderId="0" xfId="0" applyFont="1" applyFill="1" applyBorder="1" applyAlignment="1"/>
    <xf numFmtId="0" fontId="104" fillId="0" borderId="0" xfId="0" applyFont="1" applyFill="1" applyBorder="1" applyAlignment="1"/>
    <xf numFmtId="167" fontId="42" fillId="0" borderId="11" xfId="123" applyNumberFormat="1" applyFont="1" applyFill="1" applyBorder="1" applyAlignment="1">
      <alignment horizontal="center"/>
    </xf>
    <xf numFmtId="0" fontId="96" fillId="0" borderId="0" xfId="0" applyFont="1" applyFill="1" applyAlignment="1">
      <alignment horizontal="left"/>
    </xf>
    <xf numFmtId="167" fontId="42" fillId="0" borderId="0" xfId="123" applyNumberFormat="1" applyFont="1" applyFill="1" applyBorder="1" applyAlignment="1">
      <alignment horizontal="center"/>
    </xf>
    <xf numFmtId="0" fontId="3" fillId="0" borderId="0" xfId="0" applyFont="1" applyFill="1" applyBorder="1" applyAlignment="1">
      <alignment horizontal="right" wrapText="1"/>
    </xf>
    <xf numFmtId="0" fontId="103" fillId="0" borderId="0" xfId="0" applyFont="1" applyFill="1" applyAlignment="1">
      <alignment wrapText="1"/>
    </xf>
    <xf numFmtId="167" fontId="103" fillId="0" borderId="0" xfId="123" applyNumberFormat="1" applyFont="1" applyFill="1" applyAlignment="1">
      <alignment wrapText="1"/>
    </xf>
    <xf numFmtId="167" fontId="42" fillId="0" borderId="0" xfId="123" applyNumberFormat="1" applyFont="1" applyFill="1" applyAlignment="1">
      <alignment horizontal="right" wrapText="1"/>
    </xf>
    <xf numFmtId="167" fontId="42" fillId="0" borderId="0" xfId="123" applyNumberFormat="1" applyFont="1" applyFill="1" applyAlignment="1">
      <alignment horizontal="center" wrapText="1"/>
    </xf>
    <xf numFmtId="0" fontId="95" fillId="0" borderId="0" xfId="0" applyFont="1" applyFill="1" applyAlignment="1">
      <alignment horizontal="right" wrapText="1"/>
    </xf>
    <xf numFmtId="0" fontId="42" fillId="0" borderId="0" xfId="0" applyFont="1" applyFill="1" applyBorder="1" applyAlignment="1">
      <alignment horizontal="right" wrapText="1"/>
    </xf>
    <xf numFmtId="167" fontId="57" fillId="0" borderId="0" xfId="123" applyNumberFormat="1" applyFont="1" applyFill="1" applyBorder="1" applyAlignment="1">
      <alignment horizontal="right" wrapText="1"/>
    </xf>
    <xf numFmtId="0" fontId="42" fillId="0" borderId="0" xfId="0" applyFont="1" applyFill="1" applyAlignment="1">
      <alignment wrapText="1"/>
    </xf>
    <xf numFmtId="0" fontId="42" fillId="0" borderId="0" xfId="0" applyFont="1" applyFill="1" applyBorder="1" applyAlignment="1">
      <alignment wrapText="1"/>
    </xf>
    <xf numFmtId="167" fontId="3" fillId="0" borderId="0" xfId="123" applyNumberFormat="1" applyFont="1" applyFill="1" applyBorder="1" applyAlignment="1">
      <alignment horizontal="center" wrapText="1"/>
    </xf>
    <xf numFmtId="167" fontId="42" fillId="0" borderId="0" xfId="123" applyNumberFormat="1" applyFont="1" applyFill="1" applyAlignment="1"/>
    <xf numFmtId="0" fontId="42" fillId="0" borderId="0" xfId="0" applyFont="1" applyFill="1" applyAlignment="1"/>
    <xf numFmtId="167" fontId="3" fillId="0" borderId="11" xfId="123" applyNumberFormat="1" applyFont="1" applyFill="1" applyBorder="1" applyAlignment="1">
      <alignment horizontal="center"/>
    </xf>
    <xf numFmtId="167" fontId="3" fillId="0" borderId="115" xfId="123" applyNumberFormat="1" applyFont="1" applyFill="1" applyBorder="1" applyAlignment="1">
      <alignment horizontal="right"/>
    </xf>
    <xf numFmtId="167" fontId="42" fillId="0" borderId="0" xfId="123" applyNumberFormat="1" applyFont="1" applyFill="1" applyBorder="1" applyAlignment="1">
      <alignment horizontal="right"/>
    </xf>
    <xf numFmtId="167" fontId="42" fillId="0" borderId="0" xfId="123" applyNumberFormat="1" applyFont="1" applyFill="1" applyBorder="1" applyAlignment="1"/>
    <xf numFmtId="167" fontId="9" fillId="0" borderId="0" xfId="123" applyNumberFormat="1" applyFont="1" applyFill="1" applyBorder="1" applyAlignment="1">
      <alignment horizontal="center"/>
    </xf>
    <xf numFmtId="176" fontId="42" fillId="0" borderId="0" xfId="123" applyNumberFormat="1" applyFont="1" applyFill="1" applyAlignment="1"/>
    <xf numFmtId="0" fontId="57" fillId="0" borderId="0" xfId="0" applyFont="1" applyFill="1" applyAlignment="1">
      <alignment horizontal="center" wrapText="1"/>
    </xf>
    <xf numFmtId="0" fontId="57" fillId="0" borderId="0" xfId="0" applyFont="1" applyFill="1" applyAlignment="1">
      <alignment horizontal="right" wrapText="1"/>
    </xf>
    <xf numFmtId="43" fontId="3" fillId="31" borderId="0" xfId="123" applyFont="1" applyFill="1" applyAlignment="1" applyProtection="1">
      <protection locked="0"/>
    </xf>
    <xf numFmtId="43" fontId="3" fillId="0" borderId="0" xfId="123" quotePrefix="1" applyFont="1" applyAlignment="1" applyProtection="1">
      <alignment vertical="center" wrapText="1"/>
    </xf>
    <xf numFmtId="43" fontId="3" fillId="0" borderId="0" xfId="123" applyFont="1" applyAlignment="1" applyProtection="1">
      <alignment vertical="center"/>
    </xf>
    <xf numFmtId="43" fontId="3" fillId="0" borderId="0" xfId="123" applyFont="1" applyProtection="1"/>
    <xf numFmtId="0" fontId="3" fillId="0" borderId="0" xfId="123" applyNumberFormat="1" applyFont="1" applyAlignment="1" applyProtection="1">
      <alignment vertical="center"/>
    </xf>
    <xf numFmtId="0" fontId="3" fillId="0" borderId="0" xfId="61" applyNumberFormat="1" applyFont="1" applyBorder="1" applyAlignment="1" applyProtection="1">
      <alignment vertical="center" wrapText="1"/>
    </xf>
    <xf numFmtId="171" fontId="56" fillId="0" borderId="0" xfId="109" applyFont="1" applyAlignment="1" applyProtection="1"/>
    <xf numFmtId="44" fontId="11" fillId="0" borderId="0" xfId="47" applyFont="1" applyFill="1" applyBorder="1" applyProtection="1"/>
    <xf numFmtId="44" fontId="11" fillId="33" borderId="115" xfId="47" applyFont="1" applyFill="1" applyBorder="1" applyProtection="1"/>
    <xf numFmtId="44" fontId="11" fillId="33" borderId="12" xfId="47" applyFont="1" applyFill="1" applyBorder="1" applyProtection="1"/>
    <xf numFmtId="43" fontId="11" fillId="0" borderId="0" xfId="123" applyFont="1" applyAlignment="1" applyProtection="1">
      <alignment vertical="center"/>
    </xf>
    <xf numFmtId="0" fontId="11" fillId="40" borderId="0" xfId="61" applyNumberFormat="1" applyFont="1" applyFill="1" applyBorder="1" applyAlignment="1" applyProtection="1">
      <alignment vertical="center" wrapText="1"/>
    </xf>
    <xf numFmtId="0" fontId="11" fillId="40" borderId="0" xfId="61" applyNumberFormat="1" applyFont="1" applyFill="1" applyBorder="1" applyAlignment="1" applyProtection="1"/>
    <xf numFmtId="43" fontId="11" fillId="0" borderId="0" xfId="123" applyFont="1" applyAlignment="1" applyProtection="1"/>
    <xf numFmtId="0" fontId="59" fillId="0" borderId="0" xfId="0" applyFont="1" applyBorder="1" applyProtection="1"/>
    <xf numFmtId="43" fontId="59" fillId="0" borderId="0" xfId="123" applyFont="1" applyProtection="1"/>
    <xf numFmtId="43" fontId="59" fillId="0" borderId="15" xfId="123" applyFont="1" applyBorder="1" applyProtection="1"/>
    <xf numFmtId="0" fontId="11" fillId="0" borderId="0" xfId="0" applyFont="1" applyBorder="1" applyProtection="1"/>
    <xf numFmtId="43" fontId="11" fillId="31" borderId="0" xfId="123" applyFont="1" applyFill="1" applyAlignment="1" applyProtection="1">
      <protection locked="0"/>
    </xf>
    <xf numFmtId="43" fontId="11" fillId="0" borderId="16" xfId="123" applyFont="1" applyBorder="1" applyAlignment="1" applyProtection="1"/>
    <xf numFmtId="0" fontId="93" fillId="0" borderId="0" xfId="61" applyNumberFormat="1" applyFont="1" applyFill="1" applyBorder="1" applyAlignment="1" applyProtection="1">
      <alignment horizontal="right"/>
    </xf>
    <xf numFmtId="0" fontId="9" fillId="0" borderId="11" xfId="61" applyNumberFormat="1" applyFont="1" applyBorder="1" applyAlignment="1" applyProtection="1">
      <alignment horizontal="center"/>
    </xf>
    <xf numFmtId="4" fontId="56" fillId="0" borderId="0" xfId="61" applyNumberFormat="1" applyFont="1" applyBorder="1" applyAlignment="1" applyProtection="1"/>
    <xf numFmtId="0" fontId="67" fillId="0" borderId="0" xfId="61" applyNumberFormat="1" applyFont="1" applyFill="1" applyBorder="1" applyAlignment="1" applyProtection="1">
      <alignment wrapText="1"/>
    </xf>
    <xf numFmtId="0" fontId="11" fillId="0" borderId="0" xfId="61" applyNumberFormat="1" applyFont="1" applyFill="1" applyBorder="1" applyAlignment="1" applyProtection="1">
      <protection locked="0"/>
    </xf>
    <xf numFmtId="43" fontId="11" fillId="0" borderId="0" xfId="123" applyFont="1" applyFill="1" applyAlignment="1" applyProtection="1"/>
    <xf numFmtId="43" fontId="11" fillId="0" borderId="11" xfId="123" applyFont="1" applyFill="1" applyBorder="1" applyAlignment="1" applyProtection="1"/>
    <xf numFmtId="43" fontId="11" fillId="0" borderId="0" xfId="123" applyFont="1" applyFill="1" applyBorder="1" applyAlignment="1" applyProtection="1"/>
    <xf numFmtId="43" fontId="11" fillId="0" borderId="115" xfId="123" applyFont="1" applyFill="1" applyBorder="1" applyAlignment="1" applyProtection="1"/>
    <xf numFmtId="0" fontId="93" fillId="0" borderId="0" xfId="61" applyNumberFormat="1" applyFont="1" applyAlignment="1" applyProtection="1">
      <alignment horizontal="right"/>
    </xf>
    <xf numFmtId="43" fontId="11" fillId="0" borderId="0" xfId="123" applyFont="1" applyProtection="1"/>
    <xf numFmtId="43" fontId="11" fillId="0" borderId="0" xfId="123" applyFont="1" applyBorder="1" applyProtection="1"/>
    <xf numFmtId="43" fontId="11" fillId="0" borderId="115" xfId="123" applyFont="1" applyBorder="1" applyProtection="1"/>
    <xf numFmtId="43" fontId="11" fillId="0" borderId="0" xfId="123" applyFont="1" applyFill="1" applyProtection="1"/>
    <xf numFmtId="43" fontId="11" fillId="0" borderId="12" xfId="123" applyFont="1" applyBorder="1" applyProtection="1"/>
    <xf numFmtId="0" fontId="11" fillId="0" borderId="0" xfId="61" applyFont="1" applyProtection="1"/>
    <xf numFmtId="0" fontId="11" fillId="40" borderId="0" xfId="61" applyFont="1" applyFill="1" applyAlignment="1" applyProtection="1">
      <alignment wrapText="1"/>
    </xf>
    <xf numFmtId="4" fontId="9" fillId="0" borderId="0" xfId="61"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4" fillId="0" borderId="0" xfId="61" applyNumberFormat="1" applyFont="1" applyFill="1" applyBorder="1" applyAlignment="1" applyProtection="1">
      <alignment horizontal="center"/>
    </xf>
    <xf numFmtId="4" fontId="2" fillId="0" borderId="0" xfId="61" applyNumberFormat="1" applyFont="1" applyFill="1" applyBorder="1" applyAlignment="1" applyProtection="1">
      <alignment horizontal="right"/>
    </xf>
    <xf numFmtId="165" fontId="4" fillId="0" borderId="0" xfId="61" applyNumberFormat="1" applyFont="1" applyFill="1" applyBorder="1" applyAlignment="1" applyProtection="1">
      <alignment horizontal="center"/>
    </xf>
    <xf numFmtId="41" fontId="9" fillId="0" borderId="0" xfId="0" applyNumberFormat="1" applyFont="1" applyFill="1" applyBorder="1" applyAlignment="1" applyProtection="1">
      <alignment horizontal="center"/>
    </xf>
    <xf numFmtId="4" fontId="2" fillId="0" borderId="0" xfId="61" applyNumberFormat="1" applyFont="1" applyFill="1" applyBorder="1" applyAlignment="1" applyProtection="1">
      <alignment horizontal="center"/>
    </xf>
    <xf numFmtId="185" fontId="3" fillId="0" borderId="0" xfId="0" applyNumberFormat="1" applyFont="1" applyFill="1" applyBorder="1" applyProtection="1"/>
    <xf numFmtId="39" fontId="2" fillId="0" borderId="0" xfId="61" applyNumberFormat="1" applyFont="1" applyFill="1" applyBorder="1" applyAlignment="1" applyProtection="1">
      <alignment horizontal="right"/>
    </xf>
    <xf numFmtId="43" fontId="3" fillId="0" borderId="0" xfId="0" applyNumberFormat="1" applyFont="1" applyFill="1" applyBorder="1" applyProtection="1"/>
    <xf numFmtId="164" fontId="2" fillId="0" borderId="0" xfId="61" applyNumberFormat="1" applyFont="1" applyFill="1" applyBorder="1" applyAlignment="1" applyProtection="1">
      <alignment horizontal="right"/>
    </xf>
    <xf numFmtId="39" fontId="3" fillId="0" borderId="0" xfId="61" applyNumberFormat="1" applyFont="1" applyFill="1" applyBorder="1" applyAlignment="1" applyProtection="1"/>
    <xf numFmtId="185" fontId="3" fillId="0" borderId="0" xfId="123" applyNumberFormat="1" applyFont="1" applyFill="1" applyBorder="1" applyProtection="1"/>
    <xf numFmtId="39" fontId="4" fillId="0" borderId="0" xfId="61" applyNumberFormat="1" applyFont="1" applyFill="1" applyBorder="1" applyAlignment="1" applyProtection="1">
      <alignment horizontal="right"/>
    </xf>
    <xf numFmtId="185" fontId="2" fillId="0" borderId="0" xfId="123" applyNumberFormat="1" applyFont="1" applyFill="1" applyBorder="1" applyAlignment="1" applyProtection="1"/>
    <xf numFmtId="167" fontId="42" fillId="0" borderId="0" xfId="123" applyNumberFormat="1" applyFont="1" applyFill="1" applyBorder="1" applyProtection="1"/>
    <xf numFmtId="183" fontId="2" fillId="0" borderId="0" xfId="61" applyNumberFormat="1" applyFont="1" applyFill="1" applyBorder="1" applyAlignment="1" applyProtection="1">
      <alignment horizontal="right"/>
    </xf>
    <xf numFmtId="4" fontId="2" fillId="0" borderId="0" xfId="61" applyNumberFormat="1" applyFont="1" applyFill="1" applyBorder="1" applyAlignment="1" applyProtection="1"/>
    <xf numFmtId="174" fontId="3" fillId="0" borderId="0" xfId="48" applyNumberFormat="1" applyFont="1" applyFill="1" applyBorder="1" applyAlignment="1" applyProtection="1"/>
    <xf numFmtId="167" fontId="2" fillId="0" borderId="0" xfId="123" applyNumberFormat="1" applyFont="1" applyFill="1" applyBorder="1" applyAlignment="1" applyProtection="1">
      <alignment horizontal="right"/>
    </xf>
    <xf numFmtId="174" fontId="3" fillId="0" borderId="0" xfId="48" applyNumberFormat="1" applyFont="1" applyFill="1" applyAlignment="1" applyProtection="1"/>
    <xf numFmtId="0" fontId="65" fillId="0" borderId="0" xfId="61" applyNumberFormat="1" applyFont="1" applyFill="1" applyBorder="1" applyAlignment="1" applyProtection="1">
      <alignment horizontal="center" vertical="center"/>
    </xf>
    <xf numFmtId="0" fontId="4" fillId="0" borderId="0" xfId="61" applyNumberFormat="1" applyFont="1" applyFill="1" applyBorder="1" applyAlignment="1" applyProtection="1">
      <alignment horizontal="center" vertical="center"/>
    </xf>
    <xf numFmtId="39" fontId="2" fillId="0" borderId="0" xfId="61" applyNumberFormat="1" applyFont="1" applyFill="1" applyBorder="1" applyAlignment="1" applyProtection="1"/>
    <xf numFmtId="0" fontId="9" fillId="0" borderId="0" xfId="61" applyNumberFormat="1" applyFont="1" applyFill="1" applyBorder="1" applyAlignment="1" applyProtection="1">
      <alignment horizontal="center"/>
    </xf>
    <xf numFmtId="173" fontId="4" fillId="0" borderId="0" xfId="61" applyNumberFormat="1" applyFont="1" applyFill="1" applyBorder="1" applyAlignment="1" applyProtection="1">
      <alignment horizontal="center"/>
    </xf>
    <xf numFmtId="0" fontId="2" fillId="0" borderId="0" xfId="61" applyNumberFormat="1" applyFont="1" applyFill="1" applyBorder="1" applyAlignment="1" applyProtection="1">
      <alignment horizontal="center"/>
    </xf>
    <xf numFmtId="43" fontId="42" fillId="0" borderId="0" xfId="123" applyFont="1" applyFill="1" applyBorder="1" applyProtection="1"/>
    <xf numFmtId="41" fontId="3" fillId="0" borderId="0" xfId="0" applyNumberFormat="1" applyFont="1" applyFill="1" applyBorder="1" applyProtection="1"/>
    <xf numFmtId="173" fontId="9" fillId="0" borderId="0" xfId="0" quotePrefix="1" applyNumberFormat="1" applyFont="1" applyFill="1" applyBorder="1" applyAlignment="1" applyProtection="1">
      <alignment horizontal="center" vertical="center"/>
    </xf>
    <xf numFmtId="0" fontId="3" fillId="0" borderId="0" xfId="0" applyFont="1" applyFill="1" applyBorder="1" applyAlignment="1" applyProtection="1"/>
    <xf numFmtId="174" fontId="2" fillId="0" borderId="0" xfId="61" applyNumberFormat="1" applyFont="1" applyFill="1" applyBorder="1" applyAlignment="1" applyProtection="1"/>
    <xf numFmtId="167" fontId="3" fillId="0" borderId="0" xfId="123" applyNumberFormat="1" applyFont="1" applyFill="1" applyBorder="1" applyProtection="1"/>
    <xf numFmtId="183" fontId="3" fillId="0" borderId="0" xfId="48" applyNumberFormat="1" applyFont="1" applyFill="1" applyBorder="1" applyProtection="1"/>
    <xf numFmtId="44" fontId="3" fillId="0" borderId="0" xfId="48" applyFont="1" applyFill="1" applyBorder="1" applyProtection="1"/>
    <xf numFmtId="39" fontId="3" fillId="0" borderId="0" xfId="29" applyNumberFormat="1" applyFont="1" applyFill="1" applyBorder="1" applyProtection="1"/>
    <xf numFmtId="183" fontId="3" fillId="0" borderId="0" xfId="29" applyNumberFormat="1" applyFont="1" applyFill="1" applyBorder="1" applyProtection="1"/>
    <xf numFmtId="167" fontId="9" fillId="0" borderId="0" xfId="110" applyNumberFormat="1" applyFont="1" applyFill="1" applyBorder="1" applyAlignment="1" applyProtection="1">
      <alignment horizontal="center" vertical="center"/>
    </xf>
    <xf numFmtId="43" fontId="3" fillId="0" borderId="0" xfId="123" applyFont="1" applyFill="1" applyBorder="1" applyProtection="1"/>
    <xf numFmtId="43" fontId="9" fillId="0" borderId="0" xfId="123" applyFont="1" applyFill="1" applyBorder="1" applyAlignment="1" applyProtection="1">
      <alignment horizontal="center" vertical="center"/>
    </xf>
    <xf numFmtId="43" fontId="11" fillId="31" borderId="0" xfId="123" applyFont="1" applyFill="1" applyProtection="1">
      <protection locked="0"/>
    </xf>
    <xf numFmtId="43" fontId="3" fillId="31" borderId="0" xfId="123" applyFont="1" applyFill="1" applyBorder="1" applyAlignment="1" applyProtection="1">
      <protection locked="0"/>
    </xf>
    <xf numFmtId="43" fontId="2" fillId="31" borderId="0" xfId="123" applyFont="1" applyFill="1" applyBorder="1" applyAlignment="1" applyProtection="1">
      <protection locked="0"/>
    </xf>
    <xf numFmtId="0" fontId="66" fillId="40" borderId="0" xfId="61" applyNumberFormat="1" applyFont="1" applyFill="1" applyAlignment="1" applyProtection="1">
      <alignment horizontal="left"/>
    </xf>
    <xf numFmtId="0" fontId="67" fillId="40" borderId="0" xfId="61" applyNumberFormat="1" applyFont="1" applyFill="1" applyAlignment="1" applyProtection="1">
      <alignment horizontal="left"/>
    </xf>
    <xf numFmtId="0" fontId="11" fillId="36" borderId="0" xfId="0" applyFont="1" applyFill="1" applyAlignment="1" applyProtection="1">
      <alignment horizontal="left"/>
    </xf>
    <xf numFmtId="0" fontId="11" fillId="40" borderId="0" xfId="0" applyFont="1" applyFill="1" applyAlignment="1" applyProtection="1">
      <alignment horizontal="left"/>
    </xf>
    <xf numFmtId="0" fontId="67" fillId="36" borderId="0" xfId="61" applyNumberFormat="1" applyFont="1" applyFill="1" applyAlignment="1" applyProtection="1">
      <alignment horizontal="left"/>
    </xf>
    <xf numFmtId="0" fontId="67" fillId="0" borderId="0" xfId="61" applyNumberFormat="1" applyFont="1" applyFill="1" applyBorder="1" applyAlignment="1" applyProtection="1">
      <alignment horizontal="left"/>
    </xf>
    <xf numFmtId="167" fontId="67" fillId="0" borderId="0" xfId="123" applyNumberFormat="1" applyFont="1" applyFill="1" applyBorder="1" applyAlignment="1" applyProtection="1"/>
    <xf numFmtId="0" fontId="11" fillId="0" borderId="0" xfId="61" applyNumberFormat="1" applyFont="1" applyFill="1" applyAlignment="1" applyProtection="1">
      <alignment horizontal="left"/>
    </xf>
    <xf numFmtId="0" fontId="11" fillId="0" borderId="0" xfId="0" applyFont="1" applyFill="1" applyAlignment="1" applyProtection="1">
      <alignment horizontal="left"/>
    </xf>
    <xf numFmtId="167" fontId="11" fillId="0" borderId="15" xfId="123" applyNumberFormat="1" applyFont="1" applyFill="1" applyBorder="1" applyAlignment="1" applyProtection="1"/>
    <xf numFmtId="0" fontId="66" fillId="0" borderId="0" xfId="61" applyNumberFormat="1" applyFont="1" applyFill="1" applyAlignment="1" applyProtection="1">
      <alignment horizontal="left"/>
    </xf>
    <xf numFmtId="0" fontId="67" fillId="0" borderId="0" xfId="61" applyNumberFormat="1" applyFont="1" applyFill="1" applyAlignment="1" applyProtection="1">
      <alignment horizontal="left"/>
    </xf>
    <xf numFmtId="167" fontId="66" fillId="0" borderId="15" xfId="123" applyNumberFormat="1" applyFont="1" applyFill="1" applyBorder="1" applyAlignment="1" applyProtection="1"/>
    <xf numFmtId="0" fontId="66" fillId="0" borderId="0" xfId="61" applyNumberFormat="1" applyFont="1" applyFill="1" applyBorder="1" applyAlignment="1" applyProtection="1">
      <alignment horizontal="left"/>
    </xf>
    <xf numFmtId="167" fontId="67" fillId="0" borderId="15" xfId="123" applyNumberFormat="1" applyFont="1" applyFill="1" applyBorder="1" applyAlignment="1" applyProtection="1"/>
    <xf numFmtId="167" fontId="11" fillId="0" borderId="16" xfId="123" applyNumberFormat="1" applyFont="1" applyFill="1" applyBorder="1" applyAlignment="1" applyProtection="1"/>
    <xf numFmtId="0" fontId="66" fillId="48" borderId="0" xfId="61" applyNumberFormat="1" applyFont="1" applyFill="1" applyAlignment="1" applyProtection="1">
      <alignment horizontal="left"/>
    </xf>
    <xf numFmtId="0" fontId="59" fillId="41" borderId="15" xfId="0" applyFont="1" applyFill="1" applyBorder="1" applyAlignment="1">
      <alignment horizontal="right"/>
    </xf>
    <xf numFmtId="0" fontId="59" fillId="41" borderId="0" xfId="0" applyFont="1" applyFill="1" applyBorder="1"/>
    <xf numFmtId="0" fontId="59" fillId="41" borderId="0" xfId="0" applyFont="1" applyFill="1" applyBorder="1" applyAlignment="1">
      <alignment horizontal="right"/>
    </xf>
    <xf numFmtId="167" fontId="59" fillId="41" borderId="0" xfId="123" applyNumberFormat="1" applyFont="1" applyFill="1" applyBorder="1"/>
    <xf numFmtId="167" fontId="59" fillId="41" borderId="16" xfId="123" applyNumberFormat="1" applyFont="1" applyFill="1" applyBorder="1"/>
    <xf numFmtId="167" fontId="59" fillId="41" borderId="11" xfId="123" applyNumberFormat="1" applyFont="1" applyFill="1" applyBorder="1"/>
    <xf numFmtId="167" fontId="59" fillId="41" borderId="0" xfId="0" applyNumberFormat="1" applyFont="1" applyFill="1" applyBorder="1"/>
    <xf numFmtId="167" fontId="59" fillId="41" borderId="115" xfId="0" applyNumberFormat="1" applyFont="1" applyFill="1" applyBorder="1"/>
    <xf numFmtId="167" fontId="59" fillId="41" borderId="116" xfId="123" applyNumberFormat="1" applyFont="1" applyFill="1" applyBorder="1"/>
    <xf numFmtId="0" fontId="59" fillId="41" borderId="16" xfId="0" applyFont="1" applyFill="1" applyBorder="1"/>
    <xf numFmtId="0" fontId="59" fillId="41" borderId="15" xfId="0" applyFont="1" applyFill="1" applyBorder="1" applyAlignment="1">
      <alignment horizontal="left"/>
    </xf>
    <xf numFmtId="0" fontId="59" fillId="41" borderId="13" xfId="0" applyFont="1" applyFill="1" applyBorder="1" applyAlignment="1">
      <alignment horizontal="left"/>
    </xf>
    <xf numFmtId="0" fontId="59" fillId="41" borderId="11" xfId="0" applyFont="1" applyFill="1" applyBorder="1"/>
    <xf numFmtId="0" fontId="59" fillId="41" borderId="14" xfId="0" applyFont="1" applyFill="1" applyBorder="1"/>
    <xf numFmtId="37" fontId="42" fillId="0" borderId="0" xfId="123" applyNumberFormat="1" applyFont="1" applyFill="1" applyBorder="1"/>
    <xf numFmtId="0" fontId="96" fillId="0" borderId="0" xfId="0" applyFont="1" applyFill="1" applyAlignment="1"/>
    <xf numFmtId="0" fontId="61" fillId="0" borderId="0" xfId="0" applyFont="1" applyFill="1" applyAlignment="1"/>
    <xf numFmtId="0" fontId="61" fillId="0" borderId="0" xfId="0" applyFont="1" applyFill="1" applyAlignment="1">
      <alignment horizontal="left"/>
    </xf>
    <xf numFmtId="0" fontId="88" fillId="0" borderId="0" xfId="0" applyFont="1" applyFill="1" applyAlignment="1">
      <alignment horizontal="center" wrapText="1"/>
    </xf>
    <xf numFmtId="0" fontId="56" fillId="0" borderId="0" xfId="0" applyFont="1" applyFill="1" applyBorder="1" applyAlignment="1">
      <alignment horizontal="center" wrapText="1"/>
    </xf>
    <xf numFmtId="0" fontId="56" fillId="40" borderId="0" xfId="0" applyFont="1" applyFill="1" applyBorder="1"/>
    <xf numFmtId="0" fontId="110" fillId="0" borderId="0" xfId="0" applyFont="1" applyFill="1" applyAlignment="1">
      <alignment wrapText="1"/>
    </xf>
    <xf numFmtId="0" fontId="11" fillId="40" borderId="0" xfId="0" applyFont="1" applyFill="1" applyBorder="1"/>
    <xf numFmtId="0" fontId="59" fillId="0" borderId="0" xfId="0" applyFont="1" applyFill="1" applyAlignment="1">
      <alignment wrapText="1"/>
    </xf>
    <xf numFmtId="0" fontId="11" fillId="0" borderId="0" xfId="0" applyFont="1" applyFill="1" applyBorder="1" applyAlignment="1">
      <alignment horizontal="right" wrapText="1"/>
    </xf>
    <xf numFmtId="0" fontId="59" fillId="0" borderId="0" xfId="0" applyFont="1" applyFill="1" applyAlignment="1">
      <alignment horizontal="right" wrapText="1"/>
    </xf>
    <xf numFmtId="0" fontId="112" fillId="0" borderId="0" xfId="0" applyFont="1" applyFill="1" applyAlignment="1">
      <alignment horizontal="right" wrapText="1"/>
    </xf>
    <xf numFmtId="0" fontId="11" fillId="0" borderId="0" xfId="0" applyFont="1" applyFill="1" applyBorder="1" applyAlignment="1">
      <alignment horizontal="left" wrapText="1"/>
    </xf>
    <xf numFmtId="0" fontId="59" fillId="0" borderId="0" xfId="0" applyFont="1" applyFill="1" applyBorder="1" applyAlignment="1">
      <alignment wrapText="1"/>
    </xf>
    <xf numFmtId="0" fontId="6" fillId="40" borderId="0" xfId="0" applyFont="1" applyFill="1" applyBorder="1"/>
    <xf numFmtId="0" fontId="59" fillId="0" borderId="0" xfId="0" applyFont="1" applyAlignment="1" applyProtection="1"/>
    <xf numFmtId="43" fontId="88" fillId="48" borderId="0" xfId="123" applyFont="1" applyFill="1" applyAlignment="1" applyProtection="1">
      <alignment horizontal="left"/>
    </xf>
    <xf numFmtId="43" fontId="42" fillId="40" borderId="0" xfId="123" applyFont="1" applyFill="1" applyAlignment="1" applyProtection="1">
      <alignment horizontal="center"/>
    </xf>
    <xf numFmtId="0" fontId="59" fillId="40" borderId="0" xfId="0" applyFont="1" applyFill="1" applyAlignment="1" applyProtection="1"/>
    <xf numFmtId="0" fontId="42" fillId="0" borderId="0" xfId="0" applyFont="1" applyAlignment="1" applyProtection="1"/>
    <xf numFmtId="43" fontId="59" fillId="40" borderId="0" xfId="123" applyFont="1" applyFill="1" applyAlignment="1" applyProtection="1"/>
    <xf numFmtId="43" fontId="59" fillId="40" borderId="0" xfId="123" applyFont="1" applyFill="1" applyBorder="1" applyAlignment="1" applyProtection="1"/>
    <xf numFmtId="0" fontId="59" fillId="40" borderId="0" xfId="0" applyFont="1" applyFill="1" applyBorder="1" applyAlignment="1" applyProtection="1"/>
    <xf numFmtId="167" fontId="59" fillId="40" borderId="0" xfId="123" applyNumberFormat="1" applyFont="1" applyFill="1" applyAlignment="1" applyProtection="1"/>
    <xf numFmtId="9" fontId="59" fillId="40" borderId="0" xfId="126" applyFont="1" applyFill="1" applyAlignment="1" applyProtection="1"/>
    <xf numFmtId="43" fontId="88" fillId="40" borderId="0" xfId="123" applyFont="1" applyFill="1" applyBorder="1" applyAlignment="1" applyProtection="1">
      <alignment horizontal="center"/>
    </xf>
    <xf numFmtId="167" fontId="59" fillId="40" borderId="0" xfId="0" applyNumberFormat="1" applyFont="1" applyFill="1" applyAlignment="1" applyProtection="1"/>
    <xf numFmtId="0" fontId="88" fillId="0" borderId="0" xfId="0" applyFont="1" applyAlignment="1" applyProtection="1"/>
    <xf numFmtId="43" fontId="77" fillId="40" borderId="0" xfId="123" applyFont="1" applyFill="1" applyAlignment="1" applyProtection="1"/>
    <xf numFmtId="43" fontId="77" fillId="40" borderId="98" xfId="123" applyFont="1" applyFill="1" applyBorder="1" applyAlignment="1" applyProtection="1">
      <alignment horizontal="center" vertical="center"/>
    </xf>
    <xf numFmtId="43" fontId="77" fillId="40" borderId="74" xfId="123" applyFont="1" applyFill="1" applyBorder="1" applyAlignment="1" applyProtection="1">
      <alignment horizontal="center"/>
    </xf>
    <xf numFmtId="43" fontId="77" fillId="40" borderId="98" xfId="123" applyFont="1" applyFill="1" applyBorder="1" applyAlignment="1" applyProtection="1">
      <alignment horizontal="center" vertical="center" wrapText="1"/>
    </xf>
    <xf numFmtId="43" fontId="77" fillId="40" borderId="0" xfId="123" applyFont="1" applyFill="1" applyAlignment="1" applyProtection="1">
      <alignment wrapText="1"/>
    </xf>
    <xf numFmtId="43" fontId="59" fillId="40" borderId="0" xfId="123" applyFont="1" applyFill="1" applyBorder="1" applyAlignment="1" applyProtection="1">
      <alignment wrapText="1"/>
    </xf>
    <xf numFmtId="167" fontId="59" fillId="40" borderId="98" xfId="0" applyNumberFormat="1" applyFont="1" applyFill="1" applyBorder="1" applyAlignment="1" applyProtection="1">
      <alignment horizontal="center" wrapText="1"/>
    </xf>
    <xf numFmtId="9" fontId="59" fillId="40" borderId="98" xfId="126" applyFont="1" applyFill="1" applyBorder="1" applyAlignment="1" applyProtection="1">
      <alignment horizontal="center" wrapText="1"/>
    </xf>
    <xf numFmtId="43" fontId="88" fillId="40" borderId="0" xfId="123" applyFont="1" applyFill="1" applyAlignment="1" applyProtection="1">
      <alignment horizontal="left"/>
    </xf>
    <xf numFmtId="43" fontId="59" fillId="40" borderId="15" xfId="123" applyFont="1" applyFill="1" applyBorder="1" applyAlignment="1" applyProtection="1"/>
    <xf numFmtId="43" fontId="59" fillId="40" borderId="16" xfId="123" applyFont="1" applyFill="1" applyBorder="1" applyAlignment="1" applyProtection="1"/>
    <xf numFmtId="43" fontId="59" fillId="0" borderId="0" xfId="123" applyFont="1" applyFill="1" applyAlignment="1" applyProtection="1"/>
    <xf numFmtId="167" fontId="59" fillId="40" borderId="15" xfId="123" applyNumberFormat="1" applyFont="1" applyFill="1" applyBorder="1" applyAlignment="1" applyProtection="1"/>
    <xf numFmtId="190" fontId="59" fillId="40" borderId="16" xfId="126" applyNumberFormat="1" applyFont="1" applyFill="1" applyBorder="1" applyAlignment="1" applyProtection="1">
      <alignment horizontal="center"/>
    </xf>
    <xf numFmtId="10" fontId="59" fillId="0" borderId="0" xfId="126" applyNumberFormat="1" applyFont="1" applyFill="1" applyBorder="1" applyAlignment="1" applyProtection="1"/>
    <xf numFmtId="43" fontId="59" fillId="36" borderId="0" xfId="123" applyFont="1" applyFill="1" applyAlignment="1" applyProtection="1">
      <alignment horizontal="left" indent="2"/>
    </xf>
    <xf numFmtId="190" fontId="59" fillId="36" borderId="16" xfId="126" applyNumberFormat="1" applyFont="1" applyFill="1" applyBorder="1" applyAlignment="1" applyProtection="1">
      <alignment horizontal="center"/>
    </xf>
    <xf numFmtId="43" fontId="59" fillId="0" borderId="0" xfId="123" applyFont="1" applyAlignment="1" applyProtection="1">
      <alignment horizontal="left" indent="2"/>
    </xf>
    <xf numFmtId="167" fontId="59" fillId="0" borderId="15" xfId="123" applyNumberFormat="1" applyFont="1" applyBorder="1" applyAlignment="1" applyProtection="1"/>
    <xf numFmtId="167" fontId="59" fillId="0" borderId="0" xfId="123" applyNumberFormat="1" applyFont="1" applyFill="1" applyBorder="1" applyAlignment="1" applyProtection="1"/>
    <xf numFmtId="167" fontId="59" fillId="0" borderId="16" xfId="123" applyNumberFormat="1" applyFont="1" applyBorder="1" applyAlignment="1" applyProtection="1"/>
    <xf numFmtId="167" fontId="59" fillId="0" borderId="0" xfId="123" applyNumberFormat="1" applyFont="1" applyFill="1" applyAlignment="1" applyProtection="1"/>
    <xf numFmtId="190" fontId="59" fillId="0" borderId="16" xfId="126" applyNumberFormat="1" applyFont="1" applyBorder="1" applyAlignment="1" applyProtection="1">
      <alignment horizontal="center"/>
    </xf>
    <xf numFmtId="167" fontId="59" fillId="36" borderId="15" xfId="123" applyNumberFormat="1" applyFont="1" applyFill="1" applyBorder="1" applyAlignment="1" applyProtection="1"/>
    <xf numFmtId="167" fontId="59" fillId="36" borderId="16" xfId="123" applyNumberFormat="1" applyFont="1" applyFill="1" applyBorder="1" applyAlignment="1" applyProtection="1"/>
    <xf numFmtId="0" fontId="59" fillId="0" borderId="0" xfId="0" applyFont="1" applyFill="1" applyAlignment="1" applyProtection="1"/>
    <xf numFmtId="167" fontId="59" fillId="0" borderId="13" xfId="123" applyNumberFormat="1" applyFont="1" applyBorder="1" applyAlignment="1" applyProtection="1"/>
    <xf numFmtId="167" fontId="59" fillId="0" borderId="14" xfId="123" applyNumberFormat="1" applyFont="1" applyBorder="1" applyAlignment="1" applyProtection="1"/>
    <xf numFmtId="190" fontId="59" fillId="0" borderId="14" xfId="126" applyNumberFormat="1" applyFont="1" applyBorder="1" applyAlignment="1" applyProtection="1">
      <alignment horizontal="center"/>
    </xf>
    <xf numFmtId="43" fontId="59" fillId="0" borderId="0" xfId="123" applyFont="1" applyFill="1" applyAlignment="1" applyProtection="1">
      <alignment horizontal="left"/>
    </xf>
    <xf numFmtId="167" fontId="59" fillId="0" borderId="15" xfId="123" applyNumberFormat="1" applyFont="1" applyFill="1" applyBorder="1" applyAlignment="1" applyProtection="1"/>
    <xf numFmtId="167" fontId="59" fillId="0" borderId="16" xfId="123" applyNumberFormat="1" applyFont="1" applyFill="1" applyBorder="1" applyAlignment="1" applyProtection="1"/>
    <xf numFmtId="190" fontId="59" fillId="0" borderId="16" xfId="126" applyNumberFormat="1" applyFont="1" applyFill="1" applyBorder="1" applyAlignment="1" applyProtection="1">
      <alignment horizontal="center"/>
    </xf>
    <xf numFmtId="43" fontId="88" fillId="48" borderId="0" xfId="123" applyFont="1" applyFill="1" applyAlignment="1" applyProtection="1">
      <alignment horizontal="left" indent="2"/>
    </xf>
    <xf numFmtId="167" fontId="59" fillId="48" borderId="13" xfId="123" applyNumberFormat="1" applyFont="1" applyFill="1" applyBorder="1" applyAlignment="1" applyProtection="1"/>
    <xf numFmtId="167" fontId="59" fillId="48" borderId="14" xfId="123" applyNumberFormat="1" applyFont="1" applyFill="1" applyBorder="1" applyAlignment="1" applyProtection="1"/>
    <xf numFmtId="190" fontId="59" fillId="48" borderId="14" xfId="126" applyNumberFormat="1" applyFont="1" applyFill="1" applyBorder="1" applyAlignment="1" applyProtection="1">
      <alignment horizontal="center"/>
    </xf>
    <xf numFmtId="0" fontId="59" fillId="0" borderId="0" xfId="0" applyFont="1" applyFill="1" applyBorder="1" applyAlignment="1" applyProtection="1"/>
    <xf numFmtId="167" fontId="59" fillId="36" borderId="13" xfId="123" applyNumberFormat="1" applyFont="1" applyFill="1" applyBorder="1" applyAlignment="1" applyProtection="1"/>
    <xf numFmtId="167" fontId="59" fillId="36" borderId="14" xfId="123" applyNumberFormat="1" applyFont="1" applyFill="1" applyBorder="1" applyAlignment="1" applyProtection="1"/>
    <xf numFmtId="190" fontId="59" fillId="36" borderId="14" xfId="126" applyNumberFormat="1" applyFont="1" applyFill="1" applyBorder="1" applyAlignment="1" applyProtection="1">
      <alignment horizontal="center"/>
    </xf>
    <xf numFmtId="167" fontId="59" fillId="48" borderId="50" xfId="123" applyNumberFormat="1" applyFont="1" applyFill="1" applyBorder="1" applyAlignment="1" applyProtection="1"/>
    <xf numFmtId="190" fontId="59" fillId="48" borderId="50" xfId="126" applyNumberFormat="1" applyFont="1" applyFill="1" applyBorder="1" applyAlignment="1" applyProtection="1">
      <alignment horizontal="center"/>
    </xf>
    <xf numFmtId="43" fontId="59" fillId="0" borderId="15" xfId="123" applyFont="1" applyFill="1" applyBorder="1" applyAlignment="1" applyProtection="1"/>
    <xf numFmtId="43" fontId="59" fillId="0" borderId="16" xfId="123" applyFont="1" applyFill="1" applyBorder="1" applyAlignment="1" applyProtection="1"/>
    <xf numFmtId="43" fontId="59" fillId="36" borderId="0" xfId="123" applyFont="1" applyFill="1" applyAlignment="1" applyProtection="1">
      <alignment horizontal="left" indent="4"/>
    </xf>
    <xf numFmtId="43" fontId="59" fillId="0" borderId="0" xfId="123" applyFont="1" applyAlignment="1" applyProtection="1">
      <alignment horizontal="left" indent="4"/>
    </xf>
    <xf numFmtId="43" fontId="59" fillId="0" borderId="0" xfId="123" applyFont="1" applyFill="1" applyAlignment="1" applyProtection="1">
      <alignment horizontal="left" indent="2"/>
    </xf>
    <xf numFmtId="167" fontId="59" fillId="40" borderId="0" xfId="123" applyNumberFormat="1" applyFont="1" applyFill="1" applyBorder="1" applyAlignment="1" applyProtection="1"/>
    <xf numFmtId="167" fontId="59" fillId="40" borderId="16" xfId="123" applyNumberFormat="1" applyFont="1" applyFill="1" applyBorder="1" applyAlignment="1" applyProtection="1"/>
    <xf numFmtId="43" fontId="59" fillId="36" borderId="0" xfId="123" applyFont="1" applyFill="1" applyAlignment="1" applyProtection="1">
      <alignment horizontal="left"/>
    </xf>
    <xf numFmtId="43" fontId="59" fillId="40" borderId="0" xfId="123" applyFont="1" applyFill="1" applyAlignment="1" applyProtection="1">
      <alignment horizontal="left" indent="2"/>
    </xf>
    <xf numFmtId="43" fontId="59" fillId="0" borderId="0" xfId="123" applyFont="1" applyFill="1" applyAlignment="1" applyProtection="1">
      <alignment horizontal="left" indent="4"/>
    </xf>
    <xf numFmtId="167" fontId="59" fillId="0" borderId="0" xfId="123" applyNumberFormat="1" applyFont="1" applyBorder="1" applyAlignment="1" applyProtection="1"/>
    <xf numFmtId="167" fontId="59" fillId="0" borderId="0" xfId="0" applyNumberFormat="1" applyFont="1" applyAlignment="1" applyProtection="1"/>
    <xf numFmtId="9" fontId="59" fillId="0" borderId="0" xfId="126" applyFont="1" applyAlignment="1" applyProtection="1"/>
    <xf numFmtId="9" fontId="59" fillId="0" borderId="0" xfId="126" applyFont="1" applyFill="1" applyAlignment="1" applyProtection="1"/>
    <xf numFmtId="167" fontId="59" fillId="0" borderId="0" xfId="0" applyNumberFormat="1" applyFont="1" applyFill="1" applyAlignment="1" applyProtection="1"/>
    <xf numFmtId="43" fontId="57" fillId="0" borderId="0" xfId="123" applyFont="1" applyBorder="1" applyAlignment="1" applyProtection="1">
      <alignment horizontal="center"/>
    </xf>
    <xf numFmtId="43" fontId="88" fillId="0" borderId="0" xfId="123" applyFont="1" applyFill="1" applyBorder="1" applyAlignment="1" applyProtection="1">
      <alignment horizontal="center"/>
    </xf>
    <xf numFmtId="43" fontId="59" fillId="0" borderId="0" xfId="123" applyFont="1" applyAlignment="1" applyProtection="1">
      <alignment horizontal="left"/>
    </xf>
    <xf numFmtId="0" fontId="59" fillId="40" borderId="114" xfId="0" applyFont="1" applyFill="1" applyBorder="1" applyAlignment="1" applyProtection="1"/>
    <xf numFmtId="0" fontId="59" fillId="0" borderId="74" xfId="0" applyFont="1" applyBorder="1" applyAlignment="1" applyProtection="1"/>
    <xf numFmtId="0" fontId="59" fillId="40" borderId="113" xfId="0" applyFont="1" applyFill="1" applyBorder="1" applyAlignment="1" applyProtection="1"/>
    <xf numFmtId="0" fontId="59" fillId="40" borderId="15" xfId="0" applyFont="1" applyFill="1" applyBorder="1" applyAlignment="1" applyProtection="1"/>
    <xf numFmtId="0" fontId="59" fillId="0" borderId="0" xfId="0" applyFont="1" applyBorder="1" applyAlignment="1" applyProtection="1"/>
    <xf numFmtId="0" fontId="59" fillId="40" borderId="16" xfId="0" applyFont="1" applyFill="1" applyBorder="1" applyAlignment="1" applyProtection="1"/>
    <xf numFmtId="167" fontId="59" fillId="48" borderId="61" xfId="123" applyNumberFormat="1" applyFont="1" applyFill="1" applyBorder="1" applyAlignment="1" applyProtection="1"/>
    <xf numFmtId="9" fontId="59" fillId="0" borderId="0" xfId="126" applyFont="1" applyFill="1" applyAlignment="1" applyProtection="1">
      <alignment horizontal="center"/>
    </xf>
    <xf numFmtId="43" fontId="59" fillId="0" borderId="0" xfId="123" applyFont="1" applyAlignment="1" applyProtection="1"/>
    <xf numFmtId="43" fontId="59" fillId="40" borderId="0" xfId="123" applyFont="1" applyFill="1" applyAlignment="1" applyProtection="1">
      <alignment horizontal="center"/>
    </xf>
    <xf numFmtId="0" fontId="114" fillId="40" borderId="0" xfId="0" applyFont="1" applyFill="1" applyBorder="1" applyAlignment="1" applyProtection="1">
      <alignment horizontal="center" wrapText="1"/>
    </xf>
    <xf numFmtId="193" fontId="59" fillId="40" borderId="0" xfId="126" applyNumberFormat="1" applyFont="1" applyFill="1" applyBorder="1" applyAlignment="1" applyProtection="1">
      <alignment horizontal="center"/>
    </xf>
    <xf numFmtId="43" fontId="76" fillId="0" borderId="0" xfId="123" applyFont="1" applyProtection="1"/>
    <xf numFmtId="0" fontId="60" fillId="40" borderId="0" xfId="0" applyFont="1" applyFill="1" applyAlignment="1" applyProtection="1">
      <alignment horizontal="left"/>
    </xf>
    <xf numFmtId="174" fontId="3" fillId="40" borderId="0" xfId="48" applyNumberFormat="1" applyFont="1" applyFill="1" applyProtection="1"/>
    <xf numFmtId="174" fontId="3" fillId="40" borderId="0" xfId="48" applyNumberFormat="1" applyFont="1" applyFill="1" applyBorder="1" applyProtection="1"/>
    <xf numFmtId="174" fontId="3" fillId="40" borderId="0" xfId="48" applyNumberFormat="1" applyFont="1" applyFill="1" applyBorder="1" applyAlignment="1" applyProtection="1">
      <alignment horizontal="right"/>
    </xf>
    <xf numFmtId="41" fontId="3" fillId="40" borderId="0" xfId="48" applyNumberFormat="1" applyFont="1" applyFill="1" applyBorder="1" applyProtection="1"/>
    <xf numFmtId="43" fontId="76" fillId="31" borderId="0" xfId="123" applyFont="1" applyFill="1" applyProtection="1">
      <protection locked="0"/>
    </xf>
    <xf numFmtId="0" fontId="77" fillId="0" borderId="0" xfId="0" applyFont="1" applyAlignment="1" applyProtection="1"/>
    <xf numFmtId="0" fontId="117" fillId="0" borderId="0" xfId="0" applyFont="1" applyProtection="1"/>
    <xf numFmtId="43" fontId="46" fillId="31" borderId="0" xfId="123" applyFont="1" applyFill="1" applyProtection="1">
      <protection locked="0"/>
    </xf>
    <xf numFmtId="43" fontId="76" fillId="31" borderId="0" xfId="123" applyFont="1" applyFill="1" applyAlignment="1" applyProtection="1">
      <alignment horizontal="right"/>
      <protection locked="0"/>
    </xf>
    <xf numFmtId="0" fontId="119" fillId="0" borderId="0" xfId="0" applyFont="1" applyProtection="1"/>
    <xf numFmtId="43" fontId="119" fillId="0" borderId="0" xfId="123" applyFont="1" applyProtection="1"/>
    <xf numFmtId="43" fontId="59" fillId="40" borderId="0" xfId="123" applyNumberFormat="1" applyFont="1" applyFill="1" applyProtection="1"/>
    <xf numFmtId="0" fontId="59" fillId="40" borderId="0" xfId="0" applyFont="1" applyFill="1" applyAlignment="1" applyProtection="1">
      <alignment horizontal="right"/>
    </xf>
    <xf numFmtId="43" fontId="59" fillId="40" borderId="0" xfId="123" applyFont="1" applyFill="1" applyProtection="1"/>
    <xf numFmtId="0" fontId="88" fillId="40" borderId="0" xfId="0" applyFont="1" applyFill="1" applyAlignment="1" applyProtection="1">
      <alignment horizontal="right"/>
    </xf>
    <xf numFmtId="4" fontId="74" fillId="0" borderId="0" xfId="61" applyNumberFormat="1" applyFont="1" applyBorder="1" applyAlignment="1" applyProtection="1"/>
    <xf numFmtId="167" fontId="74" fillId="0" borderId="0" xfId="123" applyNumberFormat="1" applyFont="1" applyBorder="1" applyAlignment="1" applyProtection="1"/>
    <xf numFmtId="0" fontId="74" fillId="0" borderId="0" xfId="0" applyFont="1" applyAlignment="1" applyProtection="1">
      <alignment vertical="center"/>
    </xf>
    <xf numFmtId="167" fontId="74" fillId="0" borderId="0" xfId="123" applyNumberFormat="1" applyFont="1" applyAlignment="1" applyProtection="1">
      <alignment vertical="center"/>
    </xf>
    <xf numFmtId="0" fontId="75" fillId="0" borderId="0" xfId="61" applyNumberFormat="1" applyFont="1" applyBorder="1" applyAlignment="1" applyProtection="1"/>
    <xf numFmtId="167" fontId="75" fillId="0" borderId="0" xfId="123" applyNumberFormat="1" applyFont="1" applyBorder="1" applyAlignment="1" applyProtection="1"/>
    <xf numFmtId="49" fontId="75" fillId="0" borderId="0" xfId="61" applyNumberFormat="1" applyFont="1" applyBorder="1" applyAlignment="1" applyProtection="1"/>
    <xf numFmtId="0" fontId="0" fillId="40" borderId="0" xfId="0" applyFill="1" applyProtection="1"/>
    <xf numFmtId="0" fontId="0" fillId="0" borderId="0" xfId="0" applyProtection="1"/>
    <xf numFmtId="167" fontId="0" fillId="0" borderId="0" xfId="123" applyNumberFormat="1" applyFont="1" applyProtection="1"/>
    <xf numFmtId="0" fontId="84" fillId="40" borderId="0" xfId="0" applyFont="1" applyFill="1" applyAlignment="1" applyProtection="1"/>
    <xf numFmtId="0" fontId="85" fillId="40" borderId="0" xfId="0" applyFont="1" applyFill="1" applyProtection="1"/>
    <xf numFmtId="0" fontId="3" fillId="24" borderId="0" xfId="0" applyFont="1" applyFill="1" applyBorder="1" applyProtection="1"/>
    <xf numFmtId="0" fontId="3" fillId="24" borderId="0" xfId="0" applyFont="1" applyFill="1" applyBorder="1" applyAlignment="1" applyProtection="1">
      <alignment horizontal="center"/>
    </xf>
    <xf numFmtId="167" fontId="42" fillId="0" borderId="0" xfId="123" applyNumberFormat="1" applyFont="1" applyProtection="1"/>
    <xf numFmtId="0" fontId="3" fillId="40" borderId="11" xfId="0" applyFont="1" applyFill="1" applyBorder="1" applyProtection="1"/>
    <xf numFmtId="0" fontId="3" fillId="24" borderId="11" xfId="0" applyFont="1" applyFill="1" applyBorder="1" applyAlignment="1" applyProtection="1">
      <alignment horizontal="center"/>
    </xf>
    <xf numFmtId="0" fontId="78" fillId="0" borderId="0" xfId="0" applyFont="1" applyProtection="1"/>
    <xf numFmtId="184" fontId="3" fillId="40" borderId="0" xfId="47" applyNumberFormat="1" applyFont="1" applyFill="1" applyProtection="1"/>
    <xf numFmtId="42" fontId="3" fillId="24" borderId="0" xfId="0" applyNumberFormat="1" applyFont="1" applyFill="1" applyBorder="1" applyProtection="1"/>
    <xf numFmtId="184" fontId="3" fillId="24" borderId="0" xfId="47" applyNumberFormat="1" applyFont="1" applyFill="1" applyBorder="1" applyProtection="1"/>
    <xf numFmtId="42" fontId="3" fillId="24" borderId="0" xfId="47" applyNumberFormat="1" applyFont="1" applyFill="1" applyBorder="1" applyProtection="1"/>
    <xf numFmtId="41" fontId="3" fillId="24" borderId="0" xfId="0" applyNumberFormat="1" applyFont="1" applyFill="1" applyBorder="1" applyProtection="1"/>
    <xf numFmtId="187" fontId="3" fillId="24" borderId="0" xfId="47" applyNumberFormat="1" applyFont="1" applyFill="1" applyBorder="1" applyProtection="1"/>
    <xf numFmtId="187" fontId="3" fillId="24" borderId="0" xfId="0" applyNumberFormat="1" applyFont="1" applyFill="1" applyBorder="1" applyProtection="1"/>
    <xf numFmtId="41" fontId="3" fillId="24" borderId="0" xfId="47" applyNumberFormat="1" applyFont="1" applyFill="1" applyBorder="1" applyProtection="1"/>
    <xf numFmtId="185" fontId="3" fillId="40" borderId="0" xfId="123" applyNumberFormat="1" applyFont="1" applyFill="1" applyBorder="1" applyProtection="1"/>
    <xf numFmtId="0" fontId="9" fillId="40" borderId="0" xfId="0" applyFont="1" applyFill="1" applyBorder="1" applyProtection="1"/>
    <xf numFmtId="184" fontId="3" fillId="40" borderId="12" xfId="47" applyNumberFormat="1" applyFont="1" applyFill="1" applyBorder="1" applyProtection="1"/>
    <xf numFmtId="174" fontId="3" fillId="24" borderId="0" xfId="47" applyNumberFormat="1" applyFont="1" applyFill="1" applyBorder="1" applyProtection="1"/>
    <xf numFmtId="0" fontId="115" fillId="0" borderId="0" xfId="0" applyFont="1" applyProtection="1"/>
    <xf numFmtId="0" fontId="5" fillId="0" borderId="0" xfId="102" applyFont="1" applyProtection="1"/>
    <xf numFmtId="15" fontId="5" fillId="0" borderId="0" xfId="102" applyNumberFormat="1" applyFont="1" applyProtection="1"/>
    <xf numFmtId="167" fontId="5" fillId="0" borderId="0" xfId="123" applyNumberFormat="1" applyFont="1" applyProtection="1"/>
    <xf numFmtId="0" fontId="78" fillId="0" borderId="0" xfId="0" applyFont="1" applyFill="1" applyBorder="1" applyProtection="1"/>
    <xf numFmtId="0" fontId="120" fillId="0" borderId="0" xfId="0" applyFont="1" applyAlignment="1"/>
    <xf numFmtId="0" fontId="42" fillId="40" borderId="29" xfId="0" applyFont="1" applyFill="1" applyBorder="1" applyAlignment="1" applyProtection="1"/>
    <xf numFmtId="0" fontId="42" fillId="40" borderId="0" xfId="0" applyFont="1" applyFill="1" applyBorder="1" applyAlignment="1" applyProtection="1"/>
    <xf numFmtId="0" fontId="42" fillId="40" borderId="30" xfId="0" applyFont="1" applyFill="1" applyBorder="1" applyAlignment="1" applyProtection="1"/>
    <xf numFmtId="0" fontId="60" fillId="40" borderId="0" xfId="0" applyFont="1" applyFill="1" applyAlignment="1" applyProtection="1">
      <alignment horizontal="left" indent="5"/>
    </xf>
    <xf numFmtId="0" fontId="42" fillId="29" borderId="29" xfId="0" applyFont="1" applyFill="1" applyBorder="1" applyAlignment="1" applyProtection="1"/>
    <xf numFmtId="0" fontId="42" fillId="29" borderId="0" xfId="0" applyFont="1" applyFill="1" applyBorder="1" applyAlignment="1" applyProtection="1"/>
    <xf numFmtId="0" fontId="42" fillId="29" borderId="30" xfId="0" applyFont="1" applyFill="1" applyBorder="1" applyAlignment="1" applyProtection="1"/>
    <xf numFmtId="0" fontId="42" fillId="29" borderId="29" xfId="0" applyFont="1" applyFill="1" applyBorder="1" applyAlignment="1" applyProtection="1">
      <alignment horizontal="left" indent="1"/>
    </xf>
    <xf numFmtId="0" fontId="3" fillId="40" borderId="0" xfId="0" applyFont="1" applyFill="1" applyBorder="1" applyAlignment="1" applyProtection="1">
      <alignment horizontal="left"/>
    </xf>
    <xf numFmtId="0" fontId="3" fillId="40" borderId="0" xfId="0" applyFont="1" applyFill="1" applyBorder="1" applyAlignment="1" applyProtection="1"/>
    <xf numFmtId="0" fontId="42" fillId="40" borderId="29" xfId="0" applyFont="1" applyFill="1" applyBorder="1" applyAlignment="1" applyProtection="1">
      <alignment horizontal="left" indent="3"/>
    </xf>
    <xf numFmtId="184" fontId="3" fillId="40" borderId="0" xfId="0" applyNumberFormat="1" applyFont="1" applyFill="1" applyBorder="1" applyProtection="1"/>
    <xf numFmtId="184" fontId="3" fillId="40" borderId="0" xfId="123" applyNumberFormat="1" applyFont="1" applyFill="1" applyBorder="1" applyProtection="1"/>
    <xf numFmtId="0" fontId="42" fillId="40" borderId="29" xfId="0" applyFont="1" applyFill="1" applyBorder="1" applyAlignment="1" applyProtection="1">
      <alignment horizontal="left" indent="2"/>
    </xf>
    <xf numFmtId="0" fontId="42" fillId="40" borderId="30" xfId="0" applyFont="1" applyFill="1" applyBorder="1" applyProtection="1"/>
    <xf numFmtId="187" fontId="3" fillId="40" borderId="0" xfId="123" applyNumberFormat="1" applyFont="1" applyFill="1" applyBorder="1" applyProtection="1"/>
    <xf numFmtId="0" fontId="42" fillId="0" borderId="0" xfId="0" applyFont="1" applyFill="1" applyProtection="1"/>
    <xf numFmtId="0" fontId="42" fillId="40" borderId="0" xfId="0" applyFont="1" applyFill="1" applyBorder="1" applyAlignment="1" applyProtection="1">
      <alignment horizontal="right"/>
    </xf>
    <xf numFmtId="0" fontId="42" fillId="40" borderId="29" xfId="0" applyFont="1" applyFill="1" applyBorder="1" applyProtection="1"/>
    <xf numFmtId="0" fontId="42" fillId="0" borderId="0" xfId="0" applyFont="1" applyBorder="1" applyProtection="1"/>
    <xf numFmtId="0" fontId="3" fillId="40" borderId="0" xfId="0" applyFont="1" applyFill="1" applyBorder="1" applyAlignment="1" applyProtection="1">
      <alignment horizontal="right"/>
    </xf>
    <xf numFmtId="187" fontId="3" fillId="40" borderId="11" xfId="123" applyNumberFormat="1" applyFont="1" applyFill="1" applyBorder="1" applyProtection="1"/>
    <xf numFmtId="0" fontId="57" fillId="40" borderId="0" xfId="0" applyFont="1" applyFill="1" applyBorder="1" applyAlignment="1" applyProtection="1">
      <alignment horizontal="left"/>
    </xf>
    <xf numFmtId="187" fontId="3" fillId="40" borderId="0" xfId="0" applyNumberFormat="1" applyFont="1" applyFill="1" applyBorder="1" applyProtection="1"/>
    <xf numFmtId="180" fontId="3" fillId="40" borderId="0" xfId="0" applyNumberFormat="1" applyFont="1" applyFill="1" applyBorder="1" applyProtection="1"/>
    <xf numFmtId="0" fontId="42" fillId="40" borderId="0" xfId="0" applyFont="1" applyFill="1" applyBorder="1" applyAlignment="1" applyProtection="1">
      <alignment wrapText="1"/>
    </xf>
    <xf numFmtId="174" fontId="42" fillId="40" borderId="30" xfId="47" applyNumberFormat="1" applyFont="1" applyFill="1" applyBorder="1" applyProtection="1"/>
    <xf numFmtId="49" fontId="42" fillId="40" borderId="68" xfId="0" applyNumberFormat="1" applyFont="1" applyFill="1" applyBorder="1" applyProtection="1"/>
    <xf numFmtId="0" fontId="42" fillId="40" borderId="0" xfId="0" applyFont="1" applyFill="1" applyAlignment="1" applyProtection="1">
      <alignment horizontal="center"/>
    </xf>
    <xf numFmtId="0" fontId="3" fillId="40" borderId="0" xfId="0" applyFont="1" applyFill="1" applyBorder="1" applyProtection="1">
      <protection locked="0"/>
    </xf>
    <xf numFmtId="173" fontId="60" fillId="40" borderId="0" xfId="0" applyNumberFormat="1" applyFont="1" applyFill="1" applyAlignment="1">
      <alignment horizontal="left"/>
    </xf>
    <xf numFmtId="0" fontId="103" fillId="0" borderId="0" xfId="0" applyFont="1" applyAlignment="1" applyProtection="1"/>
    <xf numFmtId="43" fontId="122" fillId="40" borderId="0" xfId="123" applyFont="1" applyFill="1" applyBorder="1" applyAlignment="1" applyProtection="1"/>
    <xf numFmtId="43" fontId="94" fillId="0" borderId="0" xfId="123" applyFont="1" applyFill="1" applyAlignment="1" applyProtection="1">
      <alignment horizontal="left"/>
    </xf>
    <xf numFmtId="43" fontId="122" fillId="0" borderId="0" xfId="123" applyFont="1" applyFill="1" applyBorder="1" applyAlignment="1" applyProtection="1"/>
    <xf numFmtId="0" fontId="39" fillId="0" borderId="0" xfId="0" applyFont="1" applyAlignment="1" applyProtection="1">
      <alignment horizontal="center"/>
    </xf>
    <xf numFmtId="0" fontId="128" fillId="0" borderId="0" xfId="0" applyFont="1" applyAlignment="1" applyProtection="1"/>
    <xf numFmtId="0" fontId="85" fillId="0" borderId="0" xfId="0" applyFont="1" applyAlignment="1" applyProtection="1"/>
    <xf numFmtId="0" fontId="125" fillId="0" borderId="0" xfId="0" applyFont="1" applyAlignment="1" applyProtection="1"/>
    <xf numFmtId="0" fontId="0" fillId="0" borderId="0" xfId="0" applyFont="1" applyAlignment="1" applyProtection="1"/>
    <xf numFmtId="0" fontId="37" fillId="0" borderId="0" xfId="0" applyFont="1" applyFill="1" applyAlignment="1" applyProtection="1">
      <alignment horizontal="center" vertical="center"/>
    </xf>
    <xf numFmtId="0" fontId="0" fillId="0" borderId="0" xfId="0" applyFont="1" applyFill="1" applyAlignment="1" applyProtection="1"/>
    <xf numFmtId="0" fontId="71" fillId="0" borderId="0" xfId="0" applyFont="1" applyAlignment="1" applyProtection="1"/>
    <xf numFmtId="0" fontId="126" fillId="0" borderId="0" xfId="0" applyFont="1" applyBorder="1" applyAlignment="1" applyProtection="1">
      <alignment horizontal="right"/>
    </xf>
    <xf numFmtId="0" fontId="129" fillId="0" borderId="0" xfId="0" applyFont="1" applyBorder="1" applyAlignment="1" applyProtection="1">
      <alignment horizontal="right"/>
    </xf>
    <xf numFmtId="0" fontId="130" fillId="0" borderId="0" xfId="0" applyFont="1" applyBorder="1" applyAlignment="1" applyProtection="1">
      <alignment horizontal="center"/>
    </xf>
    <xf numFmtId="0" fontId="0" fillId="0" borderId="0" xfId="0" applyBorder="1" applyAlignment="1" applyProtection="1">
      <alignment horizontal="distributed"/>
    </xf>
    <xf numFmtId="0" fontId="38" fillId="0" borderId="0" xfId="0" applyFont="1" applyAlignment="1" applyProtection="1">
      <alignment horizontal="center" vertical="center"/>
    </xf>
    <xf numFmtId="0" fontId="38" fillId="0" borderId="0" xfId="0" applyFont="1" applyAlignment="1" applyProtection="1">
      <alignment horizontal="center"/>
    </xf>
    <xf numFmtId="0" fontId="132" fillId="0" borderId="0" xfId="0" applyFont="1" applyFill="1" applyAlignment="1" applyProtection="1"/>
    <xf numFmtId="0" fontId="71" fillId="40" borderId="11" xfId="0" applyFont="1" applyFill="1" applyBorder="1" applyAlignment="1" applyProtection="1"/>
    <xf numFmtId="171" fontId="56" fillId="0" borderId="0" xfId="109" applyFont="1" applyAlignment="1" applyProtection="1">
      <alignment horizontal="center"/>
    </xf>
    <xf numFmtId="0" fontId="71" fillId="0" borderId="0" xfId="0" applyFont="1" applyBorder="1" applyAlignment="1" applyProtection="1"/>
    <xf numFmtId="0" fontId="135" fillId="46" borderId="0" xfId="0" applyFont="1" applyFill="1" applyBorder="1" applyAlignment="1" applyProtection="1"/>
    <xf numFmtId="0" fontId="135" fillId="40" borderId="0" xfId="0" applyFont="1" applyFill="1" applyBorder="1" applyAlignment="1" applyProtection="1"/>
    <xf numFmtId="0" fontId="135" fillId="40" borderId="0" xfId="0" applyFont="1" applyFill="1" applyBorder="1" applyAlignment="1" applyProtection="1">
      <alignment horizontal="left"/>
    </xf>
    <xf numFmtId="0" fontId="42" fillId="0" borderId="0" xfId="0" applyFont="1" applyFill="1" applyAlignment="1" applyProtection="1"/>
    <xf numFmtId="0" fontId="88" fillId="0" borderId="0" xfId="0" applyFont="1" applyFill="1" applyAlignment="1" applyProtection="1"/>
    <xf numFmtId="0" fontId="137" fillId="0" borderId="0" xfId="0" applyFont="1" applyFill="1" applyAlignment="1" applyProtection="1"/>
    <xf numFmtId="43" fontId="138" fillId="0" borderId="0" xfId="123" applyFont="1" applyFill="1" applyAlignment="1" applyProtection="1">
      <alignment horizontal="left"/>
    </xf>
    <xf numFmtId="43" fontId="139" fillId="0" borderId="0" xfId="123" applyFont="1" applyFill="1" applyAlignment="1" applyProtection="1">
      <alignment horizontal="left"/>
    </xf>
    <xf numFmtId="0" fontId="140" fillId="0" borderId="0" xfId="61" applyNumberFormat="1" applyFont="1" applyFill="1" applyAlignment="1" applyProtection="1">
      <alignment horizontal="left"/>
    </xf>
    <xf numFmtId="0" fontId="141" fillId="0" borderId="0" xfId="61" applyNumberFormat="1" applyFont="1" applyFill="1" applyAlignment="1" applyProtection="1">
      <alignment horizontal="left"/>
    </xf>
    <xf numFmtId="0" fontId="111" fillId="0" borderId="0" xfId="0" applyFont="1" applyFill="1" applyAlignment="1" applyProtection="1"/>
    <xf numFmtId="43" fontId="56" fillId="31" borderId="0" xfId="123" applyFont="1" applyFill="1" applyAlignment="1" applyProtection="1">
      <protection locked="0"/>
    </xf>
    <xf numFmtId="0" fontId="57" fillId="0" borderId="11" xfId="0" applyFont="1" applyBorder="1" applyAlignment="1" applyProtection="1">
      <alignment horizontal="center"/>
    </xf>
    <xf numFmtId="0" fontId="9" fillId="0" borderId="84" xfId="61" applyNumberFormat="1" applyFont="1" applyBorder="1" applyAlignment="1" applyProtection="1">
      <alignment horizontal="center"/>
    </xf>
    <xf numFmtId="0" fontId="9" fillId="0" borderId="0" xfId="61" applyNumberFormat="1" applyFont="1" applyBorder="1" applyAlignment="1" applyProtection="1">
      <alignment horizontal="right"/>
    </xf>
    <xf numFmtId="4" fontId="11" fillId="0" borderId="74" xfId="61" applyNumberFormat="1" applyFont="1" applyFill="1" applyBorder="1" applyAlignment="1" applyProtection="1">
      <alignment wrapText="1"/>
    </xf>
    <xf numFmtId="4" fontId="11" fillId="0" borderId="0" xfId="61" applyNumberFormat="1" applyFont="1" applyFill="1" applyBorder="1" applyAlignment="1" applyProtection="1">
      <alignment wrapText="1"/>
    </xf>
    <xf numFmtId="0" fontId="9" fillId="0" borderId="0" xfId="61" applyNumberFormat="1" applyFont="1" applyAlignment="1">
      <alignment horizontal="right"/>
    </xf>
    <xf numFmtId="0" fontId="9" fillId="0" borderId="11" xfId="117" applyFont="1" applyBorder="1" applyAlignment="1" applyProtection="1">
      <alignment horizontal="center"/>
    </xf>
    <xf numFmtId="0" fontId="9" fillId="0" borderId="11" xfId="117" applyFont="1" applyFill="1" applyBorder="1" applyAlignment="1">
      <alignment horizontal="center"/>
    </xf>
    <xf numFmtId="0" fontId="2" fillId="40" borderId="0" xfId="117" applyNumberFormat="1" applyFont="1" applyFill="1" applyAlignment="1"/>
    <xf numFmtId="0" fontId="3" fillId="40" borderId="0" xfId="117" applyFont="1" applyFill="1" applyAlignment="1"/>
    <xf numFmtId="0" fontId="4" fillId="40" borderId="0" xfId="117" applyNumberFormat="1" applyFont="1" applyFill="1" applyAlignment="1"/>
    <xf numFmtId="0" fontId="2" fillId="40" borderId="0" xfId="117" applyFont="1" applyFill="1" applyAlignment="1"/>
    <xf numFmtId="49" fontId="3" fillId="40" borderId="0" xfId="117" applyNumberFormat="1" applyFont="1" applyFill="1" applyAlignment="1">
      <alignment horizontal="right"/>
    </xf>
    <xf numFmtId="0" fontId="2" fillId="40" borderId="0" xfId="117" applyNumberFormat="1" applyFont="1" applyFill="1" applyAlignment="1">
      <alignment horizontal="left" indent="1"/>
    </xf>
    <xf numFmtId="0" fontId="3" fillId="40" borderId="0" xfId="117" applyNumberFormat="1" applyFont="1" applyFill="1" applyAlignment="1" applyProtection="1">
      <alignment horizontal="left" indent="1"/>
    </xf>
    <xf numFmtId="49" fontId="3" fillId="31" borderId="0" xfId="117" applyNumberFormat="1" applyFont="1" applyFill="1" applyAlignment="1" applyProtection="1">
      <protection locked="0"/>
    </xf>
    <xf numFmtId="0" fontId="9" fillId="0" borderId="117" xfId="61" applyFont="1" applyBorder="1" applyAlignment="1" applyProtection="1">
      <alignment horizontal="center"/>
    </xf>
    <xf numFmtId="43" fontId="3" fillId="31" borderId="0" xfId="123" applyFont="1" applyFill="1" applyBorder="1" applyProtection="1">
      <protection locked="0"/>
    </xf>
    <xf numFmtId="0" fontId="3" fillId="48" borderId="118" xfId="61" applyFont="1" applyFill="1" applyBorder="1" applyProtection="1"/>
    <xf numFmtId="0" fontId="3" fillId="48" borderId="119" xfId="61" applyFont="1" applyFill="1" applyBorder="1" applyProtection="1"/>
    <xf numFmtId="0" fontId="3" fillId="32" borderId="119" xfId="61" applyFont="1" applyFill="1" applyBorder="1" applyProtection="1"/>
    <xf numFmtId="0" fontId="11" fillId="32" borderId="0" xfId="61" applyFont="1" applyFill="1" applyBorder="1" applyProtection="1"/>
    <xf numFmtId="4" fontId="11" fillId="32" borderId="120" xfId="61" applyNumberFormat="1" applyFont="1" applyFill="1" applyBorder="1" applyProtection="1"/>
    <xf numFmtId="169" fontId="11" fillId="32" borderId="122" xfId="61" applyNumberFormat="1" applyFont="1" applyFill="1" applyBorder="1" applyProtection="1"/>
    <xf numFmtId="0" fontId="11" fillId="32" borderId="117" xfId="61" applyFont="1" applyFill="1" applyBorder="1" applyAlignment="1" applyProtection="1">
      <alignment horizontal="left"/>
    </xf>
    <xf numFmtId="0" fontId="11" fillId="32" borderId="117" xfId="61" applyFont="1" applyFill="1" applyBorder="1" applyProtection="1"/>
    <xf numFmtId="167" fontId="3" fillId="0" borderId="0" xfId="123" applyNumberFormat="1" applyFont="1" applyProtection="1"/>
    <xf numFmtId="0" fontId="3" fillId="40" borderId="127" xfId="0" applyFont="1" applyFill="1" applyBorder="1" applyAlignment="1" applyProtection="1">
      <alignment horizontal="left" indent="2"/>
    </xf>
    <xf numFmtId="0" fontId="3" fillId="40" borderId="127" xfId="0" applyFont="1" applyFill="1" applyBorder="1" applyProtection="1"/>
    <xf numFmtId="0" fontId="3" fillId="40" borderId="128" xfId="0" applyFont="1" applyFill="1" applyBorder="1" applyProtection="1"/>
    <xf numFmtId="0" fontId="3" fillId="40" borderId="127" xfId="0" applyFont="1" applyFill="1" applyBorder="1" applyAlignment="1" applyProtection="1">
      <alignment wrapText="1"/>
    </xf>
    <xf numFmtId="0" fontId="3" fillId="40" borderId="0" xfId="0" applyFont="1" applyFill="1" applyBorder="1" applyAlignment="1" applyProtection="1">
      <alignment wrapText="1"/>
    </xf>
    <xf numFmtId="9" fontId="3" fillId="31" borderId="129" xfId="126" applyFont="1" applyFill="1" applyBorder="1" applyProtection="1">
      <protection locked="0"/>
    </xf>
    <xf numFmtId="10" fontId="3" fillId="31" borderId="129" xfId="126" applyNumberFormat="1" applyFont="1" applyFill="1" applyBorder="1" applyAlignment="1" applyProtection="1">
      <protection locked="0"/>
    </xf>
    <xf numFmtId="10" fontId="3" fillId="31" borderId="129" xfId="126" applyNumberFormat="1" applyFont="1" applyFill="1" applyBorder="1" applyProtection="1">
      <protection locked="0"/>
    </xf>
    <xf numFmtId="0" fontId="3" fillId="40" borderId="0" xfId="0" applyFont="1" applyFill="1" applyAlignment="1" applyProtection="1">
      <alignment horizontal="right"/>
    </xf>
    <xf numFmtId="10" fontId="3" fillId="40" borderId="123" xfId="126" applyNumberFormat="1" applyFont="1" applyFill="1" applyBorder="1" applyAlignment="1" applyProtection="1"/>
    <xf numFmtId="0" fontId="3" fillId="40" borderId="128" xfId="0" applyFont="1" applyFill="1" applyBorder="1" applyAlignment="1" applyProtection="1">
      <alignment horizontal="right"/>
    </xf>
    <xf numFmtId="0" fontId="9" fillId="40" borderId="127" xfId="0" applyFont="1" applyFill="1" applyBorder="1" applyAlignment="1" applyProtection="1">
      <alignment horizontal="center" wrapText="1"/>
    </xf>
    <xf numFmtId="0" fontId="9" fillId="40" borderId="0" xfId="0" applyFont="1" applyFill="1" applyBorder="1" applyAlignment="1" applyProtection="1">
      <alignment horizontal="center" wrapText="1"/>
    </xf>
    <xf numFmtId="0" fontId="9" fillId="40" borderId="128" xfId="0" applyFont="1" applyFill="1" applyBorder="1" applyAlignment="1" applyProtection="1">
      <alignment horizontal="center" wrapText="1"/>
    </xf>
    <xf numFmtId="0" fontId="47" fillId="0" borderId="0" xfId="0" applyFont="1" applyProtection="1"/>
    <xf numFmtId="0" fontId="117" fillId="0" borderId="0" xfId="0" applyFont="1" applyAlignment="1" applyProtection="1">
      <alignment wrapText="1"/>
    </xf>
    <xf numFmtId="0" fontId="143" fillId="0" borderId="0" xfId="0" applyFont="1" applyProtection="1"/>
    <xf numFmtId="0" fontId="0" fillId="40" borderId="128" xfId="0" applyFill="1" applyBorder="1" applyProtection="1"/>
    <xf numFmtId="0" fontId="37" fillId="40" borderId="128" xfId="0" applyFont="1" applyFill="1" applyBorder="1" applyAlignment="1" applyProtection="1">
      <alignment horizontal="center"/>
    </xf>
    <xf numFmtId="10" fontId="3" fillId="40" borderId="128" xfId="126" applyNumberFormat="1" applyFont="1" applyFill="1" applyBorder="1" applyAlignment="1" applyProtection="1"/>
    <xf numFmtId="43" fontId="0" fillId="31" borderId="0" xfId="0" applyNumberFormat="1" applyFill="1" applyProtection="1">
      <protection locked="0"/>
    </xf>
    <xf numFmtId="43" fontId="0" fillId="31" borderId="11" xfId="0" applyNumberFormat="1" applyFill="1" applyBorder="1" applyProtection="1">
      <protection locked="0"/>
    </xf>
    <xf numFmtId="44" fontId="0" fillId="31" borderId="0" xfId="0" applyNumberFormat="1" applyFill="1" applyProtection="1">
      <protection locked="0"/>
    </xf>
    <xf numFmtId="0" fontId="9" fillId="40" borderId="127" xfId="0" applyFont="1" applyFill="1" applyBorder="1" applyAlignment="1" applyProtection="1">
      <alignment horizontal="right"/>
    </xf>
    <xf numFmtId="167" fontId="9" fillId="40" borderId="135" xfId="123" applyNumberFormat="1" applyFont="1" applyFill="1" applyBorder="1" applyAlignment="1" applyProtection="1">
      <alignment horizontal="center" wrapText="1"/>
    </xf>
    <xf numFmtId="0" fontId="0" fillId="0" borderId="127" xfId="0" applyBorder="1" applyProtection="1"/>
    <xf numFmtId="0" fontId="0" fillId="40" borderId="11" xfId="0" applyFill="1" applyBorder="1" applyProtection="1"/>
    <xf numFmtId="0" fontId="0" fillId="40" borderId="0" xfId="0" applyFill="1" applyAlignment="1" applyProtection="1">
      <alignment horizontal="left"/>
    </xf>
    <xf numFmtId="43" fontId="0" fillId="40" borderId="0" xfId="0" applyNumberFormat="1" applyFill="1" applyProtection="1"/>
    <xf numFmtId="0" fontId="0" fillId="40" borderId="11" xfId="0" applyFill="1" applyBorder="1" applyAlignment="1" applyProtection="1">
      <alignment horizontal="center"/>
    </xf>
    <xf numFmtId="44" fontId="0" fillId="40" borderId="12" xfId="0" applyNumberFormat="1" applyFill="1" applyBorder="1" applyProtection="1"/>
    <xf numFmtId="10" fontId="3" fillId="40" borderId="136" xfId="126" applyNumberFormat="1" applyFont="1" applyFill="1" applyBorder="1" applyAlignment="1" applyProtection="1"/>
    <xf numFmtId="10" fontId="3" fillId="40" borderId="126" xfId="126" applyNumberFormat="1" applyFont="1" applyFill="1" applyBorder="1" applyAlignment="1" applyProtection="1"/>
    <xf numFmtId="43" fontId="0" fillId="31" borderId="0" xfId="123" applyFont="1" applyFill="1" applyProtection="1">
      <protection locked="0"/>
    </xf>
    <xf numFmtId="9" fontId="3" fillId="31" borderId="123" xfId="126" applyFont="1" applyFill="1" applyBorder="1" applyAlignment="1" applyProtection="1">
      <protection locked="0"/>
    </xf>
    <xf numFmtId="0" fontId="42" fillId="40" borderId="0" xfId="0" applyFont="1" applyFill="1" applyAlignment="1" applyProtection="1">
      <alignment horizontal="right"/>
    </xf>
    <xf numFmtId="167" fontId="42" fillId="0" borderId="0" xfId="123" applyNumberFormat="1" applyFont="1" applyAlignment="1" applyProtection="1">
      <alignment horizontal="left"/>
    </xf>
    <xf numFmtId="0" fontId="78" fillId="0" borderId="0" xfId="0" applyFont="1" applyBorder="1" applyProtection="1"/>
    <xf numFmtId="0" fontId="42" fillId="29" borderId="0" xfId="0" applyFont="1" applyFill="1" applyBorder="1" applyProtection="1"/>
    <xf numFmtId="0" fontId="19" fillId="40" borderId="0" xfId="0" applyFont="1" applyFill="1" applyBorder="1" applyAlignment="1" applyProtection="1">
      <alignment horizontal="left"/>
    </xf>
    <xf numFmtId="0" fontId="42" fillId="31" borderId="0" xfId="0" applyFont="1" applyFill="1" applyBorder="1" applyProtection="1">
      <protection locked="0"/>
    </xf>
    <xf numFmtId="49" fontId="3" fillId="40" borderId="0" xfId="0" applyNumberFormat="1" applyFont="1" applyFill="1"/>
    <xf numFmtId="0" fontId="42" fillId="40" borderId="0" xfId="0" applyFont="1" applyFill="1" applyAlignment="1">
      <alignment wrapText="1"/>
    </xf>
    <xf numFmtId="39" fontId="67" fillId="40" borderId="0" xfId="61" applyNumberFormat="1" applyFont="1" applyFill="1" applyBorder="1" applyAlignment="1" applyProtection="1"/>
    <xf numFmtId="0" fontId="11" fillId="40" borderId="0" xfId="0" applyFont="1" applyFill="1" applyBorder="1" applyAlignment="1" applyProtection="1"/>
    <xf numFmtId="0" fontId="11" fillId="40" borderId="0" xfId="0" applyFont="1" applyFill="1" applyBorder="1" applyProtection="1"/>
    <xf numFmtId="0" fontId="11" fillId="39" borderId="0" xfId="0" applyFont="1" applyFill="1" applyBorder="1" applyAlignment="1" applyProtection="1">
      <alignment horizontal="right"/>
    </xf>
    <xf numFmtId="183" fontId="67" fillId="39" borderId="0" xfId="61" applyNumberFormat="1" applyFont="1" applyFill="1" applyBorder="1" applyAlignment="1" applyProtection="1"/>
    <xf numFmtId="167" fontId="67" fillId="39" borderId="11" xfId="123" applyNumberFormat="1" applyFont="1" applyFill="1" applyBorder="1" applyAlignment="1" applyProtection="1"/>
    <xf numFmtId="0" fontId="56" fillId="39" borderId="0" xfId="0" applyFont="1" applyFill="1" applyBorder="1" applyAlignment="1" applyProtection="1">
      <alignment horizontal="right"/>
    </xf>
    <xf numFmtId="167" fontId="67" fillId="39" borderId="0" xfId="123" applyNumberFormat="1" applyFont="1" applyFill="1" applyBorder="1" applyAlignment="1" applyProtection="1"/>
    <xf numFmtId="0" fontId="11" fillId="39" borderId="15" xfId="0" applyFont="1" applyFill="1" applyBorder="1" applyAlignment="1" applyProtection="1"/>
    <xf numFmtId="0" fontId="11" fillId="39" borderId="11" xfId="0" applyFont="1" applyFill="1" applyBorder="1" applyAlignment="1" applyProtection="1">
      <alignment horizontal="right"/>
    </xf>
    <xf numFmtId="183" fontId="67" fillId="39" borderId="16" xfId="61" applyNumberFormat="1" applyFont="1" applyFill="1" applyBorder="1" applyAlignment="1" applyProtection="1"/>
    <xf numFmtId="0" fontId="11" fillId="39" borderId="15" xfId="0" applyFont="1" applyFill="1" applyBorder="1" applyAlignment="1" applyProtection="1">
      <alignment horizontal="left"/>
    </xf>
    <xf numFmtId="0" fontId="11" fillId="39" borderId="13" xfId="61" applyNumberFormat="1" applyFont="1" applyFill="1" applyBorder="1" applyAlignment="1" applyProtection="1"/>
    <xf numFmtId="0" fontId="11" fillId="39" borderId="11" xfId="61" applyNumberFormat="1" applyFont="1" applyFill="1" applyBorder="1" applyAlignment="1" applyProtection="1"/>
    <xf numFmtId="43" fontId="59" fillId="31" borderId="0" xfId="123" applyFont="1" applyFill="1" applyBorder="1" applyProtection="1">
      <protection locked="0"/>
    </xf>
    <xf numFmtId="0" fontId="66" fillId="0" borderId="0" xfId="61" applyNumberFormat="1" applyFont="1" applyFill="1" applyBorder="1" applyAlignment="1" applyProtection="1">
      <alignment horizontal="center" vertical="center"/>
    </xf>
    <xf numFmtId="0" fontId="63" fillId="40" borderId="0" xfId="61" applyNumberFormat="1" applyFont="1" applyFill="1" applyBorder="1" applyAlignment="1" applyProtection="1">
      <alignment horizontal="center"/>
    </xf>
    <xf numFmtId="0" fontId="3" fillId="40" borderId="0" xfId="0" applyFont="1" applyFill="1" applyBorder="1" applyAlignment="1" applyProtection="1">
      <alignment horizontal="left"/>
      <protection locked="0"/>
    </xf>
    <xf numFmtId="0" fontId="56" fillId="0" borderId="30" xfId="61" applyNumberFormat="1" applyFont="1" applyBorder="1" applyAlignment="1" applyProtection="1"/>
    <xf numFmtId="39" fontId="67" fillId="0" borderId="0" xfId="61" applyNumberFormat="1" applyFont="1" applyAlignment="1" applyProtection="1">
      <protection locked="0"/>
    </xf>
    <xf numFmtId="0" fontId="36" fillId="0" borderId="0" xfId="0" applyFont="1" applyProtection="1"/>
    <xf numFmtId="0" fontId="46" fillId="40" borderId="0" xfId="0" applyFont="1" applyFill="1" applyBorder="1" applyProtection="1"/>
    <xf numFmtId="0" fontId="46" fillId="40" borderId="0" xfId="0" applyFont="1" applyFill="1" applyAlignment="1" applyProtection="1"/>
    <xf numFmtId="0" fontId="151" fillId="40" borderId="0" xfId="0" applyFont="1" applyFill="1" applyBorder="1" applyProtection="1"/>
    <xf numFmtId="0" fontId="151" fillId="40" borderId="0" xfId="0" applyFont="1" applyFill="1" applyProtection="1"/>
    <xf numFmtId="0" fontId="71" fillId="0" borderId="0" xfId="0" applyFont="1" applyProtection="1"/>
    <xf numFmtId="0" fontId="42" fillId="40" borderId="11" xfId="0" applyFont="1" applyFill="1" applyBorder="1" applyProtection="1"/>
    <xf numFmtId="0" fontId="42" fillId="40" borderId="11" xfId="0" applyFont="1" applyFill="1" applyBorder="1" applyAlignment="1" applyProtection="1">
      <alignment horizontal="center"/>
    </xf>
    <xf numFmtId="0" fontId="36" fillId="0" borderId="0" xfId="0" applyFont="1" applyFill="1" applyProtection="1"/>
    <xf numFmtId="42" fontId="42" fillId="40" borderId="0" xfId="0" applyNumberFormat="1" applyFont="1" applyFill="1" applyAlignment="1" applyProtection="1">
      <alignment horizontal="right"/>
    </xf>
    <xf numFmtId="183" fontId="42" fillId="0" borderId="0" xfId="47" applyNumberFormat="1" applyFont="1" applyAlignment="1" applyProtection="1">
      <alignment horizontal="right"/>
    </xf>
    <xf numFmtId="167" fontId="42" fillId="40" borderId="0" xfId="123" applyNumberFormat="1" applyFont="1" applyFill="1" applyAlignment="1" applyProtection="1">
      <alignment horizontal="right"/>
    </xf>
    <xf numFmtId="41" fontId="42" fillId="40" borderId="0" xfId="0" applyNumberFormat="1" applyFont="1" applyFill="1" applyAlignment="1" applyProtection="1">
      <alignment horizontal="right"/>
    </xf>
    <xf numFmtId="0" fontId="42" fillId="40" borderId="0" xfId="0" applyFont="1" applyFill="1" applyAlignment="1" applyProtection="1">
      <alignment vertical="top" wrapText="1"/>
    </xf>
    <xf numFmtId="37" fontId="42" fillId="40" borderId="0" xfId="0" applyNumberFormat="1" applyFont="1" applyFill="1" applyBorder="1" applyAlignment="1" applyProtection="1">
      <alignment horizontal="right"/>
    </xf>
    <xf numFmtId="174" fontId="42" fillId="40" borderId="12" xfId="47" applyNumberFormat="1" applyFont="1" applyFill="1" applyBorder="1" applyProtection="1"/>
    <xf numFmtId="0" fontId="76" fillId="40" borderId="0" xfId="0" applyFont="1" applyFill="1" applyBorder="1" applyProtection="1"/>
    <xf numFmtId="0" fontId="76" fillId="40" borderId="0" xfId="0" applyFont="1" applyFill="1" applyProtection="1"/>
    <xf numFmtId="0" fontId="76" fillId="0" borderId="11" xfId="0" applyFont="1" applyBorder="1" applyProtection="1"/>
    <xf numFmtId="0" fontId="83" fillId="0" borderId="0" xfId="0" applyFont="1" applyProtection="1"/>
    <xf numFmtId="0" fontId="139" fillId="40" borderId="0" xfId="0" applyFont="1" applyFill="1" applyBorder="1" applyAlignment="1" applyProtection="1">
      <alignment horizontal="center"/>
    </xf>
    <xf numFmtId="0" fontId="88" fillId="40" borderId="0" xfId="0" applyFont="1" applyFill="1" applyBorder="1" applyAlignment="1" applyProtection="1">
      <alignment horizontal="center"/>
    </xf>
    <xf numFmtId="0" fontId="67" fillId="40" borderId="0" xfId="61" applyNumberFormat="1" applyFont="1" applyFill="1" applyBorder="1" applyAlignment="1" applyProtection="1">
      <alignment horizontal="center"/>
    </xf>
    <xf numFmtId="0" fontId="88" fillId="40" borderId="0" xfId="0" applyFont="1" applyFill="1" applyBorder="1" applyAlignment="1" applyProtection="1"/>
    <xf numFmtId="0" fontId="11" fillId="40" borderId="0" xfId="61" applyNumberFormat="1" applyFont="1" applyFill="1" applyBorder="1" applyAlignment="1" applyProtection="1">
      <alignment horizontal="center"/>
    </xf>
    <xf numFmtId="0" fontId="56" fillId="40" borderId="0" xfId="0" applyFont="1" applyFill="1" applyBorder="1" applyAlignment="1" applyProtection="1"/>
    <xf numFmtId="0" fontId="56" fillId="40" borderId="0" xfId="0" applyFont="1" applyFill="1" applyBorder="1" applyAlignment="1" applyProtection="1">
      <alignment horizontal="center"/>
    </xf>
    <xf numFmtId="0" fontId="11" fillId="40" borderId="0" xfId="0" applyFont="1" applyFill="1" applyProtection="1"/>
    <xf numFmtId="0" fontId="57" fillId="40" borderId="0" xfId="0" applyFont="1" applyFill="1" applyBorder="1" applyAlignment="1" applyProtection="1"/>
    <xf numFmtId="0" fontId="83" fillId="0" borderId="0" xfId="0" applyFont="1" applyFill="1" applyProtection="1"/>
    <xf numFmtId="4" fontId="59" fillId="40" borderId="0" xfId="0" applyNumberFormat="1" applyFont="1" applyFill="1" applyBorder="1" applyAlignment="1" applyProtection="1">
      <alignment horizontal="center"/>
    </xf>
    <xf numFmtId="0" fontId="152" fillId="40" borderId="0" xfId="0" applyFont="1" applyFill="1" applyBorder="1" applyAlignment="1" applyProtection="1">
      <alignment horizontal="center"/>
    </xf>
    <xf numFmtId="0" fontId="59" fillId="40" borderId="0" xfId="0" applyFont="1" applyFill="1" applyBorder="1" applyProtection="1"/>
    <xf numFmtId="0" fontId="59" fillId="39" borderId="0" xfId="0" applyFont="1" applyFill="1" applyBorder="1" applyProtection="1"/>
    <xf numFmtId="0" fontId="59" fillId="39" borderId="16" xfId="0" applyFont="1" applyFill="1" applyBorder="1" applyProtection="1"/>
    <xf numFmtId="167" fontId="59" fillId="39" borderId="16" xfId="0" applyNumberFormat="1" applyFont="1" applyFill="1" applyBorder="1" applyProtection="1"/>
    <xf numFmtId="0" fontId="88" fillId="39" borderId="15" xfId="0" applyFont="1" applyFill="1" applyBorder="1" applyAlignment="1" applyProtection="1">
      <alignment horizontal="center"/>
    </xf>
    <xf numFmtId="0" fontId="88" fillId="39" borderId="0" xfId="0" applyFont="1" applyFill="1" applyBorder="1" applyAlignment="1" applyProtection="1">
      <alignment horizontal="center"/>
    </xf>
    <xf numFmtId="183" fontId="88" fillId="39" borderId="116" xfId="0" applyNumberFormat="1" applyFont="1" applyFill="1" applyBorder="1" applyAlignment="1" applyProtection="1">
      <alignment horizontal="center"/>
    </xf>
    <xf numFmtId="0" fontId="88" fillId="40" borderId="16" xfId="0" applyFont="1" applyFill="1" applyBorder="1" applyAlignment="1" applyProtection="1">
      <alignment horizontal="center"/>
    </xf>
    <xf numFmtId="0" fontId="88" fillId="39" borderId="13" xfId="0" applyFont="1" applyFill="1" applyBorder="1" applyAlignment="1" applyProtection="1">
      <alignment horizontal="center"/>
    </xf>
    <xf numFmtId="0" fontId="88" fillId="39" borderId="11" xfId="0" applyFont="1" applyFill="1" applyBorder="1" applyAlignment="1" applyProtection="1">
      <alignment horizontal="center"/>
    </xf>
    <xf numFmtId="0" fontId="59" fillId="39" borderId="11" xfId="0" applyFont="1" applyFill="1" applyBorder="1" applyProtection="1"/>
    <xf numFmtId="183" fontId="88" fillId="39" borderId="14" xfId="0" applyNumberFormat="1" applyFont="1" applyFill="1" applyBorder="1" applyAlignment="1" applyProtection="1">
      <alignment horizontal="center"/>
    </xf>
    <xf numFmtId="0" fontId="59" fillId="40" borderId="15" xfId="0" applyFont="1" applyFill="1" applyBorder="1" applyProtection="1"/>
    <xf numFmtId="0" fontId="11" fillId="0" borderId="0" xfId="0" applyFont="1" applyProtection="1"/>
    <xf numFmtId="167" fontId="11" fillId="39" borderId="16" xfId="0" applyNumberFormat="1" applyFont="1" applyFill="1" applyBorder="1" applyProtection="1"/>
    <xf numFmtId="167" fontId="11" fillId="39" borderId="0" xfId="123" applyNumberFormat="1" applyFont="1" applyFill="1" applyBorder="1" applyProtection="1"/>
    <xf numFmtId="167" fontId="11" fillId="39" borderId="11" xfId="123" applyNumberFormat="1" applyFont="1" applyFill="1" applyBorder="1" applyProtection="1"/>
    <xf numFmtId="167" fontId="11" fillId="39" borderId="0" xfId="0" applyNumberFormat="1" applyFont="1" applyFill="1" applyBorder="1" applyProtection="1"/>
    <xf numFmtId="167" fontId="11" fillId="39" borderId="0" xfId="123" applyNumberFormat="1" applyFont="1" applyFill="1" applyBorder="1" applyAlignment="1" applyProtection="1"/>
    <xf numFmtId="0" fontId="11" fillId="39" borderId="16" xfId="0" applyFont="1" applyFill="1" applyBorder="1" applyProtection="1"/>
    <xf numFmtId="167" fontId="11" fillId="39" borderId="11" xfId="123" applyNumberFormat="1" applyFont="1" applyFill="1" applyBorder="1" applyAlignment="1" applyProtection="1"/>
    <xf numFmtId="0" fontId="11" fillId="39" borderId="14" xfId="0" applyFont="1" applyFill="1" applyBorder="1" applyProtection="1"/>
    <xf numFmtId="0" fontId="11" fillId="39" borderId="13" xfId="0" applyFont="1" applyFill="1" applyBorder="1" applyProtection="1"/>
    <xf numFmtId="183" fontId="11" fillId="39" borderId="14" xfId="0" applyNumberFormat="1" applyFont="1" applyFill="1" applyBorder="1" applyProtection="1"/>
    <xf numFmtId="0" fontId="150" fillId="40" borderId="0" xfId="0" applyFont="1" applyFill="1" applyBorder="1" applyAlignment="1" applyProtection="1"/>
    <xf numFmtId="0" fontId="59" fillId="40" borderId="0" xfId="0" applyFont="1" applyFill="1" applyBorder="1" applyAlignment="1" applyProtection="1">
      <alignment wrapText="1"/>
    </xf>
    <xf numFmtId="0" fontId="59" fillId="40" borderId="0" xfId="0" applyFont="1" applyFill="1" applyBorder="1" applyAlignment="1" applyProtection="1">
      <alignment horizontal="right"/>
    </xf>
    <xf numFmtId="0" fontId="59" fillId="40" borderId="0" xfId="0" applyFont="1" applyFill="1" applyBorder="1" applyAlignment="1" applyProtection="1">
      <alignment horizontal="left" indent="10"/>
    </xf>
    <xf numFmtId="0" fontId="59" fillId="40" borderId="0" xfId="0" applyFont="1" applyFill="1" applyBorder="1" applyAlignment="1" applyProtection="1">
      <alignment horizontal="right" wrapText="1"/>
    </xf>
    <xf numFmtId="0" fontId="59" fillId="0" borderId="0" xfId="0" applyFont="1" applyFill="1" applyProtection="1"/>
    <xf numFmtId="0" fontId="76" fillId="0" borderId="0" xfId="0" applyFont="1" applyProtection="1"/>
    <xf numFmtId="0" fontId="83" fillId="0" borderId="0" xfId="0" applyFont="1" applyBorder="1" applyProtection="1"/>
    <xf numFmtId="0" fontId="3" fillId="40" borderId="0" xfId="0" applyFont="1" applyFill="1" applyBorder="1" applyAlignment="1">
      <alignment horizontal="center"/>
    </xf>
    <xf numFmtId="0" fontId="42" fillId="29" borderId="29" xfId="0" applyFont="1" applyFill="1" applyBorder="1" applyAlignment="1">
      <alignment horizontal="left" indent="6"/>
    </xf>
    <xf numFmtId="167" fontId="3" fillId="0" borderId="0" xfId="123" applyNumberFormat="1" applyFont="1"/>
    <xf numFmtId="167" fontId="3" fillId="40" borderId="76" xfId="123" applyNumberFormat="1" applyFont="1" applyFill="1" applyBorder="1" applyAlignment="1">
      <alignment horizontal="center"/>
    </xf>
    <xf numFmtId="0" fontId="3" fillId="0" borderId="77" xfId="0" applyFont="1" applyBorder="1"/>
    <xf numFmtId="167" fontId="3" fillId="40" borderId="78" xfId="123" applyNumberFormat="1" applyFont="1" applyFill="1" applyBorder="1" applyAlignment="1">
      <alignment horizontal="center"/>
    </xf>
    <xf numFmtId="43" fontId="3" fillId="0" borderId="0" xfId="123" applyNumberFormat="1" applyFont="1"/>
    <xf numFmtId="167" fontId="3" fillId="0" borderId="0" xfId="123" applyNumberFormat="1" applyFont="1" applyAlignment="1">
      <alignment horizontal="center" wrapText="1"/>
    </xf>
    <xf numFmtId="43" fontId="3" fillId="0" borderId="0" xfId="123" applyFont="1" applyFill="1"/>
    <xf numFmtId="43" fontId="3" fillId="40" borderId="78" xfId="123" applyFont="1" applyFill="1" applyBorder="1" applyAlignment="1">
      <alignment horizontal="center"/>
    </xf>
    <xf numFmtId="167" fontId="2" fillId="31" borderId="0" xfId="123" applyNumberFormat="1" applyFont="1" applyFill="1" applyBorder="1" applyAlignment="1" applyProtection="1">
      <alignment horizontal="right"/>
      <protection locked="0"/>
    </xf>
    <xf numFmtId="0" fontId="11" fillId="0" borderId="0" xfId="61" applyFont="1" applyFill="1" applyProtection="1"/>
    <xf numFmtId="194" fontId="66" fillId="0" borderId="0" xfId="126" applyNumberFormat="1" applyFont="1" applyAlignment="1" applyProtection="1"/>
    <xf numFmtId="187" fontId="3" fillId="0" borderId="0" xfId="0" applyNumberFormat="1" applyFont="1" applyFill="1" applyBorder="1" applyProtection="1"/>
    <xf numFmtId="187" fontId="3" fillId="40" borderId="11" xfId="0" applyNumberFormat="1" applyFont="1" applyFill="1" applyBorder="1" applyProtection="1"/>
    <xf numFmtId="167" fontId="42" fillId="0" borderId="11" xfId="123" applyNumberFormat="1" applyFont="1" applyBorder="1" applyProtection="1"/>
    <xf numFmtId="0" fontId="78" fillId="40" borderId="0" xfId="0" applyFont="1" applyFill="1"/>
    <xf numFmtId="43" fontId="11" fillId="0" borderId="0" xfId="123" applyFont="1" applyFill="1"/>
    <xf numFmtId="0" fontId="52" fillId="54" borderId="0" xfId="0" applyFont="1" applyFill="1"/>
    <xf numFmtId="49" fontId="52" fillId="0" borderId="0" xfId="0" applyNumberFormat="1" applyFont="1"/>
    <xf numFmtId="49" fontId="52" fillId="0" borderId="0" xfId="0" applyNumberFormat="1" applyFont="1" applyFill="1"/>
    <xf numFmtId="0" fontId="52" fillId="0" borderId="0" xfId="0" applyFont="1"/>
    <xf numFmtId="49" fontId="8" fillId="54" borderId="16" xfId="61" applyNumberFormat="1" applyFont="1" applyFill="1" applyBorder="1" applyAlignment="1" applyProtection="1">
      <alignment horizontal="center"/>
    </xf>
    <xf numFmtId="49" fontId="8" fillId="0" borderId="0" xfId="61" applyNumberFormat="1" applyFont="1" applyFill="1" applyBorder="1" applyAlignment="1" applyProtection="1">
      <alignment horizontal="center"/>
    </xf>
    <xf numFmtId="49" fontId="8" fillId="54" borderId="0" xfId="61" applyNumberFormat="1" applyFont="1" applyFill="1" applyBorder="1" applyAlignment="1" applyProtection="1">
      <alignment horizontal="center"/>
    </xf>
    <xf numFmtId="49" fontId="8" fillId="54" borderId="0" xfId="61" applyNumberFormat="1" applyFont="1" applyFill="1" applyAlignment="1" applyProtection="1">
      <alignment horizontal="center"/>
    </xf>
    <xf numFmtId="49" fontId="8" fillId="0" borderId="0" xfId="61" applyNumberFormat="1" applyFont="1" applyFill="1" applyAlignment="1" applyProtection="1">
      <alignment horizontal="center"/>
    </xf>
    <xf numFmtId="49" fontId="155" fillId="54" borderId="0" xfId="61" applyNumberFormat="1" applyFont="1" applyFill="1" applyAlignment="1" applyProtection="1">
      <alignment horizontal="center"/>
    </xf>
    <xf numFmtId="49" fontId="155" fillId="0" borderId="0" xfId="61" applyNumberFormat="1" applyFont="1" applyFill="1" applyAlignment="1" applyProtection="1">
      <alignment horizontal="center"/>
    </xf>
    <xf numFmtId="49" fontId="156" fillId="54" borderId="0" xfId="61" applyNumberFormat="1" applyFont="1" applyFill="1" applyAlignment="1" applyProtection="1">
      <alignment horizontal="center"/>
    </xf>
    <xf numFmtId="49" fontId="156" fillId="0" borderId="0" xfId="61" applyNumberFormat="1" applyFont="1" applyFill="1" applyAlignment="1" applyProtection="1">
      <alignment horizontal="center"/>
    </xf>
    <xf numFmtId="49" fontId="12" fillId="54" borderId="0" xfId="61" applyNumberFormat="1" applyFont="1" applyFill="1" applyAlignment="1" applyProtection="1">
      <alignment horizontal="center"/>
    </xf>
    <xf numFmtId="49" fontId="12" fillId="0" borderId="0" xfId="61" applyNumberFormat="1" applyFont="1" applyAlignment="1" applyProtection="1">
      <alignment horizontal="center"/>
    </xf>
    <xf numFmtId="0" fontId="40" fillId="53" borderId="143" xfId="0" applyNumberFormat="1" applyFont="1" applyFill="1" applyBorder="1"/>
    <xf numFmtId="49" fontId="12" fillId="53" borderId="143" xfId="61" applyNumberFormat="1" applyFont="1" applyFill="1" applyBorder="1" applyAlignment="1" applyProtection="1"/>
    <xf numFmtId="49" fontId="40" fillId="53" borderId="143" xfId="123" applyNumberFormat="1" applyFont="1" applyFill="1" applyBorder="1"/>
    <xf numFmtId="49" fontId="40" fillId="53" borderId="143" xfId="0" applyNumberFormat="1" applyFont="1" applyFill="1" applyBorder="1"/>
    <xf numFmtId="49" fontId="40" fillId="53" borderId="0" xfId="0" applyNumberFormat="1" applyFont="1" applyFill="1" applyBorder="1"/>
    <xf numFmtId="0" fontId="40" fillId="33" borderId="143" xfId="0" applyNumberFormat="1" applyFont="1" applyFill="1" applyBorder="1"/>
    <xf numFmtId="49" fontId="40" fillId="33" borderId="143" xfId="0" applyNumberFormat="1" applyFont="1" applyFill="1" applyBorder="1"/>
    <xf numFmtId="49" fontId="40" fillId="33" borderId="143" xfId="123" applyNumberFormat="1" applyFont="1" applyFill="1" applyBorder="1"/>
    <xf numFmtId="49" fontId="40" fillId="33" borderId="0" xfId="0" applyNumberFormat="1" applyFont="1" applyFill="1" applyBorder="1"/>
    <xf numFmtId="0" fontId="40" fillId="56" borderId="143" xfId="0" applyNumberFormat="1" applyFont="1" applyFill="1" applyBorder="1"/>
    <xf numFmtId="49" fontId="40" fillId="56" borderId="143" xfId="0" applyNumberFormat="1" applyFont="1" applyFill="1" applyBorder="1"/>
    <xf numFmtId="49" fontId="40" fillId="56" borderId="143" xfId="123" applyNumberFormat="1" applyFont="1" applyFill="1" applyBorder="1"/>
    <xf numFmtId="49" fontId="40" fillId="56" borderId="0" xfId="0" applyNumberFormat="1" applyFont="1" applyFill="1" applyBorder="1"/>
    <xf numFmtId="167" fontId="40" fillId="0" borderId="0" xfId="123" applyNumberFormat="1" applyFont="1" applyFill="1"/>
    <xf numFmtId="0" fontId="40" fillId="0" borderId="143" xfId="0" applyNumberFormat="1" applyFont="1" applyFill="1" applyBorder="1"/>
    <xf numFmtId="49" fontId="40" fillId="0" borderId="143" xfId="0" applyNumberFormat="1" applyFont="1" applyFill="1" applyBorder="1"/>
    <xf numFmtId="49" fontId="40" fillId="0" borderId="143" xfId="123" applyNumberFormat="1" applyFont="1" applyFill="1" applyBorder="1"/>
    <xf numFmtId="49" fontId="40" fillId="0" borderId="0" xfId="0" applyNumberFormat="1" applyFont="1" applyFill="1" applyBorder="1"/>
    <xf numFmtId="0" fontId="40" fillId="0" borderId="0" xfId="0" applyNumberFormat="1" applyFont="1"/>
    <xf numFmtId="49" fontId="40" fillId="0" borderId="0" xfId="0" applyNumberFormat="1" applyFont="1"/>
    <xf numFmtId="167" fontId="40" fillId="0" borderId="0" xfId="123" applyNumberFormat="1" applyFont="1" applyAlignment="1">
      <alignment horizontal="right"/>
    </xf>
    <xf numFmtId="167" fontId="40" fillId="29" borderId="115" xfId="123" applyNumberFormat="1" applyFont="1" applyFill="1" applyBorder="1"/>
    <xf numFmtId="43" fontId="40" fillId="53" borderId="143" xfId="123" applyFont="1" applyFill="1" applyBorder="1"/>
    <xf numFmtId="43" fontId="40" fillId="33" borderId="143" xfId="123" applyFont="1" applyFill="1" applyBorder="1"/>
    <xf numFmtId="43" fontId="40" fillId="56" borderId="143" xfId="123" applyFont="1" applyFill="1" applyBorder="1"/>
    <xf numFmtId="43" fontId="40" fillId="57" borderId="143" xfId="123" applyFont="1" applyFill="1" applyBorder="1"/>
    <xf numFmtId="0" fontId="40" fillId="58" borderId="143" xfId="0" applyNumberFormat="1" applyFont="1" applyFill="1" applyBorder="1"/>
    <xf numFmtId="49" fontId="40" fillId="58" borderId="143" xfId="0" applyNumberFormat="1" applyFont="1" applyFill="1" applyBorder="1"/>
    <xf numFmtId="49" fontId="40" fillId="58" borderId="143" xfId="123" applyNumberFormat="1" applyFont="1" applyFill="1" applyBorder="1"/>
    <xf numFmtId="43" fontId="40" fillId="58" borderId="143" xfId="123" applyFont="1" applyFill="1" applyBorder="1"/>
    <xf numFmtId="49" fontId="40" fillId="58" borderId="0" xfId="0" applyNumberFormat="1" applyFont="1" applyFill="1" applyBorder="1"/>
    <xf numFmtId="43" fontId="40" fillId="0" borderId="143" xfId="123" applyFont="1" applyFill="1" applyBorder="1"/>
    <xf numFmtId="43" fontId="40" fillId="0" borderId="0" xfId="123" applyFont="1"/>
    <xf numFmtId="10" fontId="40" fillId="56" borderId="143" xfId="123" applyNumberFormat="1" applyFont="1" applyFill="1" applyBorder="1"/>
    <xf numFmtId="9" fontId="40" fillId="56" borderId="143" xfId="123" applyNumberFormat="1" applyFont="1" applyFill="1" applyBorder="1"/>
    <xf numFmtId="0" fontId="52" fillId="0" borderId="0" xfId="0" applyFont="1" applyFill="1"/>
    <xf numFmtId="167" fontId="52" fillId="0" borderId="0" xfId="0" applyNumberFormat="1" applyFont="1" applyFill="1"/>
    <xf numFmtId="0" fontId="52" fillId="58" borderId="0" xfId="0" applyFont="1" applyFill="1"/>
    <xf numFmtId="43" fontId="52" fillId="58" borderId="0" xfId="123" applyFont="1" applyFill="1"/>
    <xf numFmtId="43" fontId="40" fillId="0" borderId="0" xfId="123" applyNumberFormat="1" applyFont="1"/>
    <xf numFmtId="43" fontId="40" fillId="29" borderId="115" xfId="123" applyNumberFormat="1" applyFont="1" applyFill="1" applyBorder="1"/>
    <xf numFmtId="49" fontId="52" fillId="29" borderId="0" xfId="0" applyNumberFormat="1" applyFont="1" applyFill="1"/>
    <xf numFmtId="49" fontId="8" fillId="29" borderId="0" xfId="61" applyNumberFormat="1" applyFont="1" applyFill="1" applyAlignment="1" applyProtection="1">
      <alignment horizontal="center"/>
    </xf>
    <xf numFmtId="0" fontId="52" fillId="29" borderId="0" xfId="0" applyFont="1" applyFill="1"/>
    <xf numFmtId="173" fontId="4" fillId="40" borderId="0" xfId="61" applyNumberFormat="1" applyFont="1" applyFill="1" applyAlignment="1" applyProtection="1">
      <alignment horizontal="center"/>
    </xf>
    <xf numFmtId="43" fontId="40" fillId="56" borderId="143" xfId="123" applyNumberFormat="1" applyFont="1" applyFill="1" applyBorder="1"/>
    <xf numFmtId="183" fontId="3" fillId="0" borderId="0" xfId="0" applyNumberFormat="1" applyFont="1" applyBorder="1" applyProtection="1"/>
    <xf numFmtId="183" fontId="3" fillId="40" borderId="0" xfId="0" applyNumberFormat="1" applyFont="1" applyFill="1" applyBorder="1" applyProtection="1"/>
    <xf numFmtId="0" fontId="42" fillId="0" borderId="0" xfId="0" applyFont="1" applyAlignment="1" applyProtection="1">
      <alignment horizontal="right"/>
    </xf>
    <xf numFmtId="0" fontId="2" fillId="0" borderId="0" xfId="61" applyNumberFormat="1" applyFont="1" applyBorder="1" applyAlignment="1" applyProtection="1">
      <alignment horizontal="left"/>
    </xf>
    <xf numFmtId="0" fontId="9" fillId="0" borderId="0" xfId="0" applyFont="1" applyFill="1" applyProtection="1"/>
    <xf numFmtId="183" fontId="3" fillId="0" borderId="0" xfId="0" applyNumberFormat="1" applyFont="1" applyFill="1" applyBorder="1" applyProtection="1"/>
    <xf numFmtId="44" fontId="73" fillId="31" borderId="77" xfId="47" applyFont="1" applyFill="1" applyBorder="1" applyAlignment="1" applyProtection="1">
      <protection locked="0"/>
    </xf>
    <xf numFmtId="44" fontId="73" fillId="31" borderId="0" xfId="47" applyFont="1" applyFill="1" applyBorder="1" applyAlignment="1" applyProtection="1">
      <protection locked="0"/>
    </xf>
    <xf numFmtId="44" fontId="73" fillId="31" borderId="78" xfId="47" applyFont="1" applyFill="1" applyBorder="1" applyAlignment="1" applyProtection="1">
      <protection locked="0"/>
    </xf>
    <xf numFmtId="44" fontId="3" fillId="0" borderId="77" xfId="47" applyFont="1" applyBorder="1" applyAlignment="1" applyProtection="1"/>
    <xf numFmtId="44" fontId="3" fillId="0" borderId="78" xfId="47" applyFont="1" applyBorder="1" applyAlignment="1" applyProtection="1"/>
    <xf numFmtId="44" fontId="3" fillId="0" borderId="67" xfId="47" applyFont="1" applyBorder="1" applyAlignment="1" applyProtection="1"/>
    <xf numFmtId="44" fontId="2" fillId="0" borderId="0" xfId="47" applyFont="1" applyFill="1" applyBorder="1" applyAlignment="1" applyProtection="1"/>
    <xf numFmtId="44" fontId="2" fillId="31" borderId="0" xfId="47" applyFont="1" applyFill="1" applyBorder="1" applyAlignment="1" applyProtection="1">
      <protection locked="0"/>
    </xf>
    <xf numFmtId="44" fontId="2" fillId="31" borderId="11" xfId="47" applyFont="1" applyFill="1" applyBorder="1" applyAlignment="1" applyProtection="1">
      <protection locked="0"/>
    </xf>
    <xf numFmtId="44" fontId="2" fillId="0" borderId="0" xfId="47" applyFont="1" applyFill="1" applyAlignment="1" applyProtection="1"/>
    <xf numFmtId="44" fontId="2" fillId="0" borderId="11" xfId="47" applyFont="1" applyFill="1" applyBorder="1" applyAlignment="1" applyProtection="1"/>
    <xf numFmtId="44" fontId="2" fillId="35" borderId="0" xfId="47" applyFont="1" applyFill="1" applyAlignment="1" applyProtection="1">
      <protection locked="0"/>
    </xf>
    <xf numFmtId="44" fontId="2" fillId="31" borderId="0" xfId="47" applyFont="1" applyFill="1" applyAlignment="1" applyProtection="1">
      <protection locked="0"/>
    </xf>
    <xf numFmtId="44" fontId="2" fillId="24" borderId="0" xfId="47" applyFont="1" applyFill="1" applyAlignment="1" applyProtection="1"/>
    <xf numFmtId="44" fontId="4" fillId="26" borderId="0" xfId="47" applyFont="1" applyFill="1" applyAlignment="1" applyProtection="1"/>
    <xf numFmtId="44" fontId="4" fillId="24" borderId="0" xfId="47" applyFont="1" applyFill="1" applyAlignment="1" applyProtection="1"/>
    <xf numFmtId="44" fontId="2" fillId="24" borderId="11" xfId="47" applyFont="1" applyFill="1" applyBorder="1" applyAlignment="1" applyProtection="1"/>
    <xf numFmtId="44" fontId="4" fillId="0" borderId="0" xfId="47" applyFont="1" applyFill="1" applyAlignment="1" applyProtection="1"/>
    <xf numFmtId="44" fontId="4" fillId="26" borderId="53" xfId="47" applyFont="1" applyFill="1" applyBorder="1" applyAlignment="1" applyProtection="1"/>
    <xf numFmtId="44" fontId="2" fillId="0" borderId="12" xfId="47" applyFont="1" applyFill="1" applyBorder="1" applyAlignment="1"/>
    <xf numFmtId="44" fontId="4" fillId="24" borderId="11" xfId="47" applyFont="1" applyFill="1" applyBorder="1" applyAlignment="1"/>
    <xf numFmtId="44" fontId="4" fillId="24" borderId="12" xfId="47" applyFont="1" applyFill="1" applyBorder="1" applyAlignment="1"/>
    <xf numFmtId="44" fontId="3" fillId="0" borderId="105" xfId="47" applyFont="1" applyFill="1" applyBorder="1" applyProtection="1"/>
    <xf numFmtId="44" fontId="73" fillId="31" borderId="107" xfId="47" applyFont="1" applyFill="1" applyBorder="1" applyProtection="1">
      <protection locked="0"/>
    </xf>
    <xf numFmtId="44" fontId="73" fillId="31" borderId="48" xfId="47" applyFont="1" applyFill="1" applyBorder="1" applyProtection="1">
      <protection locked="0"/>
    </xf>
    <xf numFmtId="44" fontId="11" fillId="32" borderId="120" xfId="47" applyFont="1" applyFill="1" applyBorder="1" applyProtection="1"/>
    <xf numFmtId="44" fontId="11" fillId="32" borderId="121" xfId="47" applyFont="1" applyFill="1" applyBorder="1" applyProtection="1"/>
    <xf numFmtId="44" fontId="2" fillId="32" borderId="64" xfId="47" applyFont="1" applyFill="1" applyBorder="1" applyAlignment="1"/>
    <xf numFmtId="44" fontId="2" fillId="0" borderId="26" xfId="47" applyFont="1" applyFill="1" applyBorder="1" applyAlignment="1"/>
    <xf numFmtId="44" fontId="2" fillId="0" borderId="33" xfId="47" applyFont="1" applyFill="1" applyBorder="1" applyAlignment="1"/>
    <xf numFmtId="44" fontId="2" fillId="0" borderId="39" xfId="47" applyFont="1" applyFill="1" applyBorder="1" applyAlignment="1"/>
    <xf numFmtId="44" fontId="2" fillId="0" borderId="46" xfId="47" applyFont="1" applyFill="1" applyBorder="1" applyAlignment="1"/>
    <xf numFmtId="44" fontId="3" fillId="0" borderId="41" xfId="47" applyFont="1" applyFill="1" applyBorder="1"/>
    <xf numFmtId="44" fontId="3" fillId="39" borderId="0" xfId="47" applyFont="1" applyFill="1" applyBorder="1" applyAlignment="1" applyProtection="1"/>
    <xf numFmtId="0" fontId="3" fillId="0" borderId="0" xfId="128"/>
    <xf numFmtId="167" fontId="3" fillId="0" borderId="0" xfId="29" applyNumberFormat="1"/>
    <xf numFmtId="0" fontId="12" fillId="0" borderId="0" xfId="128" applyFont="1" applyAlignment="1">
      <alignment horizontal="center"/>
    </xf>
    <xf numFmtId="0" fontId="3" fillId="0" borderId="0" xfId="128" applyFont="1"/>
    <xf numFmtId="0" fontId="9" fillId="0" borderId="0" xfId="128" applyFont="1" applyAlignment="1"/>
    <xf numFmtId="167" fontId="3" fillId="0" borderId="13" xfId="128" applyNumberFormat="1" applyFont="1" applyBorder="1"/>
    <xf numFmtId="167" fontId="3" fillId="0" borderId="14" xfId="29" applyNumberFormat="1" applyFont="1" applyBorder="1"/>
    <xf numFmtId="0" fontId="9" fillId="0" borderId="0" xfId="128" applyFont="1"/>
    <xf numFmtId="0" fontId="9" fillId="0" borderId="0" xfId="128" applyFont="1" applyAlignment="1">
      <alignment horizontal="center"/>
    </xf>
    <xf numFmtId="167" fontId="3" fillId="0" borderId="0" xfId="128" applyNumberFormat="1" applyFont="1" applyBorder="1"/>
    <xf numFmtId="167" fontId="3" fillId="0" borderId="0" xfId="29" applyNumberFormat="1" applyFont="1" applyBorder="1"/>
    <xf numFmtId="0" fontId="9" fillId="0" borderId="0" xfId="128" applyFont="1" applyBorder="1" applyAlignment="1">
      <alignment horizontal="left"/>
    </xf>
    <xf numFmtId="167" fontId="3" fillId="0" borderId="0" xfId="29" applyNumberFormat="1" applyFont="1"/>
    <xf numFmtId="0" fontId="12" fillId="0" borderId="11" xfId="128" applyFont="1" applyBorder="1" applyAlignment="1">
      <alignment horizontal="right"/>
    </xf>
    <xf numFmtId="0" fontId="3" fillId="0" borderId="11" xfId="128" applyFont="1" applyBorder="1" applyAlignment="1">
      <alignment horizontal="left"/>
    </xf>
    <xf numFmtId="0" fontId="3" fillId="0" borderId="11" xfId="128" applyFont="1" applyFill="1" applyBorder="1" applyAlignment="1"/>
    <xf numFmtId="0" fontId="12" fillId="0" borderId="0" xfId="128" applyFont="1" applyAlignment="1">
      <alignment horizontal="right"/>
    </xf>
    <xf numFmtId="0" fontId="3" fillId="0" borderId="11" xfId="128" applyFont="1" applyBorder="1" applyAlignment="1"/>
    <xf numFmtId="167" fontId="3" fillId="0" borderId="11" xfId="29" applyNumberFormat="1" applyFont="1" applyBorder="1" applyAlignment="1">
      <alignment horizontal="center"/>
    </xf>
    <xf numFmtId="167" fontId="9" fillId="0" borderId="0" xfId="29" applyNumberFormat="1" applyFont="1"/>
    <xf numFmtId="172" fontId="9" fillId="0" borderId="0" xfId="29" applyNumberFormat="1" applyFont="1" applyFill="1" applyAlignment="1">
      <alignment horizontal="center"/>
    </xf>
    <xf numFmtId="0" fontId="3" fillId="0" borderId="144" xfId="128" applyFont="1" applyBorder="1" applyAlignment="1">
      <alignment horizontal="left" indent="1"/>
    </xf>
    <xf numFmtId="0" fontId="12" fillId="0" borderId="144" xfId="128" applyFont="1" applyBorder="1"/>
    <xf numFmtId="39" fontId="3" fillId="0" borderId="0" xfId="29" applyNumberFormat="1" applyFont="1" applyFill="1"/>
    <xf numFmtId="0" fontId="3" fillId="0" borderId="145" xfId="0" applyFont="1" applyFill="1" applyBorder="1" applyAlignment="1">
      <alignment horizontal="left" indent="1"/>
    </xf>
    <xf numFmtId="0" fontId="12" fillId="0" borderId="145" xfId="0" applyFont="1" applyFill="1" applyBorder="1"/>
    <xf numFmtId="39" fontId="1" fillId="0" borderId="0" xfId="29" applyNumberFormat="1" applyFont="1" applyFill="1"/>
    <xf numFmtId="0" fontId="3" fillId="0" borderId="145" xfId="128" applyFont="1" applyFill="1" applyBorder="1" applyAlignment="1">
      <alignment horizontal="left" indent="1"/>
    </xf>
    <xf numFmtId="0" fontId="12" fillId="0" borderId="145" xfId="128" applyFont="1" applyFill="1" applyBorder="1"/>
    <xf numFmtId="0" fontId="3" fillId="0" borderId="0" xfId="128" applyFont="1" applyFill="1" applyAlignment="1">
      <alignment horizontal="left" indent="1"/>
    </xf>
    <xf numFmtId="0" fontId="3" fillId="0" borderId="146" xfId="128" applyFont="1" applyBorder="1" applyAlignment="1">
      <alignment horizontal="left" indent="1"/>
    </xf>
    <xf numFmtId="0" fontId="12" fillId="0" borderId="146" xfId="128" applyFont="1" applyBorder="1"/>
    <xf numFmtId="0" fontId="12" fillId="0" borderId="147" xfId="128" applyFont="1" applyBorder="1"/>
    <xf numFmtId="167" fontId="3" fillId="0" borderId="0" xfId="29" quotePrefix="1" applyNumberFormat="1" applyFont="1"/>
    <xf numFmtId="0" fontId="0" fillId="0" borderId="0" xfId="0" applyBorder="1" applyAlignment="1">
      <alignment wrapText="1"/>
    </xf>
    <xf numFmtId="0" fontId="0" fillId="0" borderId="0" xfId="0" applyAlignment="1">
      <alignment wrapText="1"/>
    </xf>
    <xf numFmtId="167" fontId="3" fillId="0" borderId="0" xfId="29" applyNumberFormat="1" applyFont="1" applyFill="1"/>
    <xf numFmtId="0" fontId="3" fillId="0" borderId="145" xfId="128" applyFill="1" applyBorder="1"/>
    <xf numFmtId="39" fontId="3" fillId="0" borderId="0" xfId="128" applyNumberFormat="1" applyFill="1"/>
    <xf numFmtId="167" fontId="3" fillId="0" borderId="0" xfId="29" applyNumberFormat="1" applyFill="1"/>
    <xf numFmtId="0" fontId="3" fillId="0" borderId="147" xfId="128" applyFont="1" applyFill="1" applyBorder="1" applyAlignment="1">
      <alignment horizontal="left" indent="1"/>
    </xf>
    <xf numFmtId="0" fontId="3" fillId="0" borderId="147" xfId="128" applyFill="1" applyBorder="1"/>
    <xf numFmtId="0" fontId="3" fillId="0" borderId="147" xfId="128" applyFill="1" applyBorder="1" applyAlignment="1">
      <alignment horizontal="right"/>
    </xf>
    <xf numFmtId="0" fontId="3" fillId="0" borderId="147" xfId="128" applyFont="1" applyFill="1" applyBorder="1"/>
    <xf numFmtId="0" fontId="3" fillId="0" borderId="0" xfId="128" applyAlignment="1">
      <alignment horizontal="right"/>
    </xf>
    <xf numFmtId="43" fontId="3" fillId="0" borderId="12" xfId="128" applyNumberFormat="1" applyFont="1" applyBorder="1"/>
    <xf numFmtId="43" fontId="3" fillId="0" borderId="12" xfId="29" applyNumberFormat="1" applyFont="1" applyBorder="1"/>
    <xf numFmtId="0" fontId="3" fillId="0" borderId="0" xfId="128" applyAlignment="1" applyProtection="1">
      <alignment horizontal="right"/>
    </xf>
    <xf numFmtId="0" fontId="3" fillId="0" borderId="0" xfId="128" applyFont="1" applyProtection="1"/>
    <xf numFmtId="0" fontId="3" fillId="0" borderId="0" xfId="128" applyProtection="1"/>
    <xf numFmtId="167" fontId="3" fillId="0" borderId="0" xfId="128" applyNumberFormat="1" applyFont="1" applyProtection="1">
      <protection locked="0"/>
    </xf>
    <xf numFmtId="167" fontId="3" fillId="0" borderId="0" xfId="29" applyNumberFormat="1" applyFont="1" applyProtection="1">
      <protection locked="0"/>
    </xf>
    <xf numFmtId="0" fontId="12" fillId="31" borderId="0" xfId="128" applyFont="1" applyFill="1" applyAlignment="1" applyProtection="1">
      <alignment horizontal="right"/>
      <protection locked="0"/>
    </xf>
    <xf numFmtId="39" fontId="3" fillId="31" borderId="0" xfId="29" applyNumberFormat="1" applyFill="1" applyProtection="1">
      <protection locked="0"/>
    </xf>
    <xf numFmtId="0" fontId="12" fillId="0" borderId="0" xfId="128" applyFont="1" applyFill="1" applyBorder="1"/>
    <xf numFmtId="0" fontId="12" fillId="0" borderId="16" xfId="128" applyFont="1" applyFill="1" applyBorder="1"/>
    <xf numFmtId="167" fontId="3" fillId="31" borderId="0" xfId="29" applyNumberFormat="1" applyFill="1" applyProtection="1">
      <protection locked="0"/>
    </xf>
    <xf numFmtId="0" fontId="157" fillId="0" borderId="0" xfId="128" applyFont="1" applyFill="1" applyBorder="1" applyAlignment="1"/>
    <xf numFmtId="0" fontId="157" fillId="0" borderId="16" xfId="128" applyFont="1" applyFill="1" applyBorder="1" applyAlignment="1"/>
    <xf numFmtId="0" fontId="12" fillId="0" borderId="0" xfId="128" applyFont="1" applyFill="1" applyBorder="1" applyAlignment="1"/>
    <xf numFmtId="0" fontId="12" fillId="0" borderId="16" xfId="128" applyFont="1" applyFill="1" applyBorder="1" applyAlignment="1"/>
    <xf numFmtId="0" fontId="3" fillId="0" borderId="0" xfId="128" applyFont="1" applyFill="1"/>
    <xf numFmtId="0" fontId="3" fillId="0" borderId="16" xfId="128" applyFont="1" applyFill="1" applyBorder="1"/>
    <xf numFmtId="0" fontId="3" fillId="0" borderId="0" xfId="128" applyFont="1" applyFill="1" applyBorder="1"/>
    <xf numFmtId="0" fontId="3" fillId="0" borderId="16" xfId="128" applyFont="1" applyFill="1" applyBorder="1" applyAlignment="1"/>
    <xf numFmtId="167" fontId="3" fillId="0" borderId="0" xfId="128" applyNumberFormat="1" applyFont="1"/>
    <xf numFmtId="167" fontId="3" fillId="0" borderId="16" xfId="29" applyNumberFormat="1" applyFont="1" applyBorder="1"/>
    <xf numFmtId="0" fontId="3" fillId="31" borderId="0" xfId="128" applyFill="1" applyProtection="1">
      <protection locked="0"/>
    </xf>
    <xf numFmtId="0" fontId="12" fillId="0" borderId="11" xfId="128" applyFont="1" applyFill="1" applyBorder="1"/>
    <xf numFmtId="0" fontId="12" fillId="0" borderId="14" xfId="128" applyFont="1" applyFill="1" applyBorder="1"/>
    <xf numFmtId="0" fontId="12" fillId="0" borderId="145" xfId="0" applyFont="1" applyFill="1" applyBorder="1" applyAlignment="1">
      <alignment horizontal="right"/>
    </xf>
    <xf numFmtId="0" fontId="12" fillId="0" borderId="146" xfId="128" applyFont="1" applyFill="1" applyBorder="1" applyAlignment="1">
      <alignment horizontal="right"/>
    </xf>
    <xf numFmtId="0" fontId="12" fillId="0" borderId="147" xfId="128" applyFont="1" applyFill="1" applyBorder="1" applyAlignment="1">
      <alignment horizontal="right"/>
    </xf>
    <xf numFmtId="0" fontId="67" fillId="0" borderId="17" xfId="61" applyNumberFormat="1" applyFont="1" applyFill="1" applyBorder="1" applyAlignment="1" applyProtection="1">
      <alignment wrapText="1"/>
    </xf>
    <xf numFmtId="0" fontId="77" fillId="0" borderId="0" xfId="0" applyFont="1" applyProtection="1"/>
    <xf numFmtId="0" fontId="3" fillId="0" borderId="0" xfId="128" applyAlignment="1"/>
    <xf numFmtId="15" fontId="104" fillId="0" borderId="0" xfId="102" applyNumberFormat="1" applyFont="1" applyAlignment="1">
      <alignment horizontal="center" wrapText="1"/>
    </xf>
    <xf numFmtId="0" fontId="5" fillId="0" borderId="0" xfId="102" applyFont="1"/>
    <xf numFmtId="0" fontId="38" fillId="0" borderId="0" xfId="0" applyFont="1" applyAlignment="1" applyProtection="1">
      <alignment horizontal="right" vertical="center"/>
    </xf>
    <xf numFmtId="0" fontId="59" fillId="40" borderId="0" xfId="0" applyFont="1" applyFill="1" applyBorder="1" applyAlignment="1" applyProtection="1">
      <alignment horizontal="left"/>
    </xf>
    <xf numFmtId="0" fontId="88" fillId="40" borderId="0" xfId="0" applyFont="1" applyFill="1" applyBorder="1" applyAlignment="1" applyProtection="1">
      <alignment horizontal="left"/>
    </xf>
    <xf numFmtId="0" fontId="5" fillId="0" borderId="0" xfId="65" applyFont="1"/>
    <xf numFmtId="0" fontId="3" fillId="0" borderId="0" xfId="65"/>
    <xf numFmtId="0" fontId="104" fillId="0" borderId="0" xfId="65" applyFont="1" applyAlignment="1">
      <alignment horizontal="left"/>
    </xf>
    <xf numFmtId="0" fontId="100" fillId="0" borderId="0" xfId="65" quotePrefix="1" applyFont="1" applyAlignment="1">
      <alignment horizontal="left"/>
    </xf>
    <xf numFmtId="0" fontId="100" fillId="0" borderId="0" xfId="65" applyFont="1"/>
    <xf numFmtId="0" fontId="100" fillId="0" borderId="0" xfId="65" applyFont="1" applyBorder="1"/>
    <xf numFmtId="0" fontId="100" fillId="0" borderId="0" xfId="65" applyFont="1" applyFill="1" applyBorder="1" applyAlignment="1">
      <alignment horizontal="left"/>
    </xf>
    <xf numFmtId="0" fontId="3" fillId="0" borderId="0" xfId="65" applyBorder="1" applyAlignment="1"/>
    <xf numFmtId="0" fontId="100" fillId="0" borderId="0" xfId="65" applyFont="1" applyFill="1" applyBorder="1"/>
    <xf numFmtId="49" fontId="100" fillId="0" borderId="0" xfId="65" applyNumberFormat="1" applyFont="1" applyFill="1" applyBorder="1" applyAlignment="1">
      <alignment horizontal="center"/>
    </xf>
    <xf numFmtId="0" fontId="5" fillId="0" borderId="0" xfId="65" applyFont="1" applyFill="1" applyBorder="1"/>
    <xf numFmtId="0" fontId="3" fillId="0" borderId="0" xfId="65" applyFill="1" applyBorder="1"/>
    <xf numFmtId="195" fontId="3" fillId="0" borderId="0" xfId="65" applyNumberFormat="1" applyBorder="1" applyAlignment="1"/>
    <xf numFmtId="0" fontId="9" fillId="0" borderId="0" xfId="65" applyFont="1"/>
    <xf numFmtId="0" fontId="145" fillId="0" borderId="0" xfId="65" quotePrefix="1" applyFont="1" applyAlignment="1">
      <alignment horizontal="left"/>
    </xf>
    <xf numFmtId="0" fontId="3" fillId="0" borderId="0" xfId="65" applyFont="1"/>
    <xf numFmtId="0" fontId="3" fillId="0" borderId="0" xfId="65" applyAlignment="1">
      <alignment vertical="center" wrapText="1"/>
    </xf>
    <xf numFmtId="0" fontId="3" fillId="0" borderId="0" xfId="65" quotePrefix="1" applyAlignment="1">
      <alignment horizontal="left"/>
    </xf>
    <xf numFmtId="0" fontId="9" fillId="0" borderId="0" xfId="65" applyFont="1" applyBorder="1"/>
    <xf numFmtId="0" fontId="3" fillId="0" borderId="0" xfId="65" quotePrefix="1" applyFont="1" applyAlignment="1">
      <alignment horizontal="left"/>
    </xf>
    <xf numFmtId="0" fontId="3" fillId="0" borderId="0" xfId="65" applyFill="1" applyBorder="1" applyAlignment="1">
      <alignment horizontal="center"/>
    </xf>
    <xf numFmtId="0" fontId="3" fillId="0" borderId="0" xfId="65" applyFill="1"/>
    <xf numFmtId="196" fontId="9" fillId="0" borderId="0" xfId="65" applyNumberFormat="1" applyFont="1"/>
    <xf numFmtId="49" fontId="9" fillId="0" borderId="0" xfId="65" applyNumberFormat="1" applyFont="1" applyAlignment="1">
      <alignment horizontal="right" vertical="top"/>
    </xf>
    <xf numFmtId="0" fontId="145" fillId="0" borderId="0" xfId="65" applyFont="1" applyFill="1" applyAlignment="1">
      <alignment vertical="top" wrapText="1"/>
    </xf>
    <xf numFmtId="197" fontId="9" fillId="0" borderId="0" xfId="65" applyNumberFormat="1" applyFont="1" applyBorder="1"/>
    <xf numFmtId="0" fontId="9" fillId="0" borderId="0" xfId="65" applyFont="1" applyAlignment="1">
      <alignment horizontal="right"/>
    </xf>
    <xf numFmtId="39" fontId="3" fillId="0" borderId="0" xfId="65" applyNumberFormat="1" applyFill="1" applyBorder="1" applyAlignment="1">
      <alignment horizontal="center"/>
    </xf>
    <xf numFmtId="0" fontId="9" fillId="0" borderId="0" xfId="65" applyFont="1" applyFill="1"/>
    <xf numFmtId="0" fontId="9" fillId="0" borderId="0" xfId="65" applyFont="1" applyFill="1" applyAlignment="1">
      <alignment horizontal="right"/>
    </xf>
    <xf numFmtId="0" fontId="3" fillId="0" borderId="0" xfId="65" applyBorder="1"/>
    <xf numFmtId="0" fontId="163" fillId="0" borderId="0" xfId="65" applyFont="1"/>
    <xf numFmtId="0" fontId="163" fillId="0" borderId="0" xfId="65" applyFont="1" applyFill="1"/>
    <xf numFmtId="40" fontId="3" fillId="0" borderId="0" xfId="65" quotePrefix="1" applyNumberFormat="1" applyAlignment="1">
      <alignment horizontal="left"/>
    </xf>
    <xf numFmtId="49" fontId="104" fillId="0" borderId="0" xfId="65" applyNumberFormat="1" applyFont="1" applyAlignment="1">
      <alignment horizontal="center"/>
    </xf>
    <xf numFmtId="0" fontId="3" fillId="0" borderId="0" xfId="65" applyFont="1" applyBorder="1"/>
    <xf numFmtId="0" fontId="104" fillId="0" borderId="0" xfId="65" applyFont="1"/>
    <xf numFmtId="0" fontId="3" fillId="0" borderId="0" xfId="65" applyFont="1" applyFill="1" applyAlignment="1"/>
    <xf numFmtId="0" fontId="3" fillId="0" borderId="0" xfId="65" applyFill="1" applyAlignment="1"/>
    <xf numFmtId="49" fontId="3" fillId="0" borderId="0" xfId="65" applyNumberFormat="1" applyFont="1" applyBorder="1"/>
    <xf numFmtId="0" fontId="3" fillId="0" borderId="0" xfId="65" quotePrefix="1" applyFill="1" applyBorder="1" applyAlignment="1">
      <alignment horizontal="left"/>
    </xf>
    <xf numFmtId="0" fontId="3" fillId="0" borderId="0" xfId="65" applyFill="1" applyBorder="1" applyAlignment="1"/>
    <xf numFmtId="0" fontId="64" fillId="0" borderId="0" xfId="65" applyFont="1"/>
    <xf numFmtId="0" fontId="104" fillId="0" borderId="0" xfId="65" quotePrefix="1" applyFont="1" applyAlignment="1">
      <alignment horizontal="left"/>
    </xf>
    <xf numFmtId="0" fontId="104" fillId="59" borderId="11" xfId="65" applyFont="1" applyFill="1" applyBorder="1" applyAlignment="1">
      <alignment horizontal="left"/>
    </xf>
    <xf numFmtId="195" fontId="104" fillId="59" borderId="11" xfId="65" applyNumberFormat="1" applyFont="1" applyFill="1" applyBorder="1" applyAlignment="1">
      <alignment horizontal="left"/>
    </xf>
    <xf numFmtId="0" fontId="164" fillId="0" borderId="0" xfId="65" applyFont="1"/>
    <xf numFmtId="0" fontId="165" fillId="0" borderId="0" xfId="65" applyFont="1" applyAlignment="1">
      <alignment horizontal="left"/>
    </xf>
    <xf numFmtId="0" fontId="5" fillId="0" borderId="0" xfId="65" quotePrefix="1" applyFont="1" applyAlignment="1">
      <alignment horizontal="right"/>
    </xf>
    <xf numFmtId="0" fontId="5" fillId="0" borderId="0" xfId="65" applyFont="1" applyAlignment="1">
      <alignment horizontal="left"/>
    </xf>
    <xf numFmtId="0" fontId="5" fillId="0" borderId="0" xfId="65" quotePrefix="1" applyFont="1" applyAlignment="1">
      <alignment horizontal="left"/>
    </xf>
    <xf numFmtId="0" fontId="5" fillId="0" borderId="0" xfId="65" applyFont="1" applyBorder="1" applyAlignment="1">
      <alignment horizontal="center"/>
    </xf>
    <xf numFmtId="0" fontId="104" fillId="0" borderId="0" xfId="65" applyFont="1" applyBorder="1" applyAlignment="1">
      <alignment horizontal="left"/>
    </xf>
    <xf numFmtId="0" fontId="5" fillId="0" borderId="0" xfId="65" applyFont="1" applyBorder="1"/>
    <xf numFmtId="49" fontId="104" fillId="0" borderId="0" xfId="65" applyNumberFormat="1" applyFont="1" applyAlignment="1">
      <alignment horizontal="left"/>
    </xf>
    <xf numFmtId="0" fontId="3" fillId="0" borderId="0" xfId="65" applyAlignment="1">
      <alignment horizontal="center"/>
    </xf>
    <xf numFmtId="0" fontId="3" fillId="0" borderId="0" xfId="65" quotePrefix="1" applyAlignment="1">
      <alignment horizontal="center"/>
    </xf>
    <xf numFmtId="0" fontId="3" fillId="0" borderId="0" xfId="65" applyAlignment="1">
      <alignment horizontal="centerContinuous"/>
    </xf>
    <xf numFmtId="0" fontId="167" fillId="0" borderId="0" xfId="65" applyFont="1"/>
    <xf numFmtId="0" fontId="100" fillId="0" borderId="0" xfId="65" applyFont="1" applyAlignment="1"/>
    <xf numFmtId="0" fontId="160" fillId="0" borderId="0" xfId="65" applyFont="1"/>
    <xf numFmtId="0" fontId="3" fillId="0" borderId="0" xfId="65" applyBorder="1" applyAlignment="1">
      <alignment horizontal="center"/>
    </xf>
    <xf numFmtId="0" fontId="3" fillId="0" borderId="0" xfId="65" applyBorder="1" applyAlignment="1">
      <alignment horizontal="centerContinuous"/>
    </xf>
    <xf numFmtId="0" fontId="100" fillId="0" borderId="11" xfId="65" applyFont="1" applyBorder="1" applyAlignment="1">
      <alignment horizontal="center"/>
    </xf>
    <xf numFmtId="49" fontId="160" fillId="0" borderId="0" xfId="65" applyNumberFormat="1" applyFont="1" applyBorder="1"/>
    <xf numFmtId="40" fontId="168" fillId="0" borderId="0" xfId="65" applyNumberFormat="1" applyFont="1"/>
    <xf numFmtId="40" fontId="160" fillId="59" borderId="11" xfId="65" applyNumberFormat="1" applyFont="1" applyFill="1" applyBorder="1"/>
    <xf numFmtId="40" fontId="160" fillId="0" borderId="0" xfId="65" quotePrefix="1" applyNumberFormat="1" applyFont="1" applyAlignment="1">
      <alignment horizontal="center"/>
    </xf>
    <xf numFmtId="40" fontId="160" fillId="0" borderId="0" xfId="65" quotePrefix="1" applyNumberFormat="1" applyFont="1" applyBorder="1" applyAlignment="1">
      <alignment horizontal="left"/>
    </xf>
    <xf numFmtId="49" fontId="160" fillId="0" borderId="0" xfId="65" applyNumberFormat="1" applyFont="1"/>
    <xf numFmtId="40" fontId="160" fillId="0" borderId="0" xfId="65" applyNumberFormat="1" applyFont="1"/>
    <xf numFmtId="0" fontId="19" fillId="0" borderId="0" xfId="65" applyFont="1" applyFill="1" applyBorder="1"/>
    <xf numFmtId="0" fontId="19" fillId="0" borderId="0" xfId="65" applyFont="1" applyBorder="1"/>
    <xf numFmtId="0" fontId="3" fillId="0" borderId="0" xfId="65" applyFont="1" applyFill="1"/>
    <xf numFmtId="0" fontId="11" fillId="0" borderId="0" xfId="65" applyFont="1" applyBorder="1"/>
    <xf numFmtId="176" fontId="0" fillId="0" borderId="0" xfId="123" applyNumberFormat="1" applyFont="1" applyProtection="1"/>
    <xf numFmtId="194" fontId="0" fillId="0" borderId="0" xfId="126" applyNumberFormat="1" applyFont="1" applyProtection="1"/>
    <xf numFmtId="49" fontId="104" fillId="0" borderId="0" xfId="65" applyNumberFormat="1" applyFont="1" applyBorder="1" applyAlignment="1">
      <alignment horizontal="left"/>
    </xf>
    <xf numFmtId="0" fontId="104" fillId="0" borderId="0" xfId="65" applyFont="1" applyBorder="1"/>
    <xf numFmtId="15" fontId="104" fillId="0" borderId="0" xfId="65" applyNumberFormat="1" applyFont="1" applyFill="1" applyBorder="1"/>
    <xf numFmtId="0" fontId="104" fillId="0" borderId="0" xfId="65" applyFont="1" applyFill="1" applyBorder="1"/>
    <xf numFmtId="195" fontId="5" fillId="0" borderId="0" xfId="65" applyNumberFormat="1" applyFont="1" applyFill="1" applyBorder="1" applyAlignment="1">
      <alignment horizontal="center"/>
    </xf>
    <xf numFmtId="49" fontId="5" fillId="0" borderId="0" xfId="65" applyNumberFormat="1" applyFont="1" applyFill="1" applyBorder="1"/>
    <xf numFmtId="49" fontId="104" fillId="0" borderId="0" xfId="65" applyNumberFormat="1" applyFont="1" applyFill="1" applyBorder="1"/>
    <xf numFmtId="39" fontId="3" fillId="0" borderId="0" xfId="65" applyNumberFormat="1" applyFont="1" applyFill="1" applyBorder="1" applyAlignment="1">
      <alignment horizontal="left"/>
    </xf>
    <xf numFmtId="39" fontId="3" fillId="0" borderId="0" xfId="65" applyNumberFormat="1" applyFont="1" applyFill="1" applyBorder="1" applyAlignment="1"/>
    <xf numFmtId="39" fontId="3" fillId="0" borderId="0" xfId="65" applyNumberFormat="1" applyFont="1" applyBorder="1" applyAlignment="1">
      <alignment horizontal="center"/>
    </xf>
    <xf numFmtId="49" fontId="19" fillId="0" borderId="0" xfId="65" applyNumberFormat="1" applyFont="1" applyBorder="1" applyAlignment="1">
      <alignment horizontal="left"/>
    </xf>
    <xf numFmtId="49" fontId="19" fillId="0" borderId="0" xfId="65" applyNumberFormat="1" applyFont="1" applyBorder="1" applyAlignment="1">
      <alignment horizontal="right"/>
    </xf>
    <xf numFmtId="0" fontId="9" fillId="0" borderId="0" xfId="65" applyFont="1" applyBorder="1" applyAlignment="1"/>
    <xf numFmtId="0" fontId="9" fillId="0" borderId="0" xfId="65" quotePrefix="1" applyFont="1" applyBorder="1"/>
    <xf numFmtId="0" fontId="9" fillId="0" borderId="11" xfId="65" applyFont="1" applyBorder="1"/>
    <xf numFmtId="0" fontId="9" fillId="0" borderId="0" xfId="65" applyFont="1" applyFill="1" applyBorder="1" applyAlignment="1"/>
    <xf numFmtId="49" fontId="3" fillId="0" borderId="0" xfId="65" applyNumberFormat="1" applyFont="1" applyFill="1"/>
    <xf numFmtId="0" fontId="3" fillId="0" borderId="0" xfId="65" applyNumberFormat="1" applyFont="1" applyBorder="1" applyAlignment="1"/>
    <xf numFmtId="0" fontId="3" fillId="0" borderId="0" xfId="65" applyFont="1" applyBorder="1" applyAlignment="1">
      <alignment horizontal="right"/>
    </xf>
    <xf numFmtId="0" fontId="19" fillId="0" borderId="0" xfId="65" applyFont="1" applyBorder="1" applyAlignment="1">
      <alignment horizontal="right"/>
    </xf>
    <xf numFmtId="49" fontId="3" fillId="0" borderId="0" xfId="65" applyNumberFormat="1" applyFont="1" applyBorder="1" applyAlignment="1">
      <alignment horizontal="left"/>
    </xf>
    <xf numFmtId="0" fontId="3" fillId="0" borderId="0" xfId="65" applyFont="1" applyFill="1" applyBorder="1" applyAlignment="1"/>
    <xf numFmtId="49" fontId="9" fillId="0" borderId="0" xfId="65" applyNumberFormat="1" applyFont="1" applyAlignment="1">
      <alignment horizontal="right"/>
    </xf>
    <xf numFmtId="0" fontId="9" fillId="0" borderId="0" xfId="65" applyFont="1" applyAlignment="1"/>
    <xf numFmtId="0" fontId="3" fillId="0" borderId="0" xfId="65" applyFont="1" applyAlignment="1">
      <alignment horizontal="right"/>
    </xf>
    <xf numFmtId="0" fontId="3" fillId="0" borderId="0" xfId="65" applyNumberFormat="1" applyFont="1" applyBorder="1" applyAlignment="1">
      <alignment horizontal="center" vertical="center"/>
    </xf>
    <xf numFmtId="0" fontId="3" fillId="0" borderId="0" xfId="65" applyNumberFormat="1" applyFont="1" applyFill="1" applyBorder="1" applyAlignment="1">
      <alignment horizontal="center" vertical="center"/>
    </xf>
    <xf numFmtId="0" fontId="9" fillId="0" borderId="0" xfId="65" applyFont="1" applyBorder="1" applyAlignment="1">
      <alignment horizontal="right"/>
    </xf>
    <xf numFmtId="0" fontId="9" fillId="0" borderId="0" xfId="65" applyFont="1" applyAlignment="1">
      <alignment horizontal="left"/>
    </xf>
    <xf numFmtId="49" fontId="3" fillId="0" borderId="0" xfId="65" applyNumberFormat="1" applyFont="1"/>
    <xf numFmtId="0" fontId="3" fillId="0" borderId="0" xfId="65" applyAlignment="1">
      <alignment horizontal="right"/>
    </xf>
    <xf numFmtId="15" fontId="170" fillId="0" borderId="0" xfId="65" applyNumberFormat="1" applyFont="1" applyFill="1" applyAlignment="1">
      <alignment horizontal="center"/>
    </xf>
    <xf numFmtId="15" fontId="165" fillId="0" borderId="0" xfId="65" applyNumberFormat="1" applyFont="1"/>
    <xf numFmtId="0" fontId="5" fillId="0" borderId="0" xfId="134" applyFont="1"/>
    <xf numFmtId="0" fontId="104" fillId="0" borderId="0" xfId="134" applyFont="1" applyAlignment="1">
      <alignment horizontal="left"/>
    </xf>
    <xf numFmtId="49" fontId="104" fillId="0" borderId="0" xfId="134" applyNumberFormat="1" applyFont="1" applyAlignment="1">
      <alignment horizontal="center"/>
    </xf>
    <xf numFmtId="15" fontId="5" fillId="0" borderId="0" xfId="134" applyNumberFormat="1" applyFont="1"/>
    <xf numFmtId="0" fontId="100" fillId="0" borderId="0" xfId="134" applyFont="1"/>
    <xf numFmtId="0" fontId="5" fillId="0" borderId="0" xfId="134" applyFont="1" applyBorder="1"/>
    <xf numFmtId="0" fontId="100" fillId="0" borderId="0" xfId="134" applyFont="1" applyFill="1"/>
    <xf numFmtId="0" fontId="5" fillId="0" borderId="0" xfId="134" applyFont="1" applyFill="1"/>
    <xf numFmtId="0" fontId="5" fillId="0" borderId="0" xfId="134" applyFont="1" applyFill="1" applyBorder="1"/>
    <xf numFmtId="0" fontId="5" fillId="0" borderId="0" xfId="134" applyFont="1" applyFill="1" applyBorder="1" applyAlignment="1">
      <alignment horizontal="left"/>
    </xf>
    <xf numFmtId="0" fontId="20" fillId="0" borderId="0" xfId="134" applyFill="1" applyBorder="1" applyAlignment="1"/>
    <xf numFmtId="0" fontId="3" fillId="0" borderId="0" xfId="134" quotePrefix="1" applyFont="1" applyAlignment="1">
      <alignment horizontal="right"/>
    </xf>
    <xf numFmtId="49" fontId="3" fillId="0" borderId="0" xfId="134" applyNumberFormat="1" applyFont="1" applyAlignment="1">
      <alignment horizontal="right"/>
    </xf>
    <xf numFmtId="0" fontId="20" fillId="0" borderId="0" xfId="134" applyAlignment="1">
      <alignment vertical="center" wrapText="1"/>
    </xf>
    <xf numFmtId="49" fontId="3" fillId="0" borderId="0" xfId="134" applyNumberFormat="1" applyFont="1"/>
    <xf numFmtId="0" fontId="3" fillId="0" borderId="0" xfId="134" applyFont="1"/>
    <xf numFmtId="0" fontId="9" fillId="0" borderId="0" xfId="134" applyFont="1" applyBorder="1"/>
    <xf numFmtId="0" fontId="3" fillId="0" borderId="0" xfId="134" applyFont="1" applyBorder="1"/>
    <xf numFmtId="0" fontId="3" fillId="0" borderId="0" xfId="134" applyFont="1" applyBorder="1" applyAlignment="1">
      <alignment horizontal="left"/>
    </xf>
    <xf numFmtId="49" fontId="3" fillId="0" borderId="0" xfId="134" applyNumberFormat="1" applyFont="1" applyBorder="1" applyAlignment="1">
      <alignment horizontal="left"/>
    </xf>
    <xf numFmtId="49" fontId="3" fillId="0" borderId="0" xfId="134" applyNumberFormat="1" applyFont="1" applyBorder="1"/>
    <xf numFmtId="0" fontId="3" fillId="0" borderId="0" xfId="134" quotePrefix="1" applyFont="1" applyAlignment="1">
      <alignment horizontal="right" vertical="top"/>
    </xf>
    <xf numFmtId="49" fontId="5" fillId="0" borderId="0" xfId="134" applyNumberFormat="1" applyFont="1" applyBorder="1"/>
    <xf numFmtId="0" fontId="3" fillId="0" borderId="0" xfId="134" applyFont="1" applyFill="1" applyBorder="1"/>
    <xf numFmtId="49" fontId="9" fillId="0" borderId="0" xfId="134" applyNumberFormat="1" applyFont="1" applyFill="1" applyBorder="1"/>
    <xf numFmtId="39" fontId="3" fillId="0" borderId="0" xfId="134" applyNumberFormat="1" applyFont="1" applyFill="1" applyBorder="1" applyAlignment="1">
      <alignment horizontal="center"/>
    </xf>
    <xf numFmtId="174" fontId="3" fillId="31" borderId="0" xfId="47" applyNumberFormat="1" applyFont="1" applyFill="1"/>
    <xf numFmtId="174" fontId="3" fillId="31" borderId="11" xfId="47" applyNumberFormat="1" applyFont="1" applyFill="1" applyBorder="1"/>
    <xf numFmtId="41" fontId="3" fillId="31" borderId="0" xfId="47" applyNumberFormat="1" applyFont="1" applyFill="1" applyBorder="1"/>
    <xf numFmtId="40" fontId="160" fillId="0" borderId="0" xfId="65" applyNumberFormat="1" applyFont="1" applyFill="1"/>
    <xf numFmtId="0" fontId="64" fillId="40" borderId="0" xfId="0" applyFont="1" applyFill="1" applyProtection="1"/>
    <xf numFmtId="0" fontId="64" fillId="40" borderId="0" xfId="0" applyFont="1" applyFill="1" applyBorder="1" applyProtection="1"/>
    <xf numFmtId="0" fontId="64" fillId="40" borderId="0" xfId="0" applyFont="1" applyFill="1" applyBorder="1"/>
    <xf numFmtId="40" fontId="160" fillId="64" borderId="11" xfId="65" applyNumberFormat="1" applyFont="1" applyFill="1" applyBorder="1"/>
    <xf numFmtId="39" fontId="174" fillId="0" borderId="0" xfId="136" applyNumberFormat="1" applyAlignment="1" applyProtection="1"/>
    <xf numFmtId="167" fontId="2" fillId="40" borderId="12" xfId="123" applyNumberFormat="1" applyFont="1" applyFill="1" applyBorder="1" applyAlignment="1" applyProtection="1"/>
    <xf numFmtId="0" fontId="3" fillId="29" borderId="11" xfId="128" applyFont="1" applyFill="1" applyBorder="1" applyAlignment="1">
      <alignment horizontal="left"/>
    </xf>
    <xf numFmtId="0" fontId="12" fillId="29" borderId="145" xfId="128" quotePrefix="1" applyFont="1" applyFill="1" applyBorder="1" applyAlignment="1">
      <alignment horizontal="right"/>
    </xf>
    <xf numFmtId="0" fontId="12" fillId="29" borderId="145" xfId="128" applyFont="1" applyFill="1" applyBorder="1" applyAlignment="1">
      <alignment horizontal="right"/>
    </xf>
    <xf numFmtId="0" fontId="12" fillId="29" borderId="145" xfId="128" applyFont="1" applyFill="1" applyBorder="1"/>
    <xf numFmtId="49" fontId="3" fillId="40" borderId="0" xfId="0" quotePrefix="1" applyNumberFormat="1" applyFont="1" applyFill="1"/>
    <xf numFmtId="167" fontId="11" fillId="65" borderId="0" xfId="123" applyNumberFormat="1" applyFont="1" applyFill="1" applyBorder="1" applyProtection="1"/>
    <xf numFmtId="184" fontId="3" fillId="0" borderId="0" xfId="47" applyNumberFormat="1" applyFont="1" applyFill="1" applyProtection="1"/>
    <xf numFmtId="187" fontId="3" fillId="0" borderId="0" xfId="47" applyNumberFormat="1" applyFont="1" applyFill="1" applyBorder="1" applyProtection="1"/>
    <xf numFmtId="41" fontId="3" fillId="0" borderId="0" xfId="47" applyNumberFormat="1" applyFont="1" applyFill="1" applyBorder="1" applyProtection="1"/>
    <xf numFmtId="0" fontId="78" fillId="0" borderId="0" xfId="0" applyFont="1" applyFill="1" applyProtection="1"/>
    <xf numFmtId="167" fontId="42" fillId="0" borderId="0" xfId="123" applyNumberFormat="1" applyFont="1" applyFill="1" applyProtection="1"/>
    <xf numFmtId="0" fontId="0" fillId="0" borderId="0" xfId="0" applyFill="1" applyProtection="1"/>
    <xf numFmtId="167" fontId="0" fillId="0" borderId="0" xfId="123" applyNumberFormat="1" applyFont="1" applyFill="1" applyProtection="1"/>
    <xf numFmtId="43" fontId="56" fillId="0" borderId="0" xfId="123" applyFont="1" applyFill="1"/>
    <xf numFmtId="0" fontId="107" fillId="40" borderId="0" xfId="0" applyFont="1" applyFill="1" applyAlignment="1" applyProtection="1">
      <alignment horizontal="left"/>
    </xf>
    <xf numFmtId="0" fontId="103" fillId="40" borderId="0" xfId="0" applyFont="1" applyFill="1" applyProtection="1"/>
    <xf numFmtId="0" fontId="103" fillId="0" borderId="0" xfId="0" applyFont="1" applyProtection="1"/>
    <xf numFmtId="0" fontId="77" fillId="40" borderId="0" xfId="0" applyFont="1" applyFill="1" applyAlignment="1" applyProtection="1">
      <alignment horizontal="left"/>
    </xf>
    <xf numFmtId="0" fontId="77" fillId="40" borderId="0" xfId="0" applyFont="1" applyFill="1" applyProtection="1"/>
    <xf numFmtId="0" fontId="176" fillId="40" borderId="0" xfId="61" applyNumberFormat="1" applyFont="1" applyFill="1" applyBorder="1" applyAlignment="1" applyProtection="1">
      <alignment horizontal="right"/>
    </xf>
    <xf numFmtId="49" fontId="94" fillId="31" borderId="0" xfId="0" applyNumberFormat="1" applyFont="1" applyFill="1" applyAlignment="1" applyProtection="1">
      <alignment horizontal="left"/>
      <protection locked="0"/>
    </xf>
    <xf numFmtId="0" fontId="103" fillId="40" borderId="0" xfId="0" applyFont="1" applyFill="1" applyAlignment="1" applyProtection="1">
      <alignment horizontal="left"/>
    </xf>
    <xf numFmtId="0" fontId="94" fillId="40" borderId="0" xfId="0" applyFont="1" applyFill="1" applyProtection="1"/>
    <xf numFmtId="0" fontId="94" fillId="0" borderId="0" xfId="0" applyFont="1" applyProtection="1"/>
    <xf numFmtId="43" fontId="9" fillId="0" borderId="0" xfId="123" applyFont="1" applyFill="1" applyBorder="1" applyAlignment="1">
      <alignment horizontal="center"/>
    </xf>
    <xf numFmtId="167" fontId="9" fillId="0" borderId="0" xfId="123" applyNumberFormat="1" applyFont="1"/>
    <xf numFmtId="0" fontId="57" fillId="0" borderId="0" xfId="0" applyFont="1"/>
    <xf numFmtId="43" fontId="9" fillId="0" borderId="0" xfId="123" applyFont="1" applyFill="1"/>
    <xf numFmtId="0" fontId="0" fillId="0" borderId="0" xfId="0"/>
    <xf numFmtId="0" fontId="0" fillId="0" borderId="0" xfId="0" applyFill="1"/>
    <xf numFmtId="167" fontId="191" fillId="0" borderId="0" xfId="123" applyNumberFormat="1" applyFont="1" applyFill="1" applyBorder="1"/>
    <xf numFmtId="167" fontId="40" fillId="0" borderId="0" xfId="123" applyNumberFormat="1" applyFont="1" applyFill="1" applyBorder="1" applyAlignment="1"/>
    <xf numFmtId="43" fontId="191" fillId="0" borderId="0" xfId="123" applyFont="1" applyFill="1" applyBorder="1"/>
    <xf numFmtId="43" fontId="191" fillId="0" borderId="0" xfId="123" applyFont="1" applyFill="1" applyBorder="1" applyAlignment="1">
      <alignment horizontal="center"/>
    </xf>
    <xf numFmtId="43" fontId="196" fillId="0" borderId="0" xfId="123" applyFont="1" applyFill="1" applyBorder="1" applyAlignment="1">
      <alignment horizontal="center"/>
    </xf>
    <xf numFmtId="43" fontId="196" fillId="0" borderId="0" xfId="123" applyFont="1" applyFill="1" applyBorder="1" applyAlignment="1"/>
    <xf numFmtId="0" fontId="195" fillId="102" borderId="0" xfId="0" applyFont="1" applyFill="1" applyAlignment="1">
      <alignment horizontal="center" wrapText="1"/>
    </xf>
    <xf numFmtId="43" fontId="37" fillId="102" borderId="0" xfId="0" applyNumberFormat="1" applyFont="1" applyFill="1"/>
    <xf numFmtId="0" fontId="195" fillId="0" borderId="0" xfId="0" applyFont="1" applyFill="1" applyAlignment="1">
      <alignment horizontal="center" wrapText="1"/>
    </xf>
    <xf numFmtId="43" fontId="195" fillId="0" borderId="0" xfId="123" applyFont="1" applyFill="1" applyBorder="1" applyAlignment="1">
      <alignment horizontal="center" wrapText="1"/>
    </xf>
    <xf numFmtId="0" fontId="189" fillId="0" borderId="0" xfId="0" applyFont="1" applyFill="1"/>
    <xf numFmtId="43" fontId="197" fillId="0" borderId="0" xfId="123" applyFont="1" applyFill="1" applyBorder="1" applyAlignment="1">
      <alignment horizontal="center" wrapText="1"/>
    </xf>
    <xf numFmtId="43" fontId="198" fillId="29" borderId="0" xfId="123" applyFont="1" applyFill="1" applyBorder="1" applyAlignment="1">
      <alignment horizontal="center" wrapText="1"/>
    </xf>
    <xf numFmtId="43" fontId="198" fillId="29" borderId="0" xfId="123" applyFont="1" applyFill="1" applyBorder="1"/>
    <xf numFmtId="43" fontId="195" fillId="67" borderId="0" xfId="123" applyFont="1" applyFill="1" applyBorder="1" applyAlignment="1">
      <alignment horizontal="center" wrapText="1"/>
    </xf>
    <xf numFmtId="43" fontId="37" fillId="67" borderId="0" xfId="0" applyNumberFormat="1" applyFont="1" applyFill="1"/>
    <xf numFmtId="0" fontId="37" fillId="102" borderId="0" xfId="0" applyFont="1" applyFill="1" applyAlignment="1">
      <alignment horizontal="center" wrapText="1"/>
    </xf>
    <xf numFmtId="43" fontId="200" fillId="102" borderId="0" xfId="123" applyFont="1" applyFill="1" applyBorder="1"/>
    <xf numFmtId="0" fontId="37" fillId="49" borderId="0" xfId="0" applyFont="1" applyFill="1" applyAlignment="1">
      <alignment horizontal="center" wrapText="1"/>
    </xf>
    <xf numFmtId="43" fontId="37" fillId="49" borderId="0" xfId="123" applyFont="1" applyFill="1" applyAlignment="1">
      <alignment horizontal="center" wrapText="1"/>
    </xf>
    <xf numFmtId="0" fontId="195" fillId="0" borderId="0" xfId="0" applyFont="1" applyAlignment="1">
      <alignment horizontal="center" wrapText="1"/>
    </xf>
    <xf numFmtId="0" fontId="126" fillId="0" borderId="0" xfId="0" applyFont="1" applyFill="1" applyAlignment="1">
      <alignment horizontal="center" wrapText="1"/>
    </xf>
    <xf numFmtId="43" fontId="195" fillId="0" borderId="0" xfId="123" applyFont="1" applyFill="1" applyBorder="1" applyAlignment="1">
      <alignment horizontal="center"/>
    </xf>
    <xf numFmtId="43" fontId="195" fillId="102" borderId="0" xfId="0" applyNumberFormat="1" applyFont="1" applyFill="1"/>
    <xf numFmtId="43" fontId="59" fillId="40" borderId="0" xfId="123" applyFont="1" applyFill="1" applyAlignment="1" applyProtection="1">
      <alignment horizontal="left"/>
    </xf>
    <xf numFmtId="43" fontId="59" fillId="0" borderId="0" xfId="123" applyFont="1" applyFill="1" applyBorder="1" applyAlignment="1" applyProtection="1"/>
    <xf numFmtId="43" fontId="59" fillId="0" borderId="0" xfId="123" applyFont="1" applyBorder="1" applyAlignment="1" applyProtection="1">
      <alignment horizontal="left"/>
    </xf>
    <xf numFmtId="43" fontId="59" fillId="0" borderId="0" xfId="123" applyFont="1" applyBorder="1" applyAlignment="1" applyProtection="1"/>
    <xf numFmtId="0" fontId="59" fillId="29" borderId="0" xfId="0" applyFont="1" applyFill="1" applyAlignment="1" applyProtection="1"/>
    <xf numFmtId="44" fontId="3" fillId="0" borderId="0" xfId="47" applyFont="1" applyFill="1" applyBorder="1"/>
    <xf numFmtId="40" fontId="160" fillId="64" borderId="11" xfId="65" applyNumberFormat="1" applyFont="1" applyFill="1" applyBorder="1" applyProtection="1">
      <protection locked="0"/>
    </xf>
    <xf numFmtId="0" fontId="3" fillId="31" borderId="11" xfId="65" applyFont="1" applyFill="1" applyBorder="1" applyAlignment="1" applyProtection="1">
      <alignment horizontal="center"/>
      <protection locked="0"/>
    </xf>
    <xf numFmtId="0" fontId="3" fillId="31" borderId="11" xfId="134" applyFont="1" applyFill="1" applyBorder="1" applyProtection="1">
      <protection locked="0"/>
    </xf>
    <xf numFmtId="0" fontId="71" fillId="31" borderId="51" xfId="0" applyFont="1" applyFill="1" applyBorder="1" applyAlignment="1" applyProtection="1">
      <protection locked="0"/>
    </xf>
    <xf numFmtId="43" fontId="3" fillId="31" borderId="0" xfId="123" applyFont="1" applyFill="1" applyAlignment="1" applyProtection="1"/>
    <xf numFmtId="167" fontId="59" fillId="0" borderId="15" xfId="123" applyNumberFormat="1" applyFont="1" applyBorder="1" applyAlignment="1" applyProtection="1">
      <protection locked="0"/>
    </xf>
    <xf numFmtId="167" fontId="59" fillId="0" borderId="0" xfId="123" applyNumberFormat="1" applyFont="1" applyFill="1" applyBorder="1" applyAlignment="1" applyProtection="1">
      <protection locked="0"/>
    </xf>
    <xf numFmtId="167" fontId="59" fillId="0" borderId="16" xfId="123" applyNumberFormat="1" applyFont="1" applyBorder="1" applyAlignment="1" applyProtection="1">
      <protection locked="0"/>
    </xf>
    <xf numFmtId="167" fontId="59" fillId="36" borderId="15" xfId="123" applyNumberFormat="1" applyFont="1" applyFill="1" applyBorder="1" applyAlignment="1" applyProtection="1">
      <protection locked="0"/>
    </xf>
    <xf numFmtId="167" fontId="59" fillId="36" borderId="16" xfId="123" applyNumberFormat="1" applyFont="1" applyFill="1" applyBorder="1" applyAlignment="1" applyProtection="1">
      <protection locked="0"/>
    </xf>
    <xf numFmtId="167" fontId="59" fillId="0" borderId="13" xfId="123" applyNumberFormat="1" applyFont="1" applyBorder="1" applyAlignment="1" applyProtection="1">
      <protection locked="0"/>
    </xf>
    <xf numFmtId="167" fontId="59" fillId="0" borderId="14" xfId="123" applyNumberFormat="1" applyFont="1" applyBorder="1" applyAlignment="1" applyProtection="1">
      <protection locked="0"/>
    </xf>
    <xf numFmtId="167" fontId="59" fillId="36" borderId="13" xfId="123" applyNumberFormat="1" applyFont="1" applyFill="1" applyBorder="1" applyAlignment="1" applyProtection="1">
      <protection locked="0"/>
    </xf>
    <xf numFmtId="167" fontId="59" fillId="36" borderId="14" xfId="123" applyNumberFormat="1" applyFont="1" applyFill="1" applyBorder="1" applyAlignment="1" applyProtection="1">
      <protection locked="0"/>
    </xf>
    <xf numFmtId="167" fontId="59" fillId="0" borderId="15" xfId="123" applyNumberFormat="1" applyFont="1" applyFill="1" applyBorder="1" applyAlignment="1" applyProtection="1">
      <protection locked="0"/>
    </xf>
    <xf numFmtId="167" fontId="59" fillId="0" borderId="16" xfId="123" applyNumberFormat="1" applyFont="1" applyFill="1" applyBorder="1" applyAlignment="1" applyProtection="1">
      <protection locked="0"/>
    </xf>
    <xf numFmtId="167" fontId="59" fillId="40" borderId="15" xfId="123" applyNumberFormat="1" applyFont="1" applyFill="1" applyBorder="1" applyAlignment="1" applyProtection="1">
      <protection locked="0"/>
    </xf>
    <xf numFmtId="167" fontId="59" fillId="40" borderId="16" xfId="123" applyNumberFormat="1" applyFont="1" applyFill="1" applyBorder="1" applyAlignment="1" applyProtection="1">
      <protection locked="0"/>
    </xf>
    <xf numFmtId="43" fontId="11" fillId="31" borderId="15" xfId="123" applyFont="1" applyFill="1" applyBorder="1" applyAlignment="1" applyProtection="1">
      <protection locked="0"/>
    </xf>
    <xf numFmtId="43" fontId="11" fillId="31" borderId="16" xfId="123" applyFont="1" applyFill="1" applyBorder="1" applyAlignment="1" applyProtection="1">
      <protection locked="0"/>
    </xf>
    <xf numFmtId="167" fontId="11" fillId="40" borderId="16" xfId="123" applyNumberFormat="1" applyFont="1" applyFill="1" applyBorder="1" applyAlignment="1" applyProtection="1">
      <protection locked="0"/>
    </xf>
    <xf numFmtId="167" fontId="11" fillId="36" borderId="16" xfId="123" applyNumberFormat="1" applyFont="1" applyFill="1" applyBorder="1" applyAlignment="1" applyProtection="1">
      <protection locked="0"/>
    </xf>
    <xf numFmtId="167" fontId="11" fillId="40" borderId="15" xfId="123" applyNumberFormat="1" applyFont="1" applyFill="1" applyBorder="1" applyAlignment="1" applyProtection="1">
      <protection locked="0"/>
    </xf>
    <xf numFmtId="167" fontId="11" fillId="36" borderId="15" xfId="123" applyNumberFormat="1" applyFont="1" applyFill="1" applyBorder="1" applyAlignment="1" applyProtection="1">
      <protection locked="0"/>
    </xf>
    <xf numFmtId="167" fontId="11" fillId="40" borderId="13" xfId="123" applyNumberFormat="1" applyFont="1" applyFill="1" applyBorder="1" applyAlignment="1" applyProtection="1">
      <protection locked="0"/>
    </xf>
    <xf numFmtId="167" fontId="11" fillId="40" borderId="14" xfId="123" applyNumberFormat="1" applyFont="1" applyFill="1" applyBorder="1" applyAlignment="1" applyProtection="1">
      <protection locked="0"/>
    </xf>
    <xf numFmtId="167" fontId="3" fillId="40" borderId="0" xfId="123" applyNumberFormat="1" applyFont="1" applyFill="1" applyBorder="1" applyProtection="1">
      <protection locked="0"/>
    </xf>
    <xf numFmtId="185" fontId="3" fillId="40" borderId="11" xfId="123" applyNumberFormat="1" applyFont="1" applyFill="1" applyBorder="1" applyProtection="1">
      <protection locked="0"/>
    </xf>
    <xf numFmtId="185" fontId="3" fillId="40" borderId="0" xfId="123" applyNumberFormat="1" applyFont="1" applyFill="1" applyBorder="1" applyProtection="1">
      <protection locked="0"/>
    </xf>
    <xf numFmtId="184" fontId="3" fillId="40" borderId="0" xfId="48" applyNumberFormat="1" applyFont="1" applyFill="1" applyBorder="1" applyProtection="1">
      <protection locked="0"/>
    </xf>
    <xf numFmtId="185" fontId="42" fillId="40" borderId="0" xfId="0" applyNumberFormat="1" applyFont="1" applyFill="1" applyProtection="1">
      <protection locked="0"/>
    </xf>
    <xf numFmtId="174" fontId="3" fillId="40" borderId="0" xfId="48" applyNumberFormat="1" applyFont="1" applyFill="1" applyBorder="1" applyProtection="1">
      <protection locked="0"/>
    </xf>
    <xf numFmtId="167" fontId="42" fillId="40" borderId="0" xfId="123" applyNumberFormat="1" applyFont="1" applyFill="1" applyBorder="1" applyProtection="1">
      <protection locked="0"/>
    </xf>
    <xf numFmtId="41" fontId="42" fillId="40" borderId="0" xfId="0" applyNumberFormat="1" applyFont="1" applyFill="1" applyBorder="1" applyProtection="1">
      <protection locked="0"/>
    </xf>
    <xf numFmtId="42" fontId="42" fillId="40" borderId="0" xfId="0" applyNumberFormat="1" applyFont="1" applyFill="1" applyBorder="1" applyProtection="1">
      <protection locked="0"/>
    </xf>
    <xf numFmtId="184" fontId="42" fillId="40" borderId="0" xfId="0" applyNumberFormat="1" applyFont="1" applyFill="1" applyBorder="1" applyProtection="1">
      <protection locked="0"/>
    </xf>
    <xf numFmtId="185" fontId="42" fillId="40" borderId="0" xfId="123" applyNumberFormat="1" applyFont="1" applyFill="1" applyBorder="1" applyProtection="1">
      <protection locked="0"/>
    </xf>
    <xf numFmtId="185" fontId="42" fillId="40" borderId="11" xfId="123" applyNumberFormat="1" applyFont="1" applyFill="1" applyBorder="1" applyProtection="1">
      <protection locked="0"/>
    </xf>
    <xf numFmtId="185" fontId="42" fillId="40" borderId="0" xfId="0" applyNumberFormat="1" applyFont="1" applyFill="1" applyBorder="1" applyProtection="1">
      <protection locked="0"/>
    </xf>
    <xf numFmtId="174" fontId="42" fillId="0" borderId="0" xfId="48" applyNumberFormat="1" applyFont="1" applyBorder="1" applyProtection="1">
      <protection locked="0"/>
    </xf>
    <xf numFmtId="167" fontId="42" fillId="0" borderId="0" xfId="123" applyNumberFormat="1" applyFont="1" applyBorder="1" applyProtection="1">
      <protection locked="0"/>
    </xf>
    <xf numFmtId="167" fontId="42" fillId="0" borderId="11" xfId="123" applyNumberFormat="1" applyFont="1" applyBorder="1" applyProtection="1">
      <protection locked="0"/>
    </xf>
    <xf numFmtId="174" fontId="42" fillId="0" borderId="0" xfId="48" applyNumberFormat="1" applyFont="1" applyFill="1" applyBorder="1" applyProtection="1">
      <protection locked="0"/>
    </xf>
    <xf numFmtId="167" fontId="42" fillId="0" borderId="0" xfId="123" applyNumberFormat="1" applyFont="1" applyFill="1" applyBorder="1" applyProtection="1">
      <protection locked="0"/>
    </xf>
    <xf numFmtId="167" fontId="42" fillId="0" borderId="11" xfId="123" applyNumberFormat="1" applyFont="1" applyFill="1" applyBorder="1" applyProtection="1">
      <protection locked="0"/>
    </xf>
    <xf numFmtId="42" fontId="42" fillId="0" borderId="0" xfId="0" applyNumberFormat="1" applyFont="1" applyBorder="1" applyProtection="1">
      <protection locked="0"/>
    </xf>
    <xf numFmtId="37" fontId="42" fillId="0" borderId="0" xfId="0" applyNumberFormat="1" applyFont="1" applyBorder="1" applyProtection="1">
      <protection locked="0"/>
    </xf>
    <xf numFmtId="37" fontId="42" fillId="0" borderId="11" xfId="0" applyNumberFormat="1" applyFont="1" applyBorder="1" applyProtection="1">
      <protection locked="0"/>
    </xf>
    <xf numFmtId="167" fontId="3" fillId="0" borderId="0" xfId="123" applyNumberFormat="1" applyFont="1" applyFill="1" applyBorder="1" applyProtection="1">
      <protection locked="0"/>
    </xf>
    <xf numFmtId="174" fontId="3" fillId="40" borderId="0" xfId="48" applyNumberFormat="1" applyFont="1" applyFill="1" applyBorder="1" applyAlignment="1" applyProtection="1">
      <alignment horizontal="right"/>
      <protection locked="0"/>
    </xf>
    <xf numFmtId="167" fontId="3" fillId="40" borderId="0" xfId="123" applyNumberFormat="1" applyFont="1" applyFill="1" applyBorder="1" applyAlignment="1" applyProtection="1">
      <alignment horizontal="right"/>
      <protection locked="0"/>
    </xf>
    <xf numFmtId="42" fontId="3" fillId="40" borderId="0" xfId="0" applyNumberFormat="1" applyFont="1" applyFill="1" applyBorder="1" applyProtection="1">
      <protection locked="0"/>
    </xf>
    <xf numFmtId="37" fontId="3" fillId="40" borderId="0" xfId="0" applyNumberFormat="1" applyFont="1" applyFill="1" applyBorder="1" applyAlignment="1" applyProtection="1">
      <alignment horizontal="right"/>
      <protection locked="0"/>
    </xf>
    <xf numFmtId="41" fontId="3" fillId="40" borderId="0" xfId="0" applyNumberFormat="1" applyFont="1" applyFill="1" applyBorder="1" applyProtection="1">
      <protection locked="0"/>
    </xf>
    <xf numFmtId="0" fontId="41" fillId="0" borderId="0" xfId="124" applyFont="1" applyFill="1" applyBorder="1" applyAlignment="1">
      <alignment horizontal="center" wrapText="1"/>
    </xf>
    <xf numFmtId="0" fontId="0" fillId="0" borderId="0" xfId="0" applyBorder="1"/>
    <xf numFmtId="0" fontId="54" fillId="0" borderId="163" xfId="127" applyFont="1" applyFill="1" applyBorder="1" applyAlignment="1"/>
    <xf numFmtId="0" fontId="41" fillId="0" borderId="0" xfId="124" applyFont="1" applyFill="1" applyBorder="1" applyAlignment="1">
      <alignment horizontal="center"/>
    </xf>
    <xf numFmtId="0" fontId="54" fillId="0" borderId="0" xfId="127" applyFont="1" applyFill="1" applyBorder="1" applyAlignment="1"/>
    <xf numFmtId="0" fontId="0" fillId="0" borderId="11" xfId="0" applyBorder="1"/>
    <xf numFmtId="0" fontId="67" fillId="0" borderId="17" xfId="61" applyNumberFormat="1" applyFont="1" applyFill="1" applyBorder="1" applyAlignment="1" applyProtection="1">
      <alignment wrapText="1"/>
      <protection locked="0"/>
    </xf>
    <xf numFmtId="0" fontId="2" fillId="0" borderId="21" xfId="61" applyNumberFormat="1" applyFont="1" applyBorder="1" applyAlignment="1"/>
    <xf numFmtId="174" fontId="3" fillId="40" borderId="11" xfId="48" applyNumberFormat="1" applyFont="1" applyFill="1" applyBorder="1" applyProtection="1"/>
    <xf numFmtId="43" fontId="3" fillId="40" borderId="75" xfId="123" applyFont="1" applyFill="1" applyBorder="1" applyAlignment="1">
      <alignment horizontal="center"/>
    </xf>
    <xf numFmtId="0" fontId="3" fillId="40" borderId="67" xfId="0" applyFont="1" applyFill="1" applyBorder="1" applyAlignment="1">
      <alignment horizontal="left"/>
    </xf>
    <xf numFmtId="0" fontId="3" fillId="40" borderId="67" xfId="0" applyFont="1" applyFill="1" applyBorder="1" applyAlignment="1">
      <alignment horizontal="center"/>
    </xf>
    <xf numFmtId="0" fontId="174" fillId="0" borderId="0" xfId="136" applyAlignment="1" applyProtection="1"/>
    <xf numFmtId="0" fontId="0" fillId="107" borderId="11" xfId="0" applyFill="1" applyBorder="1"/>
    <xf numFmtId="4" fontId="3" fillId="0" borderId="0" xfId="123" quotePrefix="1" applyNumberFormat="1" applyFont="1" applyAlignment="1">
      <alignment horizontal="left"/>
    </xf>
    <xf numFmtId="0" fontId="202" fillId="0" borderId="0" xfId="133" applyFont="1" applyFill="1" applyBorder="1" applyAlignment="1">
      <alignment wrapText="1"/>
    </xf>
    <xf numFmtId="44" fontId="202" fillId="0" borderId="0" xfId="47" applyFont="1" applyFill="1" applyBorder="1" applyAlignment="1">
      <alignment horizontal="right" wrapText="1"/>
    </xf>
    <xf numFmtId="171" fontId="203" fillId="0" borderId="0" xfId="109" applyFont="1" applyFill="1" applyProtection="1"/>
    <xf numFmtId="185" fontId="204" fillId="0" borderId="0" xfId="123" applyNumberFormat="1" applyFont="1" applyFill="1" applyBorder="1" applyAlignment="1" applyProtection="1"/>
    <xf numFmtId="0" fontId="202" fillId="107" borderId="0" xfId="133" applyFont="1" applyFill="1" applyBorder="1" applyAlignment="1">
      <alignment wrapText="1"/>
    </xf>
    <xf numFmtId="44" fontId="202" fillId="107" borderId="0" xfId="47" applyFont="1" applyFill="1" applyBorder="1" applyAlignment="1">
      <alignment horizontal="right" wrapText="1"/>
    </xf>
    <xf numFmtId="171" fontId="203" fillId="107" borderId="0" xfId="109" applyFont="1" applyFill="1" applyProtection="1"/>
    <xf numFmtId="171" fontId="11" fillId="107" borderId="0" xfId="109" applyFont="1" applyFill="1" applyProtection="1"/>
    <xf numFmtId="0" fontId="0" fillId="107" borderId="0" xfId="0" applyFill="1"/>
    <xf numFmtId="185" fontId="204" fillId="107" borderId="0" xfId="123" applyNumberFormat="1" applyFont="1" applyFill="1" applyBorder="1" applyAlignment="1" applyProtection="1"/>
    <xf numFmtId="0" fontId="139" fillId="0" borderId="0" xfId="0" applyFont="1" applyFill="1" applyAlignment="1" applyProtection="1"/>
    <xf numFmtId="0" fontId="11" fillId="0" borderId="0" xfId="0" applyFont="1" applyFill="1" applyAlignment="1" applyProtection="1"/>
    <xf numFmtId="0" fontId="42" fillId="0" borderId="16" xfId="0" applyFont="1" applyBorder="1" applyProtection="1"/>
    <xf numFmtId="0" fontId="42" fillId="0" borderId="15" xfId="0" applyFont="1" applyBorder="1" applyProtection="1"/>
    <xf numFmtId="0" fontId="71" fillId="0" borderId="0" xfId="0" applyFont="1" applyAlignment="1">
      <alignment horizontal="center" wrapText="1"/>
    </xf>
    <xf numFmtId="0" fontId="42" fillId="0" borderId="0" xfId="0" applyFont="1" applyBorder="1" applyAlignment="1" applyProtection="1"/>
    <xf numFmtId="4" fontId="211" fillId="0" borderId="0" xfId="129" applyNumberFormat="1" applyFont="1" applyFill="1" applyBorder="1" applyAlignment="1">
      <alignment horizontal="right" wrapText="1"/>
    </xf>
    <xf numFmtId="0" fontId="57" fillId="0" borderId="0" xfId="0" applyFont="1" applyFill="1" applyBorder="1" applyProtection="1"/>
    <xf numFmtId="0" fontId="71" fillId="0" borderId="15" xfId="0" applyFont="1" applyFill="1" applyBorder="1" applyProtection="1"/>
    <xf numFmtId="0" fontId="0" fillId="107" borderId="0" xfId="0" applyFill="1" applyBorder="1"/>
    <xf numFmtId="0" fontId="0" fillId="0" borderId="16" xfId="0" applyBorder="1"/>
    <xf numFmtId="0" fontId="71" fillId="0" borderId="0" xfId="0" applyFont="1" applyBorder="1" applyAlignment="1">
      <alignment horizontal="center" wrapText="1"/>
    </xf>
    <xf numFmtId="0" fontId="71" fillId="0" borderId="16" xfId="0" applyFont="1" applyBorder="1" applyAlignment="1">
      <alignment horizontal="center" wrapText="1"/>
    </xf>
    <xf numFmtId="0" fontId="126" fillId="0" borderId="15" xfId="0" applyFont="1" applyFill="1" applyBorder="1" applyProtection="1"/>
    <xf numFmtId="4" fontId="211" fillId="0" borderId="16" xfId="129" applyNumberFormat="1" applyFont="1" applyFill="1" applyBorder="1" applyAlignment="1">
      <alignment horizontal="right" wrapText="1"/>
    </xf>
    <xf numFmtId="43" fontId="11" fillId="0" borderId="163" xfId="123" applyFont="1" applyFill="1" applyBorder="1" applyAlignment="1"/>
    <xf numFmtId="0" fontId="37" fillId="58" borderId="0" xfId="0" applyFont="1" applyFill="1"/>
    <xf numFmtId="43" fontId="56" fillId="58" borderId="0" xfId="123" applyFont="1" applyFill="1"/>
    <xf numFmtId="43" fontId="201" fillId="70" borderId="0" xfId="123" applyFont="1" applyFill="1" applyBorder="1" applyAlignment="1"/>
    <xf numFmtId="43" fontId="40" fillId="65" borderId="0" xfId="0" applyNumberFormat="1" applyFont="1" applyFill="1"/>
    <xf numFmtId="43" fontId="40" fillId="65" borderId="0" xfId="123" applyFont="1" applyFill="1" applyBorder="1"/>
    <xf numFmtId="43" fontId="8" fillId="65" borderId="0" xfId="123" applyFont="1" applyFill="1" applyBorder="1"/>
    <xf numFmtId="43" fontId="41" fillId="65" borderId="0" xfId="123" applyFont="1" applyFill="1" applyBorder="1" applyAlignment="1">
      <alignment horizontal="right" wrapText="1"/>
    </xf>
    <xf numFmtId="43" fontId="41" fillId="65" borderId="0" xfId="123" applyFont="1" applyFill="1" applyBorder="1" applyAlignment="1">
      <alignment horizontal="center" wrapText="1"/>
    </xf>
    <xf numFmtId="0" fontId="0" fillId="0" borderId="0" xfId="0" applyAlignment="1">
      <alignment horizontal="center"/>
    </xf>
    <xf numFmtId="43" fontId="194" fillId="65" borderId="0" xfId="123" applyFont="1" applyFill="1" applyBorder="1" applyAlignment="1">
      <alignment horizontal="center" wrapText="1"/>
    </xf>
    <xf numFmtId="43" fontId="194" fillId="65" borderId="0" xfId="123" applyFont="1" applyFill="1" applyBorder="1" applyAlignment="1">
      <alignment horizontal="right" wrapText="1"/>
    </xf>
    <xf numFmtId="43" fontId="37" fillId="65" borderId="0" xfId="0" applyNumberFormat="1" applyFont="1" applyFill="1"/>
    <xf numFmtId="43" fontId="12" fillId="65" borderId="0" xfId="123" applyFont="1" applyFill="1" applyBorder="1"/>
    <xf numFmtId="167" fontId="194" fillId="65" borderId="0" xfId="123" applyNumberFormat="1" applyFont="1" applyFill="1" applyBorder="1" applyAlignment="1">
      <alignment horizontal="left" wrapText="1"/>
    </xf>
    <xf numFmtId="167" fontId="8" fillId="65" borderId="0" xfId="123" applyNumberFormat="1" applyFont="1" applyFill="1" applyBorder="1"/>
    <xf numFmtId="167" fontId="41" fillId="65" borderId="0" xfId="123" applyNumberFormat="1" applyFont="1" applyFill="1" applyBorder="1" applyAlignment="1">
      <alignment horizontal="right" wrapText="1"/>
    </xf>
    <xf numFmtId="43" fontId="194" fillId="65" borderId="0" xfId="123" applyFont="1" applyFill="1" applyBorder="1" applyAlignment="1">
      <alignment horizontal="left" wrapText="1"/>
    </xf>
    <xf numFmtId="0" fontId="208" fillId="0" borderId="0" xfId="127" applyFont="1" applyFill="1" applyBorder="1" applyAlignment="1"/>
    <xf numFmtId="184" fontId="3" fillId="40" borderId="11" xfId="47" applyNumberFormat="1" applyFont="1" applyFill="1" applyBorder="1" applyProtection="1"/>
    <xf numFmtId="0" fontId="0" fillId="0" borderId="0" xfId="0" applyFill="1" applyBorder="1"/>
    <xf numFmtId="0" fontId="0" fillId="0" borderId="0" xfId="0" applyFill="1"/>
    <xf numFmtId="49" fontId="40" fillId="55" borderId="0" xfId="0" applyNumberFormat="1" applyFont="1" applyFill="1" applyBorder="1"/>
    <xf numFmtId="0" fontId="52" fillId="0" borderId="0" xfId="0" applyFont="1" applyFill="1"/>
    <xf numFmtId="0" fontId="3" fillId="0" borderId="0" xfId="61" applyNumberFormat="1" applyFont="1" applyAlignment="1" applyProtection="1"/>
    <xf numFmtId="0" fontId="40" fillId="55" borderId="143" xfId="0" applyNumberFormat="1" applyFont="1" applyFill="1" applyBorder="1"/>
    <xf numFmtId="49" fontId="12" fillId="55" borderId="143" xfId="61" applyNumberFormat="1" applyFont="1" applyFill="1" applyBorder="1" applyAlignment="1" applyProtection="1"/>
    <xf numFmtId="49" fontId="40" fillId="55" borderId="143" xfId="123" applyNumberFormat="1" applyFont="1" applyFill="1" applyBorder="1"/>
    <xf numFmtId="49" fontId="40" fillId="55" borderId="143" xfId="0" applyNumberFormat="1" applyFont="1" applyFill="1" applyBorder="1"/>
    <xf numFmtId="43" fontId="40" fillId="55" borderId="143" xfId="123" applyFont="1" applyFill="1" applyBorder="1"/>
    <xf numFmtId="0" fontId="52" fillId="0" borderId="0" xfId="0" applyFont="1" applyProtection="1"/>
    <xf numFmtId="49" fontId="12" fillId="0" borderId="0" xfId="0" applyNumberFormat="1" applyFont="1" applyFill="1" applyProtection="1"/>
    <xf numFmtId="167" fontId="2" fillId="40" borderId="0" xfId="123" applyNumberFormat="1" applyFont="1" applyFill="1" applyBorder="1" applyAlignment="1" applyProtection="1"/>
    <xf numFmtId="0" fontId="3" fillId="0" borderId="0" xfId="61" applyNumberFormat="1" applyFont="1" applyAlignment="1" applyProtection="1"/>
    <xf numFmtId="0" fontId="3" fillId="0" borderId="0" xfId="61" applyNumberFormat="1" applyFont="1" applyAlignment="1" applyProtection="1"/>
    <xf numFmtId="167" fontId="3" fillId="40" borderId="0" xfId="123" applyNumberFormat="1" applyFont="1" applyFill="1" applyBorder="1" applyProtection="1"/>
    <xf numFmtId="0" fontId="3" fillId="0" borderId="0" xfId="61" applyNumberFormat="1" applyFont="1" applyAlignment="1" applyProtection="1"/>
    <xf numFmtId="167" fontId="2" fillId="0" borderId="0" xfId="123" applyNumberFormat="1" applyFont="1" applyFill="1" applyBorder="1" applyAlignment="1" applyProtection="1"/>
    <xf numFmtId="0" fontId="12" fillId="40" borderId="0" xfId="61" applyNumberFormat="1" applyFont="1" applyFill="1" applyAlignment="1" applyProtection="1"/>
    <xf numFmtId="167" fontId="2" fillId="40" borderId="0" xfId="123" applyNumberFormat="1" applyFont="1" applyFill="1" applyBorder="1" applyAlignment="1" applyProtection="1">
      <protection locked="0"/>
    </xf>
    <xf numFmtId="39" fontId="2" fillId="0" borderId="0" xfId="61" applyNumberFormat="1" applyFont="1" applyFill="1" applyAlignment="1" applyProtection="1"/>
    <xf numFmtId="167" fontId="2" fillId="31" borderId="0" xfId="123" applyNumberFormat="1" applyFont="1" applyFill="1" applyBorder="1" applyAlignment="1" applyProtection="1">
      <protection locked="0"/>
    </xf>
    <xf numFmtId="0" fontId="42" fillId="0" borderId="0" xfId="0" applyFont="1" applyProtection="1"/>
    <xf numFmtId="0" fontId="3" fillId="40" borderId="0" xfId="0" applyFont="1" applyFill="1" applyProtection="1"/>
    <xf numFmtId="43" fontId="3" fillId="40" borderId="0" xfId="0" applyNumberFormat="1" applyFont="1" applyFill="1" applyProtection="1"/>
    <xf numFmtId="0" fontId="42" fillId="40" borderId="0" xfId="0" applyFont="1" applyFill="1" applyProtection="1"/>
    <xf numFmtId="167" fontId="3" fillId="40" borderId="0" xfId="123" applyNumberFormat="1" applyFont="1" applyFill="1" applyProtection="1"/>
    <xf numFmtId="0" fontId="52" fillId="40" borderId="0" xfId="0" applyFont="1" applyFill="1" applyProtection="1"/>
    <xf numFmtId="49" fontId="12" fillId="40" borderId="0" xfId="0" applyNumberFormat="1" applyFont="1" applyFill="1" applyProtection="1"/>
    <xf numFmtId="43" fontId="11" fillId="0" borderId="0" xfId="123" applyFont="1" applyAlignment="1" applyProtection="1"/>
    <xf numFmtId="0" fontId="59" fillId="0" borderId="0" xfId="0" applyFont="1" applyBorder="1" applyProtection="1"/>
    <xf numFmtId="43" fontId="59" fillId="31" borderId="0" xfId="123" applyFont="1" applyFill="1" applyProtection="1">
      <protection locked="0"/>
    </xf>
    <xf numFmtId="0" fontId="42" fillId="0" borderId="0" xfId="0" applyFont="1" applyFill="1" applyBorder="1" applyProtection="1"/>
    <xf numFmtId="0" fontId="3" fillId="0" borderId="0" xfId="61" applyNumberFormat="1" applyFont="1" applyAlignment="1" applyProtection="1"/>
    <xf numFmtId="0" fontId="3" fillId="0" borderId="0" xfId="61" applyNumberFormat="1" applyFont="1" applyFill="1" applyAlignment="1" applyProtection="1"/>
    <xf numFmtId="0" fontId="12" fillId="0" borderId="0" xfId="61" applyNumberFormat="1" applyFont="1" applyAlignment="1" applyProtection="1"/>
    <xf numFmtId="49" fontId="10" fillId="0" borderId="0" xfId="61" applyNumberFormat="1" applyFont="1" applyFill="1" applyAlignment="1" applyProtection="1">
      <alignment horizontal="center"/>
    </xf>
    <xf numFmtId="49" fontId="10" fillId="40" borderId="0" xfId="61" applyNumberFormat="1" applyFont="1" applyFill="1" applyAlignment="1" applyProtection="1">
      <alignment horizontal="center"/>
    </xf>
    <xf numFmtId="0" fontId="11" fillId="0" borderId="0" xfId="61" applyNumberFormat="1" applyFont="1" applyBorder="1" applyAlignment="1" applyProtection="1"/>
    <xf numFmtId="43" fontId="11" fillId="31" borderId="0" xfId="123" applyFont="1" applyFill="1" applyBorder="1" applyAlignment="1" applyProtection="1">
      <protection locked="0"/>
    </xf>
    <xf numFmtId="174" fontId="3" fillId="0" borderId="0" xfId="0" applyNumberFormat="1" applyFont="1" applyFill="1" applyBorder="1" applyProtection="1"/>
    <xf numFmtId="0" fontId="3" fillId="0" borderId="0" xfId="0" applyFont="1" applyFill="1" applyProtection="1"/>
    <xf numFmtId="174" fontId="3" fillId="0" borderId="0" xfId="0" applyNumberFormat="1" applyFont="1" applyFill="1" applyProtection="1"/>
    <xf numFmtId="183" fontId="3" fillId="0" borderId="12" xfId="0" applyNumberFormat="1" applyFont="1" applyFill="1" applyBorder="1" applyProtection="1"/>
    <xf numFmtId="167" fontId="40" fillId="0" borderId="0" xfId="123" applyNumberFormat="1" applyFont="1"/>
    <xf numFmtId="43" fontId="11" fillId="0" borderId="15" xfId="123" applyFont="1" applyBorder="1" applyAlignment="1" applyProtection="1"/>
    <xf numFmtId="43" fontId="11" fillId="0" borderId="0" xfId="123" applyFont="1" applyBorder="1" applyAlignment="1" applyProtection="1"/>
    <xf numFmtId="0" fontId="52" fillId="0" borderId="0" xfId="0" applyFont="1" applyFill="1"/>
    <xf numFmtId="49" fontId="40" fillId="52" borderId="0" xfId="0" applyNumberFormat="1" applyFont="1" applyFill="1" applyBorder="1"/>
    <xf numFmtId="167" fontId="40" fillId="29" borderId="0" xfId="123" applyNumberFormat="1" applyFont="1" applyFill="1"/>
    <xf numFmtId="0" fontId="52" fillId="0" borderId="0" xfId="0" applyFont="1" applyFill="1"/>
    <xf numFmtId="0" fontId="40" fillId="52" borderId="143" xfId="0" applyNumberFormat="1" applyFont="1" applyFill="1" applyBorder="1"/>
    <xf numFmtId="49" fontId="12" fillId="52" borderId="143" xfId="61" applyNumberFormat="1" applyFont="1" applyFill="1" applyBorder="1" applyAlignment="1" applyProtection="1"/>
    <xf numFmtId="49" fontId="40" fillId="52" borderId="143" xfId="123" applyNumberFormat="1" applyFont="1" applyFill="1" applyBorder="1"/>
    <xf numFmtId="49" fontId="40" fillId="52" borderId="143" xfId="0" applyNumberFormat="1" applyFont="1" applyFill="1" applyBorder="1"/>
    <xf numFmtId="43" fontId="40" fillId="52" borderId="143" xfId="123" applyFont="1" applyFill="1" applyBorder="1"/>
    <xf numFmtId="0" fontId="3" fillId="0" borderId="0" xfId="128"/>
    <xf numFmtId="43" fontId="3" fillId="31" borderId="0" xfId="123" applyFont="1" applyFill="1" applyProtection="1">
      <protection locked="0"/>
    </xf>
    <xf numFmtId="43" fontId="3" fillId="0" borderId="0" xfId="123" applyFont="1"/>
    <xf numFmtId="0" fontId="3" fillId="0" borderId="0" xfId="128"/>
    <xf numFmtId="43" fontId="3" fillId="29" borderId="0" xfId="123" applyFont="1" applyFill="1"/>
    <xf numFmtId="43" fontId="12" fillId="0" borderId="0" xfId="123" applyFont="1" applyAlignment="1">
      <alignment horizontal="right"/>
    </xf>
    <xf numFmtId="43" fontId="12" fillId="0" borderId="0" xfId="123" applyFont="1" applyFill="1" applyAlignment="1" applyProtection="1">
      <alignment horizontal="right"/>
      <protection locked="0"/>
    </xf>
    <xf numFmtId="43" fontId="12" fillId="0" borderId="0" xfId="123" applyFont="1" applyFill="1" applyAlignment="1" applyProtection="1">
      <alignment horizontal="left"/>
      <protection locked="0"/>
    </xf>
    <xf numFmtId="43" fontId="3" fillId="0" borderId="0" xfId="123" applyFont="1" applyProtection="1">
      <protection locked="0"/>
    </xf>
    <xf numFmtId="43" fontId="3" fillId="0" borderId="0" xfId="123" applyFont="1" applyAlignment="1">
      <alignment horizontal="right"/>
    </xf>
    <xf numFmtId="43" fontId="12" fillId="31" borderId="0" xfId="123" applyFont="1" applyFill="1" applyAlignment="1" applyProtection="1">
      <alignment horizontal="right"/>
      <protection locked="0"/>
    </xf>
    <xf numFmtId="43" fontId="3" fillId="31" borderId="0" xfId="123" applyFont="1" applyFill="1" applyAlignment="1" applyProtection="1">
      <alignment horizontal="right"/>
      <protection locked="0"/>
    </xf>
    <xf numFmtId="43" fontId="104" fillId="0" borderId="0" xfId="123" applyFont="1" applyAlignment="1">
      <alignment horizontal="center"/>
    </xf>
    <xf numFmtId="43" fontId="5" fillId="0" borderId="0" xfId="123" applyFont="1"/>
    <xf numFmtId="0" fontId="3" fillId="0" borderId="0" xfId="128"/>
    <xf numFmtId="0" fontId="3" fillId="0" borderId="0" xfId="128"/>
    <xf numFmtId="0" fontId="3" fillId="0" borderId="144" xfId="128" applyFont="1" applyFill="1" applyBorder="1" applyAlignment="1">
      <alignment horizontal="left" indent="1"/>
    </xf>
    <xf numFmtId="0" fontId="12" fillId="0" borderId="144" xfId="128" applyFont="1" applyFill="1" applyBorder="1"/>
    <xf numFmtId="0" fontId="12" fillId="0" borderId="144" xfId="128" applyFont="1" applyFill="1" applyBorder="1" applyAlignment="1">
      <alignment horizontal="right"/>
    </xf>
    <xf numFmtId="0" fontId="0" fillId="0" borderId="0" xfId="0"/>
    <xf numFmtId="167" fontId="3" fillId="31" borderId="0" xfId="123" applyNumberFormat="1" applyFont="1" applyFill="1" applyBorder="1" applyProtection="1">
      <protection locked="0"/>
    </xf>
    <xf numFmtId="0" fontId="3" fillId="0" borderId="0" xfId="0" applyFont="1"/>
    <xf numFmtId="41" fontId="3" fillId="24" borderId="0" xfId="0" applyNumberFormat="1" applyFont="1" applyFill="1" applyBorder="1"/>
    <xf numFmtId="0" fontId="42" fillId="0" borderId="0" xfId="0" applyFont="1"/>
    <xf numFmtId="0" fontId="42" fillId="40" borderId="0" xfId="0" applyFont="1" applyFill="1" applyBorder="1"/>
    <xf numFmtId="39" fontId="11" fillId="0" borderId="0" xfId="61" applyNumberFormat="1" applyFont="1" applyAlignment="1" applyProtection="1"/>
    <xf numFmtId="0" fontId="6" fillId="0" borderId="0" xfId="61" applyNumberFormat="1" applyFont="1" applyFill="1" applyAlignment="1" applyProtection="1"/>
    <xf numFmtId="0" fontId="11" fillId="0" borderId="0" xfId="61" applyNumberFormat="1" applyFont="1" applyAlignment="1" applyProtection="1"/>
    <xf numFmtId="0" fontId="3" fillId="40" borderId="0" xfId="0" applyFont="1" applyFill="1"/>
    <xf numFmtId="0" fontId="3" fillId="40" borderId="0" xfId="0" applyFont="1" applyFill="1" applyBorder="1"/>
    <xf numFmtId="41" fontId="3" fillId="40" borderId="0" xfId="0" applyNumberFormat="1" applyFont="1" applyFill="1" applyBorder="1"/>
    <xf numFmtId="0" fontId="42" fillId="40" borderId="0" xfId="0" applyFont="1" applyFill="1"/>
    <xf numFmtId="0" fontId="67" fillId="0" borderId="0" xfId="61" applyNumberFormat="1" applyFont="1" applyFill="1" applyBorder="1" applyAlignment="1" applyProtection="1">
      <alignment horizontal="left" wrapText="1"/>
    </xf>
    <xf numFmtId="168" fontId="67" fillId="0" borderId="0" xfId="0" applyNumberFormat="1" applyFont="1" applyFill="1" applyBorder="1" applyAlignment="1" applyProtection="1"/>
    <xf numFmtId="39" fontId="67" fillId="0" borderId="0" xfId="0" applyNumberFormat="1" applyFont="1" applyFill="1" applyBorder="1" applyAlignment="1" applyProtection="1"/>
    <xf numFmtId="0" fontId="67" fillId="0" borderId="0" xfId="61" applyNumberFormat="1" applyFont="1" applyBorder="1" applyAlignment="1" applyProtection="1">
      <alignment horizontal="left" wrapText="1"/>
    </xf>
    <xf numFmtId="49" fontId="67" fillId="0" borderId="0" xfId="61" applyNumberFormat="1" applyFont="1" applyAlignment="1" applyProtection="1">
      <alignment horizontal="center"/>
    </xf>
    <xf numFmtId="49" fontId="67" fillId="0" borderId="0" xfId="61" applyNumberFormat="1" applyFont="1" applyFill="1" applyAlignment="1" applyProtection="1">
      <alignment horizontal="center"/>
    </xf>
    <xf numFmtId="39" fontId="11" fillId="0" borderId="0" xfId="0" applyNumberFormat="1" applyFont="1" applyFill="1" applyAlignment="1" applyProtection="1"/>
    <xf numFmtId="43" fontId="3" fillId="0" borderId="0" xfId="123" applyFont="1"/>
    <xf numFmtId="43" fontId="3" fillId="0" borderId="0" xfId="123" applyFont="1" applyFill="1"/>
    <xf numFmtId="43" fontId="11" fillId="0" borderId="0" xfId="123" applyFont="1" applyFill="1"/>
    <xf numFmtId="39" fontId="3" fillId="0" borderId="0" xfId="29" applyNumberFormat="1" applyFill="1"/>
    <xf numFmtId="0" fontId="3" fillId="0" borderId="145" xfId="128" applyFont="1" applyBorder="1" applyAlignment="1">
      <alignment horizontal="left" indent="1"/>
    </xf>
    <xf numFmtId="0" fontId="12" fillId="0" borderId="145" xfId="128" applyFont="1" applyBorder="1"/>
    <xf numFmtId="0" fontId="12" fillId="0" borderId="145" xfId="128" applyFont="1" applyFill="1" applyBorder="1" applyAlignment="1">
      <alignment horizontal="right"/>
    </xf>
    <xf numFmtId="43" fontId="12" fillId="0" borderId="0" xfId="123" applyFont="1" applyAlignment="1" applyProtection="1">
      <alignment horizontal="right"/>
      <protection locked="0"/>
    </xf>
    <xf numFmtId="174" fontId="3" fillId="0" borderId="0" xfId="47" applyNumberFormat="1" applyFont="1" applyFill="1"/>
    <xf numFmtId="0" fontId="12" fillId="0" borderId="0" xfId="61" applyNumberFormat="1" applyFont="1" applyFill="1" applyAlignment="1" applyProtection="1"/>
    <xf numFmtId="167" fontId="3" fillId="64" borderId="0" xfId="29" applyNumberFormat="1" applyFont="1" applyFill="1"/>
    <xf numFmtId="43" fontId="3" fillId="64" borderId="0" xfId="123" applyFont="1" applyFill="1"/>
    <xf numFmtId="167" fontId="3" fillId="40" borderId="12" xfId="29" applyNumberFormat="1" applyFont="1" applyFill="1" applyBorder="1" applyProtection="1"/>
    <xf numFmtId="39" fontId="66" fillId="0" borderId="0" xfId="61" applyNumberFormat="1" applyFont="1" applyBorder="1" applyAlignment="1" applyProtection="1"/>
    <xf numFmtId="43" fontId="67" fillId="31" borderId="17" xfId="123" applyFont="1" applyFill="1" applyBorder="1" applyAlignment="1" applyProtection="1">
      <protection locked="0"/>
    </xf>
    <xf numFmtId="43" fontId="67" fillId="31" borderId="59" xfId="123" applyFont="1" applyFill="1" applyBorder="1" applyAlignment="1" applyProtection="1">
      <protection locked="0"/>
    </xf>
    <xf numFmtId="43" fontId="67" fillId="0" borderId="17" xfId="123" applyFont="1" applyFill="1" applyBorder="1" applyAlignment="1" applyProtection="1"/>
    <xf numFmtId="43" fontId="59" fillId="0" borderId="15" xfId="123" applyFont="1" applyFill="1" applyBorder="1" applyProtection="1"/>
    <xf numFmtId="43" fontId="67" fillId="32" borderId="17" xfId="123" applyFont="1" applyFill="1" applyBorder="1" applyAlignment="1" applyProtection="1"/>
    <xf numFmtId="43" fontId="67" fillId="0" borderId="17" xfId="123" applyFont="1" applyBorder="1" applyAlignment="1" applyProtection="1"/>
    <xf numFmtId="43" fontId="67" fillId="32" borderId="51" xfId="123" applyFont="1" applyFill="1" applyBorder="1" applyAlignment="1" applyProtection="1"/>
    <xf numFmtId="43" fontId="59" fillId="0" borderId="13" xfId="123" applyFont="1" applyFill="1" applyBorder="1" applyProtection="1"/>
    <xf numFmtId="43" fontId="67" fillId="32" borderId="65" xfId="123" applyFont="1" applyFill="1" applyBorder="1" applyAlignment="1" applyProtection="1">
      <alignment horizontal="right"/>
    </xf>
    <xf numFmtId="43" fontId="67" fillId="0" borderId="52" xfId="123" applyFont="1" applyFill="1" applyBorder="1" applyAlignment="1" applyProtection="1"/>
    <xf numFmtId="43" fontId="59" fillId="0" borderId="15" xfId="123" applyFont="1" applyFill="1" applyBorder="1" applyAlignment="1" applyProtection="1">
      <alignment horizontal="right"/>
    </xf>
    <xf numFmtId="43" fontId="67" fillId="36" borderId="37" xfId="123" applyFont="1" applyFill="1" applyBorder="1" applyAlignment="1" applyProtection="1"/>
    <xf numFmtId="43" fontId="67" fillId="36" borderId="17" xfId="123" applyFont="1" applyFill="1" applyBorder="1" applyAlignment="1" applyProtection="1"/>
    <xf numFmtId="43" fontId="67" fillId="0" borderId="0" xfId="123" applyFont="1" applyFill="1" applyBorder="1" applyAlignment="1" applyProtection="1"/>
    <xf numFmtId="43" fontId="67" fillId="0" borderId="0" xfId="123" applyFont="1" applyBorder="1" applyAlignment="1" applyProtection="1"/>
    <xf numFmtId="43" fontId="59" fillId="0" borderId="0" xfId="123" applyFont="1" applyFill="1" applyProtection="1"/>
    <xf numFmtId="43" fontId="67" fillId="36" borderId="59" xfId="123" applyFont="1" applyFill="1" applyBorder="1" applyAlignment="1" applyProtection="1">
      <alignment horizontal="center"/>
    </xf>
    <xf numFmtId="43" fontId="67" fillId="36" borderId="51" xfId="123" applyFont="1" applyFill="1" applyBorder="1" applyAlignment="1" applyProtection="1">
      <alignment horizontal="center"/>
    </xf>
    <xf numFmtId="43" fontId="67" fillId="0" borderId="11" xfId="123" applyFont="1" applyBorder="1" applyAlignment="1" applyProtection="1"/>
    <xf numFmtId="43" fontId="67" fillId="0" borderId="17" xfId="123" applyFont="1" applyBorder="1" applyAlignment="1" applyProtection="1">
      <protection locked="0"/>
    </xf>
    <xf numFmtId="43" fontId="3" fillId="0" borderId="0" xfId="123" applyFont="1" applyFill="1" applyProtection="1">
      <protection locked="0"/>
    </xf>
    <xf numFmtId="0" fontId="216" fillId="0" borderId="15" xfId="0" applyFont="1" applyFill="1" applyBorder="1" applyAlignment="1" applyProtection="1">
      <alignment vertical="center"/>
    </xf>
    <xf numFmtId="0" fontId="6" fillId="41" borderId="0" xfId="61" applyNumberFormat="1" applyFont="1" applyFill="1" applyAlignment="1" applyProtection="1"/>
    <xf numFmtId="0" fontId="0" fillId="111" borderId="0" xfId="0" applyFill="1"/>
    <xf numFmtId="0" fontId="0" fillId="31" borderId="0" xfId="0" applyFill="1"/>
    <xf numFmtId="0" fontId="3" fillId="43" borderId="0" xfId="61" applyFont="1" applyFill="1" applyProtection="1"/>
    <xf numFmtId="0" fontId="3" fillId="43" borderId="0" xfId="0" applyFont="1" applyFill="1" applyProtection="1"/>
    <xf numFmtId="0" fontId="143" fillId="43" borderId="0" xfId="0" applyFont="1" applyFill="1"/>
    <xf numFmtId="43" fontId="0" fillId="0" borderId="0" xfId="123" applyFont="1"/>
    <xf numFmtId="43" fontId="3" fillId="43" borderId="0" xfId="61" applyNumberFormat="1" applyFont="1" applyFill="1" applyProtection="1"/>
    <xf numFmtId="43" fontId="3" fillId="39" borderId="0" xfId="123" applyFont="1" applyFill="1" applyProtection="1"/>
    <xf numFmtId="43" fontId="0" fillId="39" borderId="0" xfId="123" applyFont="1" applyFill="1"/>
    <xf numFmtId="44" fontId="3" fillId="43" borderId="0" xfId="61" applyNumberFormat="1" applyFont="1" applyFill="1" applyProtection="1"/>
    <xf numFmtId="44" fontId="100" fillId="43" borderId="115" xfId="61" applyNumberFormat="1" applyFont="1" applyFill="1" applyBorder="1" applyProtection="1"/>
    <xf numFmtId="0" fontId="37" fillId="0" borderId="0" xfId="0" applyFont="1"/>
    <xf numFmtId="4" fontId="0" fillId="0" borderId="0" xfId="0" applyNumberFormat="1"/>
    <xf numFmtId="43" fontId="0" fillId="0" borderId="0" xfId="123" applyFont="1" applyFill="1"/>
    <xf numFmtId="4" fontId="0" fillId="0" borderId="0" xfId="0" applyNumberFormat="1" applyFill="1" applyProtection="1">
      <protection locked="0"/>
    </xf>
    <xf numFmtId="43" fontId="0" fillId="0" borderId="0" xfId="0" applyNumberFormat="1"/>
    <xf numFmtId="43" fontId="0" fillId="58" borderId="0" xfId="123" applyFont="1" applyFill="1"/>
    <xf numFmtId="43" fontId="0" fillId="0" borderId="0" xfId="123" applyFont="1" applyFill="1" applyProtection="1">
      <protection locked="0"/>
    </xf>
    <xf numFmtId="43" fontId="0" fillId="58" borderId="0" xfId="0" applyNumberFormat="1" applyFill="1"/>
    <xf numFmtId="39" fontId="0" fillId="0" borderId="0" xfId="0" applyNumberFormat="1" applyProtection="1">
      <protection locked="0"/>
    </xf>
    <xf numFmtId="0" fontId="0" fillId="0" borderId="0" xfId="0" applyFont="1"/>
    <xf numFmtId="41" fontId="9" fillId="0" borderId="0" xfId="0" applyNumberFormat="1" applyFont="1" applyBorder="1" applyAlignment="1">
      <alignment horizontal="center"/>
    </xf>
    <xf numFmtId="43" fontId="0" fillId="31" borderId="0" xfId="123" applyFont="1" applyFill="1"/>
    <xf numFmtId="43" fontId="0" fillId="0" borderId="0" xfId="0" applyNumberFormat="1" applyFill="1"/>
    <xf numFmtId="43" fontId="0" fillId="58" borderId="0" xfId="123" applyFont="1" applyFill="1" applyBorder="1"/>
    <xf numFmtId="43" fontId="3" fillId="58" borderId="0" xfId="123" applyFont="1" applyFill="1" applyProtection="1"/>
    <xf numFmtId="0" fontId="100" fillId="0" borderId="0" xfId="61" applyNumberFormat="1" applyFont="1" applyAlignment="1"/>
    <xf numFmtId="0" fontId="9" fillId="40" borderId="11" xfId="0" applyFont="1" applyFill="1" applyBorder="1" applyAlignment="1" applyProtection="1">
      <alignment horizontal="center"/>
    </xf>
    <xf numFmtId="43" fontId="3" fillId="40" borderId="0" xfId="61" applyNumberFormat="1" applyFont="1" applyFill="1" applyAlignment="1" applyProtection="1"/>
    <xf numFmtId="43" fontId="3" fillId="40" borderId="11" xfId="0" applyNumberFormat="1" applyFont="1" applyFill="1" applyBorder="1" applyProtection="1"/>
    <xf numFmtId="44" fontId="3" fillId="40" borderId="0" xfId="47" applyFont="1" applyFill="1" applyProtection="1"/>
    <xf numFmtId="167" fontId="2" fillId="0" borderId="0" xfId="123" applyNumberFormat="1" applyFont="1" applyFill="1" applyAlignment="1" applyProtection="1">
      <alignment horizontal="right"/>
      <protection locked="0"/>
    </xf>
    <xf numFmtId="44" fontId="3" fillId="40" borderId="11" xfId="47" applyFont="1" applyFill="1" applyBorder="1" applyProtection="1"/>
    <xf numFmtId="174" fontId="3" fillId="40" borderId="11" xfId="47" applyNumberFormat="1" applyFont="1" applyFill="1" applyBorder="1" applyProtection="1"/>
    <xf numFmtId="0" fontId="143" fillId="0" borderId="0" xfId="0" applyFont="1" applyFill="1"/>
    <xf numFmtId="43" fontId="3" fillId="43" borderId="0" xfId="123" applyFont="1" applyFill="1" applyProtection="1"/>
    <xf numFmtId="0" fontId="9" fillId="32" borderId="0" xfId="0" applyFont="1" applyFill="1"/>
    <xf numFmtId="41" fontId="9" fillId="32" borderId="11" xfId="0" applyNumberFormat="1" applyFont="1" applyFill="1" applyBorder="1" applyAlignment="1">
      <alignment horizontal="center"/>
    </xf>
    <xf numFmtId="41" fontId="9" fillId="0" borderId="0" xfId="0" applyNumberFormat="1" applyFont="1" applyFill="1" applyBorder="1" applyAlignment="1">
      <alignment horizontal="center"/>
    </xf>
    <xf numFmtId="43" fontId="0" fillId="0" borderId="0" xfId="123" applyFont="1" applyFill="1" applyBorder="1"/>
    <xf numFmtId="0" fontId="37" fillId="32" borderId="0" xfId="0" applyFont="1" applyFill="1"/>
    <xf numFmtId="44" fontId="0" fillId="0" borderId="0" xfId="0" applyNumberFormat="1"/>
    <xf numFmtId="0" fontId="9" fillId="40" borderId="0" xfId="0" applyFont="1" applyFill="1" applyAlignment="1" applyProtection="1">
      <alignment horizontal="center" vertical="center"/>
    </xf>
    <xf numFmtId="0" fontId="9" fillId="40" borderId="0" xfId="61" applyNumberFormat="1" applyFont="1" applyFill="1" applyBorder="1" applyAlignment="1" applyProtection="1">
      <alignment horizontal="center"/>
    </xf>
    <xf numFmtId="43" fontId="3" fillId="29" borderId="0" xfId="123" applyFont="1" applyFill="1" applyProtection="1"/>
    <xf numFmtId="0" fontId="37" fillId="29" borderId="0" xfId="0" applyFont="1" applyFill="1" applyAlignment="1">
      <alignment horizontal="center" wrapText="1"/>
    </xf>
    <xf numFmtId="0" fontId="37" fillId="48" borderId="0" xfId="0" applyFont="1" applyFill="1"/>
    <xf numFmtId="0" fontId="198" fillId="32" borderId="0" xfId="0" applyFont="1" applyFill="1"/>
    <xf numFmtId="0" fontId="198" fillId="40" borderId="0" xfId="61" applyFont="1" applyFill="1" applyAlignment="1" applyProtection="1">
      <alignment horizontal="left"/>
    </xf>
    <xf numFmtId="0" fontId="198" fillId="40" borderId="0" xfId="61" applyFont="1" applyFill="1" applyProtection="1"/>
    <xf numFmtId="0" fontId="143" fillId="40" borderId="0" xfId="61" applyFont="1" applyFill="1" applyProtection="1"/>
    <xf numFmtId="0" fontId="202" fillId="40" borderId="0" xfId="61" applyNumberFormat="1" applyFont="1" applyFill="1" applyAlignment="1" applyProtection="1">
      <alignment horizontal="left"/>
    </xf>
    <xf numFmtId="0" fontId="143" fillId="40" borderId="0" xfId="0" applyFont="1" applyFill="1" applyProtection="1"/>
    <xf numFmtId="0" fontId="143" fillId="40" borderId="0" xfId="61" applyFont="1" applyFill="1" applyAlignment="1" applyProtection="1">
      <alignment horizontal="left"/>
    </xf>
    <xf numFmtId="0" fontId="0" fillId="58" borderId="0" xfId="0" applyFill="1"/>
    <xf numFmtId="43" fontId="85" fillId="58" borderId="0" xfId="123" applyFont="1" applyFill="1"/>
    <xf numFmtId="43" fontId="3" fillId="67" borderId="0" xfId="123" applyFont="1" applyFill="1" applyProtection="1"/>
    <xf numFmtId="4" fontId="0" fillId="0" borderId="0" xfId="0" applyNumberFormat="1" applyFill="1" applyBorder="1" applyAlignment="1" applyProtection="1">
      <alignment horizontal="left"/>
      <protection locked="0"/>
    </xf>
    <xf numFmtId="4" fontId="0" fillId="0" borderId="0" xfId="0" applyNumberFormat="1" applyFill="1" applyAlignment="1">
      <alignment horizontal="left"/>
    </xf>
    <xf numFmtId="4" fontId="3" fillId="0" borderId="0" xfId="0" applyNumberFormat="1" applyFont="1" applyFill="1" applyAlignment="1">
      <alignment horizontal="left"/>
    </xf>
    <xf numFmtId="4" fontId="0" fillId="0" borderId="0" xfId="0" applyNumberFormat="1" applyFill="1" applyBorder="1" applyAlignment="1" applyProtection="1">
      <alignment horizontal="center"/>
      <protection locked="0"/>
    </xf>
    <xf numFmtId="4" fontId="0" fillId="0" borderId="0" xfId="0" applyNumberFormat="1" applyFill="1" applyAlignment="1" applyProtection="1">
      <alignment horizontal="center"/>
      <protection locked="0"/>
    </xf>
    <xf numFmtId="0" fontId="143" fillId="0" borderId="0" xfId="61" applyFont="1" applyFill="1" applyProtection="1"/>
    <xf numFmtId="0" fontId="125" fillId="43" borderId="0" xfId="0" applyFont="1" applyFill="1"/>
    <xf numFmtId="43" fontId="0" fillId="0" borderId="0" xfId="123" applyFont="1" applyFill="1" applyBorder="1" applyProtection="1">
      <protection locked="0"/>
    </xf>
    <xf numFmtId="0" fontId="0" fillId="0" borderId="0" xfId="0" applyAlignment="1">
      <alignment horizontal="right"/>
    </xf>
    <xf numFmtId="0" fontId="221" fillId="0" borderId="0" xfId="0" applyFont="1" applyFill="1" applyBorder="1"/>
    <xf numFmtId="0" fontId="0" fillId="0" borderId="0" xfId="0" applyFill="1" applyBorder="1" applyAlignment="1">
      <alignment horizontal="right"/>
    </xf>
    <xf numFmtId="43" fontId="0" fillId="0" borderId="0" xfId="0" applyNumberFormat="1" applyFill="1" applyBorder="1"/>
    <xf numFmtId="0" fontId="0" fillId="0" borderId="0" xfId="0" quotePrefix="1" applyFill="1" applyBorder="1"/>
    <xf numFmtId="0" fontId="198" fillId="40" borderId="0" xfId="61" applyFont="1" applyFill="1" applyAlignment="1" applyProtection="1">
      <alignment horizontal="left" indent="1"/>
    </xf>
    <xf numFmtId="0" fontId="143" fillId="40" borderId="0" xfId="61" applyFont="1" applyFill="1" applyAlignment="1" applyProtection="1">
      <alignment horizontal="left" indent="2"/>
    </xf>
    <xf numFmtId="0" fontId="222" fillId="40" borderId="0" xfId="61" applyFont="1" applyFill="1" applyAlignment="1" applyProtection="1">
      <alignment horizontal="left"/>
    </xf>
    <xf numFmtId="43" fontId="0" fillId="67" borderId="0" xfId="123" applyFont="1" applyFill="1" applyAlignment="1">
      <alignment horizontal="center"/>
    </xf>
    <xf numFmtId="183" fontId="3" fillId="40" borderId="12" xfId="61" applyNumberFormat="1" applyFont="1" applyFill="1" applyBorder="1" applyProtection="1"/>
    <xf numFmtId="43" fontId="3" fillId="0" borderId="0" xfId="61" applyNumberFormat="1" applyFont="1" applyFill="1" applyProtection="1"/>
    <xf numFmtId="43" fontId="125" fillId="43" borderId="0" xfId="0" applyNumberFormat="1" applyFont="1" applyFill="1"/>
    <xf numFmtId="43" fontId="0" fillId="0" borderId="0" xfId="0" applyNumberFormat="1" applyAlignment="1"/>
    <xf numFmtId="44" fontId="3" fillId="40" borderId="0" xfId="47" applyFont="1" applyFill="1" applyBorder="1" applyProtection="1"/>
    <xf numFmtId="174" fontId="3" fillId="40" borderId="0" xfId="47" applyNumberFormat="1" applyFont="1" applyFill="1" applyBorder="1" applyProtection="1"/>
    <xf numFmtId="44" fontId="3" fillId="40" borderId="11" xfId="111" applyNumberFormat="1" applyFont="1" applyFill="1" applyBorder="1" applyProtection="1"/>
    <xf numFmtId="43" fontId="0" fillId="0" borderId="0" xfId="123" applyFont="1" applyBorder="1" applyProtection="1">
      <protection locked="0"/>
    </xf>
    <xf numFmtId="43" fontId="0" fillId="24" borderId="0" xfId="123" applyFont="1" applyFill="1" applyBorder="1" applyProtection="1"/>
    <xf numFmtId="43" fontId="9" fillId="0" borderId="0" xfId="123" applyFont="1" applyBorder="1" applyAlignment="1">
      <alignment horizontal="center"/>
    </xf>
    <xf numFmtId="43" fontId="0" fillId="0" borderId="0" xfId="123" applyFont="1" applyProtection="1">
      <protection locked="0"/>
    </xf>
    <xf numFmtId="43" fontId="0" fillId="0" borderId="11" xfId="123" applyFont="1" applyBorder="1" applyProtection="1">
      <protection locked="0"/>
    </xf>
    <xf numFmtId="183" fontId="3" fillId="40" borderId="0" xfId="61" applyNumberFormat="1" applyFont="1" applyFill="1" applyProtection="1"/>
    <xf numFmtId="167" fontId="3" fillId="67" borderId="0" xfId="123" applyNumberFormat="1" applyFont="1" applyFill="1" applyProtection="1">
      <protection locked="0"/>
    </xf>
    <xf numFmtId="43" fontId="0" fillId="0" borderId="0" xfId="0" applyNumberFormat="1" applyBorder="1"/>
    <xf numFmtId="43" fontId="0" fillId="42" borderId="0" xfId="123" applyFont="1" applyFill="1"/>
    <xf numFmtId="43" fontId="143" fillId="29" borderId="0" xfId="123" applyFont="1" applyFill="1"/>
    <xf numFmtId="43" fontId="0" fillId="29" borderId="0" xfId="123" applyFont="1" applyFill="1"/>
    <xf numFmtId="43" fontId="0" fillId="42" borderId="0" xfId="123" applyFont="1" applyFill="1" applyBorder="1"/>
    <xf numFmtId="43" fontId="3" fillId="42" borderId="0" xfId="123" applyFont="1" applyFill="1" applyProtection="1"/>
    <xf numFmtId="44" fontId="143" fillId="40" borderId="0" xfId="0" applyNumberFormat="1" applyFont="1" applyFill="1" applyProtection="1"/>
    <xf numFmtId="43" fontId="143" fillId="40" borderId="0" xfId="0" applyNumberFormat="1" applyFont="1" applyFill="1" applyProtection="1"/>
    <xf numFmtId="43" fontId="0" fillId="0" borderId="115" xfId="0" applyNumberFormat="1" applyBorder="1"/>
    <xf numFmtId="0" fontId="3" fillId="36" borderId="0" xfId="0" applyFont="1" applyFill="1" applyProtection="1"/>
    <xf numFmtId="0" fontId="0" fillId="0" borderId="0" xfId="0" applyFont="1" applyAlignment="1">
      <alignment horizontal="right"/>
    </xf>
    <xf numFmtId="0" fontId="188" fillId="112" borderId="0" xfId="0" applyFont="1" applyFill="1"/>
    <xf numFmtId="0" fontId="0" fillId="0" borderId="0" xfId="0" applyFill="1" applyAlignment="1">
      <alignment wrapText="1"/>
    </xf>
    <xf numFmtId="43" fontId="0" fillId="31" borderId="0" xfId="0" applyNumberFormat="1" applyFill="1"/>
    <xf numFmtId="0" fontId="37" fillId="47" borderId="0" xfId="0" applyFont="1" applyFill="1" applyAlignment="1">
      <alignment horizontal="right"/>
    </xf>
    <xf numFmtId="0" fontId="0" fillId="0" borderId="0" xfId="0" applyAlignment="1"/>
    <xf numFmtId="43" fontId="0" fillId="42" borderId="0" xfId="0" applyNumberFormat="1" applyFill="1"/>
    <xf numFmtId="0" fontId="0" fillId="0" borderId="0" xfId="0" quotePrefix="1" applyAlignment="1">
      <alignment horizontal="left" wrapText="1"/>
    </xf>
    <xf numFmtId="43" fontId="67" fillId="114" borderId="17" xfId="123" applyFont="1" applyFill="1" applyBorder="1" applyAlignment="1" applyProtection="1"/>
    <xf numFmtId="39" fontId="59" fillId="114" borderId="15" xfId="0" applyNumberFormat="1" applyFont="1" applyFill="1" applyBorder="1" applyProtection="1"/>
    <xf numFmtId="8" fontId="59" fillId="114" borderId="0" xfId="0" applyNumberFormat="1" applyFont="1" applyFill="1" applyAlignment="1" applyProtection="1">
      <alignment horizontal="center"/>
    </xf>
    <xf numFmtId="43" fontId="59" fillId="114" borderId="15" xfId="123" applyFont="1" applyFill="1" applyBorder="1" applyProtection="1"/>
    <xf numFmtId="43" fontId="59" fillId="114" borderId="15" xfId="123" applyFont="1" applyFill="1" applyBorder="1" applyAlignment="1" applyProtection="1">
      <alignment horizontal="right"/>
    </xf>
    <xf numFmtId="43" fontId="67" fillId="50" borderId="17" xfId="123" applyFont="1" applyFill="1" applyBorder="1" applyAlignment="1" applyProtection="1">
      <protection locked="0"/>
    </xf>
    <xf numFmtId="0" fontId="3" fillId="36" borderId="0" xfId="61" applyNumberFormat="1" applyFont="1" applyFill="1" applyAlignment="1" applyProtection="1"/>
    <xf numFmtId="0" fontId="2" fillId="36" borderId="0" xfId="61" applyNumberFormat="1" applyFont="1" applyFill="1" applyAlignment="1" applyProtection="1"/>
    <xf numFmtId="0" fontId="0" fillId="0" borderId="0" xfId="0" applyAlignment="1">
      <alignment vertical="top" wrapText="1"/>
    </xf>
    <xf numFmtId="0" fontId="11" fillId="39" borderId="29" xfId="61" applyNumberFormat="1" applyFont="1" applyFill="1" applyBorder="1" applyAlignment="1" applyProtection="1">
      <alignment horizontal="left" wrapText="1"/>
    </xf>
    <xf numFmtId="43" fontId="59" fillId="37" borderId="15" xfId="123" applyFont="1" applyFill="1" applyBorder="1" applyProtection="1"/>
    <xf numFmtId="0" fontId="224" fillId="62" borderId="0" xfId="61" applyNumberFormat="1" applyFont="1" applyFill="1" applyBorder="1" applyAlignment="1" applyProtection="1">
      <alignment horizontal="left" wrapText="1"/>
    </xf>
    <xf numFmtId="49" fontId="224" fillId="62" borderId="0" xfId="61" applyNumberFormat="1" applyFont="1" applyFill="1" applyAlignment="1" applyProtection="1">
      <alignment horizontal="center"/>
    </xf>
    <xf numFmtId="44" fontId="3" fillId="62" borderId="59" xfId="47" applyFont="1" applyFill="1" applyBorder="1" applyAlignment="1" applyProtection="1"/>
    <xf numFmtId="0" fontId="225" fillId="0" borderId="0" xfId="0" applyFont="1"/>
    <xf numFmtId="174" fontId="59" fillId="36" borderId="15" xfId="48" applyNumberFormat="1" applyFont="1" applyFill="1" applyBorder="1" applyAlignment="1" applyProtection="1"/>
    <xf numFmtId="174" fontId="59" fillId="0" borderId="0" xfId="48" applyNumberFormat="1" applyFont="1" applyFill="1" applyBorder="1" applyAlignment="1" applyProtection="1"/>
    <xf numFmtId="174" fontId="59" fillId="36" borderId="16" xfId="48" applyNumberFormat="1" applyFont="1" applyFill="1" applyBorder="1" applyAlignment="1" applyProtection="1"/>
    <xf numFmtId="174" fontId="59" fillId="0" borderId="0" xfId="48" applyNumberFormat="1" applyFont="1" applyFill="1" applyAlignment="1" applyProtection="1"/>
    <xf numFmtId="174" fontId="59" fillId="36" borderId="15" xfId="48" applyNumberFormat="1" applyFont="1" applyFill="1" applyBorder="1" applyAlignment="1" applyProtection="1">
      <protection locked="0"/>
    </xf>
    <xf numFmtId="174" fontId="59" fillId="0" borderId="0" xfId="48" applyNumberFormat="1" applyFont="1" applyFill="1" applyBorder="1" applyAlignment="1" applyProtection="1">
      <protection locked="0"/>
    </xf>
    <xf numFmtId="174" fontId="59" fillId="36" borderId="16" xfId="48" applyNumberFormat="1" applyFont="1" applyFill="1" applyBorder="1" applyAlignment="1" applyProtection="1">
      <protection locked="0"/>
    </xf>
    <xf numFmtId="174" fontId="59" fillId="48" borderId="61" xfId="48" applyNumberFormat="1" applyFont="1" applyFill="1" applyBorder="1" applyAlignment="1" applyProtection="1"/>
    <xf numFmtId="174" fontId="59" fillId="48" borderId="50" xfId="48" applyNumberFormat="1" applyFont="1" applyFill="1" applyBorder="1" applyAlignment="1" applyProtection="1"/>
    <xf numFmtId="43" fontId="59" fillId="0" borderId="15" xfId="123" applyFont="1" applyBorder="1" applyAlignment="1" applyProtection="1"/>
    <xf numFmtId="0" fontId="9" fillId="0" borderId="0" xfId="61" applyNumberFormat="1" applyFont="1" applyAlignment="1"/>
    <xf numFmtId="0" fontId="141" fillId="115" borderId="0" xfId="61" applyNumberFormat="1" applyFont="1" applyFill="1" applyAlignment="1"/>
    <xf numFmtId="0" fontId="78" fillId="115" borderId="0" xfId="0" applyFont="1" applyFill="1" applyAlignment="1"/>
    <xf numFmtId="0" fontId="115" fillId="115" borderId="0" xfId="0" applyFont="1" applyFill="1"/>
    <xf numFmtId="0" fontId="0" fillId="42" borderId="0" xfId="0" applyFill="1"/>
    <xf numFmtId="0" fontId="0" fillId="29" borderId="0" xfId="0" applyFill="1"/>
    <xf numFmtId="0" fontId="0" fillId="39" borderId="0" xfId="0" applyFill="1"/>
    <xf numFmtId="0" fontId="37" fillId="0" borderId="0" xfId="0" applyFont="1" applyFill="1"/>
    <xf numFmtId="0" fontId="138" fillId="115" borderId="0" xfId="61" applyFont="1" applyFill="1" applyAlignment="1" applyProtection="1">
      <alignment horizontal="center"/>
    </xf>
    <xf numFmtId="0" fontId="37" fillId="43" borderId="0" xfId="0" applyFont="1" applyFill="1"/>
    <xf numFmtId="0" fontId="0" fillId="115" borderId="0" xfId="0" applyFill="1"/>
    <xf numFmtId="0" fontId="223" fillId="115" borderId="0" xfId="0" applyFont="1" applyFill="1"/>
    <xf numFmtId="44" fontId="3" fillId="43" borderId="0" xfId="48" applyFont="1" applyFill="1" applyProtection="1"/>
    <xf numFmtId="4" fontId="0" fillId="31" borderId="0" xfId="0" applyNumberFormat="1" applyFill="1" applyProtection="1">
      <protection locked="0"/>
    </xf>
    <xf numFmtId="4" fontId="3" fillId="31" borderId="0" xfId="0" applyNumberFormat="1" applyFont="1" applyFill="1" applyProtection="1">
      <protection locked="0"/>
    </xf>
    <xf numFmtId="43" fontId="0" fillId="31" borderId="0" xfId="123" applyFont="1" applyFill="1" applyBorder="1" applyProtection="1">
      <protection locked="0"/>
    </xf>
    <xf numFmtId="43" fontId="0" fillId="0" borderId="0" xfId="0" applyNumberFormat="1" applyFill="1" applyBorder="1" applyAlignment="1">
      <alignment horizontal="left"/>
    </xf>
    <xf numFmtId="0" fontId="0" fillId="0" borderId="0" xfId="0" applyFill="1" applyBorder="1" applyAlignment="1"/>
    <xf numFmtId="43" fontId="0" fillId="39" borderId="0" xfId="0" applyNumberFormat="1" applyFill="1"/>
    <xf numFmtId="4" fontId="0" fillId="31" borderId="0" xfId="0" applyNumberFormat="1" applyFill="1" applyBorder="1" applyProtection="1">
      <protection locked="0"/>
    </xf>
    <xf numFmtId="43" fontId="143" fillId="0" borderId="0" xfId="0" applyNumberFormat="1" applyFont="1" applyFill="1" applyBorder="1"/>
    <xf numFmtId="0" fontId="85" fillId="43" borderId="0" xfId="0" applyFont="1" applyFill="1" applyAlignment="1">
      <alignment horizontal="right"/>
    </xf>
    <xf numFmtId="43" fontId="85" fillId="43" borderId="115" xfId="0" applyNumberFormat="1" applyFont="1" applyFill="1" applyBorder="1"/>
    <xf numFmtId="0" fontId="85" fillId="43" borderId="0" xfId="0" applyFont="1" applyFill="1"/>
    <xf numFmtId="43" fontId="0" fillId="0" borderId="0" xfId="0" applyNumberFormat="1" applyFill="1" applyBorder="1" applyAlignment="1">
      <alignment vertical="center"/>
    </xf>
    <xf numFmtId="0" fontId="0" fillId="0" borderId="0" xfId="0" quotePrefix="1" applyFill="1" applyBorder="1" applyAlignment="1">
      <alignment horizontal="left" wrapText="1"/>
    </xf>
    <xf numFmtId="4" fontId="0" fillId="0" borderId="115" xfId="0" applyNumberFormat="1" applyBorder="1"/>
    <xf numFmtId="4" fontId="0" fillId="31" borderId="11" xfId="0" applyNumberFormat="1" applyFill="1" applyBorder="1" applyProtection="1">
      <protection locked="0"/>
    </xf>
    <xf numFmtId="43" fontId="85" fillId="43" borderId="0" xfId="0" applyNumberFormat="1" applyFont="1" applyFill="1"/>
    <xf numFmtId="44" fontId="0" fillId="31" borderId="0" xfId="0" applyNumberFormat="1" applyFill="1"/>
    <xf numFmtId="167" fontId="2" fillId="0" borderId="11" xfId="123" applyNumberFormat="1" applyFont="1" applyFill="1" applyBorder="1" applyAlignment="1" applyProtection="1"/>
    <xf numFmtId="183" fontId="2" fillId="0" borderId="0" xfId="61" applyNumberFormat="1" applyFont="1" applyFill="1" applyBorder="1" applyAlignment="1" applyProtection="1"/>
    <xf numFmtId="44" fontId="3" fillId="40" borderId="115" xfId="47" applyFont="1" applyFill="1" applyBorder="1" applyProtection="1"/>
    <xf numFmtId="174" fontId="3" fillId="40" borderId="115" xfId="47" applyNumberFormat="1" applyFont="1" applyFill="1" applyBorder="1" applyProtection="1"/>
    <xf numFmtId="43" fontId="3" fillId="40" borderId="115" xfId="0" applyNumberFormat="1" applyFont="1" applyFill="1" applyBorder="1" applyProtection="1"/>
    <xf numFmtId="167" fontId="2" fillId="0" borderId="0" xfId="123" applyNumberFormat="1" applyFont="1" applyFill="1" applyAlignment="1" applyProtection="1">
      <alignment horizontal="right"/>
    </xf>
    <xf numFmtId="183" fontId="3" fillId="0" borderId="0" xfId="48" applyNumberFormat="1" applyFont="1" applyFill="1" applyProtection="1"/>
    <xf numFmtId="167" fontId="3" fillId="0" borderId="11" xfId="123" applyNumberFormat="1" applyFont="1" applyFill="1" applyBorder="1" applyProtection="1"/>
    <xf numFmtId="43" fontId="3" fillId="0" borderId="11" xfId="123" applyNumberFormat="1" applyFont="1" applyFill="1" applyBorder="1" applyProtection="1"/>
    <xf numFmtId="0" fontId="9" fillId="0" borderId="67" xfId="0" applyFont="1" applyBorder="1" applyAlignment="1">
      <alignment horizontal="center"/>
    </xf>
    <xf numFmtId="0" fontId="9" fillId="0" borderId="0" xfId="0" applyFont="1" applyAlignment="1"/>
    <xf numFmtId="0" fontId="5" fillId="0" borderId="0" xfId="0" applyFont="1"/>
    <xf numFmtId="0" fontId="104" fillId="0" borderId="0" xfId="0" applyNumberFormat="1" applyFont="1" applyAlignment="1"/>
    <xf numFmtId="0" fontId="9" fillId="0" borderId="0" xfId="0" applyNumberFormat="1" applyFont="1" applyAlignment="1"/>
    <xf numFmtId="49" fontId="9" fillId="0" borderId="0" xfId="0" applyNumberFormat="1" applyFont="1" applyAlignment="1"/>
    <xf numFmtId="0" fontId="9" fillId="0" borderId="0" xfId="0" applyNumberFormat="1" applyFont="1" applyAlignment="1">
      <alignment horizontal="right"/>
    </xf>
    <xf numFmtId="173" fontId="9" fillId="0" borderId="0" xfId="0" applyNumberFormat="1" applyFont="1" applyAlignment="1">
      <alignment horizontal="center"/>
    </xf>
    <xf numFmtId="0" fontId="9" fillId="0" borderId="0" xfId="0" applyFont="1" applyAlignment="1">
      <alignment horizontal="center"/>
    </xf>
    <xf numFmtId="0" fontId="3" fillId="0" borderId="0" xfId="0" applyFont="1" applyAlignment="1">
      <alignment horizontal="left"/>
    </xf>
    <xf numFmtId="0" fontId="9" fillId="0" borderId="0" xfId="0" applyFont="1" applyAlignment="1">
      <alignment horizontal="left"/>
    </xf>
    <xf numFmtId="195" fontId="3" fillId="0" borderId="0" xfId="0" applyNumberFormat="1" applyFont="1" applyFill="1" applyBorder="1" applyAlignment="1" applyProtection="1">
      <alignment horizontal="center"/>
      <protection locked="0"/>
    </xf>
    <xf numFmtId="0" fontId="9" fillId="0" borderId="0" xfId="0" applyFont="1" applyAlignment="1">
      <alignment vertical="center" wrapText="1"/>
    </xf>
    <xf numFmtId="0" fontId="3" fillId="0" borderId="0" xfId="0" applyFont="1" applyAlignment="1">
      <alignment vertical="center"/>
    </xf>
    <xf numFmtId="0" fontId="3" fillId="0" borderId="0" xfId="0" applyFont="1" applyAlignment="1">
      <alignment vertical="center" wrapText="1"/>
    </xf>
    <xf numFmtId="0" fontId="9" fillId="0" borderId="0" xfId="0" applyFont="1" applyAlignment="1">
      <alignment wrapText="1"/>
    </xf>
    <xf numFmtId="0" fontId="9" fillId="0" borderId="0" xfId="0" applyNumberFormat="1" applyFont="1" applyAlignment="1">
      <alignment vertical="center" wrapText="1"/>
    </xf>
    <xf numFmtId="0" fontId="3" fillId="0" borderId="0" xfId="0" applyFont="1" applyAlignment="1">
      <alignment wrapText="1"/>
    </xf>
    <xf numFmtId="0" fontId="3" fillId="0" borderId="0" xfId="0" applyFont="1" applyBorder="1"/>
    <xf numFmtId="0" fontId="9" fillId="0" borderId="0" xfId="0" applyFont="1" applyBorder="1" applyAlignment="1">
      <alignment horizontal="center" vertical="center"/>
    </xf>
    <xf numFmtId="0" fontId="9" fillId="0" borderId="0" xfId="0" applyFont="1" applyAlignment="1">
      <alignment horizontal="right" vertical="center"/>
    </xf>
    <xf numFmtId="0" fontId="9" fillId="0" borderId="0" xfId="0" applyFont="1" applyAlignment="1">
      <alignment vertical="center"/>
    </xf>
    <xf numFmtId="0" fontId="9" fillId="0" borderId="0" xfId="0" applyFont="1" applyBorder="1" applyAlignment="1">
      <alignment horizontal="center" wrapText="1"/>
    </xf>
    <xf numFmtId="39" fontId="9" fillId="0" borderId="0" xfId="0" applyNumberFormat="1" applyFont="1" applyFill="1" applyBorder="1" applyAlignment="1"/>
    <xf numFmtId="39" fontId="3" fillId="0" borderId="0" xfId="0" applyNumberFormat="1" applyFont="1" applyFill="1" applyBorder="1"/>
    <xf numFmtId="2" fontId="9" fillId="0" borderId="0" xfId="0" applyNumberFormat="1" applyFont="1" applyFill="1" applyBorder="1" applyAlignment="1">
      <alignment horizontal="right"/>
    </xf>
    <xf numFmtId="0" fontId="9" fillId="0" borderId="0" xfId="0" applyFont="1" applyFill="1" applyBorder="1" applyAlignment="1">
      <alignment horizontal="right"/>
    </xf>
    <xf numFmtId="0" fontId="9" fillId="0" borderId="0" xfId="0" applyFont="1" applyFill="1"/>
    <xf numFmtId="0" fontId="3" fillId="0" borderId="0" xfId="0" applyFont="1" applyAlignment="1">
      <alignment horizontal="left" indent="1"/>
    </xf>
    <xf numFmtId="4" fontId="3" fillId="0" borderId="0" xfId="0" applyNumberFormat="1" applyFont="1"/>
    <xf numFmtId="0" fontId="9" fillId="0" borderId="0" xfId="0" applyFont="1" applyBorder="1" applyAlignment="1">
      <alignment horizontal="right"/>
    </xf>
    <xf numFmtId="0" fontId="9" fillId="0" borderId="0" xfId="0" applyFont="1" applyAlignment="1">
      <alignment horizontal="right" indent="1"/>
    </xf>
    <xf numFmtId="0" fontId="9" fillId="0" borderId="0" xfId="0" applyFont="1" applyFill="1" applyBorder="1" applyAlignment="1">
      <alignment horizontal="left" indent="1"/>
    </xf>
    <xf numFmtId="44" fontId="9" fillId="0" borderId="0" xfId="0" applyNumberFormat="1" applyFont="1" applyFill="1" applyBorder="1"/>
    <xf numFmtId="0" fontId="3" fillId="0" borderId="0" xfId="0" applyFont="1" applyAlignment="1">
      <alignment horizontal="left" vertical="center"/>
    </xf>
    <xf numFmtId="0" fontId="3" fillId="64" borderId="0" xfId="0" applyFont="1" applyFill="1" applyAlignment="1">
      <alignment horizontal="right"/>
    </xf>
    <xf numFmtId="0" fontId="3" fillId="0" borderId="0" xfId="0" applyFont="1" applyFill="1" applyAlignment="1">
      <alignment horizontal="right"/>
    </xf>
    <xf numFmtId="0" fontId="9" fillId="0" borderId="0" xfId="0" applyFont="1" applyBorder="1"/>
    <xf numFmtId="0" fontId="9" fillId="0" borderId="15" xfId="0" applyFont="1" applyFill="1" applyBorder="1" applyAlignment="1">
      <alignment wrapText="1"/>
    </xf>
    <xf numFmtId="0" fontId="3" fillId="0" borderId="0" xfId="0" applyFont="1" applyAlignment="1">
      <alignment horizontal="right"/>
    </xf>
    <xf numFmtId="43" fontId="9" fillId="0" borderId="15" xfId="49" applyNumberFormat="1" applyFont="1" applyFill="1" applyBorder="1" applyAlignment="1"/>
    <xf numFmtId="43" fontId="9" fillId="0" borderId="15" xfId="0" applyNumberFormat="1" applyFont="1" applyFill="1" applyBorder="1" applyAlignment="1" applyProtection="1">
      <protection locked="0"/>
    </xf>
    <xf numFmtId="44" fontId="9" fillId="0" borderId="15" xfId="49" applyFont="1" applyFill="1" applyBorder="1" applyAlignment="1"/>
    <xf numFmtId="0" fontId="9" fillId="0" borderId="15" xfId="0" applyFont="1" applyFill="1" applyBorder="1" applyAlignment="1"/>
    <xf numFmtId="39" fontId="3" fillId="0" borderId="0" xfId="0" applyNumberFormat="1" applyFont="1" applyFill="1" applyBorder="1" applyAlignment="1"/>
    <xf numFmtId="44" fontId="9" fillId="0" borderId="15" xfId="49" applyNumberFormat="1" applyFont="1" applyFill="1" applyBorder="1" applyAlignment="1"/>
    <xf numFmtId="0" fontId="3" fillId="0" borderId="0" xfId="0" applyFont="1" applyAlignment="1"/>
    <xf numFmtId="0" fontId="9" fillId="60" borderId="0" xfId="0" applyFont="1" applyFill="1" applyBorder="1" applyAlignment="1">
      <alignment horizontal="center"/>
    </xf>
    <xf numFmtId="39" fontId="9" fillId="0" borderId="0" xfId="0" applyNumberFormat="1" applyFont="1" applyFill="1" applyBorder="1"/>
    <xf numFmtId="0" fontId="9" fillId="0" borderId="0" xfId="0" applyFont="1" applyAlignment="1">
      <alignment horizontal="right"/>
    </xf>
    <xf numFmtId="196" fontId="9" fillId="0" borderId="0" xfId="0" applyNumberFormat="1" applyFont="1" applyAlignment="1">
      <alignment horizontal="right"/>
    </xf>
    <xf numFmtId="196" fontId="9" fillId="0" borderId="0" xfId="0" applyNumberFormat="1" applyFont="1"/>
    <xf numFmtId="0" fontId="9" fillId="0" borderId="0" xfId="0" applyFont="1" applyFill="1" applyAlignment="1"/>
    <xf numFmtId="0" fontId="145" fillId="0" borderId="0" xfId="0" applyFont="1" applyFill="1" applyAlignment="1"/>
    <xf numFmtId="0" fontId="19" fillId="0" borderId="0" xfId="0" applyFont="1" applyFill="1" applyAlignment="1"/>
    <xf numFmtId="0" fontId="3" fillId="0" borderId="0" xfId="0" applyFont="1" applyFill="1" applyAlignment="1">
      <alignment horizontal="center"/>
    </xf>
    <xf numFmtId="0" fontId="3" fillId="0" borderId="0" xfId="0" applyFont="1" applyFill="1" applyAlignment="1"/>
    <xf numFmtId="0" fontId="9" fillId="0" borderId="88" xfId="0" applyFont="1" applyBorder="1" applyAlignment="1">
      <alignment horizontal="center"/>
    </xf>
    <xf numFmtId="49" fontId="3" fillId="59" borderId="251" xfId="0" applyNumberFormat="1" applyFont="1" applyFill="1" applyBorder="1" applyAlignment="1" applyProtection="1">
      <alignment horizontal="center"/>
      <protection locked="0"/>
    </xf>
    <xf numFmtId="43" fontId="3" fillId="59" borderId="254" xfId="0" applyNumberFormat="1" applyFont="1" applyFill="1" applyBorder="1" applyAlignment="1" applyProtection="1">
      <alignment horizontal="center"/>
      <protection locked="0"/>
    </xf>
    <xf numFmtId="49" fontId="3" fillId="0" borderId="251" xfId="0" applyNumberFormat="1" applyFont="1" applyFill="1" applyBorder="1" applyAlignment="1" applyProtection="1">
      <alignment horizontal="center"/>
      <protection locked="0"/>
    </xf>
    <xf numFmtId="39" fontId="3" fillId="0" borderId="0" xfId="0" applyNumberFormat="1" applyFont="1" applyFill="1" applyBorder="1" applyAlignment="1">
      <alignment horizontal="center"/>
    </xf>
    <xf numFmtId="40" fontId="3" fillId="0" borderId="12" xfId="0" applyNumberFormat="1" applyFont="1" applyFill="1" applyBorder="1" applyAlignment="1"/>
    <xf numFmtId="0" fontId="3" fillId="0" borderId="0" xfId="0" quotePrefix="1" applyFont="1" applyAlignment="1">
      <alignment horizontal="left"/>
    </xf>
    <xf numFmtId="49" fontId="9" fillId="0" borderId="0" xfId="0" applyNumberFormat="1" applyFont="1" applyFill="1" applyBorder="1" applyAlignment="1" applyProtection="1">
      <alignment wrapText="1"/>
      <protection locked="0"/>
    </xf>
    <xf numFmtId="49" fontId="3" fillId="0" borderId="0" xfId="0" applyNumberFormat="1" applyFont="1" applyFill="1" applyBorder="1" applyAlignment="1" applyProtection="1">
      <protection locked="0"/>
    </xf>
    <xf numFmtId="49" fontId="3" fillId="0" borderId="0" xfId="0" applyNumberFormat="1" applyFont="1" applyFill="1" applyBorder="1" applyAlignment="1"/>
    <xf numFmtId="49" fontId="9" fillId="0" borderId="0" xfId="0" applyNumberFormat="1" applyFont="1" applyFill="1" applyBorder="1" applyAlignment="1"/>
    <xf numFmtId="49" fontId="3" fillId="0" borderId="0" xfId="0" applyNumberFormat="1" applyFont="1" applyBorder="1" applyAlignment="1"/>
    <xf numFmtId="0" fontId="163" fillId="0" borderId="0" xfId="0" applyFont="1" applyAlignment="1">
      <alignment horizontal="right"/>
    </xf>
    <xf numFmtId="0" fontId="163" fillId="0" borderId="0" xfId="0" applyFont="1"/>
    <xf numFmtId="0" fontId="162" fillId="0" borderId="0" xfId="0" applyFont="1" applyBorder="1"/>
    <xf numFmtId="0" fontId="162" fillId="0" borderId="0" xfId="0" applyFont="1" applyFill="1" applyBorder="1" applyAlignment="1">
      <alignment horizontal="right"/>
    </xf>
    <xf numFmtId="40" fontId="9" fillId="0" borderId="0" xfId="0" applyNumberFormat="1" applyFont="1" applyBorder="1" applyAlignment="1"/>
    <xf numFmtId="196" fontId="9" fillId="0" borderId="0" xfId="0" applyNumberFormat="1" applyFont="1" applyAlignment="1">
      <alignment horizontal="left"/>
    </xf>
    <xf numFmtId="49" fontId="3" fillId="0" borderId="0" xfId="0" applyNumberFormat="1" applyFont="1" applyBorder="1" applyAlignment="1">
      <alignment horizontal="center"/>
    </xf>
    <xf numFmtId="49" fontId="7" fillId="0" borderId="0" xfId="0" applyNumberFormat="1" applyFont="1" applyBorder="1" applyAlignment="1">
      <alignment horizontal="center"/>
    </xf>
    <xf numFmtId="0" fontId="162" fillId="0" borderId="0" xfId="0" applyFont="1" applyFill="1" applyBorder="1"/>
    <xf numFmtId="40" fontId="3" fillId="0" borderId="0" xfId="0" applyNumberFormat="1" applyFont="1" applyBorder="1" applyAlignment="1"/>
    <xf numFmtId="40" fontId="3" fillId="0" borderId="0" xfId="0" applyNumberFormat="1" applyFont="1" applyFill="1" applyBorder="1" applyAlignment="1"/>
    <xf numFmtId="40" fontId="3" fillId="0" borderId="0" xfId="0" quotePrefix="1" applyNumberFormat="1" applyFont="1" applyAlignment="1"/>
    <xf numFmtId="39" fontId="9" fillId="0" borderId="0" xfId="0" applyNumberFormat="1" applyFont="1" applyFill="1" applyBorder="1" applyAlignment="1">
      <alignment horizontal="center"/>
    </xf>
    <xf numFmtId="49" fontId="3" fillId="0" borderId="0" xfId="0" applyNumberFormat="1" applyFont="1" applyFill="1" applyBorder="1" applyAlignment="1" applyProtection="1">
      <alignment wrapText="1"/>
      <protection locked="0"/>
    </xf>
    <xf numFmtId="0" fontId="163" fillId="0" borderId="0" xfId="0" applyFont="1" applyFill="1" applyAlignment="1">
      <alignment horizontal="right"/>
    </xf>
    <xf numFmtId="0" fontId="163" fillId="0" borderId="0" xfId="0" applyFont="1" applyFill="1"/>
    <xf numFmtId="0" fontId="9" fillId="0" borderId="67" xfId="0" applyFont="1" applyFill="1" applyBorder="1" applyAlignment="1">
      <alignment horizontal="center" wrapText="1"/>
    </xf>
    <xf numFmtId="0" fontId="9" fillId="0" borderId="67" xfId="0" applyFont="1" applyBorder="1" applyAlignment="1">
      <alignment horizontal="center" wrapText="1"/>
    </xf>
    <xf numFmtId="0" fontId="3" fillId="0" borderId="114" xfId="0" applyFont="1" applyBorder="1"/>
    <xf numFmtId="0" fontId="162" fillId="0" borderId="114" xfId="0" applyFont="1" applyFill="1" applyBorder="1"/>
    <xf numFmtId="0" fontId="162" fillId="0" borderId="255" xfId="0" applyFont="1" applyFill="1" applyBorder="1"/>
    <xf numFmtId="0" fontId="162" fillId="0" borderId="113" xfId="0" applyFont="1" applyFill="1" applyBorder="1"/>
    <xf numFmtId="0" fontId="9" fillId="0" borderId="255" xfId="0" applyFont="1" applyBorder="1"/>
    <xf numFmtId="40" fontId="3" fillId="59" borderId="51" xfId="0" applyNumberFormat="1" applyFont="1" applyFill="1" applyBorder="1" applyAlignment="1" applyProtection="1">
      <alignment horizontal="right"/>
      <protection locked="0"/>
    </xf>
    <xf numFmtId="40" fontId="3" fillId="59" borderId="14" xfId="0" applyNumberFormat="1" applyFont="1" applyFill="1" applyBorder="1" applyAlignment="1" applyProtection="1">
      <alignment horizontal="right"/>
      <protection locked="0"/>
    </xf>
    <xf numFmtId="40" fontId="3" fillId="0" borderId="0" xfId="0" applyNumberFormat="1" applyFont="1" applyFill="1" applyBorder="1" applyAlignment="1">
      <alignment horizontal="right"/>
    </xf>
    <xf numFmtId="0" fontId="3" fillId="0" borderId="15" xfId="0" applyFont="1" applyBorder="1"/>
    <xf numFmtId="49" fontId="7" fillId="0" borderId="15" xfId="0" applyNumberFormat="1" applyFont="1" applyFill="1" applyBorder="1"/>
    <xf numFmtId="40" fontId="7" fillId="0" borderId="59" xfId="0" applyNumberFormat="1" applyFont="1" applyFill="1" applyBorder="1" applyAlignment="1">
      <alignment horizontal="right"/>
    </xf>
    <xf numFmtId="40" fontId="7" fillId="0" borderId="16" xfId="0" applyNumberFormat="1" applyFont="1" applyFill="1" applyBorder="1" applyAlignment="1">
      <alignment horizontal="right"/>
    </xf>
    <xf numFmtId="40" fontId="3" fillId="0" borderId="59" xfId="0" applyNumberFormat="1" applyFont="1" applyFill="1" applyBorder="1" applyAlignment="1">
      <alignment horizontal="right"/>
    </xf>
    <xf numFmtId="40" fontId="7" fillId="0" borderId="0" xfId="0" applyNumberFormat="1" applyFont="1" applyFill="1" applyBorder="1" applyAlignment="1">
      <alignment horizontal="right"/>
    </xf>
    <xf numFmtId="40" fontId="3" fillId="0" borderId="16" xfId="0" applyNumberFormat="1" applyFont="1" applyFill="1" applyBorder="1" applyAlignment="1">
      <alignment horizontal="right"/>
    </xf>
    <xf numFmtId="40" fontId="3" fillId="0" borderId="256" xfId="0" applyNumberFormat="1" applyFont="1" applyFill="1" applyBorder="1" applyAlignment="1">
      <alignment horizontal="right"/>
    </xf>
    <xf numFmtId="40" fontId="3" fillId="0" borderId="50" xfId="0" applyNumberFormat="1" applyFont="1" applyFill="1" applyBorder="1" applyAlignment="1">
      <alignment horizontal="right"/>
    </xf>
    <xf numFmtId="40" fontId="3" fillId="0" borderId="256" xfId="0" applyNumberFormat="1" applyFont="1" applyFill="1" applyBorder="1" applyAlignment="1"/>
    <xf numFmtId="0" fontId="7" fillId="0" borderId="0" xfId="0" applyFont="1" applyFill="1" applyBorder="1"/>
    <xf numFmtId="0" fontId="9" fillId="0" borderId="0" xfId="0" applyFont="1" applyFill="1" applyAlignment="1">
      <alignment horizontal="center"/>
    </xf>
    <xf numFmtId="0" fontId="9" fillId="0" borderId="0" xfId="0" applyFont="1" applyBorder="1" applyAlignment="1"/>
    <xf numFmtId="0" fontId="9" fillId="0" borderId="0" xfId="0" applyFont="1" applyFill="1" applyBorder="1" applyAlignment="1"/>
    <xf numFmtId="0" fontId="9" fillId="0" borderId="257" xfId="0" applyFont="1" applyFill="1" applyBorder="1" applyAlignment="1">
      <alignment horizontal="center"/>
    </xf>
    <xf numFmtId="0" fontId="9" fillId="0" borderId="67" xfId="0" applyFont="1" applyFill="1" applyBorder="1" applyAlignment="1">
      <alignment horizontal="center"/>
    </xf>
    <xf numFmtId="0" fontId="162" fillId="0" borderId="0" xfId="0" applyFont="1" applyFill="1" applyBorder="1" applyAlignment="1">
      <alignment horizontal="center"/>
    </xf>
    <xf numFmtId="0" fontId="162" fillId="0" borderId="59" xfId="0" applyFont="1" applyFill="1" applyBorder="1" applyAlignment="1">
      <alignment horizontal="center"/>
    </xf>
    <xf numFmtId="0" fontId="9" fillId="0" borderId="59" xfId="0" applyFont="1" applyFill="1" applyBorder="1"/>
    <xf numFmtId="40" fontId="3" fillId="59" borderId="11" xfId="0" applyNumberFormat="1" applyFont="1" applyFill="1" applyBorder="1" applyAlignment="1" applyProtection="1">
      <alignment horizontal="center"/>
      <protection locked="0"/>
    </xf>
    <xf numFmtId="40" fontId="3" fillId="59" borderId="51" xfId="0" applyNumberFormat="1" applyFont="1" applyFill="1" applyBorder="1" applyAlignment="1" applyProtection="1">
      <alignment horizontal="center"/>
      <protection locked="0"/>
    </xf>
    <xf numFmtId="39" fontId="9" fillId="0" borderId="0" xfId="0" applyNumberFormat="1" applyFont="1" applyFill="1" applyBorder="1" applyAlignment="1">
      <alignment horizontal="right"/>
    </xf>
    <xf numFmtId="40" fontId="3" fillId="0" borderId="0" xfId="0" applyNumberFormat="1" applyFont="1" applyFill="1" applyBorder="1" applyAlignment="1">
      <alignment horizontal="center"/>
    </xf>
    <xf numFmtId="40" fontId="3" fillId="0" borderId="59" xfId="0" applyNumberFormat="1" applyFont="1" applyFill="1" applyBorder="1" applyAlignment="1">
      <alignment horizontal="center"/>
    </xf>
    <xf numFmtId="40" fontId="7" fillId="0" borderId="0" xfId="0" applyNumberFormat="1" applyFont="1" applyFill="1" applyBorder="1"/>
    <xf numFmtId="196" fontId="9" fillId="0" borderId="0" xfId="0" applyNumberFormat="1" applyFont="1" applyFill="1" applyBorder="1" applyAlignment="1">
      <alignment horizontal="center"/>
    </xf>
    <xf numFmtId="196" fontId="9" fillId="0" borderId="0" xfId="0" applyNumberFormat="1" applyFont="1" applyFill="1" applyBorder="1" applyAlignment="1">
      <alignment horizontal="left"/>
    </xf>
    <xf numFmtId="40" fontId="3" fillId="0" borderId="59" xfId="0" applyNumberFormat="1" applyFont="1" applyFill="1" applyBorder="1" applyAlignment="1">
      <alignment horizontal="left"/>
    </xf>
    <xf numFmtId="40" fontId="3" fillId="0" borderId="0" xfId="0" applyNumberFormat="1" applyFont="1" applyFill="1" applyBorder="1" applyAlignment="1">
      <alignment horizontal="left"/>
    </xf>
    <xf numFmtId="39" fontId="3" fillId="0" borderId="0" xfId="0" applyNumberFormat="1" applyFont="1" applyAlignment="1">
      <alignment horizontal="right"/>
    </xf>
    <xf numFmtId="0" fontId="3" fillId="0" borderId="59" xfId="0" applyFont="1" applyBorder="1"/>
    <xf numFmtId="39" fontId="9" fillId="0" borderId="0" xfId="0" applyNumberFormat="1" applyFont="1" applyBorder="1" applyAlignment="1">
      <alignment horizontal="right"/>
    </xf>
    <xf numFmtId="49" fontId="7" fillId="0" borderId="0" xfId="0" applyNumberFormat="1" applyFont="1" applyFill="1" applyBorder="1" applyAlignment="1"/>
    <xf numFmtId="0" fontId="3" fillId="0" borderId="59" xfId="0" applyFont="1" applyBorder="1" applyAlignment="1">
      <alignment horizontal="right"/>
    </xf>
    <xf numFmtId="40" fontId="3" fillId="0" borderId="0" xfId="0" applyNumberFormat="1" applyFont="1" applyBorder="1" applyAlignment="1">
      <alignment horizontal="right"/>
    </xf>
    <xf numFmtId="49" fontId="3" fillId="0" borderId="0" xfId="0" applyNumberFormat="1" applyFont="1" applyFill="1" applyBorder="1"/>
    <xf numFmtId="40" fontId="3" fillId="0" borderId="0" xfId="0" applyNumberFormat="1" applyFont="1" applyAlignment="1">
      <alignment horizontal="right"/>
    </xf>
    <xf numFmtId="40" fontId="9" fillId="59" borderId="51" xfId="0" applyNumberFormat="1" applyFont="1" applyFill="1" applyBorder="1" applyAlignment="1" applyProtection="1">
      <alignment horizontal="right"/>
      <protection locked="0"/>
    </xf>
    <xf numFmtId="39" fontId="19" fillId="0" borderId="0" xfId="0" applyNumberFormat="1" applyFont="1" applyFill="1" applyBorder="1" applyAlignment="1"/>
    <xf numFmtId="39" fontId="19" fillId="0" borderId="0" xfId="0" applyNumberFormat="1" applyFont="1" applyFill="1" applyBorder="1" applyAlignment="1">
      <alignment horizontal="center"/>
    </xf>
    <xf numFmtId="39" fontId="9" fillId="0" borderId="59" xfId="0" applyNumberFormat="1" applyFont="1" applyBorder="1" applyAlignment="1">
      <alignment horizontal="right"/>
    </xf>
    <xf numFmtId="0" fontId="7" fillId="0" borderId="0" xfId="0" applyFont="1" applyFill="1" applyBorder="1" applyAlignment="1"/>
    <xf numFmtId="40" fontId="3" fillId="0" borderId="59" xfId="0" applyNumberFormat="1" applyFont="1" applyBorder="1" applyAlignment="1">
      <alignment horizontal="right"/>
    </xf>
    <xf numFmtId="0" fontId="3" fillId="0" borderId="0" xfId="0" applyFont="1" applyBorder="1" applyAlignment="1"/>
    <xf numFmtId="0" fontId="9" fillId="0" borderId="59" xfId="0" applyFont="1" applyBorder="1"/>
    <xf numFmtId="49" fontId="9" fillId="0" borderId="0" xfId="0" applyNumberFormat="1" applyFont="1" applyFill="1" applyBorder="1" applyAlignment="1" applyProtection="1">
      <protection locked="0"/>
    </xf>
    <xf numFmtId="0" fontId="9" fillId="0" borderId="88" xfId="0" applyFont="1" applyBorder="1" applyAlignment="1">
      <alignment horizontal="center" wrapText="1"/>
    </xf>
    <xf numFmtId="0" fontId="9" fillId="0" borderId="0" xfId="0" applyFont="1" applyFill="1" applyBorder="1" applyAlignment="1">
      <alignment wrapText="1"/>
    </xf>
    <xf numFmtId="40" fontId="9" fillId="0" borderId="59" xfId="0" applyNumberFormat="1" applyFont="1" applyBorder="1"/>
    <xf numFmtId="40" fontId="9" fillId="0" borderId="0" xfId="0" applyNumberFormat="1" applyFont="1" applyFill="1" applyBorder="1"/>
    <xf numFmtId="40" fontId="3" fillId="0" borderId="0" xfId="0" applyNumberFormat="1" applyFont="1" applyFill="1" applyBorder="1" applyAlignment="1" applyProtection="1">
      <protection locked="0"/>
    </xf>
    <xf numFmtId="49" fontId="7" fillId="0" borderId="0" xfId="0" applyNumberFormat="1" applyFont="1" applyFill="1" applyBorder="1"/>
    <xf numFmtId="40" fontId="3" fillId="59" borderId="51" xfId="0" applyNumberFormat="1" applyFont="1" applyFill="1" applyBorder="1" applyAlignment="1" applyProtection="1">
      <alignment horizontal="right"/>
    </xf>
    <xf numFmtId="0" fontId="104" fillId="0" borderId="0" xfId="65" applyNumberFormat="1" applyFont="1" applyAlignment="1" applyProtection="1">
      <alignment horizontal="center"/>
    </xf>
    <xf numFmtId="0" fontId="3" fillId="0" borderId="0" xfId="65" applyProtection="1"/>
    <xf numFmtId="0" fontId="100" fillId="0" borderId="0" xfId="65" applyFont="1" applyFill="1" applyBorder="1" applyAlignment="1" applyProtection="1">
      <alignment horizontal="center"/>
    </xf>
    <xf numFmtId="0" fontId="9" fillId="0" borderId="0" xfId="65" applyFont="1" applyProtection="1"/>
    <xf numFmtId="0" fontId="3" fillId="0" borderId="0" xfId="65" applyFill="1" applyBorder="1" applyProtection="1"/>
    <xf numFmtId="198" fontId="9" fillId="0" borderId="0" xfId="65" applyNumberFormat="1" applyFont="1" applyProtection="1"/>
    <xf numFmtId="0" fontId="3" fillId="0" borderId="0" xfId="65" applyFont="1" applyProtection="1"/>
    <xf numFmtId="0" fontId="3" fillId="0" borderId="0" xfId="65" applyFont="1" applyBorder="1" applyProtection="1"/>
    <xf numFmtId="0" fontId="104" fillId="0" borderId="0" xfId="65" applyFont="1" applyProtection="1"/>
    <xf numFmtId="0" fontId="3" fillId="0" borderId="0" xfId="65" applyBorder="1" applyProtection="1"/>
    <xf numFmtId="0" fontId="9" fillId="0" borderId="51" xfId="65" applyFont="1" applyBorder="1" applyAlignment="1" applyProtection="1">
      <alignment horizontal="center"/>
    </xf>
    <xf numFmtId="39" fontId="11" fillId="0" borderId="0" xfId="65" applyNumberFormat="1" applyFont="1" applyFill="1" applyBorder="1" applyProtection="1"/>
    <xf numFmtId="0" fontId="3" fillId="0" borderId="51" xfId="65" applyFont="1" applyBorder="1" applyProtection="1"/>
    <xf numFmtId="2" fontId="3" fillId="0" borderId="0" xfId="65" applyNumberFormat="1" applyFill="1" applyBorder="1" applyAlignment="1" applyProtection="1">
      <alignment horizontal="right"/>
    </xf>
    <xf numFmtId="39" fontId="11" fillId="0" borderId="0" xfId="65" applyNumberFormat="1" applyFont="1" applyFill="1" applyBorder="1" applyAlignment="1" applyProtection="1">
      <alignment horizontal="right"/>
    </xf>
    <xf numFmtId="0" fontId="3" fillId="0" borderId="0" xfId="65" applyBorder="1" applyAlignment="1" applyProtection="1">
      <alignment horizontal="right"/>
    </xf>
    <xf numFmtId="43" fontId="11" fillId="0" borderId="0" xfId="29" applyFont="1" applyFill="1" applyBorder="1" applyAlignment="1" applyProtection="1">
      <alignment horizontal="right"/>
    </xf>
    <xf numFmtId="0" fontId="64" fillId="0" borderId="0" xfId="65" applyFont="1" applyProtection="1"/>
    <xf numFmtId="43" fontId="3" fillId="0" borderId="0" xfId="65" applyNumberFormat="1" applyFont="1" applyProtection="1"/>
    <xf numFmtId="0" fontId="9" fillId="60" borderId="0" xfId="65" applyFont="1" applyFill="1" applyBorder="1" applyAlignment="1" applyProtection="1">
      <alignment horizontal="center"/>
    </xf>
    <xf numFmtId="39" fontId="3" fillId="0" borderId="0" xfId="65" applyNumberFormat="1" applyFill="1" applyBorder="1" applyProtection="1"/>
    <xf numFmtId="196" fontId="9" fillId="0" borderId="0" xfId="65" applyNumberFormat="1" applyFont="1" applyProtection="1"/>
    <xf numFmtId="0" fontId="9" fillId="0" borderId="0" xfId="65" applyFont="1" applyFill="1" applyAlignment="1" applyProtection="1"/>
    <xf numFmtId="0" fontId="145" fillId="0" borderId="0" xfId="65" applyFont="1" applyFill="1" applyAlignment="1" applyProtection="1"/>
    <xf numFmtId="0" fontId="3" fillId="0" borderId="0" xfId="65" applyFont="1" applyFill="1" applyAlignment="1" applyProtection="1"/>
    <xf numFmtId="0" fontId="9" fillId="0" borderId="0" xfId="65" applyFont="1" applyBorder="1" applyProtection="1"/>
    <xf numFmtId="0" fontId="162" fillId="0" borderId="0" xfId="65" applyFont="1" applyBorder="1" applyProtection="1"/>
    <xf numFmtId="0" fontId="162" fillId="0" borderId="0" xfId="65" applyFont="1" applyFill="1" applyBorder="1" applyProtection="1"/>
    <xf numFmtId="0" fontId="9" fillId="0" borderId="0" xfId="65" applyFont="1" applyFill="1" applyBorder="1" applyProtection="1"/>
    <xf numFmtId="196" fontId="9" fillId="0" borderId="0" xfId="65" applyNumberFormat="1" applyFont="1" applyAlignment="1" applyProtection="1">
      <alignment horizontal="center"/>
    </xf>
    <xf numFmtId="39" fontId="9" fillId="59" borderId="0" xfId="65" applyNumberFormat="1" applyFont="1" applyFill="1" applyBorder="1" applyAlignment="1" applyProtection="1">
      <alignment horizontal="right"/>
    </xf>
    <xf numFmtId="49" fontId="3" fillId="0" borderId="0" xfId="65" applyNumberFormat="1" applyFont="1" applyBorder="1" applyProtection="1"/>
    <xf numFmtId="49" fontId="7" fillId="0" borderId="0" xfId="65" applyNumberFormat="1" applyFont="1" applyBorder="1" applyProtection="1"/>
    <xf numFmtId="0" fontId="7" fillId="0" borderId="0" xfId="65" applyFont="1" applyFill="1" applyBorder="1" applyProtection="1"/>
    <xf numFmtId="49" fontId="7" fillId="0" borderId="0" xfId="65" applyNumberFormat="1" applyFont="1" applyFill="1" applyBorder="1" applyAlignment="1" applyProtection="1">
      <alignment horizontal="center"/>
    </xf>
    <xf numFmtId="49" fontId="7" fillId="0" borderId="0" xfId="65" applyNumberFormat="1" applyFont="1" applyFill="1" applyBorder="1" applyProtection="1"/>
    <xf numFmtId="40" fontId="3" fillId="0" borderId="0" xfId="65" applyNumberFormat="1" applyFont="1" applyBorder="1" applyAlignment="1" applyProtection="1">
      <alignment horizontal="right"/>
    </xf>
    <xf numFmtId="40" fontId="7" fillId="0" borderId="0" xfId="65" applyNumberFormat="1" applyFont="1" applyFill="1" applyBorder="1" applyAlignment="1" applyProtection="1">
      <alignment horizontal="right"/>
    </xf>
    <xf numFmtId="40" fontId="3" fillId="0" borderId="0" xfId="65" applyNumberFormat="1" applyFont="1" applyAlignment="1" applyProtection="1">
      <alignment horizontal="right"/>
    </xf>
    <xf numFmtId="39" fontId="3" fillId="0" borderId="0" xfId="65" applyNumberFormat="1" applyAlignment="1" applyProtection="1">
      <alignment horizontal="right"/>
    </xf>
    <xf numFmtId="0" fontId="3" fillId="0" borderId="0" xfId="65" applyFill="1" applyProtection="1"/>
    <xf numFmtId="0" fontId="9" fillId="0" borderId="0" xfId="65" applyFont="1" applyFill="1" applyAlignment="1" applyProtection="1">
      <alignment horizontal="center"/>
    </xf>
    <xf numFmtId="39" fontId="9" fillId="0" borderId="0" xfId="65" applyNumberFormat="1" applyFont="1" applyFill="1" applyBorder="1" applyAlignment="1" applyProtection="1">
      <alignment horizontal="right"/>
    </xf>
    <xf numFmtId="0" fontId="3" fillId="0" borderId="0" xfId="65" quotePrefix="1" applyAlignment="1" applyProtection="1">
      <alignment horizontal="left"/>
    </xf>
    <xf numFmtId="40" fontId="3" fillId="0" borderId="0" xfId="65" applyNumberFormat="1" applyAlignment="1" applyProtection="1">
      <alignment horizontal="right"/>
    </xf>
    <xf numFmtId="40" fontId="3" fillId="0" borderId="0" xfId="65" applyNumberFormat="1" applyFill="1" applyBorder="1" applyAlignment="1" applyProtection="1">
      <alignment horizontal="right"/>
    </xf>
    <xf numFmtId="49" fontId="3" fillId="0" borderId="0" xfId="65" applyNumberFormat="1" applyFont="1" applyFill="1" applyBorder="1" applyAlignment="1" applyProtection="1"/>
    <xf numFmtId="49" fontId="3" fillId="0" borderId="0" xfId="65" applyNumberFormat="1" applyFont="1" applyBorder="1" applyAlignment="1" applyProtection="1"/>
    <xf numFmtId="0" fontId="163" fillId="0" borderId="0" xfId="65" applyFont="1" applyProtection="1"/>
    <xf numFmtId="40" fontId="162" fillId="0" borderId="0" xfId="65" applyNumberFormat="1" applyFont="1" applyBorder="1" applyProtection="1"/>
    <xf numFmtId="196" fontId="9" fillId="0" borderId="0" xfId="65" applyNumberFormat="1" applyFont="1" applyAlignment="1" applyProtection="1">
      <alignment horizontal="left"/>
    </xf>
    <xf numFmtId="49" fontId="3" fillId="0" borderId="0" xfId="65" applyNumberFormat="1" applyFont="1" applyBorder="1" applyAlignment="1" applyProtection="1">
      <alignment horizontal="center"/>
    </xf>
    <xf numFmtId="49" fontId="7" fillId="0" borderId="0" xfId="65" applyNumberFormat="1" applyFont="1" applyBorder="1" applyAlignment="1" applyProtection="1">
      <alignment horizontal="center"/>
    </xf>
    <xf numFmtId="0" fontId="9" fillId="0" borderId="0" xfId="65" applyFont="1" applyFill="1" applyProtection="1"/>
    <xf numFmtId="40" fontId="3" fillId="0" borderId="0" xfId="65" applyNumberFormat="1" applyFill="1" applyAlignment="1" applyProtection="1">
      <alignment horizontal="right"/>
    </xf>
    <xf numFmtId="0" fontId="163" fillId="0" borderId="0" xfId="65" applyFont="1" applyFill="1" applyProtection="1"/>
    <xf numFmtId="0" fontId="3" fillId="0" borderId="0" xfId="65" applyFill="1" applyBorder="1" applyAlignment="1" applyProtection="1">
      <alignment horizontal="left"/>
    </xf>
    <xf numFmtId="0" fontId="9" fillId="0" borderId="67" xfId="65" applyFont="1" applyFill="1" applyBorder="1" applyAlignment="1" applyProtection="1">
      <alignment horizontal="center" wrapText="1"/>
    </xf>
    <xf numFmtId="0" fontId="9" fillId="0" borderId="0" xfId="65" applyFont="1" applyFill="1" applyBorder="1" applyAlignment="1" applyProtection="1">
      <alignment horizontal="center" wrapText="1"/>
    </xf>
    <xf numFmtId="49" fontId="3" fillId="0" borderId="0" xfId="65" applyNumberFormat="1" applyFont="1" applyFill="1" applyBorder="1" applyAlignment="1" applyProtection="1">
      <alignment horizontal="center"/>
    </xf>
    <xf numFmtId="40" fontId="3" fillId="0" borderId="0" xfId="65" applyNumberFormat="1" applyFont="1" applyFill="1" applyBorder="1" applyAlignment="1" applyProtection="1">
      <alignment horizontal="right"/>
    </xf>
    <xf numFmtId="40" fontId="3" fillId="0" borderId="0" xfId="65" quotePrefix="1" applyNumberFormat="1" applyBorder="1" applyAlignment="1" applyProtection="1">
      <alignment horizontal="right"/>
    </xf>
    <xf numFmtId="40" fontId="3" fillId="0" borderId="0" xfId="65" quotePrefix="1" applyNumberFormat="1" applyFill="1" applyBorder="1" applyAlignment="1" applyProtection="1">
      <alignment horizontal="right"/>
    </xf>
    <xf numFmtId="0" fontId="9" fillId="61" borderId="0" xfId="65" applyFont="1" applyFill="1" applyAlignment="1" applyProtection="1">
      <alignment horizontal="center"/>
    </xf>
    <xf numFmtId="0" fontId="9" fillId="0" borderId="67" xfId="65" applyFont="1" applyFill="1" applyBorder="1" applyAlignment="1" applyProtection="1">
      <alignment horizontal="center"/>
    </xf>
    <xf numFmtId="40" fontId="3" fillId="59" borderId="11" xfId="65" applyNumberFormat="1" applyFont="1" applyFill="1" applyBorder="1" applyAlignment="1" applyProtection="1">
      <alignment horizontal="right"/>
    </xf>
    <xf numFmtId="40" fontId="3" fillId="31" borderId="11" xfId="65" applyNumberFormat="1" applyFont="1" applyFill="1" applyBorder="1" applyAlignment="1" applyProtection="1">
      <alignment horizontal="center"/>
    </xf>
    <xf numFmtId="40" fontId="7" fillId="0" borderId="0" xfId="65" applyNumberFormat="1" applyFont="1" applyFill="1" applyBorder="1" applyAlignment="1" applyProtection="1">
      <alignment horizontal="center"/>
    </xf>
    <xf numFmtId="40" fontId="3" fillId="0" borderId="0" xfId="65" applyNumberFormat="1" applyFont="1" applyFill="1" applyBorder="1" applyProtection="1"/>
    <xf numFmtId="40" fontId="7" fillId="0" borderId="0" xfId="65" applyNumberFormat="1" applyFont="1" applyFill="1" applyBorder="1" applyProtection="1"/>
    <xf numFmtId="196" fontId="9" fillId="0" borderId="0" xfId="65" applyNumberFormat="1" applyFont="1" applyFill="1" applyBorder="1" applyAlignment="1" applyProtection="1">
      <alignment horizontal="left"/>
    </xf>
    <xf numFmtId="40" fontId="3" fillId="0" borderId="0" xfId="65" applyNumberFormat="1" applyFont="1" applyFill="1" applyBorder="1" applyAlignment="1" applyProtection="1">
      <alignment horizontal="left"/>
    </xf>
    <xf numFmtId="40" fontId="3" fillId="0" borderId="12" xfId="65" applyNumberFormat="1" applyFill="1" applyBorder="1" applyProtection="1"/>
    <xf numFmtId="39" fontId="9" fillId="0" borderId="0" xfId="65" applyNumberFormat="1" applyFont="1" applyBorder="1" applyAlignment="1" applyProtection="1">
      <alignment horizontal="right"/>
    </xf>
    <xf numFmtId="49" fontId="3" fillId="0" borderId="0" xfId="65" quotePrefix="1" applyNumberFormat="1" applyFont="1" applyAlignment="1" applyProtection="1">
      <alignment horizontal="left"/>
    </xf>
    <xf numFmtId="49" fontId="3" fillId="0" borderId="0" xfId="65" applyNumberFormat="1" applyFont="1" applyFill="1" applyBorder="1" applyProtection="1"/>
    <xf numFmtId="0" fontId="3" fillId="0" borderId="0" xfId="65" applyFont="1" applyFill="1" applyBorder="1" applyProtection="1"/>
    <xf numFmtId="0" fontId="3" fillId="0" borderId="0" xfId="65" quotePrefix="1" applyFont="1" applyAlignment="1" applyProtection="1">
      <alignment horizontal="left"/>
    </xf>
    <xf numFmtId="40" fontId="9" fillId="0" borderId="0" xfId="65" applyNumberFormat="1" applyFont="1" applyBorder="1" applyProtection="1"/>
    <xf numFmtId="40" fontId="9" fillId="0" borderId="0" xfId="65" applyNumberFormat="1" applyFont="1" applyFill="1" applyBorder="1" applyProtection="1"/>
    <xf numFmtId="0" fontId="3" fillId="0" borderId="0" xfId="65" applyFill="1" applyBorder="1" applyAlignment="1" applyProtection="1"/>
    <xf numFmtId="40" fontId="9" fillId="0" borderId="0" xfId="65" applyNumberFormat="1" applyFont="1" applyFill="1" applyBorder="1" applyAlignment="1" applyProtection="1">
      <alignment horizontal="right"/>
    </xf>
    <xf numFmtId="0" fontId="163" fillId="0" borderId="0" xfId="65" applyFont="1" applyFill="1" applyBorder="1" applyProtection="1"/>
    <xf numFmtId="0" fontId="3" fillId="0" borderId="0" xfId="65" applyFill="1" applyBorder="1" applyAlignment="1" applyProtection="1">
      <alignment horizontal="center"/>
    </xf>
    <xf numFmtId="0" fontId="3" fillId="0" borderId="0" xfId="65" applyBorder="1" applyAlignment="1" applyProtection="1"/>
    <xf numFmtId="0" fontId="100" fillId="59" borderId="11" xfId="65" applyNumberFormat="1" applyFont="1" applyFill="1" applyBorder="1" applyAlignment="1" applyProtection="1"/>
    <xf numFmtId="195" fontId="9" fillId="64" borderId="11" xfId="0" applyNumberFormat="1" applyFont="1" applyFill="1" applyBorder="1" applyAlignment="1" applyProtection="1">
      <alignment horizontal="left"/>
    </xf>
    <xf numFmtId="174" fontId="3" fillId="31" borderId="0" xfId="47" applyNumberFormat="1" applyFont="1" applyFill="1" applyBorder="1" applyProtection="1">
      <protection locked="0"/>
    </xf>
    <xf numFmtId="174" fontId="3" fillId="31" borderId="0" xfId="123" applyNumberFormat="1" applyFont="1" applyFill="1" applyBorder="1" applyProtection="1">
      <protection locked="0"/>
    </xf>
    <xf numFmtId="174" fontId="3" fillId="0" borderId="12" xfId="47" applyNumberFormat="1" applyFont="1" applyBorder="1" applyProtection="1"/>
    <xf numFmtId="167" fontId="3" fillId="0" borderId="0" xfId="0" applyNumberFormat="1" applyFont="1" applyFill="1" applyProtection="1"/>
    <xf numFmtId="167" fontId="3" fillId="0" borderId="12" xfId="0" applyNumberFormat="1" applyFont="1" applyFill="1" applyBorder="1" applyProtection="1"/>
    <xf numFmtId="167" fontId="3" fillId="40" borderId="12" xfId="0" applyNumberFormat="1" applyFont="1" applyFill="1" applyBorder="1" applyProtection="1"/>
    <xf numFmtId="167" fontId="3" fillId="0" borderId="12" xfId="0" applyNumberFormat="1" applyFont="1" applyBorder="1" applyProtection="1"/>
    <xf numFmtId="167" fontId="3" fillId="40" borderId="0" xfId="47" applyNumberFormat="1" applyFont="1" applyFill="1" applyProtection="1"/>
    <xf numFmtId="167" fontId="3" fillId="40" borderId="0" xfId="61" applyNumberFormat="1" applyFont="1" applyFill="1" applyAlignment="1" applyProtection="1"/>
    <xf numFmtId="167" fontId="3" fillId="40" borderId="11" xfId="0" applyNumberFormat="1" applyFont="1" applyFill="1" applyBorder="1" applyProtection="1"/>
    <xf numFmtId="167" fontId="3" fillId="40" borderId="115" xfId="47" applyNumberFormat="1" applyFont="1" applyFill="1" applyBorder="1" applyProtection="1"/>
    <xf numFmtId="167" fontId="2" fillId="40" borderId="0" xfId="61" applyNumberFormat="1" applyFont="1" applyFill="1" applyBorder="1" applyAlignment="1" applyProtection="1">
      <alignment horizontal="right"/>
    </xf>
    <xf numFmtId="167" fontId="2" fillId="40" borderId="0" xfId="61" applyNumberFormat="1" applyFont="1" applyFill="1" applyAlignment="1" applyProtection="1">
      <alignment horizontal="right"/>
    </xf>
    <xf numFmtId="167" fontId="3" fillId="40" borderId="0" xfId="47" applyNumberFormat="1" applyFont="1" applyFill="1" applyProtection="1">
      <protection locked="0"/>
    </xf>
    <xf numFmtId="167" fontId="3" fillId="40" borderId="11" xfId="47" applyNumberFormat="1" applyFont="1" applyFill="1" applyBorder="1" applyProtection="1"/>
    <xf numFmtId="174" fontId="3" fillId="40" borderId="0" xfId="47" applyNumberFormat="1" applyFont="1" applyFill="1" applyProtection="1"/>
    <xf numFmtId="174" fontId="3" fillId="40" borderId="0" xfId="61" applyNumberFormat="1" applyFont="1" applyFill="1" applyAlignment="1" applyProtection="1"/>
    <xf numFmtId="174" fontId="3" fillId="40" borderId="11" xfId="0" applyNumberFormat="1" applyFont="1" applyFill="1" applyBorder="1" applyProtection="1"/>
    <xf numFmtId="174" fontId="42" fillId="40" borderId="0" xfId="0" applyNumberFormat="1" applyFont="1" applyFill="1" applyProtection="1"/>
    <xf numFmtId="174" fontId="2" fillId="40" borderId="0" xfId="61" applyNumberFormat="1" applyFont="1" applyFill="1" applyAlignment="1" applyProtection="1">
      <alignment horizontal="right"/>
    </xf>
    <xf numFmtId="4" fontId="227" fillId="0" borderId="0" xfId="61" applyNumberFormat="1" applyFont="1" applyBorder="1" applyAlignment="1"/>
    <xf numFmtId="0" fontId="228" fillId="0" borderId="11" xfId="0" applyFont="1" applyBorder="1" applyAlignment="1">
      <alignment wrapText="1"/>
    </xf>
    <xf numFmtId="0" fontId="229" fillId="0" borderId="0" xfId="0" applyFont="1" applyBorder="1" applyAlignment="1"/>
    <xf numFmtId="43" fontId="59" fillId="0" borderId="13" xfId="123" applyFont="1" applyBorder="1" applyAlignment="1" applyProtection="1"/>
    <xf numFmtId="43" fontId="11" fillId="0" borderId="12" xfId="123" applyNumberFormat="1" applyFont="1" applyBorder="1" applyProtection="1"/>
    <xf numFmtId="0" fontId="56" fillId="0" borderId="0" xfId="0" applyFont="1" applyFill="1" applyProtection="1"/>
    <xf numFmtId="167" fontId="191" fillId="53" borderId="0" xfId="123" applyNumberFormat="1" applyFont="1" applyFill="1" applyBorder="1"/>
    <xf numFmtId="43" fontId="195" fillId="65" borderId="0" xfId="0" applyNumberFormat="1" applyFont="1" applyFill="1"/>
    <xf numFmtId="0" fontId="37" fillId="0" borderId="0" xfId="0" applyFont="1" applyFill="1" applyAlignment="1">
      <alignment horizontal="center" wrapText="1"/>
    </xf>
    <xf numFmtId="43" fontId="37" fillId="65" borderId="0" xfId="123" applyFont="1" applyFill="1" applyAlignment="1">
      <alignment horizontal="center" wrapText="1"/>
    </xf>
    <xf numFmtId="43" fontId="37" fillId="29" borderId="0" xfId="123" applyFont="1" applyFill="1" applyAlignment="1">
      <alignment horizontal="center" wrapText="1"/>
    </xf>
    <xf numFmtId="43" fontId="176" fillId="29" borderId="0" xfId="123" applyFont="1" applyFill="1" applyBorder="1"/>
    <xf numFmtId="43" fontId="198" fillId="29" borderId="0" xfId="0" applyNumberFormat="1" applyFont="1" applyFill="1"/>
    <xf numFmtId="0" fontId="3" fillId="29" borderId="0" xfId="0" applyFont="1" applyFill="1" applyProtection="1"/>
    <xf numFmtId="43" fontId="37" fillId="29" borderId="0" xfId="0" applyNumberFormat="1" applyFont="1" applyFill="1"/>
    <xf numFmtId="0" fontId="71" fillId="40" borderId="0" xfId="0" applyFont="1" applyFill="1" applyBorder="1" applyAlignment="1" applyProtection="1">
      <alignment horizontal="left"/>
    </xf>
    <xf numFmtId="0" fontId="71" fillId="40" borderId="0" xfId="0" applyFont="1" applyFill="1" applyBorder="1" applyAlignment="1" applyProtection="1"/>
    <xf numFmtId="0" fontId="3" fillId="29" borderId="0" xfId="61" applyNumberFormat="1" applyFont="1" applyFill="1" applyAlignment="1" applyProtection="1"/>
    <xf numFmtId="167" fontId="59" fillId="36" borderId="0" xfId="123" applyNumberFormat="1" applyFont="1" applyFill="1" applyBorder="1" applyAlignment="1" applyProtection="1">
      <protection locked="0"/>
    </xf>
    <xf numFmtId="43" fontId="37" fillId="102" borderId="0" xfId="123" applyFont="1" applyFill="1" applyBorder="1" applyAlignment="1">
      <alignment horizontal="center" wrapText="1"/>
    </xf>
    <xf numFmtId="43" fontId="37" fillId="102" borderId="0" xfId="123" applyFont="1" applyFill="1" applyBorder="1"/>
    <xf numFmtId="43" fontId="37" fillId="29" borderId="0" xfId="123" applyFont="1" applyFill="1" applyBorder="1" applyAlignment="1">
      <alignment horizontal="center" wrapText="1"/>
    </xf>
    <xf numFmtId="43" fontId="37" fillId="29" borderId="0" xfId="123" applyFont="1" applyFill="1" applyBorder="1"/>
    <xf numFmtId="43" fontId="37" fillId="42" borderId="0" xfId="123" applyFont="1" applyFill="1" applyBorder="1" applyAlignment="1">
      <alignment horizontal="center" wrapText="1"/>
    </xf>
    <xf numFmtId="43" fontId="231" fillId="42" borderId="0" xfId="123" applyFont="1" applyFill="1" applyBorder="1" applyAlignment="1">
      <alignment horizontal="right" wrapText="1"/>
    </xf>
    <xf numFmtId="0" fontId="9" fillId="59" borderId="251" xfId="0" applyFont="1" applyFill="1" applyBorder="1" applyAlignment="1" applyProtection="1">
      <alignment horizontal="center"/>
      <protection locked="0"/>
    </xf>
    <xf numFmtId="0" fontId="9" fillId="0" borderId="0" xfId="0" applyFont="1" applyBorder="1" applyAlignment="1" applyProtection="1">
      <alignment horizontal="center"/>
      <protection locked="0"/>
    </xf>
    <xf numFmtId="0" fontId="9" fillId="59" borderId="11" xfId="0" applyFont="1" applyFill="1" applyBorder="1" applyAlignment="1" applyProtection="1">
      <alignment horizontal="center"/>
      <protection locked="0"/>
    </xf>
    <xf numFmtId="196" fontId="9" fillId="0" borderId="0" xfId="0" applyNumberFormat="1" applyFont="1" applyFill="1" applyBorder="1" applyAlignment="1" applyProtection="1">
      <alignment horizontal="center"/>
      <protection locked="0"/>
    </xf>
    <xf numFmtId="0" fontId="42" fillId="41" borderId="15" xfId="0" applyFont="1" applyFill="1" applyBorder="1" applyAlignment="1">
      <alignment horizontal="right"/>
    </xf>
    <xf numFmtId="0" fontId="42" fillId="41" borderId="0" xfId="0" applyFont="1" applyFill="1" applyBorder="1"/>
    <xf numFmtId="0" fontId="42" fillId="41" borderId="0" xfId="0" applyFont="1" applyFill="1" applyBorder="1" applyAlignment="1">
      <alignment horizontal="center"/>
    </xf>
    <xf numFmtId="177" fontId="42" fillId="41" borderId="0" xfId="0" applyNumberFormat="1" applyFont="1" applyFill="1" applyBorder="1" applyAlignment="1">
      <alignment horizontal="center"/>
    </xf>
    <xf numFmtId="177" fontId="42" fillId="41" borderId="16" xfId="0" applyNumberFormat="1" applyFont="1" applyFill="1" applyBorder="1" applyAlignment="1">
      <alignment horizontal="center"/>
    </xf>
    <xf numFmtId="0" fontId="78" fillId="41" borderId="11" xfId="0" applyFont="1" applyFill="1" applyBorder="1" applyAlignment="1" applyProtection="1">
      <alignment horizontal="center"/>
    </xf>
    <xf numFmtId="0" fontId="42" fillId="41" borderId="11" xfId="0" applyFont="1" applyFill="1" applyBorder="1" applyAlignment="1">
      <alignment horizontal="center"/>
    </xf>
    <xf numFmtId="167" fontId="42" fillId="41" borderId="14" xfId="123" applyNumberFormat="1" applyFont="1" applyFill="1" applyBorder="1" applyAlignment="1">
      <alignment horizontal="center"/>
    </xf>
    <xf numFmtId="0" fontId="42" fillId="41" borderId="0" xfId="0" applyFont="1" applyFill="1" applyBorder="1" applyAlignment="1">
      <alignment horizontal="right"/>
    </xf>
    <xf numFmtId="167" fontId="42" fillId="41" borderId="0" xfId="123" applyNumberFormat="1" applyFont="1" applyFill="1" applyBorder="1"/>
    <xf numFmtId="167" fontId="42" fillId="41" borderId="16" xfId="123" applyNumberFormat="1" applyFont="1" applyFill="1" applyBorder="1"/>
    <xf numFmtId="167" fontId="42" fillId="41" borderId="11" xfId="123" applyNumberFormat="1" applyFont="1" applyFill="1" applyBorder="1"/>
    <xf numFmtId="167" fontId="42" fillId="41" borderId="14" xfId="123" applyNumberFormat="1" applyFont="1" applyFill="1" applyBorder="1"/>
    <xf numFmtId="0" fontId="234" fillId="40" borderId="0" xfId="0" applyFont="1" applyFill="1" applyAlignment="1">
      <alignment horizontal="left"/>
    </xf>
    <xf numFmtId="0" fontId="3" fillId="40" borderId="0" xfId="61" applyNumberFormat="1" applyFont="1" applyFill="1" applyAlignment="1"/>
    <xf numFmtId="0" fontId="107" fillId="40" borderId="0" xfId="0" applyFont="1" applyFill="1"/>
    <xf numFmtId="43" fontId="2" fillId="0" borderId="0" xfId="123" applyNumberFormat="1" applyFont="1" applyFill="1" applyBorder="1" applyAlignment="1" applyProtection="1"/>
    <xf numFmtId="43" fontId="2" fillId="0" borderId="11" xfId="123" applyNumberFormat="1" applyFont="1" applyFill="1" applyBorder="1" applyAlignment="1" applyProtection="1"/>
    <xf numFmtId="43" fontId="2" fillId="40" borderId="0" xfId="61" applyNumberFormat="1" applyFont="1" applyFill="1" applyBorder="1" applyAlignment="1" applyProtection="1"/>
    <xf numFmtId="43" fontId="3" fillId="0" borderId="12" xfId="0" applyNumberFormat="1" applyFont="1" applyBorder="1" applyProtection="1"/>
    <xf numFmtId="43" fontId="3" fillId="0" borderId="12" xfId="0" applyNumberFormat="1" applyFont="1" applyFill="1" applyBorder="1" applyProtection="1"/>
    <xf numFmtId="200" fontId="2" fillId="0" borderId="0" xfId="61" applyNumberFormat="1" applyFont="1" applyFill="1" applyBorder="1" applyAlignment="1" applyProtection="1"/>
    <xf numFmtId="200" fontId="3" fillId="40" borderId="0" xfId="0" applyNumberFormat="1" applyFont="1" applyFill="1" applyProtection="1"/>
    <xf numFmtId="43" fontId="3" fillId="40" borderId="12" xfId="0" applyNumberFormat="1" applyFont="1" applyFill="1" applyBorder="1" applyProtection="1"/>
    <xf numFmtId="200" fontId="3" fillId="0" borderId="12" xfId="0" applyNumberFormat="1" applyFont="1" applyBorder="1" applyProtection="1"/>
    <xf numFmtId="200" fontId="3" fillId="0" borderId="12" xfId="0" applyNumberFormat="1" applyFont="1" applyFill="1" applyBorder="1" applyProtection="1"/>
    <xf numFmtId="43" fontId="2" fillId="0" borderId="0" xfId="61" applyNumberFormat="1" applyFont="1" applyFill="1" applyBorder="1" applyAlignment="1" applyProtection="1"/>
    <xf numFmtId="43" fontId="3" fillId="40" borderId="0" xfId="47" applyNumberFormat="1" applyFont="1" applyFill="1" applyProtection="1"/>
    <xf numFmtId="43" fontId="2" fillId="0" borderId="0" xfId="123" applyNumberFormat="1" applyFont="1" applyFill="1" applyAlignment="1" applyProtection="1">
      <alignment horizontal="right"/>
    </xf>
    <xf numFmtId="43" fontId="3" fillId="40" borderId="115" xfId="47" applyNumberFormat="1" applyFont="1" applyFill="1" applyBorder="1" applyProtection="1"/>
    <xf numFmtId="43" fontId="3" fillId="40" borderId="0" xfId="47" applyNumberFormat="1" applyFont="1" applyFill="1" applyProtection="1">
      <protection locked="0"/>
    </xf>
    <xf numFmtId="43" fontId="2" fillId="40" borderId="0" xfId="61" applyNumberFormat="1" applyFont="1" applyFill="1" applyBorder="1" applyAlignment="1" applyProtection="1">
      <alignment horizontal="right"/>
    </xf>
    <xf numFmtId="43" fontId="3" fillId="40" borderId="11" xfId="47" applyNumberFormat="1" applyFont="1" applyFill="1" applyBorder="1" applyProtection="1"/>
    <xf numFmtId="44" fontId="3" fillId="40" borderId="115" xfId="47" applyNumberFormat="1" applyFont="1" applyFill="1" applyBorder="1" applyProtection="1"/>
    <xf numFmtId="44" fontId="3" fillId="40" borderId="0" xfId="0" applyNumberFormat="1" applyFont="1" applyFill="1" applyProtection="1"/>
    <xf numFmtId="44" fontId="3" fillId="40" borderId="11" xfId="47" applyNumberFormat="1" applyFont="1" applyFill="1" applyBorder="1" applyProtection="1"/>
    <xf numFmtId="200" fontId="3" fillId="0" borderId="0" xfId="48" applyNumberFormat="1" applyFont="1" applyFill="1" applyProtection="1"/>
    <xf numFmtId="43" fontId="3" fillId="0" borderId="0" xfId="123" applyNumberFormat="1" applyFont="1" applyFill="1" applyProtection="1"/>
    <xf numFmtId="44" fontId="3" fillId="40" borderId="0" xfId="47" applyNumberFormat="1" applyFont="1" applyFill="1" applyBorder="1" applyProtection="1"/>
    <xf numFmtId="43" fontId="3" fillId="0" borderId="0" xfId="123" applyNumberFormat="1" applyFont="1" applyFill="1" applyBorder="1" applyProtection="1"/>
    <xf numFmtId="43" fontId="3" fillId="40" borderId="0" xfId="123" applyNumberFormat="1" applyFont="1" applyFill="1" applyProtection="1"/>
    <xf numFmtId="43" fontId="3" fillId="40" borderId="11" xfId="123" applyNumberFormat="1" applyFont="1" applyFill="1" applyBorder="1" applyProtection="1"/>
    <xf numFmtId="43" fontId="3" fillId="40" borderId="0" xfId="29" applyNumberFormat="1" applyFont="1" applyFill="1" applyProtection="1"/>
    <xf numFmtId="201" fontId="3" fillId="40" borderId="11" xfId="123" applyNumberFormat="1" applyFont="1" applyFill="1" applyBorder="1" applyProtection="1"/>
    <xf numFmtId="4" fontId="3" fillId="0" borderId="0" xfId="123" applyNumberFormat="1" applyFont="1" applyBorder="1" applyProtection="1">
      <protection locked="0"/>
    </xf>
    <xf numFmtId="0" fontId="3" fillId="0" borderId="0" xfId="65" applyFill="1" applyBorder="1" applyProtection="1">
      <protection locked="0"/>
    </xf>
    <xf numFmtId="0" fontId="9" fillId="0" borderId="0" xfId="65" applyFont="1" applyFill="1" applyBorder="1" applyProtection="1">
      <protection locked="0"/>
    </xf>
    <xf numFmtId="0" fontId="3" fillId="0" borderId="0" xfId="65" applyProtection="1">
      <protection locked="0"/>
    </xf>
    <xf numFmtId="40" fontId="3" fillId="0" borderId="0" xfId="65" quotePrefix="1" applyNumberFormat="1" applyAlignment="1" applyProtection="1">
      <alignment horizontal="left"/>
      <protection locked="0"/>
    </xf>
    <xf numFmtId="0" fontId="143" fillId="0" borderId="0" xfId="61" applyFont="1" applyFill="1" applyAlignment="1" applyProtection="1">
      <alignment horizontal="left"/>
    </xf>
    <xf numFmtId="41" fontId="3" fillId="0" borderId="11" xfId="65" applyNumberFormat="1" applyFont="1" applyFill="1" applyBorder="1" applyAlignment="1">
      <alignment horizontal="center"/>
    </xf>
    <xf numFmtId="41" fontId="3" fillId="0" borderId="11" xfId="0" applyNumberFormat="1" applyFont="1" applyFill="1" applyBorder="1" applyAlignment="1">
      <alignment horizontal="center" wrapText="1"/>
    </xf>
    <xf numFmtId="43" fontId="67" fillId="0" borderId="59" xfId="123" applyFont="1" applyFill="1" applyBorder="1" applyAlignment="1" applyProtection="1"/>
    <xf numFmtId="0" fontId="195" fillId="53" borderId="0" xfId="0" applyFont="1" applyFill="1" applyAlignment="1">
      <alignment horizontal="center" wrapText="1"/>
    </xf>
    <xf numFmtId="187" fontId="3" fillId="24" borderId="11" xfId="47" applyNumberFormat="1" applyFont="1" applyFill="1" applyBorder="1" applyProtection="1"/>
    <xf numFmtId="0" fontId="5" fillId="0" borderId="0" xfId="65" applyFont="1" applyProtection="1"/>
    <xf numFmtId="15" fontId="5" fillId="0" borderId="0" xfId="65" applyNumberFormat="1" applyFont="1" applyProtection="1"/>
    <xf numFmtId="0" fontId="19" fillId="0" borderId="0" xfId="65" applyFont="1" applyProtection="1"/>
    <xf numFmtId="15" fontId="104" fillId="0" borderId="0" xfId="65" applyNumberFormat="1" applyFont="1" applyProtection="1"/>
    <xf numFmtId="0" fontId="5" fillId="0" borderId="0" xfId="65" applyFont="1" applyFill="1" applyBorder="1" applyAlignment="1" applyProtection="1">
      <alignment horizontal="left"/>
    </xf>
    <xf numFmtId="0" fontId="5" fillId="0" borderId="0" xfId="65" applyFont="1" applyFill="1" applyBorder="1" applyProtection="1"/>
    <xf numFmtId="0" fontId="19" fillId="0" borderId="0" xfId="65" applyFont="1" applyFill="1" applyBorder="1" applyProtection="1"/>
    <xf numFmtId="0" fontId="5" fillId="0" borderId="0" xfId="65" applyFont="1" applyBorder="1" applyProtection="1"/>
    <xf numFmtId="0" fontId="5" fillId="0" borderId="0" xfId="65" applyFont="1" applyBorder="1" applyAlignment="1" applyProtection="1">
      <alignment horizontal="center"/>
    </xf>
    <xf numFmtId="0" fontId="19" fillId="0" borderId="0" xfId="65" applyFont="1" applyBorder="1" applyProtection="1"/>
    <xf numFmtId="49" fontId="3" fillId="0" borderId="0" xfId="65" applyNumberFormat="1" applyFont="1" applyAlignment="1" applyProtection="1">
      <alignment horizontal="center"/>
    </xf>
    <xf numFmtId="0" fontId="3" fillId="0" borderId="0" xfId="65" applyFont="1" applyAlignment="1" applyProtection="1">
      <alignment horizontal="left"/>
    </xf>
    <xf numFmtId="0" fontId="3" fillId="0" borderId="11" xfId="65" applyFont="1" applyFill="1" applyBorder="1" applyAlignment="1" applyProtection="1">
      <alignment horizontal="center"/>
    </xf>
    <xf numFmtId="0" fontId="3" fillId="0" borderId="0" xfId="65" applyFont="1" applyFill="1" applyProtection="1"/>
    <xf numFmtId="199" fontId="169" fillId="0" borderId="0" xfId="65" applyNumberFormat="1" applyFont="1" applyFill="1" applyBorder="1" applyAlignment="1" applyProtection="1"/>
    <xf numFmtId="4" fontId="3" fillId="62" borderId="0" xfId="123" applyNumberFormat="1" applyFont="1" applyFill="1" applyProtection="1"/>
    <xf numFmtId="0" fontId="64" fillId="0" borderId="0" xfId="65" applyFont="1" applyBorder="1" applyProtection="1"/>
    <xf numFmtId="4" fontId="5" fillId="0" borderId="0" xfId="123" applyNumberFormat="1" applyFont="1" applyProtection="1"/>
    <xf numFmtId="0" fontId="64" fillId="0" borderId="0" xfId="65" applyFont="1" applyFill="1" applyBorder="1" applyProtection="1"/>
    <xf numFmtId="0" fontId="5" fillId="0" borderId="0" xfId="65" applyFont="1" applyFill="1" applyProtection="1"/>
    <xf numFmtId="4" fontId="5" fillId="62" borderId="0" xfId="123" applyNumberFormat="1" applyFont="1" applyFill="1" applyProtection="1"/>
    <xf numFmtId="0" fontId="64" fillId="0" borderId="0" xfId="65" applyFont="1" applyBorder="1" applyAlignment="1" applyProtection="1">
      <alignment horizontal="left"/>
    </xf>
    <xf numFmtId="0" fontId="11" fillId="0" borderId="0" xfId="65" applyFont="1" applyBorder="1" applyProtection="1"/>
    <xf numFmtId="199" fontId="169" fillId="0" borderId="0" xfId="65" applyNumberFormat="1" applyFont="1" applyProtection="1"/>
    <xf numFmtId="0" fontId="11" fillId="0" borderId="0" xfId="65" applyFont="1" applyProtection="1"/>
    <xf numFmtId="167" fontId="3" fillId="0" borderId="0" xfId="123" applyNumberFormat="1" applyFont="1" applyAlignment="1">
      <alignment horizontal="center"/>
    </xf>
    <xf numFmtId="39" fontId="5" fillId="59" borderId="11" xfId="65" applyNumberFormat="1" applyFont="1" applyFill="1" applyBorder="1" applyProtection="1">
      <protection locked="0"/>
    </xf>
    <xf numFmtId="43" fontId="37" fillId="0" borderId="0" xfId="123" applyFont="1" applyFill="1" applyBorder="1" applyAlignment="1">
      <alignment horizontal="center" wrapText="1"/>
    </xf>
    <xf numFmtId="43" fontId="196" fillId="53" borderId="0" xfId="123" applyFont="1" applyFill="1" applyBorder="1" applyAlignment="1">
      <alignment horizontal="center"/>
    </xf>
    <xf numFmtId="0" fontId="0" fillId="53" borderId="0" xfId="0" applyFill="1"/>
    <xf numFmtId="174" fontId="3" fillId="0" borderId="0" xfId="47" applyNumberFormat="1" applyFont="1" applyFill="1" applyProtection="1"/>
    <xf numFmtId="174" fontId="3" fillId="0" borderId="0" xfId="47" applyNumberFormat="1" applyFont="1" applyFill="1" applyBorder="1" applyProtection="1"/>
    <xf numFmtId="167" fontId="3" fillId="31" borderId="0" xfId="123" applyNumberFormat="1" applyFont="1" applyFill="1" applyAlignment="1" applyProtection="1">
      <protection locked="0"/>
    </xf>
    <xf numFmtId="176" fontId="3" fillId="31" borderId="0" xfId="123" applyNumberFormat="1" applyFont="1" applyFill="1" applyAlignment="1" applyProtection="1">
      <protection locked="0"/>
    </xf>
    <xf numFmtId="176" fontId="3" fillId="31" borderId="0" xfId="123" applyNumberFormat="1" applyFont="1" applyFill="1" applyBorder="1" applyAlignment="1" applyProtection="1">
      <protection locked="0"/>
    </xf>
    <xf numFmtId="176" fontId="11" fillId="31" borderId="0" xfId="123" applyNumberFormat="1" applyFont="1" applyFill="1" applyBorder="1" applyAlignment="1" applyProtection="1">
      <protection locked="0"/>
    </xf>
    <xf numFmtId="176" fontId="2" fillId="31" borderId="0" xfId="123" applyNumberFormat="1" applyFont="1" applyFill="1" applyBorder="1" applyAlignment="1" applyProtection="1">
      <protection locked="0"/>
    </xf>
    <xf numFmtId="176" fontId="11" fillId="31" borderId="0" xfId="123" applyNumberFormat="1" applyFont="1" applyFill="1" applyProtection="1">
      <protection locked="0"/>
    </xf>
    <xf numFmtId="176" fontId="3" fillId="0" borderId="0" xfId="123" applyNumberFormat="1" applyFont="1" applyFill="1" applyProtection="1"/>
    <xf numFmtId="176" fontId="9" fillId="0" borderId="0" xfId="123" applyNumberFormat="1" applyFont="1" applyFill="1" applyProtection="1"/>
    <xf numFmtId="176" fontId="3" fillId="0" borderId="0" xfId="111" applyNumberFormat="1" applyFont="1" applyFill="1" applyProtection="1">
      <protection locked="0"/>
    </xf>
    <xf numFmtId="44" fontId="0" fillId="31" borderId="0" xfId="47" applyFont="1" applyFill="1"/>
    <xf numFmtId="44" fontId="3" fillId="0" borderId="0" xfId="47" applyNumberFormat="1" applyFont="1" applyFill="1" applyBorder="1" applyProtection="1"/>
    <xf numFmtId="0" fontId="236" fillId="0" borderId="0" xfId="0" applyFont="1" applyAlignment="1">
      <alignment wrapText="1"/>
    </xf>
    <xf numFmtId="0" fontId="238" fillId="0" borderId="0" xfId="0" applyFont="1"/>
    <xf numFmtId="0" fontId="239" fillId="24" borderId="0" xfId="0" applyFont="1" applyFill="1" applyBorder="1" applyAlignment="1">
      <alignment horizontal="left"/>
    </xf>
    <xf numFmtId="0" fontId="240" fillId="0" borderId="0" xfId="0" applyFont="1"/>
    <xf numFmtId="0" fontId="240" fillId="0" borderId="0" xfId="0" applyFont="1" applyAlignment="1">
      <alignment vertical="center" wrapText="1"/>
    </xf>
    <xf numFmtId="0" fontId="240" fillId="0" borderId="0" xfId="0" applyFont="1" applyAlignment="1">
      <alignment wrapText="1"/>
    </xf>
    <xf numFmtId="0" fontId="241" fillId="24" borderId="0" xfId="0" applyFont="1" applyFill="1" applyBorder="1" applyAlignment="1"/>
    <xf numFmtId="0" fontId="241" fillId="40" borderId="0" xfId="0" applyFont="1" applyFill="1" applyBorder="1" applyAlignment="1"/>
    <xf numFmtId="173" fontId="172" fillId="24" borderId="0" xfId="0" applyNumberFormat="1" applyFont="1" applyFill="1" applyBorder="1" applyAlignment="1">
      <alignment horizontal="center"/>
    </xf>
    <xf numFmtId="173" fontId="172" fillId="40" borderId="0" xfId="0" applyNumberFormat="1" applyFont="1" applyFill="1" applyBorder="1" applyAlignment="1">
      <alignment horizontal="center"/>
    </xf>
    <xf numFmtId="0" fontId="175" fillId="24" borderId="0" xfId="0" applyFont="1" applyFill="1" applyBorder="1" applyAlignment="1">
      <alignment horizontal="left"/>
    </xf>
    <xf numFmtId="0" fontId="5" fillId="24" borderId="0" xfId="0" applyFont="1" applyFill="1" applyBorder="1"/>
    <xf numFmtId="0" fontId="5" fillId="40" borderId="0" xfId="0" applyFont="1" applyFill="1" applyBorder="1"/>
    <xf numFmtId="49" fontId="5" fillId="40" borderId="0" xfId="0" applyNumberFormat="1" applyFont="1" applyFill="1" applyBorder="1" applyAlignment="1">
      <alignment horizontal="left"/>
    </xf>
    <xf numFmtId="0" fontId="104" fillId="40" borderId="0" xfId="0" applyFont="1" applyFill="1" applyBorder="1" applyAlignment="1">
      <alignment horizontal="center" wrapText="1"/>
    </xf>
    <xf numFmtId="49" fontId="5" fillId="24" borderId="0" xfId="0" applyNumberFormat="1" applyFont="1" applyFill="1" applyBorder="1" applyAlignment="1">
      <alignment horizontal="center"/>
    </xf>
    <xf numFmtId="0" fontId="5" fillId="24" borderId="0" xfId="0" applyFont="1" applyFill="1" applyBorder="1" applyAlignment="1"/>
    <xf numFmtId="49" fontId="5" fillId="40" borderId="0" xfId="0" applyNumberFormat="1" applyFont="1" applyFill="1" applyBorder="1" applyAlignment="1">
      <alignment horizontal="center"/>
    </xf>
    <xf numFmtId="49" fontId="5" fillId="0" borderId="0" xfId="0" applyNumberFormat="1" applyFont="1" applyBorder="1" applyAlignment="1">
      <alignment horizontal="center"/>
    </xf>
    <xf numFmtId="49" fontId="5" fillId="0" borderId="0" xfId="0" applyNumberFormat="1" applyFont="1" applyBorder="1" applyAlignment="1">
      <alignment horizontal="left"/>
    </xf>
    <xf numFmtId="49" fontId="0" fillId="0" borderId="0" xfId="0" applyNumberFormat="1"/>
    <xf numFmtId="49" fontId="0" fillId="40" borderId="0" xfId="0" applyNumberFormat="1" applyFill="1" applyBorder="1"/>
    <xf numFmtId="49" fontId="5" fillId="0" borderId="0" xfId="0" applyNumberFormat="1" applyFont="1" applyFill="1" applyBorder="1" applyAlignment="1">
      <alignment horizontal="left"/>
    </xf>
    <xf numFmtId="0" fontId="0" fillId="40" borderId="0" xfId="0" applyFill="1" applyBorder="1"/>
    <xf numFmtId="0" fontId="242" fillId="0" borderId="0" xfId="0" applyFont="1"/>
    <xf numFmtId="0" fontId="103" fillId="0" borderId="0" xfId="0" applyFont="1"/>
    <xf numFmtId="0" fontId="94" fillId="0" borderId="0" xfId="0" applyFont="1"/>
    <xf numFmtId="0" fontId="107" fillId="30" borderId="258" xfId="0" applyFont="1" applyFill="1" applyBorder="1" applyAlignment="1">
      <alignment horizontal="center"/>
    </xf>
    <xf numFmtId="0" fontId="107" fillId="30" borderId="258" xfId="0" applyFont="1" applyFill="1" applyBorder="1"/>
    <xf numFmtId="0" fontId="107" fillId="46" borderId="59" xfId="0" applyFont="1" applyFill="1" applyBorder="1" applyAlignment="1">
      <alignment wrapText="1"/>
    </xf>
    <xf numFmtId="0" fontId="77" fillId="0" borderId="59" xfId="0" applyFont="1" applyBorder="1"/>
    <xf numFmtId="0" fontId="77" fillId="117" borderId="59" xfId="0" applyFont="1" applyFill="1" applyBorder="1"/>
    <xf numFmtId="0" fontId="77" fillId="117" borderId="51" xfId="0" applyFont="1" applyFill="1" applyBorder="1"/>
    <xf numFmtId="0" fontId="77" fillId="118" borderId="59" xfId="0" applyFont="1" applyFill="1" applyBorder="1"/>
    <xf numFmtId="0" fontId="77" fillId="118" borderId="51" xfId="0" applyFont="1" applyFill="1" applyBorder="1"/>
    <xf numFmtId="0" fontId="37" fillId="0" borderId="0" xfId="0" applyFont="1" applyFill="1" applyAlignment="1">
      <alignment horizontal="left"/>
    </xf>
    <xf numFmtId="0" fontId="0" fillId="0" borderId="14" xfId="0" applyBorder="1" applyAlignment="1">
      <alignment horizontal="center" vertical="center" wrapText="1"/>
    </xf>
    <xf numFmtId="0" fontId="0" fillId="0" borderId="51" xfId="0" applyBorder="1" applyAlignment="1">
      <alignment horizontal="center" vertical="center" wrapText="1"/>
    </xf>
    <xf numFmtId="0" fontId="0" fillId="0" borderId="13" xfId="0" applyBorder="1" applyAlignment="1">
      <alignment horizontal="center" vertical="center" wrapText="1"/>
    </xf>
    <xf numFmtId="0" fontId="0" fillId="0" borderId="13" xfId="0" applyFill="1" applyBorder="1" applyAlignment="1">
      <alignment horizontal="center" vertical="center" wrapText="1"/>
    </xf>
    <xf numFmtId="0" fontId="37" fillId="0" borderId="0" xfId="0" applyFont="1" applyAlignment="1">
      <alignment horizontal="center" vertical="center" wrapText="1"/>
    </xf>
    <xf numFmtId="0" fontId="243" fillId="107" borderId="0" xfId="0" applyNumberFormat="1" applyFont="1" applyFill="1" applyBorder="1" applyAlignment="1">
      <alignment horizontal="right"/>
    </xf>
    <xf numFmtId="0" fontId="243" fillId="107" borderId="0" xfId="0" applyNumberFormat="1" applyFont="1" applyFill="1" applyBorder="1" applyAlignment="1">
      <alignment horizontal="left"/>
    </xf>
    <xf numFmtId="0" fontId="188" fillId="107" borderId="0" xfId="0" applyFont="1" applyFill="1"/>
    <xf numFmtId="0" fontId="244" fillId="107" borderId="0" xfId="0" applyFont="1" applyFill="1" applyAlignment="1">
      <alignment horizontal="center" vertical="center"/>
    </xf>
    <xf numFmtId="0" fontId="138" fillId="107" borderId="0" xfId="0" applyFont="1" applyFill="1"/>
    <xf numFmtId="49" fontId="5" fillId="59" borderId="11" xfId="0" applyNumberFormat="1" applyFont="1" applyFill="1" applyBorder="1" applyAlignment="1" applyProtection="1">
      <alignment horizontal="left"/>
      <protection locked="0"/>
    </xf>
    <xf numFmtId="0" fontId="3" fillId="40" borderId="0" xfId="0" applyFont="1" applyFill="1" applyAlignment="1" applyProtection="1"/>
    <xf numFmtId="0" fontId="42" fillId="0" borderId="0" xfId="0" applyFont="1" applyAlignment="1"/>
    <xf numFmtId="0" fontId="9" fillId="0" borderId="0" xfId="0" applyFont="1" applyFill="1" applyBorder="1" applyAlignment="1">
      <alignment horizontal="center"/>
    </xf>
    <xf numFmtId="0" fontId="9" fillId="0" borderId="0" xfId="0" applyFont="1" applyBorder="1" applyAlignment="1">
      <alignment horizontal="center"/>
    </xf>
    <xf numFmtId="0" fontId="59" fillId="40" borderId="0" xfId="0" applyFont="1" applyFill="1" applyBorder="1" applyAlignment="1" applyProtection="1">
      <alignment horizontal="center" wrapText="1"/>
    </xf>
    <xf numFmtId="0" fontId="59" fillId="40" borderId="0" xfId="0" applyFont="1" applyFill="1" applyBorder="1" applyAlignment="1" applyProtection="1">
      <alignment horizontal="center"/>
    </xf>
    <xf numFmtId="0" fontId="42" fillId="40" borderId="11" xfId="0" applyFont="1" applyFill="1" applyBorder="1" applyAlignment="1">
      <alignment horizontal="center"/>
    </xf>
    <xf numFmtId="0" fontId="42" fillId="40" borderId="0" xfId="0" applyFont="1" applyFill="1" applyAlignment="1">
      <alignment horizontal="left"/>
    </xf>
    <xf numFmtId="0" fontId="3" fillId="0" borderId="0" xfId="65" applyAlignment="1">
      <alignment wrapText="1"/>
    </xf>
    <xf numFmtId="0" fontId="3" fillId="0" borderId="67" xfId="65" applyBorder="1" applyAlignment="1"/>
    <xf numFmtId="0" fontId="9" fillId="0" borderId="67" xfId="65" applyFont="1" applyBorder="1" applyAlignment="1"/>
    <xf numFmtId="0" fontId="145" fillId="0" borderId="0" xfId="65" applyFont="1" applyFill="1" applyAlignment="1"/>
    <xf numFmtId="0" fontId="3" fillId="0" borderId="0" xfId="65" applyAlignment="1"/>
    <xf numFmtId="0" fontId="104" fillId="0" borderId="0" xfId="65" applyNumberFormat="1" applyFont="1" applyAlignment="1">
      <alignment horizontal="right"/>
    </xf>
    <xf numFmtId="0" fontId="3" fillId="0" borderId="0" xfId="65" applyAlignment="1">
      <alignment horizontal="left"/>
    </xf>
    <xf numFmtId="49" fontId="3" fillId="59" borderId="13" xfId="0" applyNumberFormat="1" applyFont="1" applyFill="1" applyBorder="1" applyAlignment="1" applyProtection="1">
      <alignment horizontal="center"/>
      <protection locked="0"/>
    </xf>
    <xf numFmtId="39" fontId="3" fillId="0" borderId="0" xfId="0" applyNumberFormat="1" applyFont="1" applyFill="1" applyBorder="1" applyAlignment="1">
      <alignment horizontal="right"/>
    </xf>
    <xf numFmtId="0" fontId="104" fillId="0" borderId="0" xfId="65" applyFont="1" applyAlignment="1"/>
    <xf numFmtId="0" fontId="5" fillId="0" borderId="0" xfId="65" applyFont="1" applyAlignment="1"/>
    <xf numFmtId="0" fontId="9" fillId="0" borderId="11" xfId="65" applyFont="1" applyBorder="1" applyAlignment="1"/>
    <xf numFmtId="49" fontId="5" fillId="0" borderId="0" xfId="65" applyNumberFormat="1" applyFont="1" applyFill="1" applyBorder="1" applyAlignment="1">
      <alignment horizontal="center"/>
    </xf>
    <xf numFmtId="0" fontId="9" fillId="0" borderId="0" xfId="65" applyFont="1" applyBorder="1" applyAlignment="1">
      <alignment horizontal="center"/>
    </xf>
    <xf numFmtId="0" fontId="9" fillId="0" borderId="0" xfId="65" applyFont="1" applyFill="1" applyBorder="1" applyAlignment="1">
      <alignment horizontal="center"/>
    </xf>
    <xf numFmtId="0" fontId="3" fillId="0" borderId="0" xfId="65" applyFont="1" applyAlignment="1"/>
    <xf numFmtId="49" fontId="3" fillId="0" borderId="0" xfId="65" applyNumberFormat="1" applyFont="1" applyBorder="1" applyAlignment="1">
      <alignment horizontal="center"/>
    </xf>
    <xf numFmtId="0" fontId="9" fillId="0" borderId="0" xfId="65" applyFont="1" applyAlignment="1">
      <alignment horizontal="center"/>
    </xf>
    <xf numFmtId="0" fontId="172" fillId="24" borderId="0" xfId="0" applyNumberFormat="1" applyFont="1" applyFill="1" applyBorder="1" applyAlignment="1">
      <alignment horizontal="right"/>
    </xf>
    <xf numFmtId="0" fontId="172" fillId="24" borderId="0" xfId="0" applyNumberFormat="1" applyFont="1" applyFill="1" applyBorder="1" applyAlignment="1">
      <alignment horizontal="left"/>
    </xf>
    <xf numFmtId="0" fontId="104" fillId="24" borderId="67" xfId="0" applyFont="1" applyFill="1" applyBorder="1" applyAlignment="1">
      <alignment horizontal="center" wrapText="1"/>
    </xf>
    <xf numFmtId="49" fontId="5" fillId="59" borderId="11" xfId="0" applyNumberFormat="1" applyFont="1" applyFill="1" applyBorder="1" applyAlignment="1" applyProtection="1">
      <alignment horizontal="center"/>
      <protection locked="0"/>
    </xf>
    <xf numFmtId="0" fontId="42" fillId="0" borderId="0" xfId="135" applyAlignment="1">
      <alignment wrapText="1"/>
    </xf>
    <xf numFmtId="0" fontId="42" fillId="0" borderId="0" xfId="135" applyAlignment="1"/>
    <xf numFmtId="195" fontId="104" fillId="59" borderId="11" xfId="134" applyNumberFormat="1" applyFont="1" applyFill="1" applyBorder="1" applyAlignment="1"/>
    <xf numFmtId="0" fontId="3" fillId="0" borderId="0" xfId="134" applyFont="1" applyBorder="1" applyAlignment="1">
      <alignment horizontal="center"/>
    </xf>
    <xf numFmtId="0" fontId="3" fillId="0" borderId="0" xfId="134" applyFont="1" applyBorder="1" applyAlignment="1"/>
    <xf numFmtId="0" fontId="5" fillId="0" borderId="0" xfId="134" applyFont="1" applyAlignment="1"/>
    <xf numFmtId="0" fontId="9" fillId="0" borderId="0" xfId="0" applyFont="1" applyFill="1" applyBorder="1" applyAlignment="1">
      <alignment horizontal="center" wrapText="1"/>
    </xf>
    <xf numFmtId="0" fontId="104" fillId="0" borderId="0" xfId="0" applyFont="1" applyFill="1" applyBorder="1" applyAlignment="1">
      <alignment horizontal="center"/>
    </xf>
    <xf numFmtId="0" fontId="42" fillId="0" borderId="0" xfId="0" applyFont="1" applyFill="1" applyAlignment="1">
      <alignment horizontal="right" wrapText="1"/>
    </xf>
    <xf numFmtId="0" fontId="42" fillId="0" borderId="0" xfId="0" applyFont="1" applyFill="1" applyAlignment="1">
      <alignment horizontal="right"/>
    </xf>
    <xf numFmtId="173" fontId="4" fillId="40" borderId="0" xfId="61" applyNumberFormat="1" applyFont="1" applyFill="1" applyAlignment="1">
      <alignment horizontal="center"/>
    </xf>
    <xf numFmtId="0" fontId="79" fillId="40" borderId="0" xfId="0" applyFont="1" applyFill="1" applyBorder="1" applyAlignment="1">
      <alignment horizontal="center"/>
    </xf>
    <xf numFmtId="0" fontId="42" fillId="0" borderId="0" xfId="0" applyFont="1" applyBorder="1" applyAlignment="1">
      <alignment horizontal="center"/>
    </xf>
    <xf numFmtId="0" fontId="42" fillId="0" borderId="16" xfId="0" applyFont="1" applyBorder="1" applyAlignment="1">
      <alignment horizontal="center"/>
    </xf>
    <xf numFmtId="4" fontId="4" fillId="0" borderId="0" xfId="61" applyNumberFormat="1" applyFont="1" applyBorder="1" applyAlignment="1">
      <alignment horizontal="center"/>
    </xf>
    <xf numFmtId="0" fontId="71" fillId="52" borderId="0" xfId="0" applyFont="1" applyFill="1" applyAlignment="1" applyProtection="1"/>
    <xf numFmtId="0" fontId="71" fillId="52" borderId="0" xfId="0" applyFont="1" applyFill="1" applyBorder="1" applyAlignment="1" applyProtection="1"/>
    <xf numFmtId="0" fontId="131" fillId="52" borderId="0" xfId="0" applyFont="1" applyFill="1" applyBorder="1" applyAlignment="1" applyProtection="1"/>
    <xf numFmtId="0" fontId="132" fillId="0" borderId="0" xfId="0" applyFont="1" applyFill="1" applyBorder="1" applyAlignment="1" applyProtection="1"/>
    <xf numFmtId="0" fontId="127" fillId="32" borderId="0" xfId="0" applyFont="1" applyFill="1" applyAlignment="1" applyProtection="1">
      <alignment vertical="center"/>
    </xf>
    <xf numFmtId="0" fontId="127" fillId="32" borderId="67" xfId="0" applyFont="1" applyFill="1" applyBorder="1" applyAlignment="1" applyProtection="1">
      <alignment vertical="center"/>
    </xf>
    <xf numFmtId="171" fontId="100" fillId="30" borderId="11" xfId="109" applyFont="1" applyFill="1" applyBorder="1" applyAlignment="1" applyProtection="1"/>
    <xf numFmtId="171" fontId="11" fillId="32" borderId="11" xfId="109" applyFont="1" applyFill="1" applyBorder="1" applyAlignment="1" applyProtection="1">
      <alignment wrapText="1"/>
    </xf>
    <xf numFmtId="171" fontId="11" fillId="32" borderId="14" xfId="109" applyFont="1" applyFill="1" applyBorder="1" applyAlignment="1" applyProtection="1">
      <alignment wrapText="1"/>
    </xf>
    <xf numFmtId="171" fontId="11" fillId="32" borderId="13" xfId="109" applyFont="1" applyFill="1" applyBorder="1" applyAlignment="1" applyProtection="1"/>
    <xf numFmtId="171" fontId="11" fillId="32" borderId="15" xfId="109" applyFont="1" applyFill="1" applyBorder="1" applyAlignment="1" applyProtection="1"/>
    <xf numFmtId="171" fontId="11" fillId="32" borderId="0" xfId="109" applyFont="1" applyFill="1" applyBorder="1" applyAlignment="1" applyProtection="1">
      <alignment wrapText="1"/>
    </xf>
    <xf numFmtId="171" fontId="11" fillId="32" borderId="16" xfId="109" applyFont="1" applyFill="1" applyBorder="1" applyAlignment="1" applyProtection="1">
      <alignment wrapText="1"/>
    </xf>
    <xf numFmtId="0" fontId="70" fillId="37" borderId="66" xfId="0" applyNumberFormat="1" applyFont="1" applyFill="1" applyBorder="1" applyAlignment="1" applyProtection="1"/>
    <xf numFmtId="0" fontId="70" fillId="37" borderId="68" xfId="0" applyNumberFormat="1" applyFont="1" applyFill="1" applyBorder="1" applyAlignment="1" applyProtection="1"/>
    <xf numFmtId="0" fontId="70" fillId="37" borderId="60" xfId="0" applyNumberFormat="1" applyFont="1" applyFill="1" applyBorder="1" applyAlignment="1" applyProtection="1"/>
    <xf numFmtId="0" fontId="70" fillId="37" borderId="55" xfId="0" applyNumberFormat="1" applyFont="1" applyFill="1" applyBorder="1" applyAlignment="1" applyProtection="1"/>
    <xf numFmtId="0" fontId="56" fillId="32" borderId="60" xfId="61" applyNumberFormat="1" applyFont="1" applyFill="1" applyBorder="1" applyAlignment="1" applyProtection="1"/>
    <xf numFmtId="0" fontId="56" fillId="32" borderId="54" xfId="61" applyNumberFormat="1" applyFont="1" applyFill="1" applyBorder="1" applyAlignment="1" applyProtection="1"/>
    <xf numFmtId="0" fontId="11" fillId="39" borderId="29" xfId="61" applyNumberFormat="1" applyFont="1" applyFill="1" applyBorder="1" applyAlignment="1" applyProtection="1">
      <alignment wrapText="1"/>
    </xf>
    <xf numFmtId="0" fontId="11" fillId="39" borderId="29" xfId="61" applyNumberFormat="1" applyFont="1" applyFill="1" applyBorder="1" applyAlignment="1" applyProtection="1"/>
    <xf numFmtId="0" fontId="11" fillId="39" borderId="66" xfId="61" applyNumberFormat="1" applyFont="1" applyFill="1" applyBorder="1" applyAlignment="1" applyProtection="1">
      <alignment wrapText="1"/>
    </xf>
    <xf numFmtId="49" fontId="67" fillId="37" borderId="74" xfId="0" applyNumberFormat="1" applyFont="1" applyFill="1" applyBorder="1" applyAlignment="1" applyProtection="1">
      <alignment wrapText="1"/>
    </xf>
    <xf numFmtId="49" fontId="67" fillId="37" borderId="0" xfId="0" applyNumberFormat="1" applyFont="1" applyFill="1" applyBorder="1" applyAlignment="1" applyProtection="1">
      <alignment wrapText="1"/>
    </xf>
    <xf numFmtId="0" fontId="70" fillId="37" borderId="74" xfId="0" applyNumberFormat="1" applyFont="1" applyFill="1" applyBorder="1" applyAlignment="1" applyProtection="1">
      <alignment wrapText="1"/>
    </xf>
    <xf numFmtId="0" fontId="70" fillId="37" borderId="0" xfId="0" applyNumberFormat="1" applyFont="1" applyFill="1" applyBorder="1" applyAlignment="1" applyProtection="1">
      <alignment wrapText="1"/>
    </xf>
    <xf numFmtId="173" fontId="4" fillId="40" borderId="0" xfId="61" applyNumberFormat="1" applyFont="1" applyFill="1" applyAlignment="1" applyProtection="1"/>
    <xf numFmtId="0" fontId="9" fillId="40" borderId="0" xfId="0" applyFont="1" applyFill="1" applyAlignment="1" applyProtection="1">
      <alignment vertical="center"/>
    </xf>
    <xf numFmtId="0" fontId="65" fillId="34" borderId="96" xfId="61" applyNumberFormat="1" applyFont="1" applyFill="1" applyBorder="1" applyAlignment="1" applyProtection="1">
      <alignment vertical="center"/>
    </xf>
    <xf numFmtId="0" fontId="9" fillId="40" borderId="0" xfId="61" applyNumberFormat="1" applyFont="1" applyFill="1" applyAlignment="1" applyProtection="1"/>
    <xf numFmtId="43" fontId="9" fillId="40" borderId="0" xfId="123" applyFont="1" applyFill="1" applyBorder="1" applyAlignment="1" applyProtection="1"/>
    <xf numFmtId="43" fontId="9" fillId="40" borderId="11" xfId="123" applyFont="1" applyFill="1" applyBorder="1" applyAlignment="1" applyProtection="1"/>
    <xf numFmtId="0" fontId="3" fillId="0" borderId="0" xfId="61" applyNumberFormat="1" applyFont="1" applyFill="1" applyBorder="1" applyAlignment="1" applyProtection="1">
      <alignment wrapText="1"/>
    </xf>
    <xf numFmtId="0" fontId="11" fillId="41" borderId="0" xfId="61" applyNumberFormat="1" applyFont="1" applyFill="1" applyBorder="1" applyAlignment="1" applyProtection="1">
      <alignment vertical="center" wrapText="1"/>
    </xf>
    <xf numFmtId="0" fontId="9" fillId="0" borderId="0" xfId="0" applyFont="1" applyFill="1" applyAlignment="1" applyProtection="1">
      <alignment wrapText="1"/>
    </xf>
    <xf numFmtId="0" fontId="9" fillId="0" borderId="0" xfId="0" applyFont="1" applyFill="1" applyAlignment="1" applyProtection="1"/>
    <xf numFmtId="0" fontId="9" fillId="0" borderId="0" xfId="61" applyNumberFormat="1" applyFont="1" applyAlignment="1" applyProtection="1"/>
    <xf numFmtId="189" fontId="2" fillId="31" borderId="0" xfId="123" applyNumberFormat="1" applyFont="1" applyFill="1" applyAlignment="1" applyProtection="1">
      <protection locked="0"/>
    </xf>
    <xf numFmtId="4" fontId="9" fillId="40" borderId="0" xfId="61" applyNumberFormat="1" applyFont="1" applyFill="1" applyBorder="1" applyAlignment="1" applyProtection="1"/>
    <xf numFmtId="4" fontId="4" fillId="40" borderId="0" xfId="61" applyNumberFormat="1" applyFont="1" applyFill="1" applyBorder="1" applyAlignment="1" applyProtection="1"/>
    <xf numFmtId="0" fontId="11" fillId="41" borderId="0" xfId="61" applyFont="1" applyFill="1" applyAlignment="1" applyProtection="1">
      <alignment wrapText="1"/>
    </xf>
    <xf numFmtId="0" fontId="9" fillId="40" borderId="0" xfId="61" applyNumberFormat="1" applyFont="1" applyFill="1" applyBorder="1" applyAlignment="1" applyProtection="1"/>
    <xf numFmtId="43" fontId="9" fillId="40" borderId="0" xfId="123" applyFont="1" applyFill="1" applyAlignment="1" applyProtection="1"/>
    <xf numFmtId="43" fontId="9" fillId="0" borderId="0" xfId="123" applyFont="1" applyAlignment="1" applyProtection="1"/>
    <xf numFmtId="43" fontId="9" fillId="0" borderId="11" xfId="123" applyFont="1" applyBorder="1" applyAlignment="1" applyProtection="1"/>
    <xf numFmtId="0" fontId="220" fillId="115" borderId="0" xfId="0" applyFont="1" applyFill="1" applyAlignment="1">
      <alignment vertical="center"/>
    </xf>
    <xf numFmtId="0" fontId="37" fillId="0" borderId="11" xfId="0" applyFont="1" applyBorder="1" applyAlignment="1">
      <alignment wrapText="1"/>
    </xf>
    <xf numFmtId="0" fontId="37" fillId="0" borderId="11" xfId="0" applyFont="1" applyBorder="1" applyAlignment="1"/>
    <xf numFmtId="0" fontId="0" fillId="31" borderId="0" xfId="0" applyFill="1" applyAlignment="1">
      <alignment vertical="top" wrapText="1"/>
    </xf>
    <xf numFmtId="0" fontId="226" fillId="0" borderId="0" xfId="0" applyFont="1" applyAlignment="1">
      <alignment wrapText="1"/>
    </xf>
    <xf numFmtId="0" fontId="3" fillId="31" borderId="0" xfId="61" applyNumberFormat="1" applyFont="1" applyFill="1" applyAlignment="1" applyProtection="1">
      <alignment vertical="top" wrapText="1"/>
      <protection locked="0"/>
    </xf>
    <xf numFmtId="0" fontId="3" fillId="24" borderId="0" xfId="117" applyNumberFormat="1" applyFont="1" applyFill="1" applyAlignment="1" applyProtection="1">
      <alignment wrapText="1"/>
    </xf>
    <xf numFmtId="0" fontId="9" fillId="24" borderId="0" xfId="117" applyNumberFormat="1" applyFont="1" applyFill="1" applyAlignment="1">
      <alignment vertical="center" wrapText="1"/>
    </xf>
    <xf numFmtId="0" fontId="9" fillId="24" borderId="0" xfId="117" applyNumberFormat="1" applyFont="1" applyFill="1" applyAlignment="1">
      <alignment vertical="center"/>
    </xf>
    <xf numFmtId="0" fontId="56" fillId="32" borderId="120" xfId="61" applyFont="1" applyFill="1" applyBorder="1" applyAlignment="1" applyProtection="1">
      <alignment wrapText="1"/>
    </xf>
    <xf numFmtId="0" fontId="56" fillId="32" borderId="0" xfId="61" applyFont="1" applyFill="1" applyBorder="1" applyAlignment="1" applyProtection="1">
      <alignment wrapText="1"/>
    </xf>
    <xf numFmtId="0" fontId="3" fillId="31" borderId="70" xfId="61" applyFont="1" applyFill="1" applyBorder="1" applyAlignment="1" applyProtection="1">
      <alignment vertical="top" wrapText="1"/>
      <protection locked="0"/>
    </xf>
    <xf numFmtId="0" fontId="3" fillId="31" borderId="71" xfId="61" applyFont="1" applyFill="1" applyBorder="1" applyAlignment="1" applyProtection="1">
      <alignment vertical="top" wrapText="1"/>
      <protection locked="0"/>
    </xf>
    <xf numFmtId="0" fontId="3" fillId="31" borderId="72" xfId="61" applyFont="1" applyFill="1" applyBorder="1" applyAlignment="1" applyProtection="1">
      <alignment vertical="top" wrapText="1"/>
      <protection locked="0"/>
    </xf>
    <xf numFmtId="0" fontId="9" fillId="0" borderId="67" xfId="0" applyFont="1" applyBorder="1" applyAlignment="1"/>
    <xf numFmtId="4" fontId="74" fillId="40" borderId="0" xfId="61" applyNumberFormat="1" applyFont="1" applyFill="1" applyBorder="1" applyAlignment="1" applyProtection="1"/>
    <xf numFmtId="0" fontId="86" fillId="40" borderId="0" xfId="0" applyFont="1" applyFill="1" applyAlignment="1" applyProtection="1"/>
    <xf numFmtId="0" fontId="74" fillId="40" borderId="0" xfId="0" applyFont="1" applyFill="1" applyAlignment="1" applyProtection="1">
      <alignment vertical="center"/>
    </xf>
    <xf numFmtId="0" fontId="64" fillId="0" borderId="0" xfId="0" applyFont="1" applyFill="1" applyBorder="1" applyAlignment="1" applyProtection="1">
      <protection locked="0"/>
    </xf>
    <xf numFmtId="0" fontId="3" fillId="31" borderId="0" xfId="0" applyFont="1" applyFill="1" applyBorder="1" applyAlignment="1" applyProtection="1">
      <protection locked="0"/>
    </xf>
    <xf numFmtId="0" fontId="71" fillId="0" borderId="0" xfId="0" applyFont="1" applyAlignment="1" applyProtection="1">
      <alignment vertical="center"/>
    </xf>
    <xf numFmtId="167" fontId="57" fillId="0" borderId="0" xfId="123" applyNumberFormat="1" applyFont="1" applyBorder="1" applyAlignment="1" applyProtection="1">
      <alignment wrapText="1"/>
    </xf>
    <xf numFmtId="167" fontId="57" fillId="0" borderId="11" xfId="123" applyNumberFormat="1" applyFont="1" applyBorder="1" applyAlignment="1" applyProtection="1">
      <alignment wrapText="1"/>
    </xf>
    <xf numFmtId="167" fontId="57" fillId="0" borderId="0" xfId="123" applyNumberFormat="1" applyFont="1" applyBorder="1" applyAlignment="1" applyProtection="1"/>
    <xf numFmtId="0" fontId="75" fillId="40" borderId="0" xfId="61" applyNumberFormat="1" applyFont="1" applyFill="1" applyBorder="1" applyAlignment="1" applyProtection="1"/>
    <xf numFmtId="173" fontId="75" fillId="40" borderId="0" xfId="61" applyNumberFormat="1" applyFont="1" applyFill="1" applyBorder="1" applyAlignment="1" applyProtection="1"/>
    <xf numFmtId="173" fontId="75" fillId="40" borderId="0" xfId="61" applyNumberFormat="1" applyFont="1" applyFill="1" applyBorder="1" applyAlignment="1" applyProtection="1">
      <alignment wrapText="1"/>
    </xf>
    <xf numFmtId="0" fontId="88" fillId="40" borderId="11" xfId="0" applyFont="1" applyFill="1" applyBorder="1" applyAlignment="1" applyProtection="1"/>
    <xf numFmtId="0" fontId="59" fillId="40" borderId="11" xfId="0" applyFont="1" applyFill="1" applyBorder="1" applyAlignment="1" applyProtection="1"/>
    <xf numFmtId="0" fontId="11" fillId="39" borderId="0" xfId="0" applyFont="1" applyFill="1" applyBorder="1" applyAlignment="1" applyProtection="1"/>
    <xf numFmtId="0" fontId="11" fillId="39" borderId="16" xfId="0" applyFont="1" applyFill="1" applyBorder="1" applyAlignment="1" applyProtection="1"/>
    <xf numFmtId="0" fontId="42" fillId="40" borderId="0" xfId="0" applyFont="1" applyFill="1" applyAlignment="1" applyProtection="1">
      <alignment vertical="top"/>
    </xf>
    <xf numFmtId="0" fontId="11" fillId="39" borderId="16" xfId="61" applyNumberFormat="1" applyFont="1" applyFill="1" applyBorder="1" applyAlignment="1" applyProtection="1"/>
    <xf numFmtId="0" fontId="11" fillId="39" borderId="14" xfId="61" applyNumberFormat="1" applyFont="1" applyFill="1" applyBorder="1" applyAlignment="1" applyProtection="1"/>
    <xf numFmtId="0" fontId="11" fillId="39" borderId="0" xfId="0" applyFont="1" applyFill="1" applyBorder="1" applyAlignment="1" applyProtection="1">
      <alignment vertical="center" wrapText="1"/>
    </xf>
    <xf numFmtId="0" fontId="63" fillId="40" borderId="0" xfId="61" applyNumberFormat="1" applyFont="1" applyFill="1" applyBorder="1" applyAlignment="1" applyProtection="1"/>
    <xf numFmtId="0" fontId="232" fillId="0" borderId="67" xfId="0" applyFont="1" applyBorder="1" applyAlignment="1" applyProtection="1"/>
    <xf numFmtId="0" fontId="0" fillId="0" borderId="0" xfId="0" applyAlignment="1" applyProtection="1"/>
    <xf numFmtId="0" fontId="36" fillId="0" borderId="0" xfId="0" applyFont="1" applyAlignment="1" applyProtection="1"/>
    <xf numFmtId="0" fontId="152" fillId="40" borderId="0" xfId="0" applyFont="1" applyFill="1" applyBorder="1" applyAlignment="1" applyProtection="1"/>
    <xf numFmtId="173" fontId="59" fillId="46" borderId="67" xfId="0" applyNumberFormat="1" applyFont="1" applyFill="1" applyBorder="1" applyAlignment="1" applyProtection="1"/>
    <xf numFmtId="173" fontId="59" fillId="46" borderId="142" xfId="0" applyNumberFormat="1" applyFont="1" applyFill="1" applyBorder="1" applyAlignment="1" applyProtection="1"/>
    <xf numFmtId="0" fontId="88" fillId="40" borderId="0" xfId="0" applyFont="1" applyFill="1" applyBorder="1" applyAlignment="1" applyProtection="1">
      <alignment wrapText="1"/>
    </xf>
    <xf numFmtId="0" fontId="88" fillId="40" borderId="11" xfId="0" applyFont="1" applyFill="1" applyBorder="1" applyAlignment="1" applyProtection="1">
      <alignment wrapText="1"/>
    </xf>
    <xf numFmtId="0" fontId="88" fillId="47" borderId="13" xfId="0" applyFont="1" applyFill="1" applyBorder="1" applyAlignment="1" applyProtection="1"/>
    <xf numFmtId="0" fontId="88" fillId="47" borderId="11" xfId="0" applyFont="1" applyFill="1" applyBorder="1" applyAlignment="1" applyProtection="1"/>
    <xf numFmtId="0" fontId="88" fillId="47" borderId="14" xfId="0" applyFont="1" applyFill="1" applyBorder="1" applyAlignment="1" applyProtection="1"/>
    <xf numFmtId="0" fontId="88" fillId="47" borderId="114" xfId="0" applyFont="1" applyFill="1" applyBorder="1" applyAlignment="1" applyProtection="1"/>
    <xf numFmtId="0" fontId="88" fillId="47" borderId="74" xfId="0" applyFont="1" applyFill="1" applyBorder="1" applyAlignment="1" applyProtection="1"/>
    <xf numFmtId="0" fontId="88" fillId="47" borderId="113" xfId="0" applyFont="1" applyFill="1" applyBorder="1" applyAlignment="1" applyProtection="1"/>
    <xf numFmtId="0" fontId="77" fillId="40" borderId="0" xfId="0" applyFont="1" applyFill="1" applyAlignment="1" applyProtection="1"/>
    <xf numFmtId="0" fontId="3" fillId="31" borderId="0" xfId="0" applyFont="1" applyFill="1" applyAlignment="1" applyProtection="1">
      <protection locked="0"/>
    </xf>
    <xf numFmtId="0" fontId="118" fillId="0" borderId="0" xfId="0" applyFont="1" applyBorder="1" applyAlignment="1" applyProtection="1">
      <alignment wrapText="1"/>
    </xf>
    <xf numFmtId="0" fontId="118" fillId="0" borderId="11" xfId="0" applyFont="1" applyBorder="1" applyAlignment="1" applyProtection="1">
      <alignment wrapText="1"/>
    </xf>
    <xf numFmtId="4" fontId="107" fillId="40" borderId="0" xfId="0" applyNumberFormat="1" applyFont="1" applyFill="1" applyAlignment="1" applyProtection="1"/>
    <xf numFmtId="4" fontId="104" fillId="40" borderId="0" xfId="61" applyNumberFormat="1" applyFont="1" applyFill="1" applyBorder="1" applyAlignment="1" applyProtection="1"/>
    <xf numFmtId="0" fontId="104" fillId="40" borderId="0" xfId="0" applyFont="1" applyFill="1" applyAlignment="1" applyProtection="1">
      <alignment vertical="center"/>
    </xf>
    <xf numFmtId="0" fontId="175" fillId="40" borderId="0" xfId="61" applyNumberFormat="1" applyFont="1" applyFill="1" applyBorder="1" applyAlignment="1" applyProtection="1"/>
    <xf numFmtId="4" fontId="3" fillId="40" borderId="0" xfId="61" applyNumberFormat="1" applyFont="1" applyFill="1" applyBorder="1" applyAlignment="1"/>
    <xf numFmtId="0" fontId="2" fillId="40" borderId="0" xfId="61" applyNumberFormat="1" applyFont="1" applyFill="1" applyBorder="1" applyAlignment="1"/>
    <xf numFmtId="49" fontId="2" fillId="40" borderId="0" xfId="61" applyNumberFormat="1" applyFont="1" applyFill="1" applyBorder="1" applyAlignment="1"/>
    <xf numFmtId="0" fontId="3" fillId="24" borderId="11" xfId="0" applyFont="1" applyFill="1" applyBorder="1" applyAlignment="1"/>
    <xf numFmtId="0" fontId="42" fillId="40" borderId="11" xfId="0" applyFont="1" applyFill="1" applyBorder="1" applyAlignment="1"/>
    <xf numFmtId="0" fontId="42" fillId="40" borderId="0" xfId="0" applyFont="1" applyFill="1" applyBorder="1" applyAlignment="1">
      <alignment wrapText="1"/>
    </xf>
    <xf numFmtId="173" fontId="175" fillId="40" borderId="0" xfId="61" applyNumberFormat="1" applyFont="1" applyFill="1" applyBorder="1" applyAlignment="1" applyProtection="1"/>
    <xf numFmtId="4" fontId="9" fillId="40" borderId="0" xfId="61" applyNumberFormat="1" applyFont="1" applyFill="1" applyBorder="1" applyAlignment="1"/>
    <xf numFmtId="0" fontId="4" fillId="40" borderId="0" xfId="61" applyNumberFormat="1" applyFont="1" applyFill="1" applyBorder="1" applyAlignment="1"/>
    <xf numFmtId="173" fontId="4" fillId="40" borderId="0" xfId="61" applyNumberFormat="1" applyFont="1" applyFill="1" applyBorder="1" applyAlignment="1">
      <alignment wrapText="1"/>
    </xf>
    <xf numFmtId="0" fontId="0" fillId="0" borderId="258" xfId="0" applyBorder="1" applyAlignment="1">
      <alignment wrapText="1"/>
    </xf>
    <xf numFmtId="0" fontId="38" fillId="0" borderId="0" xfId="0" applyFont="1" applyFill="1" applyAlignment="1"/>
    <xf numFmtId="0" fontId="3" fillId="59" borderId="11" xfId="65" applyFill="1" applyBorder="1" applyAlignment="1" applyProtection="1">
      <alignment wrapText="1"/>
      <protection locked="0"/>
    </xf>
    <xf numFmtId="40" fontId="3" fillId="59" borderId="11" xfId="65" quotePrefix="1" applyNumberFormat="1" applyFill="1" applyBorder="1" applyAlignment="1" applyProtection="1">
      <protection locked="0"/>
    </xf>
    <xf numFmtId="39" fontId="3" fillId="0" borderId="0" xfId="65" applyNumberFormat="1" applyFill="1" applyBorder="1" applyAlignment="1"/>
    <xf numFmtId="40" fontId="9" fillId="59" borderId="12" xfId="65" applyNumberFormat="1" applyFont="1" applyFill="1" applyBorder="1" applyAlignment="1"/>
    <xf numFmtId="4" fontId="9" fillId="59" borderId="12" xfId="123" applyNumberFormat="1" applyFont="1" applyFill="1" applyBorder="1" applyAlignment="1" applyProtection="1"/>
    <xf numFmtId="0" fontId="3" fillId="0" borderId="0" xfId="65" applyFont="1" applyAlignment="1">
      <alignment vertical="top"/>
    </xf>
    <xf numFmtId="0" fontId="3" fillId="0" borderId="0" xfId="65" applyAlignment="1">
      <alignment vertical="top"/>
    </xf>
    <xf numFmtId="0" fontId="9" fillId="0" borderId="67" xfId="65" applyFont="1" applyFill="1" applyBorder="1" applyAlignment="1"/>
    <xf numFmtId="40" fontId="160" fillId="31" borderId="12" xfId="65" applyNumberFormat="1" applyFont="1" applyFill="1" applyBorder="1" applyAlignment="1" applyProtection="1">
      <protection locked="0"/>
    </xf>
    <xf numFmtId="0" fontId="145" fillId="0" borderId="0" xfId="65" applyFont="1" applyFill="1" applyAlignment="1">
      <alignment vertical="top"/>
    </xf>
    <xf numFmtId="0" fontId="100" fillId="59" borderId="11" xfId="65" applyFont="1" applyFill="1" applyBorder="1" applyAlignment="1" applyProtection="1"/>
    <xf numFmtId="0" fontId="104" fillId="0" borderId="0" xfId="65" quotePrefix="1" applyFont="1" applyAlignment="1"/>
    <xf numFmtId="0" fontId="104" fillId="0" borderId="0" xfId="65" applyNumberFormat="1" applyFont="1" applyAlignment="1"/>
    <xf numFmtId="0" fontId="104" fillId="0" borderId="0" xfId="0" applyFont="1" applyAlignment="1"/>
    <xf numFmtId="0" fontId="9" fillId="0" borderId="11" xfId="0" applyFont="1" applyBorder="1" applyAlignment="1">
      <alignment wrapText="1"/>
    </xf>
    <xf numFmtId="43" fontId="3" fillId="107" borderId="258" xfId="0" applyNumberFormat="1" applyFont="1" applyFill="1" applyBorder="1" applyAlignment="1"/>
    <xf numFmtId="49" fontId="3" fillId="64" borderId="0" xfId="0" applyNumberFormat="1" applyFont="1" applyFill="1" applyBorder="1" applyAlignment="1" applyProtection="1">
      <alignment wrapText="1"/>
      <protection locked="0"/>
    </xf>
    <xf numFmtId="49" fontId="3" fillId="64" borderId="0" xfId="0" applyNumberFormat="1" applyFont="1" applyFill="1" applyBorder="1" applyAlignment="1">
      <alignment wrapText="1"/>
    </xf>
    <xf numFmtId="49" fontId="3" fillId="0" borderId="0" xfId="0" applyNumberFormat="1" applyFont="1" applyFill="1" applyBorder="1" applyAlignment="1">
      <alignment wrapText="1"/>
    </xf>
    <xf numFmtId="0" fontId="9" fillId="0" borderId="149" xfId="0" applyFont="1" applyBorder="1" applyAlignment="1"/>
    <xf numFmtId="0" fontId="9" fillId="0" borderId="250" xfId="0" applyFont="1" applyBorder="1" applyAlignment="1"/>
    <xf numFmtId="49" fontId="3" fillId="59" borderId="252" xfId="0" applyNumberFormat="1" applyFont="1" applyFill="1" applyBorder="1" applyAlignment="1" applyProtection="1">
      <protection locked="0"/>
    </xf>
    <xf numFmtId="49" fontId="3" fillId="59" borderId="253" xfId="0" applyNumberFormat="1" applyFont="1" applyFill="1" applyBorder="1" applyAlignment="1" applyProtection="1">
      <protection locked="0"/>
    </xf>
    <xf numFmtId="49" fontId="3" fillId="59" borderId="251" xfId="65" applyNumberFormat="1" applyFont="1" applyFill="1" applyBorder="1" applyAlignment="1" applyProtection="1">
      <protection locked="0"/>
    </xf>
    <xf numFmtId="49" fontId="3" fillId="59" borderId="13" xfId="0" applyNumberFormat="1" applyFont="1" applyFill="1" applyBorder="1" applyAlignment="1" applyProtection="1">
      <protection locked="0"/>
    </xf>
    <xf numFmtId="49" fontId="3" fillId="59" borderId="14" xfId="0" applyNumberFormat="1" applyFont="1" applyFill="1" applyBorder="1" applyAlignment="1" applyProtection="1">
      <protection locked="0"/>
    </xf>
    <xf numFmtId="0" fontId="9" fillId="0" borderId="149" xfId="0" applyFont="1" applyBorder="1" applyAlignment="1">
      <alignment wrapText="1"/>
    </xf>
    <xf numFmtId="0" fontId="9" fillId="0" borderId="250" xfId="0" applyFont="1" applyBorder="1" applyAlignment="1">
      <alignment wrapText="1"/>
    </xf>
    <xf numFmtId="49" fontId="3" fillId="59" borderId="11" xfId="0" applyNumberFormat="1" applyFont="1" applyFill="1" applyBorder="1" applyAlignment="1" applyProtection="1">
      <protection locked="0"/>
    </xf>
    <xf numFmtId="0" fontId="3" fillId="0" borderId="0" xfId="0" applyFont="1" applyFill="1" applyBorder="1" applyAlignment="1"/>
    <xf numFmtId="0" fontId="3" fillId="59" borderId="11" xfId="0" applyFont="1" applyFill="1" applyBorder="1" applyAlignment="1" applyProtection="1">
      <protection locked="0"/>
    </xf>
    <xf numFmtId="0" fontId="3" fillId="59" borderId="14" xfId="0" applyFont="1" applyFill="1" applyBorder="1" applyAlignment="1" applyProtection="1">
      <protection locked="0"/>
    </xf>
    <xf numFmtId="49" fontId="9" fillId="59" borderId="11" xfId="0" applyNumberFormat="1" applyFont="1" applyFill="1" applyBorder="1" applyAlignment="1" applyProtection="1">
      <protection locked="0"/>
    </xf>
    <xf numFmtId="49" fontId="9" fillId="59" borderId="14" xfId="0" applyNumberFormat="1" applyFont="1" applyFill="1" applyBorder="1" applyAlignment="1" applyProtection="1">
      <protection locked="0"/>
    </xf>
    <xf numFmtId="49" fontId="3" fillId="59" borderId="11" xfId="0" applyNumberFormat="1" applyFont="1" applyFill="1" applyBorder="1" applyAlignment="1" applyProtection="1">
      <alignment wrapText="1"/>
      <protection locked="0"/>
    </xf>
    <xf numFmtId="49" fontId="104" fillId="0" borderId="0" xfId="65" applyNumberFormat="1" applyFont="1" applyAlignment="1"/>
    <xf numFmtId="49" fontId="160" fillId="64" borderId="11" xfId="65" applyNumberFormat="1" applyFont="1" applyFill="1" applyBorder="1" applyAlignment="1"/>
    <xf numFmtId="0" fontId="160" fillId="0" borderId="0" xfId="65" applyFont="1" applyFill="1" applyBorder="1" applyAlignment="1"/>
    <xf numFmtId="49" fontId="160" fillId="64" borderId="11" xfId="65" applyNumberFormat="1" applyFont="1" applyFill="1" applyBorder="1" applyAlignment="1" applyProtection="1">
      <protection locked="0"/>
    </xf>
    <xf numFmtId="0" fontId="104" fillId="59" borderId="11" xfId="65" applyFont="1" applyFill="1" applyBorder="1" applyAlignment="1"/>
    <xf numFmtId="195" fontId="104" fillId="59" borderId="11" xfId="65" applyNumberFormat="1" applyFont="1" applyFill="1" applyBorder="1" applyAlignment="1"/>
    <xf numFmtId="0" fontId="100" fillId="0" borderId="11" xfId="65" applyFont="1" applyBorder="1" applyAlignment="1"/>
    <xf numFmtId="173" fontId="104" fillId="0" borderId="0" xfId="65" applyNumberFormat="1" applyFont="1" applyAlignment="1"/>
    <xf numFmtId="49" fontId="3" fillId="0" borderId="0" xfId="65" applyNumberFormat="1" applyFont="1" applyBorder="1" applyAlignment="1"/>
    <xf numFmtId="0" fontId="3" fillId="0" borderId="0" xfId="65" quotePrefix="1" applyFont="1" applyBorder="1" applyAlignment="1"/>
    <xf numFmtId="0" fontId="3" fillId="0" borderId="0" xfId="65" applyNumberFormat="1" applyFont="1" applyFill="1" applyBorder="1" applyAlignment="1"/>
    <xf numFmtId="39" fontId="3" fillId="62" borderId="11" xfId="65" applyNumberFormat="1" applyFont="1" applyFill="1" applyBorder="1" applyAlignment="1"/>
    <xf numFmtId="0" fontId="3" fillId="62" borderId="258" xfId="65" applyFont="1" applyFill="1" applyBorder="1" applyAlignment="1"/>
    <xf numFmtId="0" fontId="104" fillId="0" borderId="0" xfId="65" applyFont="1" applyBorder="1" applyAlignment="1"/>
    <xf numFmtId="49" fontId="104" fillId="0" borderId="0" xfId="65" applyNumberFormat="1" applyFont="1" applyBorder="1" applyAlignment="1"/>
    <xf numFmtId="0" fontId="104" fillId="0" borderId="0" xfId="65" applyNumberFormat="1" applyFont="1" applyBorder="1" applyAlignment="1"/>
    <xf numFmtId="49" fontId="5" fillId="0" borderId="0" xfId="65" applyNumberFormat="1" applyFont="1" applyFill="1" applyBorder="1" applyAlignment="1"/>
    <xf numFmtId="39" fontId="3" fillId="59" borderId="11" xfId="65" applyNumberFormat="1" applyFont="1" applyFill="1" applyBorder="1" applyAlignment="1"/>
    <xf numFmtId="39" fontId="3" fillId="0" borderId="0" xfId="65" applyNumberFormat="1" applyFont="1" applyFill="1" applyBorder="1" applyAlignment="1">
      <alignment wrapText="1"/>
    </xf>
    <xf numFmtId="49" fontId="9" fillId="0" borderId="0" xfId="65" applyNumberFormat="1" applyFont="1" applyFill="1" applyBorder="1" applyAlignment="1"/>
    <xf numFmtId="0" fontId="9" fillId="0" borderId="11" xfId="65" applyFont="1" applyFill="1" applyBorder="1" applyAlignment="1"/>
    <xf numFmtId="39" fontId="3" fillId="31" borderId="11" xfId="65" applyNumberFormat="1" applyFont="1" applyFill="1" applyBorder="1" applyAlignment="1" applyProtection="1">
      <protection locked="0"/>
    </xf>
    <xf numFmtId="0" fontId="172" fillId="24" borderId="0" xfId="0" applyNumberFormat="1" applyFont="1" applyFill="1" applyBorder="1" applyAlignment="1"/>
    <xf numFmtId="0" fontId="104" fillId="24" borderId="67" xfId="0" applyFont="1" applyFill="1" applyBorder="1" applyAlignment="1">
      <alignment wrapText="1"/>
    </xf>
    <xf numFmtId="49" fontId="5" fillId="59" borderId="11" xfId="0" applyNumberFormat="1" applyFont="1" applyFill="1" applyBorder="1" applyAlignment="1" applyProtection="1">
      <protection locked="0"/>
    </xf>
    <xf numFmtId="0" fontId="3" fillId="0" borderId="0" xfId="65" applyNumberFormat="1" applyAlignment="1"/>
    <xf numFmtId="15" fontId="170" fillId="63" borderId="0" xfId="65" applyNumberFormat="1" applyFont="1" applyFill="1" applyAlignment="1"/>
    <xf numFmtId="0" fontId="3" fillId="0" borderId="0" xfId="134" applyFont="1" applyAlignment="1"/>
    <xf numFmtId="0" fontId="3" fillId="0" borderId="11" xfId="134" applyFont="1" applyBorder="1" applyAlignment="1"/>
    <xf numFmtId="39" fontId="3" fillId="31" borderId="12" xfId="134" applyNumberFormat="1" applyFont="1" applyFill="1" applyBorder="1" applyAlignment="1" applyProtection="1">
      <protection locked="0"/>
    </xf>
    <xf numFmtId="39" fontId="3" fillId="59" borderId="12" xfId="134" applyNumberFormat="1" applyFont="1" applyFill="1" applyBorder="1" applyAlignment="1"/>
    <xf numFmtId="49" fontId="11" fillId="0" borderId="0" xfId="134" applyNumberFormat="1" applyFont="1" applyBorder="1" applyAlignment="1"/>
    <xf numFmtId="0" fontId="11" fillId="0" borderId="0" xfId="134" applyFont="1" applyBorder="1" applyAlignment="1"/>
    <xf numFmtId="49" fontId="3" fillId="31" borderId="11" xfId="134" applyNumberFormat="1" applyFont="1" applyFill="1" applyBorder="1" applyAlignment="1" applyProtection="1">
      <protection locked="0"/>
    </xf>
    <xf numFmtId="0" fontId="3" fillId="0" borderId="0" xfId="134" applyFont="1" applyAlignment="1">
      <alignment vertical="center"/>
    </xf>
    <xf numFmtId="0" fontId="42" fillId="0" borderId="0" xfId="135" applyAlignment="1">
      <alignment vertical="center"/>
    </xf>
    <xf numFmtId="43" fontId="107" fillId="40" borderId="0" xfId="123" applyFont="1" applyFill="1" applyAlignment="1" applyProtection="1"/>
    <xf numFmtId="43" fontId="123" fillId="49" borderId="67" xfId="123" applyFont="1" applyFill="1" applyBorder="1" applyAlignment="1" applyProtection="1"/>
    <xf numFmtId="43" fontId="121" fillId="40" borderId="74" xfId="123" applyFont="1" applyFill="1" applyBorder="1" applyAlignment="1" applyProtection="1">
      <alignment wrapText="1"/>
    </xf>
    <xf numFmtId="43" fontId="121" fillId="40" borderId="75" xfId="123" applyFont="1" applyFill="1" applyBorder="1" applyAlignment="1" applyProtection="1">
      <alignment wrapText="1"/>
    </xf>
    <xf numFmtId="43" fontId="121" fillId="40" borderId="66" xfId="123" applyFont="1" applyFill="1" applyBorder="1" applyAlignment="1" applyProtection="1">
      <alignment wrapText="1"/>
    </xf>
    <xf numFmtId="43" fontId="121" fillId="40" borderId="67" xfId="123" applyFont="1" applyFill="1" applyBorder="1" applyAlignment="1" applyProtection="1">
      <alignment wrapText="1"/>
    </xf>
    <xf numFmtId="43" fontId="121" fillId="40" borderId="68" xfId="123" applyFont="1" applyFill="1" applyBorder="1" applyAlignment="1" applyProtection="1">
      <alignment wrapText="1"/>
    </xf>
    <xf numFmtId="43" fontId="233" fillId="40" borderId="11" xfId="123" applyFont="1" applyFill="1" applyBorder="1" applyAlignment="1" applyProtection="1"/>
    <xf numFmtId="43" fontId="107" fillId="40" borderId="54" xfId="123" applyFont="1" applyFill="1" applyBorder="1" applyAlignment="1" applyProtection="1"/>
    <xf numFmtId="43" fontId="107" fillId="40" borderId="55" xfId="123" applyFont="1" applyFill="1" applyBorder="1" applyAlignment="1" applyProtection="1"/>
    <xf numFmtId="0" fontId="88" fillId="40" borderId="60" xfId="0" applyFont="1" applyFill="1" applyBorder="1" applyAlignment="1" applyProtection="1"/>
    <xf numFmtId="0" fontId="88" fillId="40" borderId="55" xfId="0" applyFont="1" applyFill="1" applyBorder="1" applyAlignment="1" applyProtection="1"/>
    <xf numFmtId="43" fontId="109" fillId="40" borderId="11" xfId="123" applyFont="1" applyFill="1" applyBorder="1" applyAlignment="1" applyProtection="1"/>
    <xf numFmtId="0" fontId="3" fillId="32" borderId="15" xfId="0" applyFont="1" applyFill="1" applyBorder="1" applyAlignment="1">
      <alignment wrapText="1"/>
    </xf>
    <xf numFmtId="0" fontId="3" fillId="32" borderId="0" xfId="0" applyFont="1" applyFill="1" applyBorder="1" applyAlignment="1">
      <alignment wrapText="1"/>
    </xf>
    <xf numFmtId="0" fontId="4" fillId="0" borderId="0" xfId="61" applyNumberFormat="1" applyFont="1" applyAlignment="1"/>
    <xf numFmtId="173" fontId="4" fillId="0" borderId="0" xfId="61" applyNumberFormat="1" applyFont="1" applyFill="1" applyAlignment="1"/>
    <xf numFmtId="43" fontId="124" fillId="49" borderId="0" xfId="123" applyFont="1" applyFill="1" applyBorder="1" applyAlignment="1" applyProtection="1"/>
    <xf numFmtId="2" fontId="3" fillId="40" borderId="11" xfId="0" applyNumberFormat="1" applyFont="1" applyFill="1" applyBorder="1" applyAlignment="1"/>
    <xf numFmtId="0" fontId="86" fillId="40" borderId="0" xfId="0" applyFont="1" applyFill="1" applyAlignment="1">
      <alignment justifyLastLine="1"/>
    </xf>
    <xf numFmtId="0" fontId="51" fillId="31" borderId="0" xfId="0" applyFont="1" applyFill="1" applyBorder="1" applyAlignment="1" applyProtection="1">
      <protection locked="0"/>
    </xf>
    <xf numFmtId="0" fontId="9" fillId="0" borderId="11" xfId="0" applyFont="1" applyFill="1" applyBorder="1" applyAlignment="1">
      <alignment wrapText="1"/>
    </xf>
    <xf numFmtId="14" fontId="42" fillId="39" borderId="11" xfId="0" applyNumberFormat="1" applyFont="1" applyFill="1" applyBorder="1" applyAlignment="1"/>
    <xf numFmtId="0" fontId="9" fillId="40" borderId="0" xfId="0" applyFont="1" applyFill="1" applyAlignment="1">
      <alignment vertical="center"/>
    </xf>
    <xf numFmtId="0" fontId="42" fillId="40" borderId="0" xfId="0" applyFont="1" applyFill="1" applyAlignment="1">
      <alignment justifyLastLine="1"/>
    </xf>
    <xf numFmtId="0" fontId="94" fillId="40" borderId="0" xfId="0" applyFont="1" applyFill="1" applyAlignment="1"/>
    <xf numFmtId="0" fontId="79" fillId="0" borderId="0" xfId="0" applyFont="1" applyFill="1" applyAlignment="1">
      <alignment wrapText="1"/>
    </xf>
    <xf numFmtId="0" fontId="9" fillId="40" borderId="0" xfId="61" applyNumberFormat="1" applyFont="1" applyFill="1" applyAlignment="1"/>
    <xf numFmtId="0" fontId="4" fillId="40" borderId="0" xfId="61" applyNumberFormat="1" applyFont="1" applyFill="1" applyAlignment="1"/>
    <xf numFmtId="173" fontId="4" fillId="40" borderId="0" xfId="61" applyNumberFormat="1" applyFont="1" applyFill="1" applyAlignment="1"/>
    <xf numFmtId="0" fontId="235" fillId="40" borderId="0" xfId="0" applyFont="1" applyFill="1" applyAlignment="1"/>
    <xf numFmtId="0" fontId="107" fillId="40" borderId="0" xfId="0" applyFont="1" applyFill="1" applyBorder="1" applyAlignment="1"/>
    <xf numFmtId="0" fontId="94" fillId="0" borderId="0" xfId="0" applyFont="1" applyAlignment="1"/>
    <xf numFmtId="0" fontId="95" fillId="40" borderId="0" xfId="0" applyFont="1" applyFill="1" applyBorder="1" applyAlignment="1"/>
    <xf numFmtId="0" fontId="42" fillId="0" borderId="0" xfId="0" applyFont="1" applyBorder="1" applyAlignment="1">
      <alignment wrapText="1"/>
    </xf>
    <xf numFmtId="0" fontId="79" fillId="40" borderId="0" xfId="0" applyFont="1" applyFill="1" applyBorder="1" applyAlignment="1"/>
    <xf numFmtId="43" fontId="154" fillId="49" borderId="11" xfId="123" applyFont="1" applyFill="1" applyBorder="1" applyAlignment="1" applyProtection="1"/>
    <xf numFmtId="0" fontId="48" fillId="40" borderId="13" xfId="0" applyFont="1" applyFill="1" applyBorder="1" applyAlignment="1">
      <alignment vertical="center" wrapText="1"/>
    </xf>
    <xf numFmtId="0" fontId="48" fillId="40" borderId="11" xfId="0" applyFont="1" applyFill="1" applyBorder="1" applyAlignment="1">
      <alignment vertical="center" wrapText="1"/>
    </xf>
    <xf numFmtId="0" fontId="47" fillId="32" borderId="74" xfId="0" applyFont="1" applyFill="1" applyBorder="1" applyAlignment="1">
      <alignment wrapText="1"/>
    </xf>
    <xf numFmtId="0" fontId="47" fillId="32" borderId="11" xfId="0" applyFont="1" applyFill="1" applyBorder="1" applyAlignment="1">
      <alignment wrapText="1"/>
    </xf>
    <xf numFmtId="0" fontId="46" fillId="43" borderId="29" xfId="0" applyFont="1" applyFill="1" applyBorder="1" applyAlignment="1"/>
    <xf numFmtId="0" fontId="46" fillId="43" borderId="0" xfId="0" applyFont="1" applyFill="1" applyBorder="1" applyAlignment="1"/>
    <xf numFmtId="0" fontId="46" fillId="43" borderId="16" xfId="0" applyFont="1" applyFill="1" applyBorder="1" applyAlignment="1"/>
    <xf numFmtId="0" fontId="47" fillId="40" borderId="15" xfId="0" applyFont="1" applyFill="1" applyBorder="1" applyAlignment="1"/>
    <xf numFmtId="0" fontId="47" fillId="40" borderId="0" xfId="0" applyFont="1" applyFill="1" applyBorder="1" applyAlignment="1"/>
    <xf numFmtId="0" fontId="46" fillId="40" borderId="74" xfId="0" applyFont="1" applyFill="1" applyBorder="1" applyAlignment="1">
      <alignment vertical="center" wrapText="1"/>
    </xf>
    <xf numFmtId="0" fontId="46" fillId="40" borderId="29" xfId="0" applyFont="1" applyFill="1" applyBorder="1" applyAlignment="1">
      <alignment vertical="center" wrapText="1"/>
    </xf>
    <xf numFmtId="0" fontId="46" fillId="40" borderId="0" xfId="0" applyFont="1" applyFill="1" applyBorder="1" applyAlignment="1">
      <alignment vertical="center" wrapText="1"/>
    </xf>
    <xf numFmtId="0" fontId="46" fillId="40" borderId="66" xfId="0" applyFont="1" applyFill="1" applyBorder="1" applyAlignment="1">
      <alignment vertical="center" wrapText="1"/>
    </xf>
    <xf numFmtId="0" fontId="46" fillId="40" borderId="67" xfId="0" applyFont="1" applyFill="1" applyBorder="1" applyAlignment="1">
      <alignment vertical="center" wrapText="1"/>
    </xf>
    <xf numFmtId="0" fontId="60" fillId="0" borderId="0" xfId="0" applyFont="1" applyAlignment="1"/>
    <xf numFmtId="0" fontId="60" fillId="41" borderId="89" xfId="0" applyFont="1" applyFill="1" applyBorder="1" applyAlignment="1"/>
    <xf numFmtId="0" fontId="60" fillId="41" borderId="90" xfId="0" applyFont="1" applyFill="1" applyBorder="1" applyAlignment="1"/>
    <xf numFmtId="0" fontId="46" fillId="0" borderId="92" xfId="0" applyFont="1" applyBorder="1" applyAlignment="1"/>
    <xf numFmtId="0" fontId="46" fillId="0" borderId="93" xfId="0" applyFont="1" applyBorder="1" applyAlignment="1"/>
    <xf numFmtId="0" fontId="46" fillId="0" borderId="82" xfId="0" applyFont="1" applyBorder="1" applyAlignment="1"/>
    <xf numFmtId="0" fontId="37" fillId="40" borderId="79" xfId="0" applyFont="1" applyFill="1" applyBorder="1" applyAlignment="1">
      <alignment wrapText="1"/>
    </xf>
    <xf numFmtId="0" fontId="37" fillId="40" borderId="80" xfId="0" applyFont="1" applyFill="1" applyBorder="1" applyAlignment="1">
      <alignment wrapText="1"/>
    </xf>
    <xf numFmtId="0" fontId="37" fillId="40" borderId="87" xfId="0" applyFont="1" applyFill="1" applyBorder="1" applyAlignment="1">
      <alignment wrapText="1"/>
    </xf>
    <xf numFmtId="0" fontId="37" fillId="40" borderId="88" xfId="0" applyFont="1" applyFill="1" applyBorder="1" applyAlignment="1">
      <alignment wrapText="1"/>
    </xf>
    <xf numFmtId="0" fontId="37" fillId="40" borderId="94" xfId="0" applyFont="1" applyFill="1" applyBorder="1" applyAlignment="1">
      <alignment wrapText="1"/>
    </xf>
    <xf numFmtId="0" fontId="60" fillId="41" borderId="60" xfId="0" applyFont="1" applyFill="1" applyBorder="1" applyAlignment="1"/>
    <xf numFmtId="0" fontId="60" fillId="41" borderId="54" xfId="0" applyFont="1" applyFill="1" applyBorder="1" applyAlignment="1"/>
    <xf numFmtId="0" fontId="60" fillId="41" borderId="55" xfId="0" applyFont="1" applyFill="1" applyBorder="1" applyAlignment="1"/>
    <xf numFmtId="0" fontId="46" fillId="0" borderId="86" xfId="0" applyFont="1" applyBorder="1" applyAlignment="1"/>
    <xf numFmtId="0" fontId="46" fillId="0" borderId="51" xfId="0" applyFont="1" applyBorder="1" applyAlignment="1"/>
    <xf numFmtId="0" fontId="46" fillId="0" borderId="13" xfId="0" applyFont="1" applyBorder="1" applyAlignment="1"/>
    <xf numFmtId="0" fontId="37" fillId="40" borderId="79" xfId="0" applyFont="1" applyFill="1" applyBorder="1" applyAlignment="1"/>
    <xf numFmtId="0" fontId="37" fillId="40" borderId="87" xfId="0" applyFont="1" applyFill="1" applyBorder="1" applyAlignment="1"/>
    <xf numFmtId="0" fontId="37" fillId="40" borderId="88" xfId="0" applyFont="1" applyFill="1" applyBorder="1" applyAlignment="1"/>
    <xf numFmtId="0" fontId="37" fillId="40" borderId="81" xfId="0" applyFont="1" applyFill="1" applyBorder="1" applyAlignment="1"/>
    <xf numFmtId="4" fontId="9" fillId="0" borderId="0" xfId="61" applyNumberFormat="1" applyFont="1" applyBorder="1" applyAlignment="1"/>
    <xf numFmtId="0" fontId="4" fillId="0" borderId="0" xfId="61" applyNumberFormat="1" applyFont="1" applyBorder="1" applyAlignment="1"/>
    <xf numFmtId="4" fontId="4" fillId="0" borderId="0" xfId="61" applyNumberFormat="1" applyFont="1" applyBorder="1" applyAlignment="1"/>
    <xf numFmtId="0" fontId="42" fillId="0" borderId="15" xfId="0" applyFont="1" applyBorder="1" applyAlignment="1"/>
    <xf numFmtId="0" fontId="42" fillId="0" borderId="16" xfId="0" applyFont="1" applyBorder="1" applyAlignment="1"/>
    <xf numFmtId="0" fontId="61" fillId="0" borderId="15" xfId="0" applyFont="1" applyBorder="1" applyAlignment="1"/>
    <xf numFmtId="0" fontId="61" fillId="0" borderId="0" xfId="0" applyFont="1" applyBorder="1" applyAlignment="1"/>
    <xf numFmtId="0" fontId="61" fillId="0" borderId="16" xfId="0" applyFont="1" applyBorder="1" applyAlignment="1"/>
    <xf numFmtId="0" fontId="42" fillId="0" borderId="11" xfId="0" applyFont="1" applyFill="1" applyBorder="1" applyAlignment="1"/>
    <xf numFmtId="0" fontId="57" fillId="0" borderId="0" xfId="0" applyFont="1" applyBorder="1" applyAlignment="1"/>
    <xf numFmtId="0" fontId="57" fillId="0" borderId="16" xfId="0" applyFont="1" applyBorder="1" applyAlignment="1"/>
    <xf numFmtId="0" fontId="65" fillId="34" borderId="96" xfId="61" applyNumberFormat="1" applyFont="1" applyFill="1" applyBorder="1" applyAlignment="1" applyProtection="1">
      <alignment vertical="center" wrapText="1"/>
    </xf>
    <xf numFmtId="0" fontId="65" fillId="34" borderId="96" xfId="61" applyNumberFormat="1" applyFont="1" applyFill="1" applyBorder="1" applyAlignment="1" applyProtection="1">
      <alignment horizontal="left" vertical="center"/>
    </xf>
    <xf numFmtId="0" fontId="11" fillId="41" borderId="0" xfId="61" applyNumberFormat="1" applyFont="1" applyFill="1" applyBorder="1" applyAlignment="1" applyProtection="1">
      <alignment vertical="center"/>
    </xf>
    <xf numFmtId="0" fontId="11" fillId="41" borderId="0" xfId="61" applyNumberFormat="1" applyFont="1" applyFill="1" applyBorder="1" applyAlignment="1" applyProtection="1">
      <alignment horizontal="left" vertical="center"/>
    </xf>
    <xf numFmtId="0" fontId="106" fillId="41" borderId="0" xfId="61" applyNumberFormat="1" applyFont="1" applyFill="1" applyBorder="1" applyAlignment="1" applyProtection="1">
      <alignment horizontal="left" vertical="center"/>
    </xf>
    <xf numFmtId="43" fontId="9" fillId="40" borderId="0" xfId="123" applyFont="1" applyFill="1" applyBorder="1" applyAlignment="1" applyProtection="1">
      <alignment horizontal="center" vertical="center"/>
    </xf>
    <xf numFmtId="0" fontId="106" fillId="41" borderId="0" xfId="61" applyNumberFormat="1" applyFont="1" applyFill="1" applyBorder="1" applyAlignment="1" applyProtection="1">
      <alignment vertical="center"/>
    </xf>
    <xf numFmtId="0" fontId="11" fillId="41" borderId="0" xfId="61" applyNumberFormat="1" applyFont="1" applyFill="1" applyBorder="1" applyAlignment="1" applyProtection="1">
      <alignment vertical="top"/>
    </xf>
    <xf numFmtId="0" fontId="11" fillId="41" borderId="0" xfId="61" applyFont="1" applyFill="1" applyAlignment="1" applyProtection="1"/>
    <xf numFmtId="0" fontId="106" fillId="41" borderId="0" xfId="61" applyFont="1" applyFill="1" applyAlignment="1" applyProtection="1"/>
    <xf numFmtId="0" fontId="63" fillId="24" borderId="0" xfId="117" applyNumberFormat="1" applyFont="1" applyFill="1" applyAlignment="1">
      <alignment vertical="center"/>
    </xf>
    <xf numFmtId="0" fontId="64" fillId="0" borderId="0" xfId="117" applyFont="1" applyAlignment="1"/>
    <xf numFmtId="0" fontId="245" fillId="0" borderId="0" xfId="0" applyFont="1" applyAlignment="1">
      <alignment vertical="center"/>
    </xf>
    <xf numFmtId="0" fontId="189" fillId="0" borderId="0" xfId="0" applyFont="1" applyAlignment="1">
      <alignment vertical="center"/>
    </xf>
    <xf numFmtId="0" fontId="3" fillId="31" borderId="0" xfId="0" applyFont="1" applyFill="1" applyAlignment="1" applyProtection="1">
      <alignment horizontal="left"/>
      <protection locked="0"/>
    </xf>
    <xf numFmtId="0" fontId="59" fillId="0" borderId="0" xfId="0" applyFont="1" applyFill="1" applyAlignment="1" applyProtection="1">
      <alignment horizontal="right"/>
    </xf>
    <xf numFmtId="0" fontId="9" fillId="0" borderId="0" xfId="65" quotePrefix="1" applyFont="1" applyAlignment="1">
      <alignment horizontal="left" vertical="top"/>
    </xf>
    <xf numFmtId="0" fontId="3" fillId="0" borderId="0" xfId="65" applyAlignment="1">
      <alignment horizontal="left" vertical="top"/>
    </xf>
    <xf numFmtId="0" fontId="9" fillId="0" borderId="0" xfId="65" applyFont="1" applyAlignment="1">
      <alignment horizontal="left" vertical="top"/>
    </xf>
    <xf numFmtId="0" fontId="9" fillId="0" borderId="0" xfId="65" quotePrefix="1" applyFont="1" applyFill="1" applyAlignment="1">
      <alignment horizontal="left"/>
    </xf>
    <xf numFmtId="40" fontId="160" fillId="59" borderId="12" xfId="65" applyNumberFormat="1" applyFont="1" applyFill="1" applyBorder="1" applyAlignment="1" applyProtection="1">
      <alignment horizontal="center"/>
    </xf>
    <xf numFmtId="40" fontId="160" fillId="0" borderId="0" xfId="65" applyNumberFormat="1" applyFont="1" applyFill="1" applyBorder="1" applyAlignment="1" applyProtection="1"/>
    <xf numFmtId="197" fontId="9" fillId="0" borderId="0" xfId="65" applyNumberFormat="1" applyFont="1" applyFill="1" applyBorder="1"/>
    <xf numFmtId="197" fontId="162" fillId="0" borderId="0" xfId="65" applyNumberFormat="1" applyFont="1" applyFill="1" applyBorder="1"/>
    <xf numFmtId="4" fontId="3" fillId="0" borderId="0" xfId="123" applyNumberFormat="1" applyFont="1" applyFill="1" applyBorder="1" applyProtection="1">
      <protection locked="0"/>
    </xf>
    <xf numFmtId="4" fontId="7" fillId="0" borderId="0" xfId="123" applyNumberFormat="1" applyFont="1" applyFill="1" applyBorder="1" applyProtection="1">
      <protection locked="0"/>
    </xf>
    <xf numFmtId="4" fontId="3" fillId="0" borderId="0" xfId="123" applyNumberFormat="1" applyFont="1" applyFill="1" applyBorder="1" applyAlignment="1" applyProtection="1">
      <protection locked="0"/>
    </xf>
    <xf numFmtId="4" fontId="3" fillId="0" borderId="0" xfId="123" quotePrefix="1" applyNumberFormat="1" applyFont="1" applyFill="1" applyBorder="1" applyAlignment="1">
      <alignment horizontal="left"/>
    </xf>
    <xf numFmtId="4" fontId="3" fillId="0" borderId="0" xfId="123" applyNumberFormat="1" applyFont="1" applyFill="1" applyBorder="1"/>
    <xf numFmtId="4" fontId="9" fillId="0" borderId="0" xfId="123" applyNumberFormat="1" applyFont="1" applyFill="1" applyBorder="1" applyAlignment="1" applyProtection="1"/>
    <xf numFmtId="196" fontId="9" fillId="0" borderId="0" xfId="65" applyNumberFormat="1" applyFont="1" applyAlignment="1">
      <alignment horizontal="right"/>
    </xf>
    <xf numFmtId="0" fontId="9" fillId="0" borderId="11" xfId="65" applyFont="1" applyBorder="1" applyAlignment="1">
      <alignment horizontal="center"/>
    </xf>
    <xf numFmtId="0" fontId="5" fillId="40" borderId="0" xfId="0" applyFont="1" applyFill="1" applyBorder="1" applyAlignment="1"/>
    <xf numFmtId="0" fontId="0" fillId="40" borderId="0" xfId="0" applyFill="1" applyAlignment="1"/>
    <xf numFmtId="16" fontId="9" fillId="0" borderId="11" xfId="65" quotePrefix="1" applyNumberFormat="1" applyFont="1" applyBorder="1" applyAlignment="1">
      <alignment horizontal="center"/>
    </xf>
    <xf numFmtId="0" fontId="163" fillId="0" borderId="11" xfId="65" applyFont="1" applyBorder="1"/>
    <xf numFmtId="0" fontId="9" fillId="116" borderId="11" xfId="65" applyFont="1" applyFill="1" applyBorder="1" applyAlignment="1"/>
    <xf numFmtId="0" fontId="5" fillId="107" borderId="0" xfId="134" applyFont="1" applyFill="1"/>
    <xf numFmtId="0" fontId="42" fillId="107" borderId="0" xfId="135" applyFill="1" applyAlignment="1"/>
    <xf numFmtId="49" fontId="3" fillId="0" borderId="0" xfId="134" applyNumberFormat="1" applyFont="1" applyAlignment="1"/>
    <xf numFmtId="0" fontId="3" fillId="0" borderId="0" xfId="134" applyNumberFormat="1" applyFont="1" applyBorder="1" applyAlignment="1">
      <alignment vertical="center"/>
    </xf>
    <xf numFmtId="0" fontId="57" fillId="0" borderId="0" xfId="135" applyFont="1" applyAlignment="1"/>
    <xf numFmtId="0" fontId="114" fillId="50" borderId="259" xfId="0" applyFont="1" applyFill="1" applyBorder="1" applyAlignment="1" applyProtection="1">
      <alignment wrapText="1"/>
    </xf>
    <xf numFmtId="43" fontId="59" fillId="31" borderId="258" xfId="123" applyFont="1" applyFill="1" applyBorder="1" applyAlignment="1" applyProtection="1">
      <protection locked="0"/>
    </xf>
    <xf numFmtId="43" fontId="59" fillId="31" borderId="258" xfId="123" applyFont="1" applyFill="1" applyBorder="1" applyAlignment="1" applyProtection="1">
      <alignment horizontal="left" indent="12"/>
      <protection locked="0"/>
    </xf>
    <xf numFmtId="43" fontId="59" fillId="0" borderId="258" xfId="123" applyFont="1" applyBorder="1" applyAlignment="1" applyProtection="1"/>
    <xf numFmtId="43" fontId="59" fillId="0" borderId="14" xfId="123" applyFont="1" applyFill="1" applyBorder="1" applyAlignment="1" applyProtection="1">
      <alignment horizontal="left" indent="8"/>
    </xf>
    <xf numFmtId="191" fontId="59" fillId="0" borderId="259" xfId="126" applyNumberFormat="1" applyFont="1" applyFill="1" applyBorder="1" applyAlignment="1" applyProtection="1">
      <protection locked="0"/>
    </xf>
    <xf numFmtId="0" fontId="3" fillId="32" borderId="15" xfId="0" applyFont="1" applyFill="1" applyBorder="1" applyAlignment="1"/>
    <xf numFmtId="2" fontId="3" fillId="40" borderId="11" xfId="0" applyNumberFormat="1" applyFont="1" applyFill="1" applyBorder="1" applyAlignment="1">
      <alignment wrapText="1"/>
    </xf>
    <xf numFmtId="14" fontId="42" fillId="39" borderId="11" xfId="0" applyNumberFormat="1" applyFont="1" applyFill="1" applyBorder="1" applyAlignment="1">
      <alignment horizontal="left" indent="2"/>
    </xf>
    <xf numFmtId="14" fontId="42" fillId="39" borderId="11" xfId="0" applyNumberFormat="1" applyFont="1" applyFill="1" applyBorder="1" applyAlignment="1">
      <alignment horizontal="left"/>
    </xf>
    <xf numFmtId="43" fontId="154" fillId="49" borderId="0" xfId="123" applyFont="1" applyFill="1" applyBorder="1" applyAlignment="1" applyProtection="1"/>
    <xf numFmtId="0" fontId="47" fillId="32" borderId="13" xfId="0" applyFont="1" applyFill="1" applyBorder="1" applyAlignment="1"/>
    <xf numFmtId="0" fontId="48" fillId="40" borderId="15" xfId="0" applyFont="1" applyFill="1" applyBorder="1" applyAlignment="1"/>
    <xf numFmtId="0" fontId="48" fillId="40" borderId="0" xfId="0" applyFont="1" applyFill="1" applyBorder="1" applyAlignment="1"/>
    <xf numFmtId="0" fontId="48" fillId="40" borderId="15" xfId="0" applyFont="1" applyFill="1" applyBorder="1" applyAlignment="1">
      <alignment vertical="center"/>
    </xf>
    <xf numFmtId="0" fontId="48" fillId="40" borderId="0" xfId="0" applyFont="1" applyFill="1" applyBorder="1" applyAlignment="1">
      <alignment vertical="center"/>
    </xf>
    <xf numFmtId="0" fontId="9" fillId="0" borderId="0" xfId="128" applyFont="1" applyAlignment="1">
      <alignment horizontal="center" wrapText="1"/>
    </xf>
    <xf numFmtId="173" fontId="63" fillId="0" borderId="0" xfId="128" quotePrefix="1" applyNumberFormat="1" applyFont="1" applyAlignment="1">
      <alignment horizontal="center" wrapText="1"/>
    </xf>
    <xf numFmtId="0" fontId="63" fillId="0" borderId="0" xfId="61" applyNumberFormat="1" applyFont="1" applyAlignment="1"/>
    <xf numFmtId="0" fontId="64" fillId="40" borderId="0" xfId="0" applyFont="1" applyFill="1" applyAlignment="1"/>
    <xf numFmtId="0" fontId="37" fillId="0" borderId="89" xfId="0" applyFont="1" applyBorder="1" applyAlignment="1">
      <alignment horizontal="center" vertical="center"/>
    </xf>
    <xf numFmtId="0" fontId="37" fillId="0" borderId="90" xfId="0" applyFont="1" applyBorder="1" applyAlignment="1">
      <alignment horizontal="center" vertical="center" wrapText="1"/>
    </xf>
    <xf numFmtId="0" fontId="37" fillId="0" borderId="261" xfId="0" applyFont="1" applyBorder="1" applyAlignment="1">
      <alignment horizontal="center" vertical="center" wrapText="1"/>
    </xf>
    <xf numFmtId="0" fontId="37" fillId="0" borderId="91" xfId="0" applyFont="1" applyBorder="1" applyAlignment="1">
      <alignment horizontal="center" vertical="center" wrapText="1"/>
    </xf>
    <xf numFmtId="0" fontId="0" fillId="0" borderId="0" xfId="0"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wrapText="1"/>
    </xf>
    <xf numFmtId="1" fontId="0" fillId="0" borderId="0" xfId="0" applyNumberFormat="1" applyAlignment="1">
      <alignment horizontal="center" vertical="center"/>
    </xf>
    <xf numFmtId="0" fontId="0" fillId="40" borderId="0" xfId="0" applyFill="1" applyAlignment="1">
      <alignment horizontal="left" wrapText="1"/>
    </xf>
    <xf numFmtId="0" fontId="0" fillId="0" borderId="0" xfId="0" applyAlignment="1">
      <alignment horizontal="left" wrapText="1"/>
    </xf>
    <xf numFmtId="0" fontId="0" fillId="40" borderId="0" xfId="0" applyFill="1" applyAlignment="1">
      <alignment horizontal="left"/>
    </xf>
    <xf numFmtId="0" fontId="248" fillId="0" borderId="0" xfId="0" applyFont="1"/>
    <xf numFmtId="0" fontId="248" fillId="0" borderId="0" xfId="0" applyFont="1" applyAlignment="1" applyProtection="1">
      <alignment horizontal="right"/>
    </xf>
    <xf numFmtId="44" fontId="248" fillId="0" borderId="0" xfId="49" applyFont="1" applyAlignment="1" applyProtection="1">
      <alignment horizontal="center"/>
    </xf>
    <xf numFmtId="16" fontId="249" fillId="0" borderId="0" xfId="0" applyNumberFormat="1" applyFont="1" applyAlignment="1" applyProtection="1">
      <alignment horizontal="left"/>
    </xf>
    <xf numFmtId="16" fontId="249" fillId="0" borderId="0" xfId="0" applyNumberFormat="1" applyFont="1" applyAlignment="1" applyProtection="1">
      <alignment horizontal="left" vertical="top" wrapText="1"/>
    </xf>
    <xf numFmtId="194" fontId="249" fillId="0" borderId="0" xfId="126" applyNumberFormat="1" applyFont="1" applyAlignment="1" applyProtection="1">
      <alignment horizontal="right" vertical="top" wrapText="1"/>
    </xf>
    <xf numFmtId="16" fontId="249" fillId="0" borderId="0" xfId="0" applyNumberFormat="1" applyFont="1" applyAlignment="1" applyProtection="1">
      <alignment wrapText="1"/>
    </xf>
    <xf numFmtId="16" fontId="248" fillId="0" borderId="0" xfId="0" applyNumberFormat="1" applyFont="1" applyAlignment="1" applyProtection="1">
      <alignment horizontal="left"/>
    </xf>
    <xf numFmtId="0" fontId="248" fillId="0" borderId="0" xfId="0" applyFont="1" applyProtection="1"/>
    <xf numFmtId="0" fontId="248" fillId="0" borderId="0" xfId="0" applyFont="1" applyAlignment="1" applyProtection="1">
      <alignment wrapText="1"/>
    </xf>
    <xf numFmtId="0" fontId="249" fillId="26" borderId="0" xfId="0" applyFont="1" applyFill="1" applyAlignment="1" applyProtection="1">
      <alignment horizontal="left"/>
    </xf>
    <xf numFmtId="0" fontId="248" fillId="26" borderId="0" xfId="0" applyFont="1" applyFill="1" applyProtection="1"/>
    <xf numFmtId="0" fontId="249" fillId="26" borderId="0" xfId="0" applyFont="1" applyFill="1" applyAlignment="1" applyProtection="1">
      <alignment horizontal="right"/>
    </xf>
    <xf numFmtId="0" fontId="249" fillId="0" borderId="0" xfId="0" applyFont="1" applyProtection="1"/>
    <xf numFmtId="0" fontId="248" fillId="0" borderId="262" xfId="0" applyFont="1" applyBorder="1" applyProtection="1"/>
    <xf numFmtId="0" fontId="248" fillId="0" borderId="0" xfId="0" applyFont="1" applyFill="1" applyBorder="1" applyAlignment="1" applyProtection="1">
      <alignment vertical="top"/>
    </xf>
    <xf numFmtId="0" fontId="250" fillId="0" borderId="0" xfId="0" applyFont="1" applyAlignment="1" applyProtection="1">
      <alignment horizontal="left"/>
    </xf>
    <xf numFmtId="0" fontId="249" fillId="0" borderId="0" xfId="0" applyFont="1" applyBorder="1" applyAlignment="1">
      <alignment horizontal="center" wrapText="1"/>
    </xf>
    <xf numFmtId="0" fontId="249" fillId="0" borderId="0" xfId="0" applyFont="1"/>
    <xf numFmtId="0" fontId="249" fillId="0" borderId="0" xfId="0" applyFont="1" applyBorder="1" applyAlignment="1" applyProtection="1">
      <alignment horizontal="left"/>
    </xf>
    <xf numFmtId="0" fontId="248" fillId="0" borderId="0" xfId="0" applyFont="1" applyBorder="1"/>
    <xf numFmtId="0" fontId="249" fillId="102" borderId="0" xfId="0" applyFont="1" applyFill="1"/>
    <xf numFmtId="0" fontId="248" fillId="0" borderId="0" xfId="0" applyFont="1" applyBorder="1" applyAlignment="1">
      <alignment horizontal="center"/>
    </xf>
    <xf numFmtId="0" fontId="248" fillId="36" borderId="0" xfId="0" applyFont="1" applyFill="1" applyBorder="1"/>
    <xf numFmtId="174" fontId="248" fillId="0" borderId="0" xfId="49" applyNumberFormat="1" applyFont="1" applyBorder="1" applyAlignment="1">
      <alignment horizontal="center"/>
    </xf>
    <xf numFmtId="167" fontId="248" fillId="0" borderId="0" xfId="29" applyNumberFormat="1" applyFont="1" applyBorder="1" applyAlignment="1">
      <alignment horizontal="center"/>
    </xf>
    <xf numFmtId="167" fontId="248" fillId="0" borderId="0" xfId="29" applyNumberFormat="1" applyFont="1" applyFill="1" applyBorder="1" applyAlignment="1">
      <alignment horizontal="center"/>
    </xf>
    <xf numFmtId="0" fontId="252" fillId="36" borderId="0" xfId="0" applyFont="1" applyFill="1" applyBorder="1" applyProtection="1"/>
    <xf numFmtId="174" fontId="249" fillId="0" borderId="0" xfId="0" applyNumberFormat="1" applyFont="1" applyBorder="1"/>
    <xf numFmtId="174" fontId="248" fillId="0" borderId="0" xfId="0" applyNumberFormat="1" applyFont="1" applyBorder="1"/>
    <xf numFmtId="0" fontId="249" fillId="0" borderId="0" xfId="0" applyFont="1" applyBorder="1" applyAlignment="1">
      <alignment horizontal="center"/>
    </xf>
    <xf numFmtId="0" fontId="85" fillId="0" borderId="0" xfId="210" applyFont="1" applyBorder="1" applyAlignment="1">
      <alignment horizontal="right"/>
    </xf>
    <xf numFmtId="0" fontId="85" fillId="0" borderId="0" xfId="210" applyFont="1" applyFill="1" applyBorder="1" applyAlignment="1">
      <alignment horizontal="right"/>
    </xf>
    <xf numFmtId="5" fontId="248" fillId="0" borderId="0" xfId="49" applyNumberFormat="1" applyFont="1" applyBorder="1" applyAlignment="1">
      <alignment horizontal="center"/>
    </xf>
    <xf numFmtId="43" fontId="64" fillId="43" borderId="0" xfId="61" applyNumberFormat="1" applyFont="1" applyFill="1" applyProtection="1"/>
    <xf numFmtId="0" fontId="189" fillId="0" borderId="0" xfId="0" applyFont="1"/>
    <xf numFmtId="43" fontId="189" fillId="0" borderId="0" xfId="123" applyFont="1"/>
    <xf numFmtId="43" fontId="64" fillId="29" borderId="0" xfId="123" applyFont="1" applyFill="1" applyProtection="1"/>
    <xf numFmtId="43" fontId="189" fillId="31" borderId="0" xfId="123" applyFont="1" applyFill="1"/>
    <xf numFmtId="0" fontId="189" fillId="31" borderId="0" xfId="0" applyFont="1" applyFill="1"/>
    <xf numFmtId="16" fontId="248" fillId="0" borderId="0" xfId="0" applyNumberFormat="1" applyFont="1" applyAlignment="1" applyProtection="1">
      <alignment horizontal="left" vertical="top" wrapText="1"/>
    </xf>
    <xf numFmtId="0" fontId="249" fillId="0" borderId="0" xfId="0" applyFont="1" applyAlignment="1" applyProtection="1">
      <alignment horizontal="right"/>
    </xf>
    <xf numFmtId="0" fontId="143" fillId="0" borderId="0" xfId="0" applyFont="1"/>
    <xf numFmtId="0" fontId="248" fillId="0" borderId="0" xfId="0" applyFont="1" applyAlignment="1" applyProtection="1">
      <alignment horizontal="left"/>
    </xf>
    <xf numFmtId="0" fontId="247" fillId="0" borderId="0" xfId="0" applyFont="1" applyAlignment="1" applyProtection="1">
      <alignment horizontal="center"/>
    </xf>
    <xf numFmtId="0" fontId="249" fillId="0" borderId="0" xfId="0" applyFont="1" applyAlignment="1" applyProtection="1">
      <alignment horizontal="center"/>
    </xf>
    <xf numFmtId="0" fontId="249" fillId="0" borderId="0" xfId="0" applyFont="1" applyAlignment="1" applyProtection="1">
      <alignment horizontal="left"/>
    </xf>
    <xf numFmtId="0" fontId="42" fillId="0" borderId="0" xfId="61" applyNumberFormat="1" applyFont="1" applyAlignment="1"/>
    <xf numFmtId="0" fontId="38" fillId="0" borderId="0" xfId="0" applyFont="1" applyAlignment="1" applyProtection="1">
      <alignment horizontal="left" vertical="center"/>
    </xf>
    <xf numFmtId="0" fontId="42" fillId="0" borderId="0" xfId="61" applyNumberFormat="1" applyFont="1" applyAlignment="1" applyProtection="1">
      <alignment horizontal="left"/>
    </xf>
    <xf numFmtId="4" fontId="57" fillId="40" borderId="0" xfId="61" applyNumberFormat="1" applyFont="1" applyFill="1" applyBorder="1" applyAlignment="1" applyProtection="1"/>
    <xf numFmtId="0" fontId="42" fillId="0" borderId="0" xfId="61" applyNumberFormat="1" applyFont="1" applyBorder="1" applyAlignment="1" applyProtection="1"/>
    <xf numFmtId="0" fontId="57" fillId="40" borderId="0" xfId="61" applyNumberFormat="1" applyFont="1" applyFill="1" applyBorder="1" applyAlignment="1" applyProtection="1"/>
    <xf numFmtId="0" fontId="42" fillId="0" borderId="0" xfId="61" applyNumberFormat="1" applyFont="1" applyAlignment="1" applyProtection="1"/>
    <xf numFmtId="4" fontId="37" fillId="0" borderId="0" xfId="0" applyNumberFormat="1" applyFont="1"/>
    <xf numFmtId="0" fontId="57" fillId="0" borderId="0" xfId="61" applyNumberFormat="1" applyFont="1" applyAlignment="1"/>
    <xf numFmtId="0" fontId="57" fillId="0" borderId="0" xfId="61" applyNumberFormat="1" applyFont="1" applyAlignment="1">
      <alignment horizontal="center"/>
    </xf>
    <xf numFmtId="0" fontId="57" fillId="0" borderId="0" xfId="61" applyFont="1" applyProtection="1"/>
    <xf numFmtId="0" fontId="57" fillId="0" borderId="0" xfId="61" applyNumberFormat="1" applyFont="1" applyAlignment="1">
      <alignment horizontal="right"/>
    </xf>
    <xf numFmtId="0" fontId="59" fillId="32" borderId="122" xfId="61" applyFont="1" applyFill="1" applyBorder="1" applyAlignment="1" applyProtection="1">
      <alignment horizontal="center"/>
    </xf>
    <xf numFmtId="0" fontId="57" fillId="0" borderId="67" xfId="0" applyFont="1" applyBorder="1" applyAlignment="1"/>
    <xf numFmtId="0" fontId="57" fillId="0" borderId="0" xfId="0" applyFont="1" applyFill="1" applyBorder="1" applyAlignment="1"/>
    <xf numFmtId="0" fontId="57" fillId="0" borderId="0" xfId="0" applyFont="1" applyFill="1" applyBorder="1" applyAlignment="1">
      <alignment horizontal="center"/>
    </xf>
    <xf numFmtId="0" fontId="57" fillId="32" borderId="18" xfId="0" applyNumberFormat="1" applyFont="1" applyFill="1" applyBorder="1" applyAlignment="1">
      <alignment horizontal="centerContinuous"/>
    </xf>
    <xf numFmtId="0" fontId="57" fillId="32" borderId="19" xfId="0" applyNumberFormat="1" applyFont="1" applyFill="1" applyBorder="1" applyAlignment="1">
      <alignment horizontal="centerContinuous"/>
    </xf>
    <xf numFmtId="0" fontId="57" fillId="32" borderId="19" xfId="0" applyNumberFormat="1" applyFont="1" applyFill="1" applyBorder="1" applyAlignment="1">
      <alignment horizontal="center"/>
    </xf>
    <xf numFmtId="0" fontId="57" fillId="32" borderId="38" xfId="0" applyNumberFormat="1" applyFont="1" applyFill="1" applyBorder="1" applyAlignment="1">
      <alignment horizontal="centerContinuous"/>
    </xf>
    <xf numFmtId="0" fontId="59" fillId="40" borderId="0" xfId="61" applyNumberFormat="1" applyFont="1" applyFill="1" applyBorder="1" applyAlignment="1" applyProtection="1">
      <alignment horizontal="center"/>
    </xf>
    <xf numFmtId="173" fontId="60" fillId="40" borderId="0" xfId="61" applyNumberFormat="1" applyFont="1" applyFill="1" applyBorder="1" applyAlignment="1" applyProtection="1"/>
    <xf numFmtId="0" fontId="46" fillId="40" borderId="0" xfId="0" applyFont="1" applyFill="1" applyBorder="1" applyAlignment="1" applyProtection="1">
      <alignment horizontal="left"/>
    </xf>
    <xf numFmtId="173" fontId="59" fillId="46" borderId="85" xfId="0" applyNumberFormat="1" applyFont="1" applyFill="1" applyBorder="1" applyAlignment="1" applyProtection="1">
      <alignment horizontal="left"/>
    </xf>
    <xf numFmtId="0" fontId="42" fillId="0" borderId="0" xfId="65" applyFont="1" applyAlignment="1"/>
    <xf numFmtId="0" fontId="94" fillId="0" borderId="0" xfId="65" applyNumberFormat="1" applyFont="1" applyAlignment="1">
      <alignment horizontal="left"/>
    </xf>
    <xf numFmtId="0" fontId="94" fillId="0" borderId="0" xfId="0" applyFont="1" applyAlignment="1">
      <alignment horizontal="left"/>
    </xf>
    <xf numFmtId="49" fontId="94" fillId="0" borderId="0" xfId="65" applyNumberFormat="1" applyFont="1" applyAlignment="1"/>
    <xf numFmtId="49" fontId="94" fillId="0" borderId="0" xfId="65" applyNumberFormat="1" applyFont="1" applyBorder="1" applyAlignment="1"/>
    <xf numFmtId="43" fontId="107" fillId="40" borderId="60" xfId="123" applyFont="1" applyFill="1" applyBorder="1" applyAlignment="1" applyProtection="1"/>
    <xf numFmtId="0" fontId="9" fillId="0" borderId="0" xfId="128" applyFont="1" applyAlignment="1">
      <alignment horizontal="center" vertical="center"/>
    </xf>
    <xf numFmtId="173" fontId="57" fillId="0" borderId="0" xfId="128" quotePrefix="1" applyNumberFormat="1" applyFont="1" applyAlignment="1">
      <alignment horizontal="center" vertical="center"/>
    </xf>
    <xf numFmtId="0" fontId="3" fillId="0" borderId="14" xfId="128" quotePrefix="1" applyFont="1" applyFill="1" applyBorder="1" applyAlignment="1">
      <alignment horizontal="left"/>
    </xf>
    <xf numFmtId="0" fontId="3" fillId="0" borderId="16" xfId="128" applyBorder="1"/>
    <xf numFmtId="0" fontId="85" fillId="0" borderId="0" xfId="0" applyFont="1" applyAlignment="1" applyProtection="1">
      <alignment horizontal="right"/>
    </xf>
    <xf numFmtId="0" fontId="126" fillId="0" borderId="0" xfId="0" applyFont="1" applyAlignment="1" applyProtection="1">
      <alignment horizontal="right" vertical="center"/>
    </xf>
    <xf numFmtId="0" fontId="248" fillId="0" borderId="0" xfId="0" applyFont="1" applyAlignment="1" applyProtection="1">
      <alignment horizontal="center"/>
    </xf>
    <xf numFmtId="0" fontId="44" fillId="0" borderId="0" xfId="0" applyFont="1" applyFill="1" applyBorder="1" applyAlignment="1" applyProtection="1">
      <alignment vertical="top"/>
    </xf>
    <xf numFmtId="16" fontId="44" fillId="0" borderId="0" xfId="0" applyNumberFormat="1" applyFont="1" applyAlignment="1" applyProtection="1">
      <alignment horizontal="left" vertical="top"/>
    </xf>
    <xf numFmtId="0" fontId="44" fillId="0" borderId="0" xfId="0" applyFont="1" applyFill="1" applyBorder="1" applyAlignment="1" applyProtection="1">
      <alignment horizontal="left" vertical="top"/>
    </xf>
    <xf numFmtId="0" fontId="44" fillId="0" borderId="0" xfId="0" applyFont="1" applyFill="1" applyBorder="1" applyAlignment="1" applyProtection="1">
      <alignment horizontal="left" vertical="top" wrapText="1"/>
    </xf>
    <xf numFmtId="0" fontId="65" fillId="34" borderId="0" xfId="61" applyNumberFormat="1" applyFont="1" applyFill="1" applyBorder="1" applyAlignment="1" applyProtection="1">
      <alignment vertical="center"/>
    </xf>
    <xf numFmtId="174" fontId="2" fillId="40" borderId="0" xfId="47" applyNumberFormat="1" applyFont="1" applyFill="1" applyBorder="1" applyAlignment="1" applyProtection="1"/>
    <xf numFmtId="173" fontId="57" fillId="40" borderId="0" xfId="61" applyNumberFormat="1" applyFont="1" applyFill="1" applyAlignment="1" applyProtection="1">
      <alignment horizontal="center" vertical="top"/>
    </xf>
    <xf numFmtId="0" fontId="57" fillId="40" borderId="0" xfId="0" applyFont="1" applyFill="1" applyAlignment="1" applyProtection="1">
      <alignment horizontal="center" vertical="center"/>
    </xf>
    <xf numFmtId="173" fontId="57" fillId="40" borderId="0" xfId="61" applyNumberFormat="1" applyFont="1" applyFill="1" applyAlignment="1" applyProtection="1">
      <alignment horizontal="center"/>
    </xf>
    <xf numFmtId="4" fontId="9" fillId="40" borderId="0" xfId="61" applyNumberFormat="1" applyFont="1" applyFill="1" applyBorder="1" applyAlignment="1" applyProtection="1">
      <alignment horizontal="center"/>
    </xf>
    <xf numFmtId="0" fontId="4" fillId="40" borderId="0" xfId="61" applyNumberFormat="1" applyFont="1" applyFill="1" applyBorder="1" applyAlignment="1" applyProtection="1">
      <alignment horizontal="center"/>
    </xf>
    <xf numFmtId="4" fontId="57" fillId="40" borderId="0" xfId="61" applyNumberFormat="1" applyFont="1" applyFill="1" applyBorder="1" applyAlignment="1" applyProtection="1">
      <alignment horizontal="center"/>
    </xf>
    <xf numFmtId="0" fontId="9" fillId="0" borderId="0" xfId="61" applyNumberFormat="1" applyFont="1" applyAlignment="1">
      <alignment horizontal="center" vertical="center"/>
    </xf>
    <xf numFmtId="0" fontId="57" fillId="0" borderId="0" xfId="61" applyNumberFormat="1" applyFont="1" applyAlignment="1">
      <alignment horizontal="center" vertical="center"/>
    </xf>
    <xf numFmtId="171" fontId="88" fillId="0" borderId="0" xfId="109" applyFont="1" applyAlignment="1" applyProtection="1">
      <alignment horizontal="center"/>
    </xf>
    <xf numFmtId="0" fontId="3" fillId="0" borderId="0" xfId="61" applyFont="1" applyFill="1" applyAlignment="1" applyProtection="1">
      <alignment horizontal="left"/>
    </xf>
    <xf numFmtId="0" fontId="3" fillId="0" borderId="0" xfId="114" applyFont="1" applyFill="1" applyProtection="1"/>
    <xf numFmtId="0" fontId="3" fillId="31" borderId="0" xfId="0" applyFont="1" applyFill="1" applyProtection="1"/>
    <xf numFmtId="0" fontId="9" fillId="31" borderId="0" xfId="0" applyFont="1" applyFill="1" applyProtection="1"/>
    <xf numFmtId="167" fontId="3" fillId="0" borderId="0" xfId="123" applyNumberFormat="1" applyFont="1" applyFill="1" applyProtection="1">
      <protection locked="0"/>
    </xf>
    <xf numFmtId="0" fontId="0" fillId="0" borderId="0" xfId="0" applyFont="1" applyFill="1"/>
    <xf numFmtId="0" fontId="57" fillId="24" borderId="0" xfId="117" applyNumberFormat="1" applyFont="1" applyFill="1" applyAlignment="1" applyProtection="1"/>
    <xf numFmtId="0" fontId="42" fillId="0" borderId="0" xfId="61" applyNumberFormat="1" applyFont="1" applyAlignment="1" applyProtection="1">
      <alignment horizontal="right"/>
    </xf>
    <xf numFmtId="0" fontId="42" fillId="0" borderId="0" xfId="61" applyNumberFormat="1" applyFont="1" applyAlignment="1">
      <alignment horizontal="center"/>
    </xf>
    <xf numFmtId="0" fontId="71" fillId="0" borderId="67" xfId="0" applyFont="1" applyBorder="1" applyAlignment="1">
      <alignment horizontal="center"/>
    </xf>
    <xf numFmtId="4" fontId="104" fillId="40" borderId="0" xfId="61" applyNumberFormat="1" applyFont="1" applyFill="1" applyBorder="1" applyAlignment="1" applyProtection="1">
      <alignment horizontal="center"/>
    </xf>
    <xf numFmtId="0" fontId="104" fillId="40" borderId="0" xfId="0" applyFont="1" applyFill="1" applyAlignment="1" applyProtection="1">
      <alignment horizontal="center" vertical="center"/>
    </xf>
    <xf numFmtId="0" fontId="175" fillId="40" borderId="0" xfId="61" applyNumberFormat="1" applyFont="1" applyFill="1" applyBorder="1" applyAlignment="1" applyProtection="1">
      <alignment horizontal="center"/>
    </xf>
    <xf numFmtId="173" fontId="175" fillId="40" borderId="0" xfId="61" applyNumberFormat="1" applyFont="1" applyFill="1" applyBorder="1" applyAlignment="1" applyProtection="1">
      <alignment horizontal="center" vertical="top"/>
    </xf>
    <xf numFmtId="0" fontId="94" fillId="40" borderId="0" xfId="0" applyFont="1" applyFill="1" applyAlignment="1" applyProtection="1"/>
    <xf numFmtId="4" fontId="9" fillId="40" borderId="0" xfId="61" applyNumberFormat="1" applyFont="1" applyFill="1" applyBorder="1" applyAlignment="1">
      <alignment horizontal="center"/>
    </xf>
    <xf numFmtId="0" fontId="4" fillId="40" borderId="0" xfId="61" applyNumberFormat="1" applyFont="1" applyFill="1" applyBorder="1" applyAlignment="1">
      <alignment horizontal="center"/>
    </xf>
    <xf numFmtId="173" fontId="57" fillId="40" borderId="0" xfId="61" applyNumberFormat="1" applyFont="1" applyFill="1" applyBorder="1" applyAlignment="1">
      <alignment horizontal="center"/>
    </xf>
    <xf numFmtId="4" fontId="3" fillId="40" borderId="0" xfId="61" applyNumberFormat="1" applyFont="1" applyFill="1" applyBorder="1" applyAlignment="1">
      <alignment horizontal="center"/>
    </xf>
    <xf numFmtId="0" fontId="2" fillId="40" borderId="0" xfId="61" applyNumberFormat="1" applyFont="1" applyFill="1" applyBorder="1" applyAlignment="1">
      <alignment horizontal="center"/>
    </xf>
    <xf numFmtId="49" fontId="42" fillId="40" borderId="0" xfId="61" applyNumberFormat="1" applyFont="1" applyFill="1" applyBorder="1" applyAlignment="1">
      <alignment horizontal="center"/>
    </xf>
    <xf numFmtId="49" fontId="2" fillId="40" borderId="0" xfId="61" applyNumberFormat="1" applyFont="1" applyFill="1" applyBorder="1" applyAlignment="1">
      <alignment horizontal="center"/>
    </xf>
    <xf numFmtId="49" fontId="77" fillId="0" borderId="0" xfId="0" applyNumberFormat="1" applyFont="1"/>
    <xf numFmtId="0" fontId="104" fillId="0" borderId="0" xfId="65" applyFont="1" applyAlignment="1">
      <alignment horizontal="center"/>
    </xf>
    <xf numFmtId="0" fontId="104" fillId="0" borderId="0" xfId="65" quotePrefix="1" applyFont="1" applyAlignment="1">
      <alignment horizontal="center"/>
    </xf>
    <xf numFmtId="0" fontId="104" fillId="0" borderId="0" xfId="0" applyFont="1" applyAlignment="1">
      <alignment horizontal="center"/>
    </xf>
    <xf numFmtId="0" fontId="94" fillId="0" borderId="0" xfId="0" applyFont="1" applyAlignment="1">
      <alignment horizontal="right"/>
    </xf>
    <xf numFmtId="0" fontId="9" fillId="0" borderId="260" xfId="0" applyFont="1" applyBorder="1" applyAlignment="1">
      <alignment vertical="center"/>
    </xf>
    <xf numFmtId="0" fontId="9" fillId="0" borderId="260" xfId="0" applyFont="1" applyBorder="1" applyAlignment="1">
      <alignment horizontal="center" wrapText="1"/>
    </xf>
    <xf numFmtId="49" fontId="94" fillId="0" borderId="0" xfId="65" applyNumberFormat="1" applyFont="1" applyAlignment="1">
      <alignment horizontal="center"/>
    </xf>
    <xf numFmtId="0" fontId="104" fillId="0" borderId="0" xfId="65" applyFont="1" applyAlignment="1">
      <alignment horizontal="left" vertical="center"/>
    </xf>
    <xf numFmtId="173" fontId="94" fillId="0" borderId="0" xfId="65" applyNumberFormat="1" applyFont="1" applyAlignment="1">
      <alignment horizontal="center"/>
    </xf>
    <xf numFmtId="0" fontId="104" fillId="0" borderId="0" xfId="65" applyFont="1" applyBorder="1" applyAlignment="1">
      <alignment horizontal="center"/>
    </xf>
    <xf numFmtId="49" fontId="104" fillId="0" borderId="0" xfId="65" applyNumberFormat="1" applyFont="1" applyBorder="1" applyAlignment="1">
      <alignment horizontal="center"/>
    </xf>
    <xf numFmtId="0" fontId="104" fillId="116" borderId="11" xfId="65" applyFont="1" applyFill="1" applyBorder="1" applyAlignment="1"/>
    <xf numFmtId="195" fontId="104" fillId="116" borderId="11" xfId="65" applyNumberFormat="1" applyFont="1" applyFill="1" applyBorder="1" applyAlignment="1"/>
    <xf numFmtId="195" fontId="9" fillId="116" borderId="11" xfId="65" applyNumberFormat="1" applyFont="1" applyFill="1" applyBorder="1" applyAlignment="1"/>
    <xf numFmtId="0" fontId="63" fillId="0" borderId="0" xfId="65" applyFont="1" applyAlignment="1">
      <alignment horizontal="center"/>
    </xf>
    <xf numFmtId="0" fontId="241" fillId="24" borderId="0" xfId="0" applyFont="1" applyFill="1" applyBorder="1" applyAlignment="1">
      <alignment horizontal="center"/>
    </xf>
    <xf numFmtId="173" fontId="57" fillId="0" borderId="0" xfId="65" applyNumberFormat="1" applyFont="1" applyAlignment="1">
      <alignment horizontal="center"/>
    </xf>
    <xf numFmtId="173" fontId="233" fillId="0" borderId="0" xfId="65" applyNumberFormat="1" applyFont="1" applyAlignment="1">
      <alignment horizontal="center"/>
    </xf>
    <xf numFmtId="0" fontId="104" fillId="0" borderId="0" xfId="134" applyFont="1" applyAlignment="1">
      <alignment horizontal="center"/>
    </xf>
    <xf numFmtId="0" fontId="42" fillId="0" borderId="0" xfId="135" applyFont="1" applyAlignment="1"/>
    <xf numFmtId="49" fontId="170" fillId="107" borderId="0" xfId="134" applyNumberFormat="1" applyFont="1" applyFill="1" applyAlignment="1">
      <alignment horizontal="center"/>
    </xf>
    <xf numFmtId="0" fontId="170" fillId="107" borderId="0" xfId="134" applyNumberFormat="1" applyFont="1" applyFill="1" applyAlignment="1">
      <alignment horizontal="center"/>
    </xf>
    <xf numFmtId="0" fontId="5" fillId="107" borderId="0" xfId="65" applyFont="1" applyFill="1"/>
    <xf numFmtId="15" fontId="170" fillId="107" borderId="0" xfId="65" applyNumberFormat="1" applyFont="1" applyFill="1" applyAlignment="1"/>
    <xf numFmtId="15" fontId="170" fillId="107" borderId="0" xfId="65" applyNumberFormat="1" applyFont="1" applyFill="1" applyAlignment="1">
      <alignment horizontal="center"/>
    </xf>
    <xf numFmtId="0" fontId="3" fillId="40" borderId="0" xfId="0" applyFont="1" applyFill="1" applyAlignment="1">
      <alignment horizontal="left"/>
    </xf>
    <xf numFmtId="0" fontId="4" fillId="0" borderId="0" xfId="61" applyNumberFormat="1" applyFont="1" applyAlignment="1">
      <alignment horizontal="center"/>
    </xf>
    <xf numFmtId="0" fontId="57" fillId="40" borderId="0" xfId="0" applyFont="1" applyFill="1" applyAlignment="1">
      <alignment horizontal="center"/>
    </xf>
    <xf numFmtId="0" fontId="51" fillId="31" borderId="0" xfId="0" applyFont="1" applyFill="1" applyBorder="1" applyAlignment="1" applyProtection="1">
      <alignment horizontal="center"/>
      <protection locked="0"/>
    </xf>
    <xf numFmtId="0" fontId="105" fillId="0" borderId="0" xfId="0" applyFont="1" applyFill="1" applyBorder="1" applyAlignment="1">
      <alignment horizontal="center"/>
    </xf>
    <xf numFmtId="0" fontId="94" fillId="40" borderId="0" xfId="0" applyFont="1" applyFill="1" applyAlignment="1">
      <alignment horizontal="center"/>
    </xf>
    <xf numFmtId="0" fontId="9" fillId="40" borderId="0" xfId="0" applyFont="1" applyFill="1" applyAlignment="1">
      <alignment horizontal="center" vertical="center"/>
    </xf>
    <xf numFmtId="43" fontId="124" fillId="49" borderId="0" xfId="123" applyFont="1" applyFill="1" applyBorder="1" applyAlignment="1" applyProtection="1">
      <alignment horizontal="center"/>
    </xf>
    <xf numFmtId="0" fontId="103" fillId="40" borderId="0" xfId="0" applyFont="1" applyFill="1" applyAlignment="1" applyProtection="1"/>
    <xf numFmtId="0" fontId="103" fillId="119" borderId="0" xfId="0" applyFont="1" applyFill="1" applyAlignment="1" applyProtection="1"/>
    <xf numFmtId="0" fontId="9" fillId="40" borderId="0" xfId="61" applyNumberFormat="1" applyFont="1" applyFill="1" applyAlignment="1">
      <alignment horizontal="center"/>
    </xf>
    <xf numFmtId="0" fontId="4" fillId="40" borderId="0" xfId="61" applyNumberFormat="1" applyFont="1" applyFill="1" applyAlignment="1">
      <alignment horizontal="center"/>
    </xf>
    <xf numFmtId="173" fontId="43" fillId="40" borderId="0" xfId="61" applyNumberFormat="1" applyFont="1" applyFill="1" applyAlignment="1">
      <alignment horizontal="center"/>
    </xf>
    <xf numFmtId="0" fontId="3" fillId="40" borderId="0" xfId="0" applyFont="1" applyFill="1" applyAlignment="1"/>
    <xf numFmtId="0" fontId="46" fillId="40" borderId="73" xfId="0" applyFont="1" applyFill="1" applyBorder="1" applyAlignment="1">
      <alignment vertical="center"/>
    </xf>
    <xf numFmtId="0" fontId="46" fillId="40" borderId="29" xfId="0" applyFont="1" applyFill="1" applyBorder="1" applyAlignment="1">
      <alignment vertical="center"/>
    </xf>
    <xf numFmtId="4" fontId="198" fillId="0" borderId="0" xfId="61" applyNumberFormat="1" applyFont="1" applyBorder="1" applyAlignment="1">
      <alignment horizontal="center"/>
    </xf>
    <xf numFmtId="0" fontId="200" fillId="0" borderId="0" xfId="61" applyNumberFormat="1" applyFont="1" applyBorder="1" applyAlignment="1">
      <alignment horizontal="center"/>
    </xf>
    <xf numFmtId="4" fontId="200" fillId="0" borderId="0" xfId="61" applyNumberFormat="1" applyFont="1" applyBorder="1" applyAlignment="1">
      <alignment horizontal="center"/>
    </xf>
    <xf numFmtId="4" fontId="9" fillId="0" borderId="0" xfId="61" applyNumberFormat="1" applyFont="1" applyBorder="1" applyAlignment="1">
      <alignment horizontal="center"/>
    </xf>
    <xf numFmtId="0" fontId="9" fillId="0" borderId="0" xfId="0" applyFont="1" applyAlignment="1">
      <alignment horizontal="center" vertical="center"/>
    </xf>
    <xf numFmtId="0" fontId="4" fillId="0" borderId="0" xfId="61" applyNumberFormat="1" applyFont="1" applyBorder="1" applyAlignment="1">
      <alignment horizontal="center"/>
    </xf>
    <xf numFmtId="0" fontId="57" fillId="0" borderId="15" xfId="0" applyFont="1" applyBorder="1" applyAlignment="1">
      <alignment horizontal="center"/>
    </xf>
    <xf numFmtId="0" fontId="42" fillId="0" borderId="15" xfId="0" applyFont="1" applyBorder="1" applyAlignment="1">
      <alignment horizontal="center"/>
    </xf>
    <xf numFmtId="0" fontId="57" fillId="0" borderId="0" xfId="0" applyFont="1" applyBorder="1" applyAlignment="1">
      <alignment horizontal="center"/>
    </xf>
    <xf numFmtId="0" fontId="61" fillId="0" borderId="0" xfId="0" applyFont="1" applyBorder="1" applyAlignment="1">
      <alignment horizontal="center"/>
    </xf>
    <xf numFmtId="0" fontId="3" fillId="0" borderId="0" xfId="0" applyFont="1" applyFill="1" applyAlignment="1" applyProtection="1"/>
    <xf numFmtId="4" fontId="100" fillId="40" borderId="0" xfId="61" applyNumberFormat="1" applyFont="1" applyFill="1" applyBorder="1" applyAlignment="1" applyProtection="1">
      <alignment horizontal="center"/>
    </xf>
    <xf numFmtId="0" fontId="100" fillId="40" borderId="0" xfId="0" applyFont="1" applyFill="1" applyAlignment="1" applyProtection="1">
      <alignment horizontal="center" vertical="center"/>
    </xf>
    <xf numFmtId="0" fontId="176" fillId="40" borderId="0" xfId="61" applyNumberFormat="1" applyFont="1" applyFill="1" applyBorder="1" applyAlignment="1" applyProtection="1">
      <alignment horizontal="center"/>
    </xf>
    <xf numFmtId="173" fontId="107" fillId="40" borderId="0" xfId="61" applyNumberFormat="1" applyFont="1" applyFill="1" applyBorder="1" applyAlignment="1" applyProtection="1">
      <alignment horizontal="center" vertical="top"/>
    </xf>
    <xf numFmtId="0" fontId="232" fillId="0" borderId="0" xfId="0" applyFont="1" applyBorder="1" applyAlignment="1" applyProtection="1"/>
    <xf numFmtId="0" fontId="36" fillId="0" borderId="0" xfId="0" applyFont="1" applyBorder="1" applyProtection="1"/>
    <xf numFmtId="0" fontId="153" fillId="41" borderId="76" xfId="0" applyFont="1" applyFill="1" applyBorder="1" applyAlignment="1" applyProtection="1"/>
    <xf numFmtId="0" fontId="153" fillId="41" borderId="77" xfId="0" applyFont="1" applyFill="1" applyBorder="1" applyAlignment="1" applyProtection="1"/>
    <xf numFmtId="0" fontId="153" fillId="41" borderId="78" xfId="0" applyFont="1" applyFill="1" applyBorder="1" applyAlignment="1" applyProtection="1"/>
    <xf numFmtId="0" fontId="175" fillId="24" borderId="0" xfId="0" applyFont="1" applyFill="1" applyBorder="1" applyAlignment="1">
      <alignment horizontal="center"/>
    </xf>
    <xf numFmtId="173" fontId="104" fillId="24" borderId="0" xfId="0" applyNumberFormat="1" applyFont="1" applyFill="1" applyBorder="1" applyAlignment="1">
      <alignment horizontal="center"/>
    </xf>
    <xf numFmtId="0" fontId="0" fillId="107" borderId="0" xfId="0" applyFont="1" applyFill="1"/>
    <xf numFmtId="0" fontId="138" fillId="107" borderId="0" xfId="0" applyNumberFormat="1" applyFont="1" applyFill="1" applyBorder="1" applyAlignment="1">
      <alignment horizontal="center"/>
    </xf>
    <xf numFmtId="0" fontId="138" fillId="107" borderId="0" xfId="0" applyFont="1" applyFill="1" applyAlignment="1">
      <alignment horizontal="center" vertical="center"/>
    </xf>
    <xf numFmtId="0" fontId="0" fillId="0" borderId="0" xfId="0" applyAlignment="1">
      <alignment horizontal="left"/>
    </xf>
    <xf numFmtId="0" fontId="100" fillId="107" borderId="0" xfId="0" applyNumberFormat="1" applyFont="1" applyFill="1" applyBorder="1" applyAlignment="1">
      <alignment horizontal="center"/>
    </xf>
    <xf numFmtId="0" fontId="143" fillId="40" borderId="0" xfId="0" applyFont="1" applyFill="1"/>
    <xf numFmtId="0" fontId="143" fillId="107" borderId="0" xfId="0" applyFont="1" applyFill="1"/>
    <xf numFmtId="0" fontId="3" fillId="29" borderId="11" xfId="128" applyFill="1" applyBorder="1" applyAlignment="1">
      <alignment horizontal="left"/>
    </xf>
    <xf numFmtId="0" fontId="12" fillId="0" borderId="15" xfId="128" applyFont="1" applyFill="1" applyBorder="1"/>
    <xf numFmtId="0" fontId="157" fillId="0" borderId="15" xfId="128" applyFont="1" applyFill="1" applyBorder="1" applyAlignment="1"/>
    <xf numFmtId="39" fontId="3" fillId="0" borderId="15" xfId="128" applyNumberFormat="1" applyFont="1" applyFill="1" applyBorder="1"/>
    <xf numFmtId="0" fontId="3" fillId="0" borderId="15" xfId="128" applyBorder="1"/>
    <xf numFmtId="0" fontId="12" fillId="0" borderId="13" xfId="128" applyFont="1" applyFill="1" applyBorder="1"/>
    <xf numFmtId="0" fontId="57" fillId="40" borderId="0" xfId="61" applyNumberFormat="1" applyFont="1" applyFill="1" applyBorder="1" applyAlignment="1" applyProtection="1">
      <alignment horizontal="center"/>
    </xf>
    <xf numFmtId="0" fontId="0" fillId="0" borderId="0" xfId="0" applyAlignment="1">
      <alignment horizontal="left" indent="4"/>
    </xf>
    <xf numFmtId="0" fontId="42" fillId="0" borderId="0" xfId="0" applyFont="1" applyAlignment="1" applyProtection="1">
      <alignment wrapText="1"/>
    </xf>
    <xf numFmtId="167" fontId="56" fillId="0" borderId="260" xfId="123" applyNumberFormat="1" applyFont="1" applyFill="1" applyBorder="1"/>
    <xf numFmtId="43" fontId="3" fillId="0" borderId="260" xfId="123" applyFont="1" applyFill="1" applyBorder="1" applyAlignment="1">
      <alignment horizontal="center"/>
    </xf>
    <xf numFmtId="4" fontId="208" fillId="0" borderId="0" xfId="129" applyNumberFormat="1" applyFont="1" applyFill="1" applyBorder="1" applyAlignment="1">
      <alignment horizontal="left" wrapText="1"/>
    </xf>
    <xf numFmtId="0" fontId="204" fillId="0" borderId="0" xfId="132" applyFont="1" applyFill="1" applyBorder="1" applyAlignment="1">
      <alignment horizontal="left" wrapText="1"/>
    </xf>
    <xf numFmtId="0" fontId="204" fillId="107" borderId="0" xfId="132" applyFont="1" applyFill="1" applyBorder="1" applyAlignment="1">
      <alignment horizontal="left" wrapText="1"/>
    </xf>
    <xf numFmtId="0" fontId="42" fillId="0" borderId="260" xfId="0" applyFont="1" applyFill="1" applyBorder="1" applyAlignment="1" applyProtection="1">
      <alignment horizontal="left" wrapText="1"/>
    </xf>
    <xf numFmtId="0" fontId="71" fillId="0" borderId="0" xfId="0" applyFont="1" applyAlignment="1">
      <alignment horizontal="left" wrapText="1"/>
    </xf>
    <xf numFmtId="0" fontId="229" fillId="0" borderId="0" xfId="0" applyFont="1" applyBorder="1" applyAlignment="1">
      <alignment horizontal="left"/>
    </xf>
    <xf numFmtId="43" fontId="3" fillId="0" borderId="260" xfId="123" applyFont="1" applyFill="1" applyBorder="1" applyAlignment="1">
      <alignment horizontal="left"/>
    </xf>
    <xf numFmtId="43" fontId="11" fillId="0" borderId="0" xfId="123" applyFont="1" applyFill="1" applyAlignment="1">
      <alignment horizontal="left"/>
    </xf>
    <xf numFmtId="167" fontId="11" fillId="0" borderId="259" xfId="123" applyNumberFormat="1" applyFont="1" applyFill="1" applyBorder="1" applyAlignment="1">
      <alignment horizontal="left"/>
    </xf>
    <xf numFmtId="0" fontId="59" fillId="0" borderId="0" xfId="0" applyFont="1" applyAlignment="1" applyProtection="1">
      <alignment horizontal="left"/>
    </xf>
    <xf numFmtId="0" fontId="59" fillId="0" borderId="0" xfId="0" applyFont="1" applyFill="1" applyAlignment="1" applyProtection="1">
      <alignment horizontal="left"/>
    </xf>
    <xf numFmtId="167" fontId="191" fillId="0" borderId="0" xfId="123" applyNumberFormat="1" applyFont="1" applyFill="1" applyBorder="1" applyAlignment="1">
      <alignment horizontal="left"/>
    </xf>
    <xf numFmtId="43" fontId="191" fillId="0" borderId="0" xfId="123" applyFont="1" applyFill="1" applyBorder="1" applyAlignment="1">
      <alignment horizontal="left"/>
    </xf>
    <xf numFmtId="43" fontId="41" fillId="65" borderId="0" xfId="123" applyFont="1" applyFill="1" applyBorder="1" applyAlignment="1">
      <alignment horizontal="left" wrapText="1"/>
    </xf>
    <xf numFmtId="167" fontId="40" fillId="0" borderId="0" xfId="123" applyNumberFormat="1" applyFont="1" applyFill="1" applyBorder="1" applyAlignment="1">
      <alignment horizontal="left"/>
    </xf>
    <xf numFmtId="0" fontId="0" fillId="0" borderId="0" xfId="0" applyFont="1" applyAlignment="1">
      <alignment horizontal="left"/>
    </xf>
    <xf numFmtId="0" fontId="0" fillId="0" borderId="0" xfId="0" applyFont="1" applyBorder="1" applyAlignment="1">
      <alignment horizontal="left"/>
    </xf>
    <xf numFmtId="0" fontId="0" fillId="107" borderId="11" xfId="0" applyFont="1" applyFill="1" applyBorder="1" applyAlignment="1">
      <alignment horizontal="left"/>
    </xf>
    <xf numFmtId="0" fontId="0" fillId="107" borderId="0" xfId="0" applyFont="1" applyFill="1" applyBorder="1" applyAlignment="1">
      <alignment horizontal="left"/>
    </xf>
    <xf numFmtId="0" fontId="0" fillId="29" borderId="260" xfId="0" applyFont="1" applyFill="1" applyBorder="1" applyAlignment="1" applyProtection="1">
      <alignment horizontal="left"/>
    </xf>
    <xf numFmtId="167" fontId="11" fillId="0" borderId="260" xfId="123" applyNumberFormat="1" applyFont="1" applyFill="1" applyBorder="1" applyAlignment="1">
      <alignment horizontal="left"/>
    </xf>
    <xf numFmtId="0" fontId="254" fillId="0" borderId="0" xfId="0" applyFont="1" applyAlignment="1">
      <alignment horizontal="left"/>
    </xf>
    <xf numFmtId="0" fontId="254" fillId="0" borderId="0" xfId="0" applyFont="1" applyFill="1" applyAlignment="1">
      <alignment horizontal="left"/>
    </xf>
    <xf numFmtId="167" fontId="1" fillId="29" borderId="0" xfId="123" applyNumberFormat="1" applyFont="1" applyFill="1" applyBorder="1" applyAlignment="1">
      <alignment horizontal="left" wrapText="1"/>
    </xf>
    <xf numFmtId="0" fontId="0" fillId="0" borderId="15" xfId="0" applyFont="1" applyFill="1" applyBorder="1" applyAlignment="1" applyProtection="1">
      <alignment horizontal="left"/>
    </xf>
    <xf numFmtId="0" fontId="0" fillId="0" borderId="14" xfId="0" applyFill="1" applyBorder="1" applyProtection="1"/>
    <xf numFmtId="0" fontId="0" fillId="0" borderId="16" xfId="0" applyFill="1" applyBorder="1"/>
    <xf numFmtId="0" fontId="0" fillId="0" borderId="0" xfId="0" applyFont="1" applyFill="1" applyAlignment="1">
      <alignment horizontal="left"/>
    </xf>
    <xf numFmtId="0" fontId="0" fillId="0" borderId="16" xfId="0" applyFill="1" applyBorder="1" applyAlignment="1">
      <alignment horizontal="left"/>
    </xf>
    <xf numFmtId="4" fontId="256" fillId="64" borderId="260" xfId="129" applyNumberFormat="1" applyFont="1" applyFill="1" applyBorder="1" applyAlignment="1">
      <alignment horizontal="right" wrapText="1"/>
    </xf>
    <xf numFmtId="4" fontId="257" fillId="64" borderId="13" xfId="130" applyNumberFormat="1" applyFont="1" applyFill="1" applyBorder="1" applyAlignment="1">
      <alignment horizontal="right" wrapText="1"/>
    </xf>
    <xf numFmtId="4" fontId="257" fillId="64" borderId="260" xfId="130" applyNumberFormat="1" applyFont="1" applyFill="1" applyBorder="1" applyAlignment="1">
      <alignment horizontal="right" wrapText="1"/>
    </xf>
    <xf numFmtId="4" fontId="257" fillId="64" borderId="14" xfId="130" applyNumberFormat="1" applyFont="1" applyFill="1" applyBorder="1" applyAlignment="1">
      <alignment horizontal="right" wrapText="1"/>
    </xf>
    <xf numFmtId="4" fontId="257" fillId="64" borderId="259" xfId="130" applyNumberFormat="1" applyFont="1" applyFill="1" applyBorder="1" applyAlignment="1">
      <alignment horizontal="right" wrapText="1"/>
    </xf>
    <xf numFmtId="43" fontId="41" fillId="65" borderId="0" xfId="123" applyFont="1" applyFill="1" applyBorder="1"/>
    <xf numFmtId="0" fontId="57" fillId="40" borderId="0" xfId="0" applyFont="1" applyFill="1" applyAlignment="1" applyProtection="1">
      <alignment horizontal="left"/>
    </xf>
    <xf numFmtId="44" fontId="3" fillId="31" borderId="0" xfId="47" applyFont="1" applyFill="1" applyProtection="1">
      <protection locked="0"/>
    </xf>
    <xf numFmtId="43" fontId="107" fillId="40" borderId="0" xfId="123" applyFont="1" applyFill="1" applyAlignment="1" applyProtection="1">
      <alignment horizontal="center"/>
    </xf>
    <xf numFmtId="43" fontId="100" fillId="40" borderId="0" xfId="123" applyFont="1" applyFill="1" applyAlignment="1" applyProtection="1">
      <alignment horizontal="center"/>
    </xf>
    <xf numFmtId="0" fontId="42" fillId="40" borderId="11" xfId="0" applyFont="1" applyFill="1" applyBorder="1" applyAlignment="1">
      <alignment horizontal="left"/>
    </xf>
    <xf numFmtId="0" fontId="47" fillId="32" borderId="73" xfId="0" applyFont="1" applyFill="1" applyBorder="1" applyAlignment="1"/>
    <xf numFmtId="0" fontId="47" fillId="32" borderId="84" xfId="0" applyFont="1" applyFill="1" applyBorder="1" applyAlignment="1"/>
    <xf numFmtId="0" fontId="46" fillId="43" borderId="11" xfId="0" applyFont="1" applyFill="1" applyBorder="1" applyAlignment="1"/>
    <xf numFmtId="172" fontId="46" fillId="43" borderId="11" xfId="0" applyNumberFormat="1" applyFont="1" applyFill="1" applyBorder="1" applyAlignment="1">
      <alignment horizontal="center"/>
    </xf>
    <xf numFmtId="0" fontId="46" fillId="43" borderId="11" xfId="0" applyFont="1" applyFill="1" applyBorder="1" applyAlignment="1">
      <alignment horizontal="center"/>
    </xf>
    <xf numFmtId="44" fontId="3" fillId="31" borderId="0" xfId="47" applyFont="1" applyFill="1" applyBorder="1" applyProtection="1">
      <protection locked="0"/>
    </xf>
    <xf numFmtId="44" fontId="3" fillId="24" borderId="0" xfId="47" applyFont="1" applyFill="1" applyBorder="1"/>
    <xf numFmtId="171" fontId="11" fillId="40" borderId="0" xfId="109" applyFont="1" applyFill="1" applyAlignment="1" applyProtection="1">
      <alignment horizontal="left"/>
    </xf>
    <xf numFmtId="171" fontId="203" fillId="40" borderId="0" xfId="109" applyFont="1" applyFill="1" applyProtection="1"/>
    <xf numFmtId="4" fontId="257" fillId="65" borderId="260" xfId="235" applyNumberFormat="1" applyFont="1" applyFill="1" applyBorder="1" applyAlignment="1">
      <alignment horizontal="right" wrapText="1"/>
    </xf>
    <xf numFmtId="0" fontId="57" fillId="40" borderId="0" xfId="0" applyFont="1" applyFill="1" applyProtection="1"/>
    <xf numFmtId="43" fontId="11" fillId="40" borderId="0" xfId="123" applyFont="1" applyFill="1"/>
    <xf numFmtId="43" fontId="195" fillId="0" borderId="0" xfId="123" applyFont="1" applyFill="1" applyBorder="1" applyAlignment="1">
      <alignment horizontal="left" wrapText="1"/>
    </xf>
    <xf numFmtId="43" fontId="41" fillId="40" borderId="0" xfId="123" applyFont="1" applyFill="1" applyBorder="1" applyAlignment="1"/>
    <xf numFmtId="0" fontId="0" fillId="65" borderId="0" xfId="0" applyFill="1"/>
    <xf numFmtId="167" fontId="42" fillId="40" borderId="11" xfId="123" applyNumberFormat="1" applyFont="1" applyFill="1" applyBorder="1" applyProtection="1">
      <protection locked="0"/>
    </xf>
    <xf numFmtId="44" fontId="3" fillId="62" borderId="59" xfId="48" applyFont="1" applyFill="1" applyBorder="1" applyAlignment="1" applyProtection="1"/>
    <xf numFmtId="39" fontId="3" fillId="59" borderId="0" xfId="65" applyNumberFormat="1" applyFont="1" applyFill="1" applyBorder="1" applyAlignment="1"/>
    <xf numFmtId="39" fontId="3" fillId="62" borderId="0" xfId="65" applyNumberFormat="1" applyFont="1" applyFill="1" applyBorder="1" applyAlignment="1"/>
    <xf numFmtId="39" fontId="3" fillId="40" borderId="0" xfId="65" applyNumberFormat="1" applyFont="1" applyFill="1" applyBorder="1" applyAlignment="1"/>
    <xf numFmtId="0" fontId="9" fillId="0" borderId="11" xfId="65" applyFont="1" applyBorder="1" applyAlignment="1">
      <alignment horizontal="left"/>
    </xf>
    <xf numFmtId="49" fontId="9" fillId="0" borderId="0" xfId="65" applyNumberFormat="1" applyFont="1" applyFill="1" applyBorder="1" applyAlignment="1">
      <alignment horizontal="center"/>
    </xf>
    <xf numFmtId="0" fontId="3" fillId="0" borderId="0" xfId="65" applyFont="1" applyBorder="1" applyAlignment="1"/>
    <xf numFmtId="0" fontId="9" fillId="0" borderId="11" xfId="65" applyFont="1" applyFill="1" applyBorder="1" applyAlignment="1">
      <alignment horizontal="center"/>
    </xf>
    <xf numFmtId="0" fontId="104" fillId="40" borderId="0" xfId="65" applyFont="1" applyFill="1" applyBorder="1" applyAlignment="1"/>
    <xf numFmtId="49" fontId="104" fillId="40" borderId="0" xfId="65" applyNumberFormat="1" applyFont="1" applyFill="1" applyBorder="1" applyAlignment="1"/>
    <xf numFmtId="0" fontId="104" fillId="40" borderId="0" xfId="65" applyNumberFormat="1" applyFont="1" applyFill="1" applyBorder="1" applyAlignment="1"/>
    <xf numFmtId="0" fontId="5" fillId="40" borderId="0" xfId="65" applyFont="1" applyFill="1" applyBorder="1"/>
    <xf numFmtId="195" fontId="5" fillId="40" borderId="0" xfId="65" applyNumberFormat="1" applyFont="1" applyFill="1" applyBorder="1" applyAlignment="1">
      <alignment horizontal="center"/>
    </xf>
    <xf numFmtId="49" fontId="5" fillId="40" borderId="0" xfId="65" applyNumberFormat="1" applyFont="1" applyFill="1" applyBorder="1"/>
    <xf numFmtId="0" fontId="3" fillId="40" borderId="0" xfId="65" applyFont="1" applyFill="1" applyBorder="1"/>
    <xf numFmtId="0" fontId="9" fillId="40" borderId="0" xfId="65" applyFont="1" applyFill="1" applyBorder="1" applyAlignment="1"/>
    <xf numFmtId="0" fontId="3" fillId="40" borderId="0" xfId="65" applyFont="1" applyFill="1" applyBorder="1" applyAlignment="1">
      <alignment horizontal="right"/>
    </xf>
    <xf numFmtId="39" fontId="3" fillId="40" borderId="0" xfId="65" applyNumberFormat="1" applyFont="1" applyFill="1" applyBorder="1" applyAlignment="1">
      <alignment horizontal="center"/>
    </xf>
    <xf numFmtId="0" fontId="3" fillId="40" borderId="0" xfId="65" applyFill="1" applyBorder="1" applyAlignment="1"/>
    <xf numFmtId="39" fontId="3" fillId="40" borderId="0" xfId="65" applyNumberFormat="1" applyFont="1" applyFill="1" applyBorder="1" applyAlignment="1" applyProtection="1">
      <protection locked="0"/>
    </xf>
    <xf numFmtId="39" fontId="3" fillId="62" borderId="67" xfId="65" applyNumberFormat="1" applyFont="1" applyFill="1" applyBorder="1" applyAlignment="1"/>
    <xf numFmtId="0" fontId="3" fillId="62" borderId="258" xfId="65" applyFont="1" applyFill="1" applyBorder="1" applyAlignment="1">
      <alignment horizontal="right"/>
    </xf>
    <xf numFmtId="39" fontId="3" fillId="0" borderId="0" xfId="65" applyNumberFormat="1" applyFont="1" applyFill="1" applyBorder="1" applyAlignment="1">
      <alignment horizontal="right"/>
    </xf>
    <xf numFmtId="0" fontId="42" fillId="0" borderId="0" xfId="65" applyFont="1" applyFill="1"/>
    <xf numFmtId="0" fontId="42" fillId="0" borderId="0" xfId="65" applyFont="1" applyBorder="1"/>
    <xf numFmtId="0" fontId="57" fillId="0" borderId="0" xfId="65" applyFont="1" applyFill="1" applyAlignment="1">
      <alignment horizontal="center"/>
    </xf>
    <xf numFmtId="0" fontId="42" fillId="40" borderId="0" xfId="65" applyFont="1" applyFill="1" applyBorder="1"/>
    <xf numFmtId="0" fontId="42" fillId="0" borderId="0" xfId="65" applyFont="1" applyFill="1" applyAlignment="1"/>
    <xf numFmtId="0" fontId="42" fillId="0" borderId="0" xfId="65" applyFont="1" applyAlignment="1">
      <alignment wrapText="1"/>
    </xf>
    <xf numFmtId="0" fontId="42" fillId="40" borderId="0" xfId="65" applyFont="1" applyFill="1" applyBorder="1" applyAlignment="1">
      <alignment wrapText="1"/>
    </xf>
    <xf numFmtId="0" fontId="42" fillId="0" borderId="0" xfId="65" applyFont="1" applyFill="1" applyBorder="1"/>
    <xf numFmtId="0" fontId="103" fillId="0" borderId="0" xfId="65" applyFont="1" applyBorder="1"/>
    <xf numFmtId="39" fontId="3" fillId="0" borderId="0" xfId="65" applyNumberFormat="1" applyFont="1" applyFill="1" applyBorder="1" applyAlignment="1" applyProtection="1">
      <protection locked="0"/>
    </xf>
    <xf numFmtId="39" fontId="3" fillId="0" borderId="0" xfId="134" applyNumberFormat="1" applyFont="1" applyFill="1" applyBorder="1" applyAlignment="1" applyProtection="1">
      <protection locked="0"/>
    </xf>
    <xf numFmtId="0" fontId="3" fillId="0" borderId="0" xfId="134" applyFont="1" applyAlignment="1">
      <alignment horizontal="center"/>
    </xf>
    <xf numFmtId="0" fontId="3" fillId="0" borderId="11" xfId="134" applyFont="1" applyBorder="1" applyAlignment="1">
      <alignment horizontal="center"/>
    </xf>
    <xf numFmtId="39" fontId="3" fillId="0" borderId="0" xfId="134" applyNumberFormat="1" applyFont="1" applyFill="1" applyBorder="1" applyAlignment="1"/>
    <xf numFmtId="0" fontId="5" fillId="0" borderId="0" xfId="134" applyFont="1" applyFill="1" applyBorder="1" applyAlignment="1" applyProtection="1">
      <protection locked="0"/>
    </xf>
    <xf numFmtId="39" fontId="5" fillId="0" borderId="0" xfId="134" applyNumberFormat="1" applyFont="1" applyFill="1" applyBorder="1" applyAlignment="1" applyProtection="1">
      <protection locked="0"/>
    </xf>
    <xf numFmtId="0" fontId="3" fillId="0" borderId="0" xfId="134" applyFont="1" applyFill="1" applyBorder="1" applyAlignment="1">
      <alignment horizontal="center"/>
    </xf>
    <xf numFmtId="0" fontId="11" fillId="0" borderId="0" xfId="134" applyFont="1" applyFill="1" applyBorder="1" applyAlignment="1"/>
    <xf numFmtId="0" fontId="3" fillId="0" borderId="0" xfId="134" applyFont="1" applyFill="1" applyBorder="1" applyAlignment="1"/>
    <xf numFmtId="49" fontId="3" fillId="0" borderId="0" xfId="134" applyNumberFormat="1" applyFont="1" applyFill="1" applyBorder="1" applyAlignment="1" applyProtection="1">
      <protection locked="0"/>
    </xf>
    <xf numFmtId="0" fontId="42" fillId="0" borderId="0" xfId="135" applyFill="1" applyBorder="1" applyAlignment="1"/>
    <xf numFmtId="0" fontId="104" fillId="0" borderId="0" xfId="134" applyFont="1" applyFill="1" applyBorder="1" applyAlignment="1">
      <alignment horizontal="left"/>
    </xf>
    <xf numFmtId="0" fontId="104" fillId="0" borderId="0" xfId="134" applyNumberFormat="1" applyFont="1" applyFill="1" applyBorder="1" applyAlignment="1"/>
    <xf numFmtId="49" fontId="104" fillId="0" borderId="0" xfId="134" applyNumberFormat="1" applyFont="1" applyFill="1" applyBorder="1" applyAlignment="1">
      <alignment horizontal="center"/>
    </xf>
    <xf numFmtId="0" fontId="5" fillId="0" borderId="0" xfId="134" applyFont="1" applyFill="1" applyBorder="1" applyAlignment="1">
      <alignment horizontal="center"/>
    </xf>
    <xf numFmtId="0" fontId="42" fillId="0" borderId="0" xfId="135" applyFill="1" applyBorder="1" applyAlignment="1">
      <alignment vertical="center"/>
    </xf>
    <xf numFmtId="0" fontId="42" fillId="0" borderId="0" xfId="135" applyFill="1" applyBorder="1" applyAlignment="1">
      <alignment wrapText="1"/>
    </xf>
    <xf numFmtId="0" fontId="20" fillId="0" borderId="0" xfId="134" applyFill="1" applyBorder="1" applyAlignment="1">
      <alignment vertical="center" wrapText="1"/>
    </xf>
    <xf numFmtId="0" fontId="56" fillId="32" borderId="120" xfId="61" applyFont="1" applyFill="1" applyBorder="1" applyAlignment="1" applyProtection="1">
      <alignment horizontal="center"/>
    </xf>
    <xf numFmtId="0" fontId="56" fillId="32" borderId="0" xfId="61" applyFont="1" applyFill="1" applyBorder="1" applyAlignment="1" applyProtection="1">
      <alignment horizontal="center"/>
    </xf>
    <xf numFmtId="183" fontId="59" fillId="40" borderId="0" xfId="47" applyNumberFormat="1" applyFont="1" applyFill="1" applyBorder="1" applyAlignment="1" applyProtection="1">
      <protection locked="0"/>
    </xf>
    <xf numFmtId="0" fontId="9" fillId="0" borderId="11" xfId="0" applyFont="1" applyFill="1" applyBorder="1" applyAlignment="1">
      <alignment horizontal="center" wrapText="1"/>
    </xf>
    <xf numFmtId="0" fontId="6" fillId="0" borderId="0" xfId="61" applyNumberFormat="1" applyFont="1" applyFill="1" applyAlignment="1" applyProtection="1">
      <alignment horizontal="center" wrapText="1"/>
    </xf>
    <xf numFmtId="0" fontId="56" fillId="39" borderId="0" xfId="61" applyNumberFormat="1" applyFont="1" applyFill="1" applyBorder="1" applyAlignment="1" applyProtection="1">
      <alignment horizontal="center" wrapText="1"/>
    </xf>
    <xf numFmtId="0" fontId="67" fillId="0" borderId="0" xfId="61" applyNumberFormat="1" applyFont="1" applyAlignment="1" applyProtection="1">
      <alignment horizontal="center" wrapText="1"/>
    </xf>
    <xf numFmtId="0" fontId="11" fillId="0" borderId="0" xfId="61" applyNumberFormat="1" applyFont="1" applyAlignment="1" applyProtection="1">
      <alignment horizontal="center" wrapText="1"/>
    </xf>
    <xf numFmtId="0" fontId="11" fillId="0" borderId="0" xfId="61" applyNumberFormat="1" applyFont="1" applyFill="1" applyAlignment="1" applyProtection="1">
      <alignment horizontal="center"/>
    </xf>
    <xf numFmtId="0" fontId="56" fillId="0" borderId="0" xfId="61" applyNumberFormat="1" applyFont="1" applyAlignment="1" applyProtection="1">
      <alignment horizontal="center" wrapText="1"/>
    </xf>
    <xf numFmtId="0" fontId="56" fillId="0" borderId="0" xfId="61" applyNumberFormat="1" applyFont="1" applyBorder="1" applyAlignment="1" applyProtection="1">
      <alignment horizontal="center"/>
    </xf>
    <xf numFmtId="0" fontId="67" fillId="0" borderId="0" xfId="61" applyNumberFormat="1" applyFont="1" applyAlignment="1" applyProtection="1">
      <alignment horizontal="center"/>
    </xf>
    <xf numFmtId="0" fontId="11" fillId="0" borderId="0" xfId="61" applyNumberFormat="1" applyFont="1" applyAlignment="1" applyProtection="1">
      <alignment horizontal="center"/>
    </xf>
    <xf numFmtId="0" fontId="6" fillId="0" borderId="0" xfId="61" applyNumberFormat="1" applyFont="1" applyFill="1" applyAlignment="1" applyProtection="1">
      <alignment horizontal="center"/>
    </xf>
    <xf numFmtId="0" fontId="66" fillId="0" borderId="0" xfId="61" applyNumberFormat="1" applyFont="1" applyAlignment="1" applyProtection="1">
      <alignment horizontal="center"/>
    </xf>
    <xf numFmtId="39" fontId="66" fillId="0" borderId="0" xfId="61" applyNumberFormat="1" applyFont="1" applyAlignment="1" applyProtection="1">
      <alignment horizontal="center"/>
    </xf>
    <xf numFmtId="0" fontId="66" fillId="0" borderId="0" xfId="61" applyNumberFormat="1" applyFont="1" applyBorder="1" applyAlignment="1" applyProtection="1">
      <alignment horizontal="center"/>
    </xf>
    <xf numFmtId="0" fontId="11" fillId="49" borderId="0" xfId="61" applyNumberFormat="1" applyFont="1" applyFill="1" applyAlignment="1" applyProtection="1">
      <alignment horizontal="center" wrapText="1"/>
    </xf>
    <xf numFmtId="0" fontId="91" fillId="49" borderId="11" xfId="61" applyNumberFormat="1" applyFont="1" applyFill="1" applyBorder="1" applyAlignment="1" applyProtection="1">
      <alignment horizontal="center"/>
    </xf>
    <xf numFmtId="0" fontId="56" fillId="0" borderId="0" xfId="61" applyNumberFormat="1" applyFont="1" applyAlignment="1" applyProtection="1">
      <alignment horizontal="center" vertical="center"/>
    </xf>
    <xf numFmtId="0" fontId="88" fillId="0" borderId="0" xfId="61" applyNumberFormat="1" applyFont="1" applyAlignment="1" applyProtection="1">
      <alignment horizontal="center" vertical="center"/>
    </xf>
    <xf numFmtId="0" fontId="88" fillId="49" borderId="11" xfId="61" applyNumberFormat="1" applyFont="1" applyFill="1" applyBorder="1" applyAlignment="1" applyProtection="1">
      <alignment horizontal="center" vertical="center"/>
    </xf>
    <xf numFmtId="0" fontId="56" fillId="39" borderId="0" xfId="61" applyNumberFormat="1" applyFont="1" applyFill="1" applyBorder="1" applyAlignment="1" applyProtection="1">
      <alignment horizontal="left"/>
    </xf>
    <xf numFmtId="0" fontId="93" fillId="39" borderId="74" xfId="61" applyNumberFormat="1" applyFont="1" applyFill="1" applyBorder="1" applyAlignment="1" applyProtection="1">
      <alignment horizontal="left" vertical="center"/>
    </xf>
    <xf numFmtId="39" fontId="59" fillId="49" borderId="0" xfId="61" applyNumberFormat="1" applyFont="1" applyFill="1" applyAlignment="1" applyProtection="1">
      <alignment horizontal="center"/>
    </xf>
    <xf numFmtId="0" fontId="59" fillId="49" borderId="0" xfId="0" applyFont="1" applyFill="1" applyBorder="1" applyAlignment="1" applyProtection="1">
      <alignment horizontal="center"/>
    </xf>
    <xf numFmtId="0" fontId="56" fillId="49" borderId="0" xfId="61" applyNumberFormat="1" applyFont="1" applyFill="1" applyBorder="1" applyAlignment="1" applyProtection="1">
      <alignment horizontal="center"/>
    </xf>
    <xf numFmtId="49" fontId="3" fillId="64" borderId="0" xfId="0" applyNumberFormat="1" applyFont="1" applyFill="1" applyBorder="1" applyAlignment="1" applyProtection="1">
      <protection locked="0"/>
    </xf>
    <xf numFmtId="39" fontId="3" fillId="0" borderId="0" xfId="65" applyNumberFormat="1" applyFont="1" applyFill="1" applyBorder="1" applyAlignment="1">
      <alignment horizontal="center"/>
    </xf>
    <xf numFmtId="0" fontId="42" fillId="0" borderId="0" xfId="65" applyFont="1" applyFill="1" applyAlignment="1">
      <alignment wrapText="1"/>
    </xf>
    <xf numFmtId="0" fontId="104" fillId="0" borderId="0" xfId="65" applyFont="1" applyFill="1" applyBorder="1" applyAlignment="1"/>
    <xf numFmtId="49" fontId="104" fillId="0" borderId="0" xfId="65" applyNumberFormat="1" applyFont="1" applyFill="1" applyBorder="1" applyAlignment="1"/>
    <xf numFmtId="0" fontId="104" fillId="0" borderId="0" xfId="65" applyNumberFormat="1" applyFont="1" applyFill="1" applyBorder="1" applyAlignment="1"/>
    <xf numFmtId="0" fontId="3" fillId="0" borderId="0" xfId="65" applyFill="1" applyAlignment="1">
      <alignment wrapText="1"/>
    </xf>
    <xf numFmtId="0" fontId="3" fillId="0" borderId="0" xfId="65" applyFont="1" applyFill="1" applyBorder="1" applyAlignment="1" applyProtection="1">
      <alignment horizontal="right"/>
      <protection locked="0"/>
    </xf>
    <xf numFmtId="0" fontId="3" fillId="0" borderId="0" xfId="65" applyFont="1" applyAlignment="1" applyProtection="1">
      <alignment horizontal="right"/>
      <protection locked="0"/>
    </xf>
    <xf numFmtId="0" fontId="3" fillId="0" borderId="0" xfId="65" applyFont="1" applyBorder="1" applyProtection="1">
      <protection locked="0"/>
    </xf>
    <xf numFmtId="0" fontId="5" fillId="64" borderId="11" xfId="0" applyFont="1" applyFill="1" applyBorder="1" applyAlignment="1">
      <alignment horizontal="center"/>
    </xf>
    <xf numFmtId="49" fontId="3" fillId="64" borderId="0" xfId="0" applyNumberFormat="1" applyFont="1" applyFill="1" applyBorder="1" applyAlignment="1"/>
    <xf numFmtId="0" fontId="0" fillId="0" borderId="51" xfId="0" applyBorder="1" applyProtection="1">
      <protection locked="0"/>
    </xf>
    <xf numFmtId="0" fontId="0" fillId="0" borderId="260" xfId="0" applyBorder="1" applyProtection="1">
      <protection locked="0"/>
    </xf>
    <xf numFmtId="39" fontId="3" fillId="31" borderId="258" xfId="65" applyNumberFormat="1" applyFont="1" applyFill="1" applyBorder="1" applyAlignment="1" applyProtection="1">
      <protection locked="0"/>
    </xf>
    <xf numFmtId="183" fontId="2" fillId="0" borderId="0" xfId="61" applyNumberFormat="1" applyFont="1" applyFill="1" applyBorder="1" applyAlignment="1" applyProtection="1">
      <protection locked="0"/>
    </xf>
    <xf numFmtId="43" fontId="123" fillId="49" borderId="67" xfId="123" applyFont="1" applyFill="1" applyBorder="1" applyAlignment="1" applyProtection="1">
      <alignment horizontal="center"/>
    </xf>
    <xf numFmtId="43" fontId="121" fillId="40" borderId="73" xfId="123" applyFont="1" applyFill="1" applyBorder="1" applyAlignment="1" applyProtection="1">
      <alignment horizontal="center"/>
    </xf>
    <xf numFmtId="0" fontId="103" fillId="49" borderId="0" xfId="0" applyFont="1" applyFill="1" applyAlignment="1" applyProtection="1"/>
    <xf numFmtId="43" fontId="121" fillId="40" borderId="67" xfId="123" applyFont="1" applyFill="1" applyBorder="1" applyAlignment="1" applyProtection="1">
      <alignment horizontal="center"/>
    </xf>
    <xf numFmtId="193" fontId="59" fillId="31" borderId="14" xfId="126" applyNumberFormat="1" applyFont="1" applyFill="1" applyBorder="1" applyAlignment="1" applyProtection="1">
      <protection locked="0"/>
    </xf>
    <xf numFmtId="192" fontId="59" fillId="31" borderId="259" xfId="48" applyNumberFormat="1" applyFont="1" applyFill="1" applyBorder="1" applyAlignment="1" applyProtection="1">
      <protection locked="0"/>
    </xf>
    <xf numFmtId="43" fontId="59" fillId="0" borderId="259" xfId="123" applyFont="1" applyFill="1" applyBorder="1" applyAlignment="1" applyProtection="1">
      <alignment horizontal="left" indent="5"/>
    </xf>
    <xf numFmtId="43" fontId="59" fillId="0" borderId="13" xfId="123" applyFont="1" applyFill="1" applyBorder="1" applyAlignment="1" applyProtection="1">
      <alignment horizontal="left" indent="5"/>
    </xf>
    <xf numFmtId="10" fontId="59" fillId="31" borderId="11" xfId="126" applyNumberFormat="1" applyFont="1" applyFill="1" applyBorder="1" applyAlignment="1" applyProtection="1">
      <protection locked="0"/>
    </xf>
    <xf numFmtId="43" fontId="59" fillId="31" borderId="259" xfId="123" applyFont="1" applyFill="1" applyBorder="1" applyAlignment="1" applyProtection="1">
      <protection locked="0"/>
    </xf>
    <xf numFmtId="43" fontId="88" fillId="40" borderId="259" xfId="123" applyFont="1" applyFill="1" applyBorder="1" applyAlignment="1" applyProtection="1">
      <alignment horizontal="right"/>
    </xf>
    <xf numFmtId="43" fontId="59" fillId="31" borderId="258" xfId="123" applyFont="1" applyFill="1" applyBorder="1" applyAlignment="1" applyProtection="1">
      <alignment horizontal="center"/>
      <protection locked="0"/>
    </xf>
    <xf numFmtId="40" fontId="160" fillId="0" borderId="0" xfId="65" applyNumberFormat="1" applyFont="1" applyFill="1" applyBorder="1" applyAlignment="1" applyProtection="1">
      <protection locked="0"/>
    </xf>
    <xf numFmtId="43" fontId="3" fillId="34" borderId="260" xfId="128" applyNumberFormat="1" applyFont="1" applyFill="1" applyBorder="1"/>
    <xf numFmtId="43" fontId="3" fillId="0" borderId="260" xfId="128" applyNumberFormat="1" applyFill="1" applyBorder="1" applyProtection="1">
      <protection locked="0"/>
    </xf>
    <xf numFmtId="43" fontId="3" fillId="0" borderId="260" xfId="29" applyNumberFormat="1" applyFont="1" applyFill="1" applyBorder="1" applyProtection="1">
      <protection locked="0"/>
    </xf>
    <xf numFmtId="43" fontId="3" fillId="0" borderId="260" xfId="128" applyNumberFormat="1" applyFont="1" applyFill="1" applyBorder="1" applyProtection="1">
      <protection locked="0"/>
    </xf>
    <xf numFmtId="43" fontId="3" fillId="0" borderId="260" xfId="0" applyNumberFormat="1" applyFont="1" applyFill="1" applyBorder="1" applyProtection="1">
      <protection locked="0"/>
    </xf>
    <xf numFmtId="43" fontId="3" fillId="0" borderId="260" xfId="29" applyNumberFormat="1" applyFont="1" applyBorder="1" applyProtection="1">
      <protection locked="0"/>
    </xf>
    <xf numFmtId="43" fontId="3" fillId="34" borderId="260" xfId="128" applyNumberFormat="1" applyFont="1" applyFill="1" applyBorder="1" applyProtection="1"/>
    <xf numFmtId="43" fontId="3" fillId="0" borderId="260" xfId="128" applyNumberFormat="1" applyBorder="1" applyProtection="1">
      <protection locked="0"/>
    </xf>
    <xf numFmtId="43" fontId="3" fillId="34" borderId="260" xfId="29" applyNumberFormat="1" applyFont="1" applyFill="1" applyBorder="1" applyProtection="1"/>
    <xf numFmtId="43" fontId="3" fillId="0" borderId="260" xfId="128" applyNumberFormat="1" applyFont="1" applyFill="1" applyBorder="1"/>
    <xf numFmtId="43" fontId="3" fillId="0" borderId="260" xfId="29" applyNumberFormat="1" applyFont="1" applyFill="1" applyBorder="1"/>
    <xf numFmtId="0" fontId="38" fillId="31" borderId="260" xfId="0" applyFont="1" applyFill="1" applyBorder="1" applyAlignment="1" applyProtection="1">
      <protection locked="0"/>
    </xf>
    <xf numFmtId="0" fontId="71" fillId="31" borderId="260" xfId="0" applyFont="1" applyFill="1" applyBorder="1" applyAlignment="1" applyProtection="1">
      <protection locked="0"/>
    </xf>
    <xf numFmtId="0" fontId="126" fillId="34" borderId="259" xfId="0" applyFont="1" applyFill="1" applyBorder="1" applyAlignment="1" applyProtection="1"/>
    <xf numFmtId="0" fontId="126" fillId="34" borderId="260" xfId="0" applyFont="1" applyFill="1" applyBorder="1" applyAlignment="1" applyProtection="1">
      <alignment horizontal="center"/>
    </xf>
    <xf numFmtId="0" fontId="71" fillId="40" borderId="259" xfId="0" applyFont="1" applyFill="1" applyBorder="1" applyAlignment="1" applyProtection="1">
      <alignment horizontal="left"/>
    </xf>
    <xf numFmtId="39" fontId="59" fillId="32" borderId="260" xfId="0" applyNumberFormat="1" applyFont="1" applyFill="1" applyBorder="1" applyAlignment="1" applyProtection="1">
      <alignment horizontal="center" wrapText="1"/>
    </xf>
    <xf numFmtId="39" fontId="59" fillId="32" borderId="259" xfId="0" applyNumberFormat="1" applyFont="1" applyFill="1" applyBorder="1" applyAlignment="1" applyProtection="1">
      <alignment horizontal="center" wrapText="1"/>
    </xf>
    <xf numFmtId="43" fontId="59" fillId="31" borderId="260" xfId="123" applyFont="1" applyFill="1" applyBorder="1" applyProtection="1">
      <protection locked="0"/>
    </xf>
    <xf numFmtId="43" fontId="59" fillId="116" borderId="260" xfId="123" applyFont="1" applyFill="1" applyBorder="1" applyProtection="1"/>
    <xf numFmtId="43" fontId="59" fillId="114" borderId="260" xfId="123" applyFont="1" applyFill="1" applyBorder="1" applyProtection="1">
      <protection locked="0"/>
    </xf>
    <xf numFmtId="43" fontId="59" fillId="31" borderId="263" xfId="123" applyFont="1" applyFill="1" applyBorder="1" applyProtection="1">
      <protection locked="0"/>
    </xf>
    <xf numFmtId="0" fontId="12" fillId="0" borderId="260" xfId="61" applyNumberFormat="1" applyFont="1" applyBorder="1" applyAlignment="1" applyProtection="1">
      <alignment horizontal="center"/>
    </xf>
    <xf numFmtId="49" fontId="10" fillId="0" borderId="260" xfId="61" applyNumberFormat="1" applyFont="1" applyBorder="1" applyAlignment="1" applyProtection="1">
      <alignment horizontal="center"/>
    </xf>
    <xf numFmtId="43" fontId="11" fillId="41" borderId="259" xfId="123" applyFont="1" applyFill="1" applyBorder="1" applyAlignment="1" applyProtection="1">
      <alignment horizontal="center"/>
    </xf>
    <xf numFmtId="0" fontId="11" fillId="41" borderId="258" xfId="61" applyNumberFormat="1" applyFont="1" applyFill="1" applyBorder="1" applyAlignment="1" applyProtection="1">
      <alignment horizontal="center"/>
    </xf>
    <xf numFmtId="43" fontId="11" fillId="41" borderId="258" xfId="123" applyFont="1" applyFill="1" applyBorder="1" applyAlignment="1" applyProtection="1">
      <alignment horizontal="center"/>
    </xf>
    <xf numFmtId="43" fontId="2" fillId="40" borderId="11" xfId="47" applyNumberFormat="1" applyFont="1" applyFill="1" applyBorder="1" applyAlignment="1" applyProtection="1"/>
    <xf numFmtId="174" fontId="2" fillId="40" borderId="11" xfId="123" applyNumberFormat="1" applyFont="1" applyFill="1" applyBorder="1" applyAlignment="1" applyProtection="1"/>
    <xf numFmtId="174" fontId="2" fillId="40" borderId="11" xfId="47" applyNumberFormat="1" applyFont="1" applyFill="1" applyBorder="1" applyAlignment="1" applyProtection="1"/>
    <xf numFmtId="43" fontId="11" fillId="0" borderId="258" xfId="123" applyFont="1" applyBorder="1" applyAlignment="1" applyProtection="1"/>
    <xf numFmtId="43" fontId="11" fillId="0" borderId="259" xfId="123" applyFont="1" applyBorder="1" applyAlignment="1" applyProtection="1"/>
    <xf numFmtId="43" fontId="2" fillId="40" borderId="11" xfId="123" applyNumberFormat="1" applyFont="1" applyFill="1" applyBorder="1" applyAlignment="1" applyProtection="1"/>
    <xf numFmtId="167" fontId="2" fillId="40" borderId="11" xfId="123" applyNumberFormat="1" applyFont="1" applyFill="1" applyBorder="1" applyAlignment="1" applyProtection="1"/>
    <xf numFmtId="185" fontId="2" fillId="40" borderId="11" xfId="123" applyNumberFormat="1" applyFont="1" applyFill="1" applyBorder="1" applyAlignment="1" applyProtection="1"/>
    <xf numFmtId="183" fontId="2" fillId="40" borderId="11" xfId="123" applyNumberFormat="1" applyFont="1" applyFill="1" applyBorder="1" applyAlignment="1" applyProtection="1"/>
    <xf numFmtId="49" fontId="12" fillId="0" borderId="260" xfId="61" applyNumberFormat="1" applyFont="1" applyBorder="1" applyAlignment="1" applyProtection="1">
      <alignment horizontal="center"/>
    </xf>
    <xf numFmtId="43" fontId="11" fillId="0" borderId="258" xfId="123" applyFont="1" applyBorder="1" applyProtection="1"/>
    <xf numFmtId="43" fontId="0" fillId="0" borderId="258" xfId="123" applyFont="1" applyBorder="1"/>
    <xf numFmtId="44" fontId="9" fillId="43" borderId="258" xfId="48" applyFont="1" applyFill="1" applyBorder="1" applyProtection="1"/>
    <xf numFmtId="43" fontId="0" fillId="0" borderId="258" xfId="0" applyNumberFormat="1" applyBorder="1"/>
    <xf numFmtId="43" fontId="0" fillId="0" borderId="258" xfId="0" applyNumberFormat="1" applyFill="1" applyBorder="1"/>
    <xf numFmtId="43" fontId="0" fillId="46" borderId="258" xfId="0" applyNumberFormat="1" applyFill="1" applyBorder="1"/>
    <xf numFmtId="43" fontId="9" fillId="0" borderId="258" xfId="123" applyFont="1" applyBorder="1"/>
    <xf numFmtId="44" fontId="2" fillId="0" borderId="258" xfId="47" applyFont="1" applyFill="1" applyBorder="1" applyAlignment="1" applyProtection="1"/>
    <xf numFmtId="0" fontId="4" fillId="32" borderId="259" xfId="117" applyNumberFormat="1" applyFont="1" applyFill="1" applyBorder="1" applyAlignment="1"/>
    <xf numFmtId="44" fontId="2" fillId="0" borderId="264" xfId="47" applyFont="1" applyFill="1" applyBorder="1" applyAlignment="1"/>
    <xf numFmtId="0" fontId="4" fillId="0" borderId="265" xfId="0" applyNumberFormat="1" applyFont="1" applyFill="1" applyBorder="1" applyAlignment="1">
      <alignment horizontal="left"/>
    </xf>
    <xf numFmtId="0" fontId="2" fillId="0" borderId="265" xfId="0" applyNumberFormat="1" applyFont="1" applyFill="1" applyBorder="1" applyAlignment="1">
      <alignment horizontal="center"/>
    </xf>
    <xf numFmtId="44" fontId="2" fillId="0" borderId="266" xfId="47" applyFont="1" applyFill="1" applyBorder="1" applyAlignment="1"/>
    <xf numFmtId="0" fontId="4" fillId="0" borderId="265" xfId="0" applyNumberFormat="1" applyFont="1" applyFill="1" applyBorder="1" applyAlignment="1"/>
    <xf numFmtId="0" fontId="104" fillId="36" borderId="259" xfId="0" applyFont="1" applyFill="1" applyBorder="1" applyAlignment="1" applyProtection="1"/>
    <xf numFmtId="0" fontId="104" fillId="36" borderId="258" xfId="0" applyFont="1" applyFill="1" applyBorder="1" applyAlignment="1" applyProtection="1"/>
    <xf numFmtId="0" fontId="88" fillId="31" borderId="260" xfId="0" applyFont="1" applyFill="1" applyBorder="1" applyAlignment="1" applyProtection="1">
      <alignment horizontal="center"/>
      <protection locked="0"/>
    </xf>
    <xf numFmtId="0" fontId="66" fillId="39" borderId="259" xfId="61" applyNumberFormat="1" applyFont="1" applyFill="1" applyBorder="1" applyAlignment="1" applyProtection="1">
      <alignment vertical="center"/>
    </xf>
    <xf numFmtId="0" fontId="66" fillId="39" borderId="258" xfId="61" applyNumberFormat="1" applyFont="1" applyFill="1" applyBorder="1" applyAlignment="1" applyProtection="1">
      <alignment vertical="center"/>
    </xf>
    <xf numFmtId="0" fontId="56" fillId="39" borderId="260" xfId="0" applyFont="1" applyFill="1" applyBorder="1" applyAlignment="1" applyProtection="1"/>
    <xf numFmtId="0" fontId="56" fillId="39" borderId="259" xfId="0" applyFont="1" applyFill="1" applyBorder="1" applyAlignment="1" applyProtection="1"/>
    <xf numFmtId="0" fontId="56" fillId="39" borderId="258" xfId="0" applyFont="1" applyFill="1" applyBorder="1" applyAlignment="1" applyProtection="1"/>
    <xf numFmtId="0" fontId="66" fillId="39" borderId="260" xfId="61" applyNumberFormat="1" applyFont="1" applyFill="1" applyBorder="1" applyAlignment="1" applyProtection="1">
      <alignment horizontal="center"/>
    </xf>
    <xf numFmtId="0" fontId="66" fillId="39" borderId="258" xfId="61" applyNumberFormat="1" applyFont="1" applyFill="1" applyBorder="1" applyAlignment="1" applyProtection="1"/>
    <xf numFmtId="39" fontId="59" fillId="65" borderId="260" xfId="0" applyNumberFormat="1" applyFont="1" applyFill="1" applyBorder="1" applyAlignment="1" applyProtection="1">
      <alignment wrapText="1"/>
    </xf>
    <xf numFmtId="39" fontId="59" fillId="31" borderId="260" xfId="0" applyNumberFormat="1" applyFont="1" applyFill="1" applyBorder="1" applyAlignment="1" applyProtection="1">
      <alignment wrapText="1"/>
      <protection locked="0"/>
    </xf>
    <xf numFmtId="183" fontId="59" fillId="31" borderId="260" xfId="47" applyNumberFormat="1" applyFont="1" applyFill="1" applyBorder="1" applyAlignment="1" applyProtection="1">
      <protection locked="0"/>
    </xf>
    <xf numFmtId="167" fontId="88" fillId="0" borderId="259" xfId="123" applyNumberFormat="1" applyFont="1" applyBorder="1" applyAlignment="1" applyProtection="1"/>
    <xf numFmtId="167" fontId="88" fillId="0" borderId="258" xfId="123" applyNumberFormat="1" applyFont="1" applyBorder="1" applyAlignment="1" applyProtection="1"/>
    <xf numFmtId="0" fontId="59" fillId="45" borderId="260" xfId="0" applyFont="1" applyFill="1" applyBorder="1" applyAlignment="1" applyProtection="1">
      <alignment horizontal="center"/>
    </xf>
    <xf numFmtId="43" fontId="59" fillId="45" borderId="260" xfId="123" applyFont="1" applyFill="1" applyBorder="1" applyProtection="1"/>
    <xf numFmtId="43" fontId="59" fillId="45" borderId="260" xfId="123" applyNumberFormat="1" applyFont="1" applyFill="1" applyBorder="1" applyAlignment="1" applyProtection="1">
      <alignment horizontal="center"/>
    </xf>
    <xf numFmtId="0" fontId="57" fillId="31" borderId="260" xfId="0" applyFont="1" applyFill="1" applyBorder="1" applyAlignment="1" applyProtection="1">
      <alignment horizontal="center"/>
      <protection locked="0"/>
    </xf>
    <xf numFmtId="0" fontId="0" fillId="0" borderId="260" xfId="0" applyFont="1" applyBorder="1"/>
    <xf numFmtId="0" fontId="0" fillId="0" borderId="260" xfId="0" applyBorder="1" applyAlignment="1"/>
    <xf numFmtId="0" fontId="0" fillId="0" borderId="260" xfId="0" applyFont="1" applyBorder="1" applyAlignment="1">
      <alignment wrapText="1"/>
    </xf>
    <xf numFmtId="0" fontId="0" fillId="0" borderId="260" xfId="0" applyBorder="1" applyAlignment="1">
      <alignment wrapText="1"/>
    </xf>
    <xf numFmtId="0" fontId="0" fillId="0" borderId="259" xfId="0" applyBorder="1" applyAlignment="1">
      <alignment wrapText="1"/>
    </xf>
    <xf numFmtId="0" fontId="77" fillId="30" borderId="260" xfId="0" applyFont="1" applyFill="1" applyBorder="1"/>
    <xf numFmtId="0" fontId="77" fillId="46" borderId="259" xfId="0" applyFont="1" applyFill="1" applyBorder="1"/>
    <xf numFmtId="0" fontId="77" fillId="36" borderId="259" xfId="0" applyFont="1" applyFill="1" applyBorder="1"/>
    <xf numFmtId="0" fontId="37" fillId="0" borderId="260" xfId="0" applyFont="1" applyBorder="1" applyAlignment="1" applyProtection="1">
      <alignment horizontal="center" vertical="center"/>
      <protection locked="0"/>
    </xf>
    <xf numFmtId="0" fontId="37" fillId="0" borderId="260" xfId="0" applyFont="1" applyBorder="1" applyAlignment="1" applyProtection="1">
      <alignment horizontal="center" vertical="center" wrapText="1"/>
      <protection locked="0"/>
    </xf>
    <xf numFmtId="6" fontId="37" fillId="0" borderId="260" xfId="0" applyNumberFormat="1" applyFont="1" applyBorder="1" applyAlignment="1" applyProtection="1">
      <alignment horizontal="center" vertical="center" wrapText="1"/>
      <protection locked="0"/>
    </xf>
    <xf numFmtId="0" fontId="37" fillId="0" borderId="259" xfId="0" applyFont="1" applyBorder="1" applyAlignment="1"/>
    <xf numFmtId="4" fontId="3" fillId="59" borderId="251" xfId="123" applyNumberFormat="1" applyFont="1" applyFill="1" applyBorder="1" applyAlignment="1" applyProtection="1">
      <protection locked="0"/>
    </xf>
    <xf numFmtId="0" fontId="3" fillId="59" borderId="251" xfId="65" quotePrefix="1" applyFill="1" applyBorder="1" applyAlignment="1" applyProtection="1">
      <protection locked="0"/>
    </xf>
    <xf numFmtId="39" fontId="3" fillId="31" borderId="260" xfId="65" applyNumberFormat="1" applyFont="1" applyFill="1" applyBorder="1" applyAlignment="1" applyProtection="1">
      <alignment horizontal="right"/>
    </xf>
    <xf numFmtId="0" fontId="3" fillId="0" borderId="260" xfId="65" applyFont="1" applyBorder="1" applyProtection="1"/>
    <xf numFmtId="0" fontId="3" fillId="0" borderId="260" xfId="65" applyFont="1" applyBorder="1" applyAlignment="1" applyProtection="1">
      <alignment horizontal="left" wrapText="1"/>
    </xf>
    <xf numFmtId="43" fontId="3" fillId="31" borderId="260" xfId="29" applyFont="1" applyFill="1" applyBorder="1" applyAlignment="1" applyProtection="1">
      <alignment horizontal="right"/>
    </xf>
    <xf numFmtId="0" fontId="9" fillId="0" borderId="260" xfId="65" applyFont="1" applyBorder="1" applyProtection="1"/>
    <xf numFmtId="39" fontId="9" fillId="59" borderId="260" xfId="65" applyNumberFormat="1" applyFont="1" applyFill="1" applyBorder="1" applyAlignment="1" applyProtection="1">
      <alignment horizontal="right"/>
    </xf>
    <xf numFmtId="0" fontId="9" fillId="0" borderId="259" xfId="0" applyFont="1" applyBorder="1" applyAlignment="1"/>
    <xf numFmtId="0" fontId="9" fillId="0" borderId="258" xfId="0" applyFont="1" applyBorder="1" applyAlignment="1"/>
    <xf numFmtId="0" fontId="42" fillId="0" borderId="258" xfId="4834" applyFont="1" applyFill="1" applyBorder="1" applyAlignment="1"/>
    <xf numFmtId="43" fontId="3" fillId="64" borderId="260" xfId="0" applyNumberFormat="1" applyFont="1" applyFill="1" applyBorder="1" applyProtection="1">
      <protection locked="0"/>
    </xf>
    <xf numFmtId="43" fontId="3" fillId="64" borderId="260" xfId="49" applyNumberFormat="1" applyFont="1" applyFill="1" applyBorder="1"/>
    <xf numFmtId="11" fontId="9" fillId="0" borderId="259" xfId="0" applyNumberFormat="1" applyFont="1" applyFill="1" applyBorder="1" applyAlignment="1"/>
    <xf numFmtId="11" fontId="9" fillId="0" borderId="258" xfId="0" applyNumberFormat="1" applyFont="1" applyFill="1" applyBorder="1" applyAlignment="1"/>
    <xf numFmtId="44" fontId="9" fillId="64" borderId="260" xfId="49" applyFont="1" applyFill="1" applyBorder="1" applyProtection="1"/>
    <xf numFmtId="44" fontId="9" fillId="64" borderId="260" xfId="49" applyFont="1" applyFill="1" applyBorder="1"/>
    <xf numFmtId="0" fontId="9" fillId="0" borderId="259" xfId="0" applyFont="1" applyFill="1" applyBorder="1" applyAlignment="1"/>
    <xf numFmtId="0" fontId="9" fillId="0" borderId="258" xfId="0" applyFont="1" applyFill="1" applyBorder="1" applyAlignment="1"/>
    <xf numFmtId="0" fontId="42" fillId="0" borderId="258" xfId="4835" applyFont="1" applyFill="1" applyBorder="1" applyAlignment="1"/>
    <xf numFmtId="43" fontId="3" fillId="64" borderId="260" xfId="29" applyFont="1" applyFill="1" applyBorder="1" applyProtection="1">
      <protection locked="0"/>
    </xf>
    <xf numFmtId="43" fontId="3" fillId="64" borderId="260" xfId="49" applyNumberFormat="1" applyFont="1" applyFill="1" applyBorder="1" applyProtection="1"/>
    <xf numFmtId="44" fontId="9" fillId="64" borderId="260" xfId="0" applyNumberFormat="1" applyFont="1" applyFill="1" applyBorder="1" applyProtection="1">
      <protection locked="0"/>
    </xf>
    <xf numFmtId="44" fontId="9" fillId="64" borderId="260" xfId="49" applyNumberFormat="1" applyFont="1" applyFill="1" applyBorder="1" applyProtection="1"/>
    <xf numFmtId="0" fontId="42" fillId="0" borderId="258" xfId="4836" applyFont="1" applyFill="1" applyBorder="1" applyAlignment="1"/>
    <xf numFmtId="0" fontId="9" fillId="0" borderId="259" xfId="0" applyFont="1" applyFill="1" applyBorder="1" applyAlignment="1">
      <alignment wrapText="1"/>
    </xf>
    <xf numFmtId="0" fontId="9" fillId="0" borderId="258" xfId="0" applyFont="1" applyFill="1" applyBorder="1" applyAlignment="1">
      <alignment wrapText="1"/>
    </xf>
    <xf numFmtId="0" fontId="3" fillId="0" borderId="259" xfId="0" applyFont="1" applyFill="1" applyBorder="1" applyAlignment="1"/>
    <xf numFmtId="0" fontId="3" fillId="0" borderId="258" xfId="0" applyFont="1" applyFill="1" applyBorder="1" applyAlignment="1"/>
    <xf numFmtId="0" fontId="3" fillId="0" borderId="259" xfId="0" applyFont="1" applyFill="1" applyBorder="1" applyAlignment="1">
      <alignment horizontal="left" indent="1"/>
    </xf>
    <xf numFmtId="0" fontId="3" fillId="0" borderId="258" xfId="0" applyFont="1" applyFill="1" applyBorder="1" applyAlignment="1">
      <alignment horizontal="left" indent="1"/>
    </xf>
    <xf numFmtId="0" fontId="9" fillId="0" borderId="259" xfId="0" applyFont="1" applyFill="1" applyBorder="1" applyAlignment="1">
      <alignment horizontal="left" indent="1"/>
    </xf>
    <xf numFmtId="44" fontId="9" fillId="64" borderId="260" xfId="0" applyNumberFormat="1" applyFont="1" applyFill="1" applyBorder="1" applyProtection="1"/>
    <xf numFmtId="0" fontId="9" fillId="0" borderId="259" xfId="0" applyFont="1" applyFill="1" applyBorder="1" applyAlignment="1">
      <alignment horizontal="left"/>
    </xf>
    <xf numFmtId="0" fontId="9" fillId="0" borderId="258" xfId="0" applyFont="1" applyFill="1" applyBorder="1" applyAlignment="1">
      <alignment horizontal="left" indent="2"/>
    </xf>
    <xf numFmtId="0" fontId="9" fillId="0" borderId="260" xfId="0" applyFont="1" applyFill="1" applyBorder="1" applyAlignment="1">
      <alignment horizontal="right"/>
    </xf>
    <xf numFmtId="0" fontId="3" fillId="0" borderId="258" xfId="0" applyFont="1" applyBorder="1" applyAlignment="1"/>
    <xf numFmtId="43" fontId="3" fillId="107" borderId="259" xfId="0" applyNumberFormat="1" applyFont="1" applyFill="1" applyBorder="1" applyAlignment="1"/>
    <xf numFmtId="43" fontId="3" fillId="64" borderId="260" xfId="49" applyNumberFormat="1" applyFont="1" applyFill="1" applyBorder="1" applyProtection="1">
      <protection locked="0"/>
    </xf>
    <xf numFmtId="0" fontId="42" fillId="0" borderId="258" xfId="4837" applyFont="1" applyFill="1" applyBorder="1" applyAlignment="1"/>
    <xf numFmtId="0" fontId="42" fillId="0" borderId="259" xfId="4837" applyFont="1" applyFill="1" applyBorder="1" applyAlignment="1">
      <alignment horizontal="left" indent="1"/>
    </xf>
    <xf numFmtId="0" fontId="42" fillId="0" borderId="258" xfId="4837" applyFont="1" applyFill="1" applyBorder="1" applyAlignment="1">
      <alignment horizontal="left" indent="1"/>
    </xf>
    <xf numFmtId="0" fontId="9" fillId="0" borderId="259" xfId="0" applyFont="1" applyFill="1" applyBorder="1" applyAlignment="1">
      <alignment horizontal="right"/>
    </xf>
    <xf numFmtId="44" fontId="9" fillId="107" borderId="259" xfId="49" applyNumberFormat="1" applyFont="1" applyFill="1" applyBorder="1" applyAlignment="1"/>
    <xf numFmtId="44" fontId="9" fillId="107" borderId="258" xfId="49" applyNumberFormat="1" applyFont="1" applyFill="1" applyBorder="1" applyAlignment="1"/>
    <xf numFmtId="0" fontId="57" fillId="0" borderId="259" xfId="4838" applyFont="1" applyFill="1" applyBorder="1" applyAlignment="1"/>
    <xf numFmtId="0" fontId="57" fillId="0" borderId="258" xfId="4838" applyFont="1" applyFill="1" applyBorder="1" applyAlignment="1"/>
    <xf numFmtId="0" fontId="42" fillId="0" borderId="258" xfId="4838" applyFont="1" applyFill="1" applyBorder="1" applyAlignment="1"/>
    <xf numFmtId="43" fontId="3" fillId="107" borderId="258" xfId="0" applyNumberFormat="1" applyFont="1" applyFill="1" applyBorder="1" applyProtection="1">
      <protection locked="0"/>
    </xf>
    <xf numFmtId="0" fontId="9" fillId="0" borderId="259" xfId="0" applyFont="1" applyBorder="1" applyAlignment="1">
      <alignment wrapText="1"/>
    </xf>
    <xf numFmtId="0" fontId="9" fillId="0" borderId="258" xfId="0" applyFont="1" applyBorder="1" applyAlignment="1">
      <alignment wrapText="1"/>
    </xf>
    <xf numFmtId="0" fontId="3" fillId="0" borderId="258" xfId="0" applyFont="1" applyBorder="1" applyAlignment="1">
      <alignment horizontal="left" wrapText="1" indent="1"/>
    </xf>
    <xf numFmtId="0" fontId="9" fillId="107" borderId="258" xfId="0" applyFont="1" applyFill="1" applyBorder="1" applyAlignment="1">
      <alignment horizontal="center" wrapText="1"/>
    </xf>
    <xf numFmtId="0" fontId="3" fillId="0" borderId="260" xfId="0" applyFont="1" applyBorder="1" applyAlignment="1">
      <alignment wrapText="1"/>
    </xf>
    <xf numFmtId="0" fontId="3" fillId="0" borderId="258" xfId="0" applyFont="1" applyBorder="1" applyAlignment="1">
      <alignment wrapText="1"/>
    </xf>
    <xf numFmtId="0" fontId="3" fillId="0" borderId="258" xfId="0" applyFont="1" applyFill="1" applyBorder="1" applyAlignment="1">
      <alignment wrapText="1"/>
    </xf>
    <xf numFmtId="0" fontId="3" fillId="64" borderId="259" xfId="0" applyFont="1" applyFill="1" applyBorder="1" applyAlignment="1">
      <alignment wrapText="1"/>
    </xf>
    <xf numFmtId="0" fontId="9" fillId="0" borderId="259" xfId="0" applyFont="1" applyBorder="1" applyAlignment="1">
      <alignment horizontal="center" vertical="center" wrapText="1"/>
    </xf>
    <xf numFmtId="49" fontId="3" fillId="64" borderId="260" xfId="0" applyNumberFormat="1" applyFont="1" applyFill="1" applyBorder="1" applyProtection="1">
      <protection locked="0"/>
    </xf>
    <xf numFmtId="43" fontId="3" fillId="64" borderId="259" xfId="49" applyNumberFormat="1" applyFont="1" applyFill="1" applyBorder="1" applyAlignment="1"/>
    <xf numFmtId="0" fontId="42" fillId="0" borderId="259" xfId="4837" applyFont="1" applyFill="1" applyBorder="1" applyAlignment="1">
      <alignment horizontal="left"/>
    </xf>
    <xf numFmtId="0" fontId="3" fillId="0" borderId="258" xfId="0" applyFont="1" applyFill="1" applyBorder="1" applyAlignment="1">
      <alignment horizontal="left"/>
    </xf>
    <xf numFmtId="0" fontId="9" fillId="107" borderId="260" xfId="0" applyFont="1" applyFill="1" applyBorder="1"/>
    <xf numFmtId="49" fontId="9" fillId="107" borderId="260" xfId="0" applyNumberFormat="1" applyFont="1" applyFill="1" applyBorder="1"/>
    <xf numFmtId="43" fontId="3" fillId="64" borderId="259" xfId="0" applyNumberFormat="1" applyFont="1" applyFill="1" applyBorder="1" applyAlignment="1" applyProtection="1">
      <protection locked="0"/>
    </xf>
    <xf numFmtId="44" fontId="9" fillId="64" borderId="259" xfId="49" applyNumberFormat="1" applyFont="1" applyFill="1" applyBorder="1" applyAlignment="1"/>
    <xf numFmtId="40" fontId="3" fillId="59" borderId="11" xfId="0" applyNumberFormat="1" applyFont="1" applyFill="1" applyBorder="1" applyAlignment="1" applyProtection="1">
      <protection locked="0"/>
    </xf>
    <xf numFmtId="0" fontId="5" fillId="59" borderId="11" xfId="65" applyFont="1" applyFill="1" applyBorder="1" applyAlignment="1" applyProtection="1">
      <protection locked="0"/>
    </xf>
    <xf numFmtId="0" fontId="9" fillId="0" borderId="11" xfId="65" applyFont="1" applyFill="1" applyBorder="1" applyAlignment="1">
      <alignment horizontal="left"/>
    </xf>
    <xf numFmtId="39" fontId="3" fillId="59" borderId="258" xfId="65" applyNumberFormat="1" applyFont="1" applyFill="1" applyBorder="1" applyAlignment="1"/>
    <xf numFmtId="39" fontId="3" fillId="62" borderId="258" xfId="65" applyNumberFormat="1" applyFont="1" applyFill="1" applyBorder="1" applyAlignment="1"/>
    <xf numFmtId="39" fontId="9" fillId="31" borderId="11" xfId="65" applyNumberFormat="1" applyFont="1" applyFill="1" applyBorder="1" applyAlignment="1" applyProtection="1">
      <protection locked="0"/>
    </xf>
    <xf numFmtId="0" fontId="3" fillId="62" borderId="11" xfId="65" applyFont="1" applyFill="1" applyBorder="1" applyAlignment="1"/>
    <xf numFmtId="39" fontId="3" fillId="62" borderId="11" xfId="65" applyNumberFormat="1" applyFont="1" applyFill="1" applyBorder="1" applyAlignment="1">
      <alignment horizontal="right"/>
    </xf>
    <xf numFmtId="49" fontId="5" fillId="31" borderId="258" xfId="134" applyNumberFormat="1" applyFont="1" applyFill="1" applyBorder="1" applyAlignment="1" applyProtection="1">
      <protection locked="0"/>
    </xf>
    <xf numFmtId="0" fontId="5" fillId="31" borderId="258" xfId="134" applyFont="1" applyFill="1" applyBorder="1" applyAlignment="1" applyProtection="1">
      <protection locked="0"/>
    </xf>
    <xf numFmtId="0" fontId="114" fillId="50" borderId="260" xfId="0" applyFont="1" applyFill="1" applyBorder="1" applyAlignment="1" applyProtection="1">
      <alignment vertical="top"/>
    </xf>
    <xf numFmtId="0" fontId="114" fillId="50" borderId="260" xfId="0" applyFont="1" applyFill="1" applyBorder="1" applyAlignment="1" applyProtection="1">
      <alignment wrapText="1"/>
    </xf>
    <xf numFmtId="0" fontId="108" fillId="51" borderId="259" xfId="0" applyFont="1" applyFill="1" applyBorder="1" applyAlignment="1" applyProtection="1">
      <alignment horizontal="left" indent="32"/>
    </xf>
    <xf numFmtId="0" fontId="108" fillId="51" borderId="258" xfId="0" applyFont="1" applyFill="1" applyBorder="1" applyAlignment="1" applyProtection="1"/>
    <xf numFmtId="43" fontId="108" fillId="51" borderId="260" xfId="123" applyFont="1" applyFill="1" applyBorder="1" applyAlignment="1" applyProtection="1">
      <alignment wrapText="1"/>
    </xf>
    <xf numFmtId="43" fontId="108" fillId="51" borderId="260" xfId="123" applyFont="1" applyFill="1" applyBorder="1" applyAlignment="1" applyProtection="1"/>
    <xf numFmtId="186" fontId="3" fillId="40" borderId="258" xfId="123" quotePrefix="1" applyNumberFormat="1" applyFont="1" applyFill="1" applyBorder="1" applyAlignment="1">
      <alignment horizontal="center"/>
    </xf>
    <xf numFmtId="177" fontId="42" fillId="40" borderId="258" xfId="0" applyNumberFormat="1" applyFont="1" applyFill="1" applyBorder="1" applyAlignment="1">
      <alignment horizontal="center"/>
    </xf>
    <xf numFmtId="0" fontId="9" fillId="36" borderId="258" xfId="0" applyFont="1" applyFill="1" applyBorder="1" applyAlignment="1">
      <alignment horizontal="center" wrapText="1"/>
    </xf>
    <xf numFmtId="0" fontId="57" fillId="0" borderId="258" xfId="0" applyFont="1" applyFill="1" applyBorder="1" applyAlignment="1">
      <alignment horizontal="center" wrapText="1"/>
    </xf>
    <xf numFmtId="0" fontId="57" fillId="36" borderId="258" xfId="0" applyFont="1" applyFill="1" applyBorder="1" applyAlignment="1">
      <alignment horizontal="center" wrapText="1"/>
    </xf>
    <xf numFmtId="186" fontId="42" fillId="40" borderId="258" xfId="0" quotePrefix="1" applyNumberFormat="1" applyFont="1" applyFill="1" applyBorder="1" applyAlignment="1">
      <alignment horizontal="center"/>
    </xf>
    <xf numFmtId="188" fontId="42" fillId="40" borderId="259" xfId="47" applyNumberFormat="1" applyFont="1" applyFill="1" applyBorder="1"/>
    <xf numFmtId="0" fontId="42" fillId="40" borderId="259" xfId="0" applyFont="1" applyFill="1" applyBorder="1"/>
    <xf numFmtId="0" fontId="42" fillId="40" borderId="258" xfId="0" applyFont="1" applyFill="1" applyBorder="1"/>
    <xf numFmtId="0" fontId="37" fillId="40" borderId="260" xfId="0" applyFont="1" applyFill="1" applyBorder="1" applyAlignment="1">
      <alignment wrapText="1"/>
    </xf>
    <xf numFmtId="0" fontId="37" fillId="40" borderId="260" xfId="0" applyFont="1" applyFill="1" applyBorder="1" applyAlignment="1"/>
    <xf numFmtId="0" fontId="37" fillId="40" borderId="259" xfId="0" applyFont="1" applyFill="1" applyBorder="1" applyAlignment="1"/>
    <xf numFmtId="0" fontId="42" fillId="0" borderId="258" xfId="0" applyFont="1" applyBorder="1"/>
    <xf numFmtId="41" fontId="42" fillId="0" borderId="258" xfId="0" quotePrefix="1" applyNumberFormat="1" applyFont="1" applyFill="1" applyBorder="1" applyAlignment="1">
      <alignment horizontal="center"/>
    </xf>
    <xf numFmtId="177" fontId="42" fillId="0" borderId="258" xfId="0" applyNumberFormat="1" applyFont="1" applyFill="1" applyBorder="1" applyAlignment="1">
      <alignment horizontal="center"/>
    </xf>
    <xf numFmtId="174" fontId="42" fillId="0" borderId="258" xfId="48" applyNumberFormat="1" applyFont="1" applyFill="1" applyBorder="1"/>
    <xf numFmtId="0" fontId="37" fillId="65" borderId="260" xfId="0" applyFont="1" applyFill="1" applyBorder="1"/>
    <xf numFmtId="0" fontId="83" fillId="0" borderId="260" xfId="0" applyFont="1" applyBorder="1"/>
    <xf numFmtId="44" fontId="11" fillId="0" borderId="260" xfId="47" applyFont="1" applyBorder="1" applyProtection="1"/>
    <xf numFmtId="171" fontId="11" fillId="0" borderId="260" xfId="109" applyFont="1" applyBorder="1" applyProtection="1"/>
    <xf numFmtId="44" fontId="56" fillId="0" borderId="260" xfId="47" applyFont="1" applyBorder="1" applyAlignment="1" applyProtection="1">
      <alignment horizontal="center" wrapText="1"/>
    </xf>
    <xf numFmtId="171" fontId="56" fillId="0" borderId="260" xfId="109" applyFont="1" applyBorder="1" applyAlignment="1" applyProtection="1">
      <alignment horizontal="center" wrapText="1"/>
    </xf>
    <xf numFmtId="44" fontId="56" fillId="0" borderId="260" xfId="47" applyFont="1" applyBorder="1" applyAlignment="1" applyProtection="1">
      <alignment horizontal="center"/>
    </xf>
    <xf numFmtId="0" fontId="37" fillId="0" borderId="260" xfId="0" applyFont="1" applyBorder="1" applyAlignment="1">
      <alignment horizontal="center"/>
    </xf>
    <xf numFmtId="167" fontId="11" fillId="0" borderId="260" xfId="123" applyNumberFormat="1" applyFont="1" applyBorder="1" applyProtection="1"/>
    <xf numFmtId="0" fontId="1" fillId="25" borderId="260" xfId="133" applyFont="1" applyFill="1" applyBorder="1" applyAlignment="1">
      <alignment horizontal="center"/>
    </xf>
    <xf numFmtId="0" fontId="202" fillId="64" borderId="260" xfId="133" applyFont="1" applyFill="1" applyBorder="1" applyAlignment="1">
      <alignment wrapText="1"/>
    </xf>
    <xf numFmtId="167" fontId="202" fillId="64" borderId="260" xfId="123" applyNumberFormat="1" applyFont="1" applyFill="1" applyBorder="1" applyAlignment="1">
      <alignment horizontal="right" wrapText="1"/>
    </xf>
    <xf numFmtId="167" fontId="203" fillId="70" borderId="260" xfId="123" applyNumberFormat="1" applyFont="1" applyFill="1" applyBorder="1" applyProtection="1"/>
    <xf numFmtId="0" fontId="143" fillId="64" borderId="260" xfId="133" applyFont="1" applyFill="1" applyBorder="1" applyAlignment="1">
      <alignment wrapText="1"/>
    </xf>
    <xf numFmtId="0" fontId="37" fillId="57" borderId="260" xfId="0" applyFont="1" applyFill="1" applyBorder="1"/>
    <xf numFmtId="0" fontId="0" fillId="0" borderId="260" xfId="0" applyBorder="1"/>
    <xf numFmtId="0" fontId="1" fillId="106" borderId="260" xfId="132" applyFont="1" applyFill="1" applyBorder="1" applyAlignment="1">
      <alignment horizontal="center"/>
    </xf>
    <xf numFmtId="0" fontId="207" fillId="65" borderId="260" xfId="132" applyFont="1" applyFill="1" applyBorder="1" applyAlignment="1">
      <alignment wrapText="1"/>
    </xf>
    <xf numFmtId="185" fontId="207" fillId="64" borderId="260" xfId="123" applyNumberFormat="1" applyFont="1" applyFill="1" applyBorder="1" applyAlignment="1" applyProtection="1"/>
    <xf numFmtId="185" fontId="207" fillId="65" borderId="260" xfId="123" applyNumberFormat="1" applyFont="1" applyFill="1" applyBorder="1" applyAlignment="1" applyProtection="1"/>
    <xf numFmtId="0" fontId="205" fillId="108" borderId="260" xfId="61" applyNumberFormat="1" applyFont="1" applyFill="1" applyBorder="1" applyAlignment="1" applyProtection="1"/>
    <xf numFmtId="0" fontId="0" fillId="0" borderId="260" xfId="0" applyFill="1" applyBorder="1"/>
    <xf numFmtId="0" fontId="41" fillId="25" borderId="260" xfId="124" applyFont="1" applyFill="1" applyBorder="1" applyAlignment="1">
      <alignment horizontal="center"/>
    </xf>
    <xf numFmtId="0" fontId="41" fillId="25" borderId="260" xfId="124" applyFont="1" applyFill="1" applyBorder="1" applyAlignment="1">
      <alignment horizontal="center" wrapText="1"/>
    </xf>
    <xf numFmtId="0" fontId="208" fillId="25" borderId="260" xfId="124" applyFont="1" applyFill="1" applyBorder="1" applyAlignment="1">
      <alignment horizontal="center" wrapText="1"/>
    </xf>
    <xf numFmtId="0" fontId="208" fillId="70" borderId="260" xfId="127" applyFont="1" applyFill="1" applyBorder="1" applyAlignment="1"/>
    <xf numFmtId="167" fontId="71" fillId="64" borderId="260" xfId="123" applyNumberFormat="1" applyFont="1" applyFill="1" applyBorder="1"/>
    <xf numFmtId="167" fontId="71" fillId="70" borderId="260" xfId="123" applyNumberFormat="1" applyFont="1" applyFill="1" applyBorder="1"/>
    <xf numFmtId="0" fontId="208" fillId="105" borderId="260" xfId="127" applyFont="1" applyFill="1" applyBorder="1" applyAlignment="1"/>
    <xf numFmtId="0" fontId="0" fillId="57" borderId="260" xfId="0" applyFill="1" applyBorder="1"/>
    <xf numFmtId="0" fontId="0" fillId="0" borderId="260" xfId="0" applyBorder="1" applyProtection="1"/>
    <xf numFmtId="0" fontId="0" fillId="0" borderId="260" xfId="0" applyBorder="1" applyAlignment="1">
      <alignment horizontal="center"/>
    </xf>
    <xf numFmtId="0" fontId="0" fillId="29" borderId="260" xfId="0" applyFill="1" applyBorder="1" applyProtection="1"/>
    <xf numFmtId="0" fontId="42" fillId="0" borderId="260" xfId="0" applyFont="1" applyBorder="1" applyAlignment="1" applyProtection="1">
      <alignment wrapText="1"/>
    </xf>
    <xf numFmtId="0" fontId="77" fillId="0" borderId="260" xfId="0" applyFont="1" applyBorder="1" applyAlignment="1" applyProtection="1">
      <alignment wrapText="1"/>
    </xf>
    <xf numFmtId="0" fontId="77" fillId="0" borderId="260" xfId="0" applyFont="1" applyFill="1" applyBorder="1" applyAlignment="1" applyProtection="1">
      <alignment wrapText="1"/>
    </xf>
    <xf numFmtId="0" fontId="42" fillId="0" borderId="260" xfId="0" applyFont="1" applyFill="1" applyBorder="1" applyAlignment="1" applyProtection="1">
      <alignment wrapText="1"/>
    </xf>
    <xf numFmtId="0" fontId="0" fillId="0" borderId="260" xfId="0" applyFill="1" applyBorder="1" applyAlignment="1" applyProtection="1">
      <alignment wrapText="1"/>
    </xf>
    <xf numFmtId="0" fontId="42" fillId="0" borderId="260" xfId="0" applyFont="1" applyBorder="1" applyAlignment="1" applyProtection="1">
      <alignment horizontal="right" wrapText="1"/>
    </xf>
    <xf numFmtId="0" fontId="57" fillId="0" borderId="260" xfId="0" applyFont="1" applyFill="1" applyBorder="1" applyProtection="1"/>
    <xf numFmtId="4" fontId="159" fillId="68" borderId="260" xfId="235" applyNumberFormat="1" applyFont="1" applyFill="1" applyBorder="1" applyAlignment="1">
      <alignment horizontal="right" wrapText="1"/>
    </xf>
    <xf numFmtId="0" fontId="57" fillId="0" borderId="260" xfId="0" applyFont="1" applyBorder="1" applyAlignment="1" applyProtection="1">
      <alignment horizontal="right"/>
    </xf>
    <xf numFmtId="0" fontId="42" fillId="0" borderId="260" xfId="0" applyFont="1" applyBorder="1" applyAlignment="1" applyProtection="1">
      <alignment horizontal="center"/>
    </xf>
    <xf numFmtId="0" fontId="42" fillId="0" borderId="260" xfId="0" applyFont="1" applyBorder="1" applyProtection="1"/>
    <xf numFmtId="0" fontId="71" fillId="0" borderId="260" xfId="0" applyFont="1" applyBorder="1" applyAlignment="1" applyProtection="1">
      <alignment horizontal="center" wrapText="1"/>
    </xf>
    <xf numFmtId="0" fontId="71" fillId="0" borderId="260" xfId="0" applyFont="1" applyFill="1" applyBorder="1" applyAlignment="1" applyProtection="1">
      <alignment horizontal="center" wrapText="1"/>
    </xf>
    <xf numFmtId="0" fontId="126" fillId="65" borderId="260" xfId="0" applyFont="1" applyFill="1" applyBorder="1" applyProtection="1"/>
    <xf numFmtId="0" fontId="43" fillId="65" borderId="260" xfId="0" applyFont="1" applyFill="1" applyBorder="1" applyProtection="1"/>
    <xf numFmtId="0" fontId="126" fillId="0" borderId="260" xfId="0" applyFont="1" applyFill="1" applyBorder="1" applyAlignment="1" applyProtection="1">
      <alignment horizontal="right"/>
    </xf>
    <xf numFmtId="0" fontId="71" fillId="0" borderId="51" xfId="0" applyFont="1" applyBorder="1" applyAlignment="1" applyProtection="1">
      <alignment horizontal="center" wrapText="1"/>
    </xf>
    <xf numFmtId="0" fontId="71" fillId="0" borderId="260" xfId="0" applyFont="1" applyFill="1" applyBorder="1" applyProtection="1"/>
    <xf numFmtId="0" fontId="126" fillId="0" borderId="13" xfId="0" applyFont="1" applyFill="1" applyBorder="1" applyProtection="1"/>
    <xf numFmtId="4" fontId="211" fillId="0" borderId="11" xfId="129" applyNumberFormat="1" applyFont="1" applyFill="1" applyBorder="1" applyAlignment="1">
      <alignment horizontal="right" wrapText="1"/>
    </xf>
    <xf numFmtId="4" fontId="211" fillId="0" borderId="14" xfId="129" applyNumberFormat="1" applyFont="1" applyFill="1" applyBorder="1" applyAlignment="1">
      <alignment horizontal="right" wrapText="1"/>
    </xf>
    <xf numFmtId="0" fontId="188" fillId="109" borderId="260" xfId="0" applyFont="1" applyFill="1" applyBorder="1"/>
    <xf numFmtId="43" fontId="11" fillId="0" borderId="260" xfId="123" applyFont="1" applyFill="1" applyBorder="1"/>
    <xf numFmtId="43" fontId="56" fillId="0" borderId="260" xfId="123" applyFont="1" applyFill="1" applyBorder="1" applyAlignment="1"/>
    <xf numFmtId="167" fontId="11" fillId="0" borderId="260" xfId="123" applyNumberFormat="1" applyFont="1" applyFill="1" applyBorder="1"/>
    <xf numFmtId="43" fontId="56" fillId="0" borderId="260" xfId="123" applyFont="1" applyFill="1" applyBorder="1"/>
    <xf numFmtId="4" fontId="257" fillId="64" borderId="260" xfId="131" applyNumberFormat="1" applyFont="1" applyFill="1" applyBorder="1" applyAlignment="1">
      <alignment horizontal="right" wrapText="1"/>
    </xf>
    <xf numFmtId="43" fontId="56" fillId="40" borderId="260" xfId="123" applyFont="1" applyFill="1" applyBorder="1" applyAlignment="1"/>
    <xf numFmtId="0" fontId="37" fillId="64" borderId="260" xfId="0" applyFont="1" applyFill="1" applyBorder="1"/>
    <xf numFmtId="0" fontId="9" fillId="64" borderId="260" xfId="65" applyFont="1" applyFill="1" applyBorder="1"/>
    <xf numFmtId="4" fontId="42" fillId="64" borderId="260" xfId="65" applyNumberFormat="1" applyFont="1" applyFill="1" applyBorder="1"/>
    <xf numFmtId="0" fontId="139" fillId="110" borderId="260" xfId="0" applyFont="1" applyFill="1" applyBorder="1" applyAlignment="1" applyProtection="1"/>
    <xf numFmtId="0" fontId="59" fillId="29" borderId="260" xfId="0" applyFont="1" applyFill="1" applyBorder="1" applyAlignment="1" applyProtection="1"/>
    <xf numFmtId="0" fontId="2" fillId="0" borderId="0" xfId="61" applyNumberFormat="1" applyFont="1" applyFill="1" applyAlignment="1" applyProtection="1"/>
    <xf numFmtId="0" fontId="42" fillId="0" borderId="0" xfId="135" applyFont="1" applyFill="1" applyAlignment="1"/>
    <xf numFmtId="0" fontId="11" fillId="0" borderId="0" xfId="134" applyFont="1" applyBorder="1" applyAlignment="1">
      <alignment horizontal="center"/>
    </xf>
    <xf numFmtId="0" fontId="11" fillId="0" borderId="11" xfId="134" applyFont="1" applyBorder="1" applyAlignment="1">
      <alignment horizontal="center"/>
    </xf>
    <xf numFmtId="49" fontId="11" fillId="0" borderId="0" xfId="134" applyNumberFormat="1" applyFont="1" applyBorder="1" applyAlignment="1">
      <alignment horizontal="center"/>
    </xf>
    <xf numFmtId="49" fontId="11" fillId="0" borderId="11" xfId="134" applyNumberFormat="1" applyFont="1" applyBorder="1" applyAlignment="1">
      <alignment horizontal="center"/>
    </xf>
    <xf numFmtId="49" fontId="5" fillId="0" borderId="0" xfId="134" applyNumberFormat="1" applyFont="1" applyFill="1" applyBorder="1" applyAlignment="1" applyProtection="1">
      <protection locked="0"/>
    </xf>
    <xf numFmtId="0" fontId="9" fillId="0" borderId="0" xfId="134" applyFont="1" applyAlignment="1"/>
    <xf numFmtId="0" fontId="9" fillId="0" borderId="0" xfId="134" applyFont="1" applyAlignment="1">
      <alignment horizontal="center"/>
    </xf>
    <xf numFmtId="0" fontId="57" fillId="0" borderId="0" xfId="134" applyNumberFormat="1" applyFont="1" applyAlignment="1"/>
    <xf numFmtId="0" fontId="9" fillId="0" borderId="0" xfId="134" applyNumberFormat="1" applyFont="1" applyAlignment="1"/>
    <xf numFmtId="49" fontId="9" fillId="0" borderId="0" xfId="134" applyNumberFormat="1" applyFont="1" applyAlignment="1">
      <alignment horizontal="center"/>
    </xf>
    <xf numFmtId="0" fontId="3" fillId="107" borderId="0" xfId="134" applyFont="1" applyFill="1"/>
    <xf numFmtId="15" fontId="259" fillId="63" borderId="0" xfId="134" applyNumberFormat="1" applyFont="1" applyFill="1" applyAlignment="1">
      <alignment horizontal="center"/>
    </xf>
    <xf numFmtId="0" fontId="3" fillId="107" borderId="0" xfId="65" applyFont="1" applyFill="1" applyAlignment="1">
      <alignment horizontal="center"/>
    </xf>
    <xf numFmtId="15" fontId="3" fillId="0" borderId="0" xfId="134" applyNumberFormat="1" applyFont="1"/>
    <xf numFmtId="15" fontId="9" fillId="0" borderId="0" xfId="134" applyNumberFormat="1" applyFont="1"/>
    <xf numFmtId="0" fontId="3" fillId="0" borderId="0" xfId="134" applyFont="1" applyFill="1" applyBorder="1" applyAlignment="1">
      <alignment horizontal="left"/>
    </xf>
    <xf numFmtId="0" fontId="9" fillId="59" borderId="11" xfId="134" applyFont="1" applyFill="1" applyBorder="1" applyAlignment="1"/>
    <xf numFmtId="195" fontId="3" fillId="0" borderId="0" xfId="134" applyNumberFormat="1" applyFont="1" applyFill="1" applyBorder="1" applyAlignment="1">
      <alignment horizontal="center"/>
    </xf>
    <xf numFmtId="0" fontId="9" fillId="0" borderId="0" xfId="134" applyFont="1"/>
    <xf numFmtId="0" fontId="260" fillId="0" borderId="0" xfId="57" applyFont="1" applyAlignment="1" applyProtection="1"/>
    <xf numFmtId="0" fontId="93" fillId="0" borderId="0" xfId="57" applyFont="1" applyAlignment="1" applyProtection="1"/>
    <xf numFmtId="0" fontId="19" fillId="0" borderId="0" xfId="134" applyFont="1" applyBorder="1"/>
    <xf numFmtId="0" fontId="145" fillId="0" borderId="0" xfId="134" applyFont="1"/>
    <xf numFmtId="0" fontId="19" fillId="0" borderId="0" xfId="134" applyFont="1"/>
    <xf numFmtId="0" fontId="261" fillId="0" borderId="0" xfId="134" applyFont="1"/>
    <xf numFmtId="0" fontId="9" fillId="0" borderId="11" xfId="134" applyFont="1" applyBorder="1" applyAlignment="1"/>
    <xf numFmtId="39" fontId="3" fillId="31" borderId="11" xfId="134" applyNumberFormat="1" applyFont="1" applyFill="1" applyBorder="1" applyAlignment="1" applyProtection="1">
      <protection locked="0"/>
    </xf>
    <xf numFmtId="0" fontId="3" fillId="31" borderId="11" xfId="134" applyFont="1" applyFill="1" applyBorder="1" applyAlignment="1" applyProtection="1">
      <protection locked="0"/>
    </xf>
    <xf numFmtId="43" fontId="3" fillId="31" borderId="11" xfId="123" applyFont="1" applyFill="1" applyBorder="1" applyAlignment="1" applyProtection="1">
      <protection locked="0"/>
    </xf>
    <xf numFmtId="0" fontId="9" fillId="0" borderId="11" xfId="134" applyFont="1" applyBorder="1" applyAlignment="1">
      <alignment horizontal="center"/>
    </xf>
    <xf numFmtId="0" fontId="3" fillId="0" borderId="11" xfId="134" applyFont="1" applyBorder="1"/>
    <xf numFmtId="0" fontId="3" fillId="40" borderId="0" xfId="134" applyFont="1" applyFill="1" applyBorder="1"/>
    <xf numFmtId="195" fontId="9" fillId="40" borderId="0" xfId="134" applyNumberFormat="1" applyFont="1" applyFill="1" applyBorder="1" applyAlignment="1"/>
    <xf numFmtId="195" fontId="9" fillId="59" borderId="11" xfId="134" applyNumberFormat="1" applyFont="1" applyFill="1" applyBorder="1" applyAlignment="1">
      <alignment horizontal="left"/>
    </xf>
    <xf numFmtId="40" fontId="160" fillId="64" borderId="11" xfId="65" applyNumberFormat="1" applyFont="1" applyFill="1" applyBorder="1" applyAlignment="1" applyProtection="1"/>
    <xf numFmtId="0" fontId="42" fillId="0" borderId="0" xfId="61" applyFont="1" applyFill="1" applyAlignment="1" applyProtection="1">
      <alignment horizontal="left"/>
    </xf>
    <xf numFmtId="0" fontId="42" fillId="0" borderId="0" xfId="61" applyFont="1" applyFill="1" applyProtection="1"/>
    <xf numFmtId="0" fontId="36" fillId="0" borderId="0" xfId="61" applyFont="1" applyFill="1" applyAlignment="1" applyProtection="1">
      <alignment horizontal="left"/>
    </xf>
    <xf numFmtId="43" fontId="0" fillId="102" borderId="0" xfId="123" applyFont="1" applyFill="1"/>
    <xf numFmtId="43" fontId="59" fillId="31" borderId="268" xfId="123" applyFont="1" applyFill="1" applyBorder="1" applyProtection="1">
      <protection locked="0"/>
    </xf>
    <xf numFmtId="43" fontId="67" fillId="32" borderId="267" xfId="123" applyFont="1" applyFill="1" applyBorder="1" applyAlignment="1" applyProtection="1"/>
    <xf numFmtId="43" fontId="67" fillId="32" borderId="269" xfId="123" applyFont="1" applyFill="1" applyBorder="1" applyAlignment="1" applyProtection="1">
      <alignment horizontal="right"/>
    </xf>
    <xf numFmtId="43" fontId="67" fillId="0" borderId="269" xfId="123" applyFont="1" applyFill="1" applyBorder="1" applyAlignment="1" applyProtection="1"/>
    <xf numFmtId="43" fontId="59" fillId="31" borderId="270" xfId="123" applyFont="1" applyFill="1" applyBorder="1" applyProtection="1">
      <protection locked="0"/>
    </xf>
    <xf numFmtId="43" fontId="67" fillId="32" borderId="271" xfId="123" applyFont="1" applyFill="1" applyBorder="1" applyAlignment="1" applyProtection="1"/>
    <xf numFmtId="39" fontId="67" fillId="31" borderId="272" xfId="61" applyNumberFormat="1" applyFont="1" applyFill="1" applyBorder="1" applyAlignment="1" applyProtection="1">
      <protection locked="0"/>
    </xf>
    <xf numFmtId="39" fontId="67" fillId="0" borderId="272" xfId="61" applyNumberFormat="1" applyFont="1" applyBorder="1" applyAlignment="1" applyProtection="1"/>
    <xf numFmtId="170" fontId="2" fillId="26" borderId="272" xfId="117" applyNumberFormat="1" applyFont="1" applyFill="1" applyBorder="1" applyAlignment="1" applyProtection="1"/>
    <xf numFmtId="170" fontId="2" fillId="24" borderId="272" xfId="117" applyNumberFormat="1" applyFont="1" applyFill="1" applyBorder="1" applyAlignment="1" applyProtection="1"/>
    <xf numFmtId="0" fontId="3" fillId="0" borderId="273" xfId="117" applyFont="1" applyBorder="1" applyAlignment="1"/>
    <xf numFmtId="0" fontId="3" fillId="0" borderId="272" xfId="117" applyFont="1" applyBorder="1" applyAlignment="1"/>
    <xf numFmtId="0" fontId="3" fillId="0" borderId="274" xfId="117" applyFont="1" applyBorder="1" applyAlignment="1"/>
    <xf numFmtId="0" fontId="9" fillId="0" borderId="275" xfId="61" applyFont="1" applyBorder="1" applyProtection="1"/>
    <xf numFmtId="39" fontId="3" fillId="0" borderId="273" xfId="29" applyNumberFormat="1" applyFont="1" applyBorder="1" applyProtection="1"/>
    <xf numFmtId="39" fontId="3" fillId="0" borderId="276" xfId="29" applyNumberFormat="1" applyFont="1" applyBorder="1" applyProtection="1"/>
    <xf numFmtId="0" fontId="9" fillId="0" borderId="277" xfId="61" applyFont="1" applyBorder="1" applyProtection="1"/>
    <xf numFmtId="39" fontId="3" fillId="0" borderId="278" xfId="29" applyNumberFormat="1" applyFont="1" applyBorder="1" applyProtection="1"/>
    <xf numFmtId="44" fontId="73" fillId="0" borderId="279" xfId="47" applyFont="1" applyBorder="1" applyProtection="1"/>
    <xf numFmtId="0" fontId="2" fillId="0" borderId="280" xfId="0" applyNumberFormat="1" applyFont="1" applyFill="1" applyBorder="1" applyAlignment="1"/>
    <xf numFmtId="0" fontId="2" fillId="0" borderId="281" xfId="0" applyNumberFormat="1" applyFont="1" applyFill="1" applyBorder="1" applyAlignment="1"/>
    <xf numFmtId="0" fontId="2" fillId="0" borderId="282" xfId="0" applyNumberFormat="1" applyFont="1" applyFill="1" applyBorder="1" applyAlignment="1">
      <alignment horizontal="center"/>
    </xf>
    <xf numFmtId="44" fontId="2" fillId="0" borderId="282" xfId="47" applyFont="1" applyFill="1" applyBorder="1" applyAlignment="1"/>
    <xf numFmtId="44" fontId="2" fillId="0" borderId="283" xfId="47" applyFont="1" applyFill="1" applyBorder="1" applyAlignment="1"/>
    <xf numFmtId="0" fontId="2" fillId="0" borderId="272" xfId="0" applyNumberFormat="1" applyFont="1" applyFill="1" applyBorder="1" applyAlignment="1"/>
    <xf numFmtId="0" fontId="4" fillId="0" borderId="284" xfId="0" applyNumberFormat="1" applyFont="1" applyFill="1" applyBorder="1" applyAlignment="1"/>
    <xf numFmtId="0" fontId="4" fillId="0" borderId="285" xfId="0" applyNumberFormat="1" applyFont="1" applyFill="1" applyBorder="1" applyAlignment="1">
      <alignment horizontal="left"/>
    </xf>
    <xf numFmtId="0" fontId="71" fillId="0" borderId="273" xfId="0" applyFont="1" applyFill="1" applyBorder="1"/>
    <xf numFmtId="0" fontId="71" fillId="0" borderId="286" xfId="0" applyFont="1" applyFill="1" applyBorder="1" applyAlignment="1">
      <alignment horizontal="center"/>
    </xf>
    <xf numFmtId="44" fontId="2" fillId="0" borderId="287" xfId="47" applyFont="1" applyFill="1" applyBorder="1" applyAlignment="1"/>
    <xf numFmtId="0" fontId="71" fillId="0" borderId="273" xfId="0" applyFont="1" applyBorder="1"/>
    <xf numFmtId="0" fontId="71" fillId="0" borderId="272" xfId="0" applyFont="1" applyBorder="1"/>
    <xf numFmtId="0" fontId="71" fillId="0" borderId="272" xfId="0" applyFont="1" applyBorder="1" applyAlignment="1">
      <alignment horizontal="center"/>
    </xf>
    <xf numFmtId="0" fontId="71" fillId="0" borderId="274" xfId="0" applyFont="1" applyBorder="1"/>
    <xf numFmtId="0" fontId="46" fillId="43" borderId="284" xfId="0" applyFont="1" applyFill="1" applyBorder="1" applyAlignment="1"/>
    <xf numFmtId="0" fontId="54" fillId="0" borderId="289" xfId="127" applyFont="1" applyFill="1" applyBorder="1" applyAlignment="1"/>
    <xf numFmtId="0" fontId="44" fillId="0" borderId="0" xfId="61" applyNumberFormat="1" applyFont="1" applyBorder="1" applyAlignment="1">
      <alignment horizontal="right"/>
    </xf>
    <xf numFmtId="0" fontId="60" fillId="41" borderId="261" xfId="0" applyFont="1" applyFill="1" applyBorder="1" applyAlignment="1"/>
    <xf numFmtId="0" fontId="60" fillId="40" borderId="293" xfId="0" applyFont="1" applyFill="1" applyBorder="1" applyAlignment="1">
      <alignment horizontal="center" wrapText="1"/>
    </xf>
    <xf numFmtId="167" fontId="0" fillId="44" borderId="34" xfId="123" applyNumberFormat="1" applyFont="1" applyFill="1" applyBorder="1" applyAlignment="1">
      <alignment wrapText="1"/>
    </xf>
    <xf numFmtId="167" fontId="0" fillId="44" borderId="294" xfId="123" applyNumberFormat="1" applyFont="1" applyFill="1" applyBorder="1" applyAlignment="1">
      <alignment wrapText="1"/>
    </xf>
    <xf numFmtId="0" fontId="60" fillId="41" borderId="98" xfId="0" applyFont="1" applyFill="1" applyBorder="1" applyAlignment="1"/>
    <xf numFmtId="0" fontId="3" fillId="31" borderId="98" xfId="65" applyFill="1" applyBorder="1" applyAlignment="1" applyProtection="1">
      <alignment horizontal="center"/>
      <protection locked="0"/>
    </xf>
    <xf numFmtId="0" fontId="9" fillId="40" borderId="0" xfId="65" applyFont="1" applyFill="1" applyBorder="1" applyAlignment="1">
      <alignment horizontal="center"/>
    </xf>
    <xf numFmtId="39" fontId="3" fillId="59" borderId="115" xfId="65" applyNumberFormat="1" applyFont="1" applyFill="1" applyBorder="1" applyAlignment="1"/>
    <xf numFmtId="0" fontId="9" fillId="0" borderId="0" xfId="65" applyFont="1" applyBorder="1" applyAlignment="1">
      <alignment wrapText="1"/>
    </xf>
    <xf numFmtId="0" fontId="3" fillId="0" borderId="259" xfId="0" applyFont="1" applyBorder="1"/>
    <xf numFmtId="0" fontId="9" fillId="0" borderId="270" xfId="0" applyFont="1" applyBorder="1" applyAlignment="1">
      <alignment vertical="center"/>
    </xf>
    <xf numFmtId="0" fontId="9" fillId="0" borderId="51" xfId="0" applyFont="1" applyBorder="1" applyAlignment="1">
      <alignment horizontal="center" wrapText="1"/>
    </xf>
    <xf numFmtId="0" fontId="3" fillId="0" borderId="259" xfId="0" applyFont="1" applyFill="1" applyBorder="1" applyAlignment="1">
      <alignment horizontal="left"/>
    </xf>
    <xf numFmtId="0" fontId="42" fillId="0" borderId="259" xfId="4836" applyFont="1" applyFill="1" applyBorder="1" applyAlignment="1">
      <alignment horizontal="left" indent="1"/>
    </xf>
    <xf numFmtId="0" fontId="42" fillId="0" borderId="259" xfId="4835" applyFont="1" applyFill="1" applyBorder="1" applyAlignment="1">
      <alignment horizontal="left" indent="1"/>
    </xf>
    <xf numFmtId="0" fontId="42" fillId="0" borderId="259" xfId="4834" applyFont="1" applyFill="1" applyBorder="1" applyAlignment="1">
      <alignment horizontal="left" indent="1"/>
    </xf>
    <xf numFmtId="0" fontId="3" fillId="0" borderId="259" xfId="0" applyFont="1" applyBorder="1" applyAlignment="1">
      <alignment horizontal="left" indent="1"/>
    </xf>
    <xf numFmtId="0" fontId="42" fillId="0" borderId="259" xfId="4838" applyFont="1" applyFill="1" applyBorder="1" applyAlignment="1">
      <alignment horizontal="left" indent="1"/>
    </xf>
    <xf numFmtId="0" fontId="3" fillId="0" borderId="260" xfId="0" applyFont="1" applyBorder="1" applyAlignment="1">
      <alignment horizontal="left" indent="1"/>
    </xf>
    <xf numFmtId="0" fontId="9" fillId="0" borderId="259" xfId="0" applyFont="1" applyBorder="1" applyAlignment="1">
      <alignment horizontal="left" indent="1"/>
    </xf>
    <xf numFmtId="0" fontId="9" fillId="40" borderId="67" xfId="0" applyFont="1" applyFill="1" applyBorder="1" applyAlignment="1">
      <alignment horizontal="center"/>
    </xf>
    <xf numFmtId="0" fontId="9" fillId="40" borderId="0" xfId="0" applyFont="1" applyFill="1" applyAlignment="1">
      <alignment horizontal="center"/>
    </xf>
    <xf numFmtId="0" fontId="162" fillId="0" borderId="59" xfId="0" applyFont="1" applyFill="1" applyBorder="1"/>
    <xf numFmtId="40" fontId="3" fillId="0" borderId="115" xfId="0" quotePrefix="1" applyNumberFormat="1" applyFont="1" applyBorder="1" applyAlignment="1">
      <alignment horizontal="right"/>
    </xf>
    <xf numFmtId="0" fontId="9" fillId="0" borderId="98" xfId="0" applyFont="1" applyFill="1" applyBorder="1" applyAlignment="1">
      <alignment horizontal="center"/>
    </xf>
    <xf numFmtId="0" fontId="9" fillId="0" borderId="60" xfId="0" applyFont="1" applyBorder="1" applyAlignment="1">
      <alignment wrapText="1"/>
    </xf>
    <xf numFmtId="0" fontId="9" fillId="0" borderId="54" xfId="0" applyFont="1" applyBorder="1" applyAlignment="1">
      <alignment horizontal="center" wrapText="1"/>
    </xf>
    <xf numFmtId="0" fontId="9" fillId="0" borderId="55" xfId="0" applyFont="1" applyBorder="1" applyAlignment="1">
      <alignment wrapText="1"/>
    </xf>
    <xf numFmtId="39" fontId="9" fillId="0" borderId="98" xfId="0" applyNumberFormat="1" applyFont="1" applyBorder="1" applyAlignment="1">
      <alignment horizontal="center"/>
    </xf>
    <xf numFmtId="0" fontId="9" fillId="0" borderId="15" xfId="0" applyFont="1" applyBorder="1" applyAlignment="1"/>
    <xf numFmtId="49" fontId="7" fillId="0" borderId="15" xfId="0" applyNumberFormat="1" applyFont="1" applyFill="1" applyBorder="1" applyAlignment="1"/>
    <xf numFmtId="49" fontId="3" fillId="0" borderId="15" xfId="0" applyNumberFormat="1" applyFont="1" applyBorder="1" applyAlignment="1"/>
    <xf numFmtId="49" fontId="3" fillId="0" borderId="15" xfId="0" applyNumberFormat="1" applyFont="1" applyFill="1" applyBorder="1"/>
    <xf numFmtId="49" fontId="9" fillId="59" borderId="13" xfId="0" applyNumberFormat="1" applyFont="1" applyFill="1" applyBorder="1" applyAlignment="1" applyProtection="1">
      <protection locked="0"/>
    </xf>
    <xf numFmtId="0" fontId="9" fillId="0" borderId="54" xfId="0" applyFont="1" applyBorder="1" applyAlignment="1"/>
    <xf numFmtId="0" fontId="9" fillId="0" borderId="149" xfId="0" applyFont="1" applyBorder="1" applyAlignment="1">
      <alignment horizontal="center"/>
    </xf>
    <xf numFmtId="0" fontId="3" fillId="59" borderId="259" xfId="0" applyFont="1" applyFill="1" applyBorder="1" applyAlignment="1" applyProtection="1">
      <protection locked="0"/>
    </xf>
    <xf numFmtId="0" fontId="3" fillId="59" borderId="258" xfId="0" applyFont="1" applyFill="1" applyBorder="1" applyAlignment="1" applyProtection="1">
      <protection locked="0"/>
    </xf>
    <xf numFmtId="0" fontId="7" fillId="0" borderId="15" xfId="0" applyFont="1" applyFill="1" applyBorder="1" applyAlignment="1"/>
    <xf numFmtId="0" fontId="3" fillId="59" borderId="13" xfId="0" applyFont="1" applyFill="1" applyBorder="1" applyAlignment="1" applyProtection="1">
      <protection locked="0"/>
    </xf>
    <xf numFmtId="0" fontId="3" fillId="0" borderId="15" xfId="0" applyFont="1" applyBorder="1" applyAlignment="1"/>
    <xf numFmtId="0" fontId="3" fillId="0" borderId="15" xfId="0" applyFont="1" applyFill="1" applyBorder="1"/>
    <xf numFmtId="0" fontId="9" fillId="0" borderId="54" xfId="0" applyFont="1" applyBorder="1" applyAlignment="1">
      <alignment wrapText="1"/>
    </xf>
    <xf numFmtId="39" fontId="9" fillId="0" borderId="91" xfId="0" applyNumberFormat="1" applyFont="1" applyBorder="1" applyAlignment="1">
      <alignment horizontal="center"/>
    </xf>
    <xf numFmtId="40" fontId="3" fillId="59" borderId="260" xfId="0" applyNumberFormat="1" applyFont="1" applyFill="1" applyBorder="1" applyAlignment="1" applyProtection="1">
      <alignment horizontal="right"/>
      <protection locked="0"/>
    </xf>
    <xf numFmtId="0" fontId="9" fillId="0" borderId="81" xfId="0" applyFont="1" applyBorder="1" applyAlignment="1"/>
    <xf numFmtId="0" fontId="9" fillId="0" borderId="16" xfId="0" applyFont="1" applyBorder="1" applyAlignment="1"/>
    <xf numFmtId="49" fontId="7" fillId="0" borderId="16" xfId="0" applyNumberFormat="1" applyFont="1" applyFill="1" applyBorder="1" applyAlignment="1"/>
    <xf numFmtId="49" fontId="3" fillId="0" borderId="16" xfId="0" applyNumberFormat="1" applyFont="1" applyBorder="1" applyAlignment="1"/>
    <xf numFmtId="0" fontId="163" fillId="40" borderId="0" xfId="0" applyFont="1" applyFill="1" applyAlignment="1">
      <alignment horizontal="right"/>
    </xf>
    <xf numFmtId="0" fontId="163" fillId="40" borderId="0" xfId="0" applyFont="1" applyFill="1"/>
    <xf numFmtId="49" fontId="3" fillId="40" borderId="0" xfId="0" applyNumberFormat="1" applyFont="1" applyFill="1" applyBorder="1" applyAlignment="1" applyProtection="1">
      <alignment wrapText="1"/>
      <protection locked="0"/>
    </xf>
    <xf numFmtId="49" fontId="9" fillId="40" borderId="0" xfId="0" applyNumberFormat="1" applyFont="1" applyFill="1" applyBorder="1" applyAlignment="1" applyProtection="1">
      <protection locked="0"/>
    </xf>
    <xf numFmtId="49" fontId="3" fillId="40" borderId="0" xfId="0" applyNumberFormat="1" applyFont="1" applyFill="1" applyBorder="1" applyAlignment="1" applyProtection="1">
      <protection locked="0"/>
    </xf>
    <xf numFmtId="39" fontId="9" fillId="0" borderId="0" xfId="65" applyNumberFormat="1" applyFont="1" applyFill="1" applyBorder="1" applyAlignment="1"/>
    <xf numFmtId="0" fontId="3" fillId="0" borderId="11" xfId="65" applyFont="1" applyBorder="1"/>
    <xf numFmtId="0" fontId="3" fillId="0" borderId="0" xfId="65" applyNumberFormat="1" applyFont="1" applyBorder="1" applyAlignment="1">
      <alignment horizontal="left"/>
    </xf>
    <xf numFmtId="0" fontId="3" fillId="0" borderId="0" xfId="65" applyNumberFormat="1" applyFont="1" applyFill="1" applyBorder="1" applyAlignment="1">
      <alignment horizontal="left"/>
    </xf>
    <xf numFmtId="0" fontId="3" fillId="0" borderId="0" xfId="65" applyNumberFormat="1" applyFont="1" applyBorder="1" applyAlignment="1">
      <alignment horizontal="center"/>
    </xf>
    <xf numFmtId="0" fontId="9" fillId="0" borderId="0" xfId="65" applyFont="1" applyBorder="1" applyAlignment="1">
      <alignment horizontal="center" wrapText="1"/>
    </xf>
    <xf numFmtId="0" fontId="104" fillId="0" borderId="0" xfId="65" applyFont="1" applyBorder="1" applyAlignment="1">
      <alignment horizontal="center" wrapText="1"/>
    </xf>
    <xf numFmtId="0" fontId="9" fillId="0" borderId="67" xfId="65" applyFont="1" applyBorder="1" applyAlignment="1">
      <alignment horizontal="center" wrapText="1"/>
    </xf>
    <xf numFmtId="0" fontId="9" fillId="0" borderId="0" xfId="65" applyFont="1" applyFill="1" applyBorder="1" applyAlignment="1">
      <alignment horizontal="center" wrapText="1"/>
    </xf>
    <xf numFmtId="0" fontId="9" fillId="40" borderId="67" xfId="65" applyFont="1" applyFill="1" applyBorder="1" applyAlignment="1">
      <alignment horizontal="center" wrapText="1"/>
    </xf>
    <xf numFmtId="0" fontId="9" fillId="0" borderId="67" xfId="65" applyFont="1" applyFill="1" applyBorder="1" applyAlignment="1">
      <alignment horizontal="center" wrapText="1"/>
    </xf>
    <xf numFmtId="0" fontId="3" fillId="0" borderId="0" xfId="65" applyNumberFormat="1" applyFont="1" applyBorder="1" applyAlignment="1">
      <alignment horizontal="right"/>
    </xf>
    <xf numFmtId="0" fontId="3" fillId="0" borderId="0" xfId="65" applyNumberFormat="1" applyFont="1" applyFill="1" applyBorder="1" applyAlignment="1">
      <alignment horizontal="right"/>
    </xf>
    <xf numFmtId="0" fontId="3" fillId="0" borderId="0" xfId="65" applyFont="1" applyBorder="1" applyAlignment="1">
      <alignment horizontal="center"/>
    </xf>
    <xf numFmtId="0" fontId="3" fillId="0" borderId="67" xfId="65" applyFont="1" applyBorder="1"/>
    <xf numFmtId="0" fontId="9" fillId="0" borderId="67" xfId="65" applyFont="1" applyBorder="1" applyAlignment="1">
      <alignment horizontal="center"/>
    </xf>
    <xf numFmtId="0" fontId="9" fillId="0" borderId="67" xfId="65" applyFont="1" applyFill="1" applyBorder="1" applyAlignment="1">
      <alignment horizontal="center"/>
    </xf>
    <xf numFmtId="16" fontId="9" fillId="0" borderId="67" xfId="65" quotePrefix="1" applyNumberFormat="1" applyFont="1" applyBorder="1" applyAlignment="1">
      <alignment horizontal="center"/>
    </xf>
    <xf numFmtId="39" fontId="3" fillId="0" borderId="149" xfId="65" applyNumberFormat="1" applyFont="1" applyBorder="1"/>
    <xf numFmtId="49" fontId="9" fillId="0" borderId="0" xfId="65" applyNumberFormat="1" applyFont="1" applyBorder="1" applyAlignment="1">
      <alignment horizontal="right"/>
    </xf>
    <xf numFmtId="0" fontId="9" fillId="0" borderId="0" xfId="65" applyFont="1" applyFill="1" applyBorder="1" applyAlignment="1" applyProtection="1">
      <alignment horizontal="right"/>
      <protection locked="0"/>
    </xf>
    <xf numFmtId="39" fontId="9" fillId="0" borderId="0" xfId="65" applyNumberFormat="1" applyFont="1" applyFill="1" applyBorder="1" applyAlignment="1" applyProtection="1">
      <protection locked="0"/>
    </xf>
    <xf numFmtId="0" fontId="3" fillId="0" borderId="0" xfId="65" applyAlignment="1" applyProtection="1"/>
    <xf numFmtId="0" fontId="9" fillId="0" borderId="0" xfId="65" applyFont="1" applyBorder="1" applyAlignment="1" applyProtection="1">
      <alignment horizontal="center"/>
    </xf>
    <xf numFmtId="0" fontId="104" fillId="0" borderId="0" xfId="65" applyFont="1" applyAlignment="1" applyProtection="1">
      <alignment horizontal="center"/>
    </xf>
    <xf numFmtId="0" fontId="9" fillId="0" borderId="67" xfId="65" applyFont="1" applyBorder="1" applyAlignment="1" applyProtection="1">
      <alignment horizontal="center"/>
    </xf>
    <xf numFmtId="49" fontId="3" fillId="31" borderId="11" xfId="65" applyNumberFormat="1" applyFont="1" applyFill="1" applyBorder="1" applyAlignment="1" applyProtection="1">
      <alignment horizontal="center"/>
    </xf>
    <xf numFmtId="40" fontId="3" fillId="31" borderId="11" xfId="65" applyNumberFormat="1" applyFont="1" applyFill="1" applyBorder="1" applyAlignment="1" applyProtection="1">
      <alignment horizontal="right"/>
    </xf>
    <xf numFmtId="39" fontId="11" fillId="0" borderId="0" xfId="65" applyNumberFormat="1" applyFont="1" applyFill="1" applyBorder="1" applyAlignment="1" applyProtection="1"/>
    <xf numFmtId="39" fontId="3" fillId="0" borderId="0" xfId="65" applyNumberFormat="1" applyFill="1" applyBorder="1" applyAlignment="1" applyProtection="1"/>
    <xf numFmtId="39" fontId="3" fillId="0" borderId="0" xfId="65" applyNumberFormat="1" applyFill="1" applyBorder="1" applyAlignment="1" applyProtection="1">
      <alignment horizontal="right"/>
    </xf>
    <xf numFmtId="0" fontId="3" fillId="0" borderId="0" xfId="65" applyFill="1" applyBorder="1" applyAlignment="1" applyProtection="1">
      <alignment horizontal="right"/>
    </xf>
    <xf numFmtId="39" fontId="3" fillId="0" borderId="0" xfId="65" applyNumberFormat="1" applyFill="1" applyBorder="1" applyAlignment="1" applyProtection="1">
      <alignment horizontal="center"/>
    </xf>
    <xf numFmtId="40" fontId="3" fillId="0" borderId="12" xfId="65" applyNumberFormat="1" applyFill="1" applyBorder="1" applyAlignment="1" applyProtection="1">
      <alignment horizontal="right"/>
    </xf>
    <xf numFmtId="0" fontId="9" fillId="0" borderId="67" xfId="65" applyFont="1" applyBorder="1" applyAlignment="1" applyProtection="1">
      <alignment horizontal="center" wrapText="1"/>
    </xf>
    <xf numFmtId="40" fontId="3" fillId="0" borderId="0" xfId="65" applyNumberFormat="1" applyFont="1" applyFill="1" applyBorder="1" applyAlignment="1" applyProtection="1">
      <alignment horizontal="center"/>
    </xf>
    <xf numFmtId="39" fontId="19" fillId="0" borderId="0" xfId="65" applyNumberFormat="1" applyFont="1" applyFill="1" applyBorder="1" applyAlignment="1" applyProtection="1">
      <alignment horizontal="center"/>
    </xf>
    <xf numFmtId="0" fontId="162" fillId="0" borderId="0" xfId="65" applyFont="1" applyFill="1" applyBorder="1" applyAlignment="1" applyProtection="1">
      <alignment horizontal="center"/>
    </xf>
    <xf numFmtId="0" fontId="9" fillId="0" borderId="0" xfId="65" applyFont="1" applyFill="1" applyBorder="1" applyAlignment="1" applyProtection="1">
      <alignment horizontal="center"/>
    </xf>
    <xf numFmtId="0" fontId="3" fillId="0" borderId="0" xfId="65" applyFont="1" applyFill="1" applyBorder="1" applyAlignment="1" applyProtection="1">
      <alignment horizontal="center"/>
    </xf>
    <xf numFmtId="49" fontId="104" fillId="0" borderId="0" xfId="65" applyNumberFormat="1" applyFont="1" applyAlignment="1" applyProtection="1">
      <alignment horizontal="center"/>
    </xf>
    <xf numFmtId="0" fontId="104" fillId="0" borderId="0" xfId="65" applyNumberFormat="1" applyFont="1" applyAlignment="1" applyProtection="1">
      <alignment horizontal="left"/>
    </xf>
    <xf numFmtId="0" fontId="9" fillId="0" borderId="0" xfId="65" applyFont="1" applyAlignment="1" applyProtection="1">
      <alignment horizontal="center"/>
    </xf>
    <xf numFmtId="0" fontId="3" fillId="0" borderId="0" xfId="65" applyFont="1" applyBorder="1" applyAlignment="1" applyProtection="1">
      <alignment horizontal="center"/>
    </xf>
    <xf numFmtId="43" fontId="3" fillId="62" borderId="11" xfId="123" applyFont="1" applyFill="1" applyBorder="1" applyAlignment="1" applyProtection="1">
      <alignment horizontal="center"/>
    </xf>
    <xf numFmtId="0" fontId="100" fillId="40" borderId="127" xfId="0" applyFont="1" applyFill="1" applyBorder="1" applyAlignment="1" applyProtection="1">
      <alignment horizontal="center" wrapText="1"/>
    </xf>
    <xf numFmtId="0" fontId="100" fillId="40" borderId="0" xfId="0" applyFont="1" applyFill="1" applyBorder="1" applyAlignment="1" applyProtection="1">
      <alignment horizontal="center" wrapText="1"/>
    </xf>
    <xf numFmtId="0" fontId="100" fillId="40" borderId="128" xfId="0" applyFont="1" applyFill="1" applyBorder="1" applyAlignment="1" applyProtection="1">
      <alignment horizontal="center" wrapText="1"/>
    </xf>
    <xf numFmtId="0" fontId="3" fillId="40" borderId="127" xfId="0" applyFont="1" applyFill="1" applyBorder="1" applyAlignment="1" applyProtection="1">
      <alignment horizontal="right" wrapText="1"/>
    </xf>
    <xf numFmtId="0" fontId="3" fillId="40" borderId="0" xfId="0" applyFont="1" applyFill="1" applyBorder="1" applyAlignment="1" applyProtection="1">
      <alignment horizontal="right" wrapText="1"/>
    </xf>
    <xf numFmtId="0" fontId="60" fillId="40" borderId="0" xfId="0" applyFont="1" applyFill="1" applyAlignment="1">
      <alignment horizontal="center"/>
    </xf>
    <xf numFmtId="0" fontId="3" fillId="40" borderId="0" xfId="0" applyFont="1" applyFill="1" applyBorder="1" applyAlignment="1" applyProtection="1">
      <alignment horizontal="left" indent="2"/>
    </xf>
    <xf numFmtId="0" fontId="93" fillId="40" borderId="0" xfId="57" applyFont="1" applyFill="1" applyBorder="1" applyAlignment="1" applyProtection="1">
      <alignment horizontal="left" indent="1"/>
    </xf>
    <xf numFmtId="0" fontId="0" fillId="65" borderId="0" xfId="0" applyFill="1" applyAlignment="1">
      <alignment horizontal="center"/>
    </xf>
    <xf numFmtId="0" fontId="42" fillId="0" borderId="0" xfId="0" applyFont="1" applyBorder="1" applyAlignment="1" applyProtection="1">
      <alignment horizontal="left"/>
    </xf>
    <xf numFmtId="43" fontId="196" fillId="32" borderId="0" xfId="123" applyFont="1" applyFill="1" applyBorder="1" applyAlignment="1">
      <alignment horizontal="center"/>
    </xf>
    <xf numFmtId="43" fontId="196" fillId="34" borderId="0" xfId="123" applyFont="1" applyFill="1" applyBorder="1" applyAlignment="1">
      <alignment horizontal="center"/>
    </xf>
    <xf numFmtId="43" fontId="196" fillId="69" borderId="0" xfId="123" applyFont="1" applyFill="1" applyBorder="1" applyAlignment="1">
      <alignment horizontal="center"/>
    </xf>
    <xf numFmtId="167" fontId="3" fillId="0" borderId="295" xfId="128" applyNumberFormat="1" applyFont="1" applyBorder="1"/>
    <xf numFmtId="167" fontId="3" fillId="0" borderId="270" xfId="29" applyNumberFormat="1" applyFont="1" applyBorder="1"/>
    <xf numFmtId="0" fontId="157" fillId="0" borderId="295" xfId="128" applyFont="1" applyFill="1" applyBorder="1" applyAlignment="1"/>
    <xf numFmtId="0" fontId="157" fillId="0" borderId="290" xfId="128" applyFont="1" applyFill="1" applyBorder="1" applyAlignment="1"/>
    <xf numFmtId="0" fontId="157" fillId="0" borderId="292" xfId="128" applyFont="1" applyFill="1" applyBorder="1" applyAlignment="1"/>
    <xf numFmtId="0" fontId="71" fillId="31" borderId="296" xfId="0" applyFont="1" applyFill="1" applyBorder="1" applyAlignment="1" applyProtection="1">
      <protection locked="0"/>
    </xf>
    <xf numFmtId="0" fontId="126" fillId="34" borderId="270" xfId="0" applyFont="1" applyFill="1" applyBorder="1" applyAlignment="1" applyProtection="1"/>
    <xf numFmtId="0" fontId="71" fillId="40" borderId="270" xfId="0" applyFont="1" applyFill="1" applyBorder="1" applyAlignment="1" applyProtection="1"/>
    <xf numFmtId="0" fontId="1" fillId="0" borderId="297" xfId="133" applyFont="1" applyFill="1" applyBorder="1" applyAlignment="1"/>
    <xf numFmtId="0" fontId="246" fillId="40" borderId="270" xfId="0" applyFont="1" applyFill="1" applyBorder="1" applyAlignment="1" applyProtection="1"/>
    <xf numFmtId="0" fontId="71" fillId="31" borderId="270" xfId="0" applyFont="1" applyFill="1" applyBorder="1" applyAlignment="1" applyProtection="1">
      <protection locked="0"/>
    </xf>
    <xf numFmtId="171" fontId="11" fillId="32" borderId="291" xfId="109" applyFont="1" applyFill="1" applyBorder="1" applyAlignment="1" applyProtection="1"/>
    <xf numFmtId="171" fontId="11" fillId="32" borderId="290" xfId="109" applyFont="1" applyFill="1" applyBorder="1" applyAlignment="1" applyProtection="1">
      <alignment wrapText="1"/>
    </xf>
    <xf numFmtId="171" fontId="11" fillId="32" borderId="292" xfId="109" applyFont="1" applyFill="1" applyBorder="1" applyAlignment="1" applyProtection="1">
      <alignment wrapText="1"/>
    </xf>
    <xf numFmtId="39" fontId="67" fillId="32" borderId="298" xfId="61" applyNumberFormat="1" applyFont="1" applyFill="1" applyBorder="1" applyAlignment="1" applyProtection="1">
      <alignment horizontal="center" wrapText="1"/>
    </xf>
    <xf numFmtId="49" fontId="67" fillId="32" borderId="298" xfId="61" applyNumberFormat="1" applyFont="1" applyFill="1" applyBorder="1" applyAlignment="1" applyProtection="1">
      <alignment horizontal="center" wrapText="1"/>
    </xf>
    <xf numFmtId="0" fontId="67" fillId="0" borderId="273" xfId="61" applyNumberFormat="1" applyFont="1" applyBorder="1" applyAlignment="1" applyProtection="1">
      <alignment horizontal="left" wrapText="1"/>
    </xf>
    <xf numFmtId="49" fontId="67" fillId="0" borderId="272" xfId="61" applyNumberFormat="1" applyFont="1" applyBorder="1" applyAlignment="1" applyProtection="1">
      <alignment horizontal="center"/>
    </xf>
    <xf numFmtId="43" fontId="67" fillId="32" borderId="273" xfId="123" applyFont="1" applyFill="1" applyBorder="1" applyAlignment="1" applyProtection="1"/>
    <xf numFmtId="43" fontId="67" fillId="0" borderId="273" xfId="123" applyFont="1" applyBorder="1" applyAlignment="1" applyProtection="1"/>
    <xf numFmtId="43" fontId="59" fillId="0" borderId="299" xfId="123" applyFont="1" applyFill="1" applyBorder="1" applyProtection="1"/>
    <xf numFmtId="0" fontId="66" fillId="36" borderId="273" xfId="61" applyNumberFormat="1" applyFont="1" applyFill="1" applyBorder="1" applyAlignment="1" applyProtection="1">
      <alignment horizontal="left" wrapText="1"/>
    </xf>
    <xf numFmtId="49" fontId="67" fillId="36" borderId="272" xfId="61" applyNumberFormat="1" applyFont="1" applyFill="1" applyBorder="1" applyAlignment="1" applyProtection="1">
      <alignment horizontal="center"/>
    </xf>
    <xf numFmtId="0" fontId="66" fillId="0" borderId="273" xfId="61" applyNumberFormat="1" applyFont="1" applyBorder="1" applyAlignment="1" applyProtection="1">
      <alignment horizontal="left" wrapText="1"/>
    </xf>
    <xf numFmtId="0" fontId="66" fillId="36" borderId="273" xfId="61" applyNumberFormat="1" applyFont="1" applyFill="1" applyBorder="1" applyAlignment="1" applyProtection="1">
      <alignment wrapText="1"/>
    </xf>
    <xf numFmtId="0" fontId="66" fillId="0" borderId="273" xfId="61" applyNumberFormat="1" applyFont="1" applyBorder="1" applyAlignment="1" applyProtection="1">
      <alignment wrapText="1"/>
    </xf>
    <xf numFmtId="0" fontId="67" fillId="0" borderId="273" xfId="61" applyNumberFormat="1" applyFont="1" applyBorder="1" applyAlignment="1" applyProtection="1">
      <alignment wrapText="1"/>
    </xf>
    <xf numFmtId="43" fontId="67" fillId="0" borderId="273" xfId="123" applyFont="1" applyFill="1" applyBorder="1" applyAlignment="1" applyProtection="1"/>
    <xf numFmtId="43" fontId="59" fillId="0" borderId="299" xfId="123" applyFont="1" applyFill="1" applyBorder="1" applyAlignment="1" applyProtection="1">
      <alignment horizontal="right"/>
    </xf>
    <xf numFmtId="43" fontId="68" fillId="29" borderId="260" xfId="123" applyFont="1" applyFill="1" applyBorder="1" applyAlignment="1" applyProtection="1">
      <protection locked="0"/>
    </xf>
    <xf numFmtId="43" fontId="59" fillId="29" borderId="260" xfId="123" applyFont="1" applyFill="1" applyBorder="1" applyProtection="1">
      <protection locked="0"/>
    </xf>
    <xf numFmtId="43" fontId="67" fillId="27" borderId="260" xfId="123" applyFont="1" applyFill="1" applyBorder="1" applyAlignment="1" applyProtection="1"/>
    <xf numFmtId="44" fontId="89" fillId="113" borderId="260" xfId="48" applyFont="1" applyFill="1" applyBorder="1" applyAlignment="1" applyProtection="1"/>
    <xf numFmtId="43" fontId="11" fillId="50" borderId="260" xfId="123" applyFont="1" applyFill="1" applyBorder="1" applyAlignment="1" applyProtection="1">
      <protection locked="0"/>
    </xf>
    <xf numFmtId="43" fontId="11" fillId="31" borderId="260" xfId="123" applyFont="1" applyFill="1" applyBorder="1" applyAlignment="1" applyProtection="1">
      <protection locked="0"/>
    </xf>
    <xf numFmtId="0" fontId="66" fillId="36" borderId="299" xfId="61" applyNumberFormat="1" applyFont="1" applyFill="1" applyBorder="1" applyAlignment="1" applyProtection="1">
      <alignment wrapText="1"/>
    </xf>
    <xf numFmtId="49" fontId="66" fillId="36" borderId="300" xfId="61" applyNumberFormat="1" applyFont="1" applyFill="1" applyBorder="1" applyAlignment="1" applyProtection="1">
      <alignment horizontal="center"/>
    </xf>
    <xf numFmtId="43" fontId="67" fillId="36" borderId="300" xfId="123" applyFont="1" applyFill="1" applyBorder="1" applyAlignment="1" applyProtection="1"/>
    <xf numFmtId="43" fontId="219" fillId="31" borderId="260" xfId="123" applyFont="1" applyFill="1" applyBorder="1" applyProtection="1">
      <protection locked="0"/>
    </xf>
    <xf numFmtId="0" fontId="11" fillId="41" borderId="270" xfId="61" applyNumberFormat="1" applyFont="1" applyFill="1" applyBorder="1" applyAlignment="1" applyProtection="1">
      <alignment horizontal="center"/>
    </xf>
    <xf numFmtId="43" fontId="11" fillId="0" borderId="299" xfId="123" applyFont="1" applyBorder="1" applyAlignment="1" applyProtection="1"/>
    <xf numFmtId="43" fontId="11" fillId="0" borderId="290" xfId="123" applyFont="1" applyFill="1" applyBorder="1" applyAlignment="1" applyProtection="1"/>
    <xf numFmtId="43" fontId="11" fillId="41" borderId="270" xfId="123" applyFont="1" applyFill="1" applyBorder="1" applyAlignment="1" applyProtection="1">
      <alignment horizontal="center"/>
    </xf>
    <xf numFmtId="39" fontId="3" fillId="40" borderId="290" xfId="29" applyNumberFormat="1" applyFont="1" applyFill="1" applyBorder="1" applyProtection="1"/>
    <xf numFmtId="0" fontId="4" fillId="0" borderId="301" xfId="0" applyNumberFormat="1" applyFont="1" applyFill="1" applyBorder="1" applyAlignment="1">
      <alignment horizontal="left"/>
    </xf>
    <xf numFmtId="0" fontId="4" fillId="0" borderId="301" xfId="0" applyNumberFormat="1" applyFont="1" applyFill="1" applyBorder="1" applyAlignment="1"/>
    <xf numFmtId="44" fontId="2" fillId="0" borderId="302" xfId="47" applyFont="1" applyFill="1" applyBorder="1" applyAlignment="1"/>
    <xf numFmtId="4" fontId="59" fillId="46" borderId="299" xfId="0" applyNumberFormat="1" applyFont="1" applyFill="1" applyBorder="1" applyAlignment="1" applyProtection="1"/>
    <xf numFmtId="4" fontId="59" fillId="46" borderId="303" xfId="0" applyNumberFormat="1" applyFont="1" applyFill="1" applyBorder="1" applyAlignment="1" applyProtection="1"/>
    <xf numFmtId="4" fontId="59" fillId="46" borderId="304" xfId="0" applyNumberFormat="1" applyFont="1" applyFill="1" applyBorder="1" applyAlignment="1" applyProtection="1"/>
    <xf numFmtId="0" fontId="104" fillId="36" borderId="270" xfId="0" applyFont="1" applyFill="1" applyBorder="1" applyAlignment="1" applyProtection="1"/>
    <xf numFmtId="0" fontId="88" fillId="40" borderId="303" xfId="0" applyFont="1" applyFill="1" applyBorder="1" applyAlignment="1" applyProtection="1">
      <alignment horizontal="center"/>
    </xf>
    <xf numFmtId="0" fontId="66" fillId="39" borderId="270" xfId="61" applyNumberFormat="1" applyFont="1" applyFill="1" applyBorder="1" applyAlignment="1" applyProtection="1">
      <alignment vertical="center"/>
    </xf>
    <xf numFmtId="0" fontId="56" fillId="39" borderId="270" xfId="0" applyFont="1" applyFill="1" applyBorder="1" applyAlignment="1" applyProtection="1"/>
    <xf numFmtId="0" fontId="0" fillId="39" borderId="270" xfId="0" applyFill="1" applyBorder="1" applyAlignment="1" applyProtection="1"/>
    <xf numFmtId="0" fontId="11" fillId="39" borderId="304" xfId="0" applyFont="1" applyFill="1" applyBorder="1" applyAlignment="1" applyProtection="1"/>
    <xf numFmtId="0" fontId="11" fillId="39" borderId="299" xfId="0" applyFont="1" applyFill="1" applyBorder="1" applyAlignment="1" applyProtection="1">
      <alignment horizontal="left"/>
    </xf>
    <xf numFmtId="167" fontId="88" fillId="0" borderId="270" xfId="123" applyNumberFormat="1" applyFont="1" applyBorder="1" applyAlignment="1" applyProtection="1"/>
    <xf numFmtId="0" fontId="0" fillId="0" borderId="270" xfId="0" applyBorder="1" applyAlignment="1">
      <alignment wrapText="1"/>
    </xf>
    <xf numFmtId="0" fontId="107" fillId="30" borderId="270" xfId="0" applyFont="1" applyFill="1" applyBorder="1" applyAlignment="1">
      <alignment horizontal="center"/>
    </xf>
    <xf numFmtId="0" fontId="77" fillId="117" borderId="300" xfId="0" applyFont="1" applyFill="1" applyBorder="1"/>
    <xf numFmtId="0" fontId="77" fillId="46" borderId="270" xfId="0" applyFont="1" applyFill="1" applyBorder="1"/>
    <xf numFmtId="0" fontId="107" fillId="36" borderId="300" xfId="0" applyFont="1" applyFill="1" applyBorder="1" applyAlignment="1">
      <alignment wrapText="1"/>
    </xf>
    <xf numFmtId="0" fontId="77" fillId="118" borderId="300" xfId="0" applyFont="1" applyFill="1" applyBorder="1"/>
    <xf numFmtId="0" fontId="77" fillId="36" borderId="270" xfId="0" applyFont="1" applyFill="1" applyBorder="1"/>
    <xf numFmtId="0" fontId="37" fillId="0" borderId="304" xfId="0" applyFont="1" applyBorder="1" applyAlignment="1">
      <alignment horizontal="center" vertical="center"/>
    </xf>
    <xf numFmtId="0" fontId="37" fillId="0" borderId="300" xfId="0" applyFont="1" applyBorder="1" applyAlignment="1">
      <alignment horizontal="center" vertical="center"/>
    </xf>
    <xf numFmtId="0" fontId="37" fillId="0" borderId="300" xfId="0" applyFont="1" applyBorder="1" applyAlignment="1">
      <alignment horizontal="center" vertical="center" wrapText="1"/>
    </xf>
    <xf numFmtId="6" fontId="37" fillId="0" borderId="300" xfId="0" applyNumberFormat="1" applyFont="1" applyBorder="1" applyAlignment="1">
      <alignment horizontal="center" vertical="center" wrapText="1"/>
    </xf>
    <xf numFmtId="0" fontId="37" fillId="0" borderId="299" xfId="0" applyFont="1" applyBorder="1" applyAlignment="1">
      <alignment horizontal="center" vertical="center" wrapText="1"/>
    </xf>
    <xf numFmtId="6" fontId="37" fillId="0" borderId="299" xfId="0" applyNumberFormat="1" applyFont="1" applyBorder="1" applyAlignment="1">
      <alignment horizontal="center" vertical="center" wrapText="1"/>
    </xf>
    <xf numFmtId="0" fontId="37" fillId="0" borderId="299" xfId="0" applyFont="1" applyBorder="1" applyAlignment="1">
      <alignment horizontal="center" vertical="center"/>
    </xf>
    <xf numFmtId="0" fontId="37" fillId="0" borderId="270" xfId="0" applyFont="1" applyBorder="1" applyAlignment="1"/>
    <xf numFmtId="0" fontId="3" fillId="0" borderId="303" xfId="65" applyFill="1" applyBorder="1" applyProtection="1">
      <protection locked="0"/>
    </xf>
    <xf numFmtId="0" fontId="9" fillId="0" borderId="300" xfId="65" applyFont="1" applyBorder="1" applyAlignment="1" applyProtection="1">
      <alignment horizontal="center"/>
    </xf>
    <xf numFmtId="0" fontId="3" fillId="0" borderId="300" xfId="65" applyFont="1" applyBorder="1" applyProtection="1"/>
    <xf numFmtId="39" fontId="3" fillId="31" borderId="300" xfId="65" applyNumberFormat="1" applyFont="1" applyFill="1" applyBorder="1" applyAlignment="1" applyProtection="1">
      <alignment horizontal="right"/>
    </xf>
    <xf numFmtId="49" fontId="3" fillId="0" borderId="305" xfId="65" applyNumberFormat="1" applyFont="1" applyFill="1" applyBorder="1" applyAlignment="1" applyProtection="1">
      <alignment horizontal="center"/>
    </xf>
    <xf numFmtId="0" fontId="3" fillId="0" borderId="303" xfId="65" applyFill="1" applyBorder="1" applyProtection="1"/>
    <xf numFmtId="0" fontId="9" fillId="0" borderId="270" xfId="0" applyFont="1" applyBorder="1" applyAlignment="1"/>
    <xf numFmtId="0" fontId="9" fillId="0" borderId="270" xfId="0" applyFont="1" applyFill="1" applyBorder="1" applyAlignment="1"/>
    <xf numFmtId="43" fontId="3" fillId="107" borderId="270" xfId="0" applyNumberFormat="1" applyFont="1" applyFill="1" applyBorder="1" applyAlignment="1"/>
    <xf numFmtId="44" fontId="9" fillId="107" borderId="270" xfId="49" applyNumberFormat="1" applyFont="1" applyFill="1" applyBorder="1" applyAlignment="1"/>
    <xf numFmtId="0" fontId="57" fillId="0" borderId="270" xfId="4838" applyFont="1" applyFill="1" applyBorder="1" applyAlignment="1"/>
    <xf numFmtId="43" fontId="3" fillId="107" borderId="270" xfId="0" applyNumberFormat="1" applyFont="1" applyFill="1" applyBorder="1" applyProtection="1">
      <protection locked="0"/>
    </xf>
    <xf numFmtId="0" fontId="9" fillId="0" borderId="270" xfId="0" applyFont="1" applyBorder="1" applyAlignment="1">
      <alignment wrapText="1"/>
    </xf>
    <xf numFmtId="44" fontId="9" fillId="64" borderId="299" xfId="49" applyFont="1" applyFill="1" applyBorder="1" applyAlignment="1"/>
    <xf numFmtId="49" fontId="3" fillId="59" borderId="306" xfId="0" applyNumberFormat="1" applyFont="1" applyFill="1" applyBorder="1" applyAlignment="1" applyProtection="1">
      <protection locked="0"/>
    </xf>
    <xf numFmtId="49" fontId="3" fillId="59" borderId="307" xfId="0" applyNumberFormat="1" applyFont="1" applyFill="1" applyBorder="1" applyAlignment="1" applyProtection="1">
      <protection locked="0"/>
    </xf>
    <xf numFmtId="49" fontId="3" fillId="0" borderId="305" xfId="0" applyNumberFormat="1" applyFont="1" applyFill="1" applyBorder="1" applyAlignment="1">
      <alignment horizontal="center"/>
    </xf>
    <xf numFmtId="40" fontId="3" fillId="0" borderId="300" xfId="0" applyNumberFormat="1" applyFont="1" applyFill="1" applyBorder="1" applyAlignment="1">
      <alignment horizontal="right"/>
    </xf>
    <xf numFmtId="40" fontId="3" fillId="0" borderId="300" xfId="0" quotePrefix="1" applyNumberFormat="1" applyFont="1" applyBorder="1" applyAlignment="1">
      <alignment horizontal="right"/>
    </xf>
    <xf numFmtId="0" fontId="3" fillId="0" borderId="303" xfId="0" applyFont="1" applyFill="1" applyBorder="1"/>
    <xf numFmtId="39" fontId="3" fillId="0" borderId="303" xfId="65" applyNumberFormat="1" applyFont="1" applyFill="1" applyBorder="1" applyAlignment="1"/>
    <xf numFmtId="0" fontId="9" fillId="0" borderId="303" xfId="65" applyFont="1" applyFill="1" applyBorder="1" applyAlignment="1">
      <alignment horizontal="center"/>
    </xf>
    <xf numFmtId="43" fontId="0" fillId="40" borderId="303" xfId="0" applyNumberFormat="1" applyFill="1" applyBorder="1" applyProtection="1"/>
    <xf numFmtId="0" fontId="113" fillId="42" borderId="300" xfId="0" applyFont="1" applyFill="1" applyBorder="1" applyAlignment="1" applyProtection="1"/>
    <xf numFmtId="0" fontId="113" fillId="42" borderId="303" xfId="0" applyFont="1" applyFill="1" applyBorder="1" applyAlignment="1" applyProtection="1">
      <alignment wrapText="1"/>
    </xf>
    <xf numFmtId="192" fontId="59" fillId="31" borderId="270" xfId="48" applyNumberFormat="1" applyFont="1" applyFill="1" applyBorder="1" applyAlignment="1" applyProtection="1">
      <protection locked="0"/>
    </xf>
    <xf numFmtId="0" fontId="114" fillId="50" borderId="270" xfId="0" applyFont="1" applyFill="1" applyBorder="1" applyAlignment="1" applyProtection="1">
      <alignment wrapText="1"/>
    </xf>
    <xf numFmtId="0" fontId="108" fillId="51" borderId="270" xfId="0" applyFont="1" applyFill="1" applyBorder="1" applyAlignment="1" applyProtection="1"/>
    <xf numFmtId="43" fontId="108" fillId="51" borderId="300" xfId="123" applyFont="1" applyFill="1" applyBorder="1" applyAlignment="1" applyProtection="1">
      <alignment wrapText="1"/>
    </xf>
    <xf numFmtId="43" fontId="108" fillId="51" borderId="300" xfId="123" applyFont="1" applyFill="1" applyBorder="1" applyAlignment="1" applyProtection="1"/>
    <xf numFmtId="43" fontId="108" fillId="51" borderId="299" xfId="123" applyFont="1" applyFill="1" applyBorder="1" applyAlignment="1" applyProtection="1"/>
    <xf numFmtId="43" fontId="108" fillId="51" borderId="303" xfId="123" applyFont="1" applyFill="1" applyBorder="1" applyAlignment="1" applyProtection="1"/>
    <xf numFmtId="43" fontId="108" fillId="51" borderId="304" xfId="123" applyFont="1" applyFill="1" applyBorder="1" applyAlignment="1" applyProtection="1"/>
    <xf numFmtId="43" fontId="108" fillId="51" borderId="299" xfId="123" applyFont="1" applyFill="1" applyBorder="1" applyAlignment="1" applyProtection="1">
      <alignment horizontal="left" indent="3"/>
    </xf>
    <xf numFmtId="43" fontId="108" fillId="51" borderId="303" xfId="123" applyFont="1" applyFill="1" applyBorder="1" applyAlignment="1" applyProtection="1">
      <alignment horizontal="center"/>
    </xf>
    <xf numFmtId="43" fontId="108" fillId="51" borderId="304" xfId="123" applyFont="1" applyFill="1" applyBorder="1" applyAlignment="1" applyProtection="1">
      <alignment horizontal="center"/>
    </xf>
    <xf numFmtId="43" fontId="108" fillId="51" borderId="270" xfId="123" applyFont="1" applyFill="1" applyBorder="1" applyAlignment="1" applyProtection="1">
      <alignment wrapText="1"/>
    </xf>
    <xf numFmtId="43" fontId="108" fillId="0" borderId="300" xfId="123" applyFont="1" applyFill="1" applyBorder="1" applyAlignment="1" applyProtection="1">
      <alignment wrapText="1"/>
    </xf>
    <xf numFmtId="43" fontId="59" fillId="31" borderId="270" xfId="123" applyFont="1" applyFill="1" applyBorder="1" applyAlignment="1" applyProtection="1">
      <protection locked="0"/>
    </xf>
    <xf numFmtId="43" fontId="59" fillId="0" borderId="270" xfId="123" applyFont="1" applyBorder="1" applyAlignment="1" applyProtection="1"/>
    <xf numFmtId="202" fontId="59" fillId="31" borderId="270" xfId="126" applyNumberFormat="1" applyFont="1" applyFill="1" applyBorder="1" applyAlignment="1" applyProtection="1">
      <alignment horizontal="right"/>
      <protection locked="0"/>
    </xf>
    <xf numFmtId="43" fontId="59" fillId="0" borderId="270" xfId="123" applyFont="1" applyFill="1" applyBorder="1" applyAlignment="1" applyProtection="1">
      <alignment horizontal="left" indent="8"/>
    </xf>
    <xf numFmtId="0" fontId="59" fillId="41" borderId="299" xfId="0" applyFont="1" applyFill="1" applyBorder="1" applyAlignment="1">
      <alignment horizontal="right"/>
    </xf>
    <xf numFmtId="0" fontId="59" fillId="41" borderId="303" xfId="0" applyFont="1" applyFill="1" applyBorder="1"/>
    <xf numFmtId="0" fontId="110" fillId="41" borderId="303" xfId="0" applyFont="1" applyFill="1" applyBorder="1" applyAlignment="1">
      <alignment horizontal="right"/>
    </xf>
    <xf numFmtId="167" fontId="59" fillId="41" borderId="304" xfId="123" applyNumberFormat="1" applyFont="1" applyFill="1" applyBorder="1"/>
    <xf numFmtId="41" fontId="42" fillId="40" borderId="303" xfId="0" applyNumberFormat="1" applyFont="1" applyFill="1" applyBorder="1"/>
    <xf numFmtId="0" fontId="42" fillId="40" borderId="270" xfId="0" applyFont="1" applyFill="1" applyBorder="1"/>
    <xf numFmtId="0" fontId="42" fillId="40" borderId="303" xfId="0" applyFont="1" applyFill="1" applyBorder="1"/>
    <xf numFmtId="0" fontId="42" fillId="40" borderId="299" xfId="0" applyFont="1" applyFill="1" applyBorder="1"/>
    <xf numFmtId="0" fontId="42" fillId="40" borderId="303" xfId="0" applyFont="1" applyFill="1" applyBorder="1" applyAlignment="1">
      <alignment horizontal="center"/>
    </xf>
    <xf numFmtId="175" fontId="42" fillId="40" borderId="303" xfId="47" applyNumberFormat="1" applyFont="1" applyFill="1" applyBorder="1"/>
    <xf numFmtId="0" fontId="42" fillId="40" borderId="303" xfId="0" applyFont="1" applyFill="1" applyBorder="1" applyAlignment="1">
      <alignment horizontal="left" indent="2"/>
    </xf>
    <xf numFmtId="0" fontId="42" fillId="40" borderId="304" xfId="0" applyFont="1" applyFill="1" applyBorder="1"/>
    <xf numFmtId="175" fontId="42" fillId="40" borderId="303" xfId="47" applyNumberFormat="1" applyFont="1" applyFill="1" applyBorder="1" applyAlignment="1"/>
    <xf numFmtId="0" fontId="79" fillId="40" borderId="299" xfId="0" applyFont="1" applyFill="1" applyBorder="1" applyAlignment="1"/>
    <xf numFmtId="0" fontId="79" fillId="40" borderId="303" xfId="0" applyFont="1" applyFill="1" applyBorder="1" applyAlignment="1"/>
    <xf numFmtId="0" fontId="79" fillId="40" borderId="304" xfId="0" applyFont="1" applyFill="1" applyBorder="1" applyAlignment="1"/>
    <xf numFmtId="0" fontId="47" fillId="32" borderId="299" xfId="0" applyFont="1" applyFill="1" applyBorder="1" applyAlignment="1"/>
    <xf numFmtId="0" fontId="47" fillId="32" borderId="303" xfId="0" applyFont="1" applyFill="1" applyBorder="1" applyAlignment="1">
      <alignment wrapText="1"/>
    </xf>
    <xf numFmtId="0" fontId="53" fillId="40" borderId="299" xfId="0" applyFont="1" applyFill="1" applyBorder="1" applyAlignment="1"/>
    <xf numFmtId="0" fontId="53" fillId="40" borderId="303" xfId="0" applyFont="1" applyFill="1" applyBorder="1" applyAlignment="1"/>
    <xf numFmtId="0" fontId="46" fillId="43" borderId="303" xfId="0" applyFont="1" applyFill="1" applyBorder="1" applyAlignment="1"/>
    <xf numFmtId="0" fontId="46" fillId="43" borderId="303" xfId="0" applyFont="1" applyFill="1" applyBorder="1"/>
    <xf numFmtId="172" fontId="46" fillId="43" borderId="303" xfId="0" applyNumberFormat="1" applyFont="1" applyFill="1" applyBorder="1" applyAlignment="1">
      <alignment horizontal="center"/>
    </xf>
    <xf numFmtId="0" fontId="46" fillId="43" borderId="303" xfId="0" applyFont="1" applyFill="1" applyBorder="1" applyAlignment="1">
      <alignment horizontal="center"/>
    </xf>
    <xf numFmtId="175" fontId="46" fillId="44" borderId="299" xfId="0" applyNumberFormat="1" applyFont="1" applyFill="1" applyBorder="1"/>
    <xf numFmtId="175" fontId="46" fillId="44" borderId="303" xfId="0" applyNumberFormat="1" applyFont="1" applyFill="1" applyBorder="1"/>
    <xf numFmtId="0" fontId="57" fillId="0" borderId="299" xfId="0" applyFont="1" applyBorder="1" applyAlignment="1"/>
    <xf numFmtId="0" fontId="57" fillId="0" borderId="303" xfId="0" applyFont="1" applyBorder="1" applyAlignment="1"/>
    <xf numFmtId="0" fontId="57" fillId="0" borderId="304" xfId="0" applyFont="1" applyBorder="1" applyAlignment="1"/>
    <xf numFmtId="41" fontId="42" fillId="0" borderId="303" xfId="0" applyNumberFormat="1" applyFont="1" applyFill="1" applyBorder="1" applyAlignment="1">
      <alignment horizontal="center"/>
    </xf>
    <xf numFmtId="0" fontId="42" fillId="0" borderId="303" xfId="0" applyFont="1" applyBorder="1" applyAlignment="1">
      <alignment horizontal="center"/>
    </xf>
    <xf numFmtId="0" fontId="42" fillId="0" borderId="304" xfId="0" applyFont="1" applyBorder="1" applyAlignment="1">
      <alignment horizontal="center"/>
    </xf>
    <xf numFmtId="0" fontId="42" fillId="0" borderId="299" xfId="0" applyFont="1" applyBorder="1"/>
    <xf numFmtId="0" fontId="9" fillId="0" borderId="303" xfId="0" applyFont="1" applyFill="1" applyBorder="1"/>
    <xf numFmtId="0" fontId="42" fillId="0" borderId="303" xfId="0" applyFont="1" applyFill="1" applyBorder="1"/>
    <xf numFmtId="0" fontId="42" fillId="0" borderId="303" xfId="0" applyFont="1" applyFill="1" applyBorder="1" applyAlignment="1">
      <alignment horizontal="right"/>
    </xf>
    <xf numFmtId="42" fontId="42" fillId="0" borderId="303" xfId="0" applyNumberFormat="1" applyFont="1" applyFill="1" applyBorder="1"/>
    <xf numFmtId="41" fontId="42" fillId="0" borderId="303" xfId="0" applyNumberFormat="1" applyFont="1" applyFill="1" applyBorder="1"/>
    <xf numFmtId="0" fontId="42" fillId="0" borderId="304" xfId="0" applyFont="1" applyBorder="1"/>
    <xf numFmtId="0" fontId="57" fillId="0" borderId="299" xfId="0" applyFont="1" applyBorder="1" applyAlignment="1">
      <alignment horizontal="center"/>
    </xf>
    <xf numFmtId="0" fontId="209" fillId="108" borderId="300" xfId="136" applyNumberFormat="1" applyFont="1" applyFill="1" applyBorder="1" applyAlignment="1" applyProtection="1">
      <alignment vertical="center" wrapText="1"/>
    </xf>
    <xf numFmtId="0" fontId="0" fillId="29" borderId="270" xfId="0" applyFill="1" applyBorder="1" applyProtection="1"/>
    <xf numFmtId="0" fontId="42" fillId="0" borderId="270" xfId="0" applyFont="1" applyFill="1" applyBorder="1" applyAlignment="1" applyProtection="1">
      <alignment wrapText="1"/>
    </xf>
    <xf numFmtId="4" fontId="257" fillId="65" borderId="270" xfId="235" applyNumberFormat="1" applyFont="1" applyFill="1" applyBorder="1" applyAlignment="1">
      <alignment horizontal="right" wrapText="1"/>
    </xf>
    <xf numFmtId="0" fontId="0" fillId="0" borderId="303" xfId="0" applyBorder="1"/>
    <xf numFmtId="0" fontId="210" fillId="109" borderId="299" xfId="0" applyFont="1" applyFill="1" applyBorder="1"/>
    <xf numFmtId="0" fontId="0" fillId="0" borderId="304" xfId="0" applyBorder="1"/>
    <xf numFmtId="0" fontId="42" fillId="0" borderId="300" xfId="0" applyFont="1" applyBorder="1" applyProtection="1"/>
    <xf numFmtId="0" fontId="126" fillId="0" borderId="299" xfId="0" applyFont="1" applyFill="1" applyBorder="1" applyAlignment="1" applyProtection="1">
      <alignment horizontal="right"/>
    </xf>
    <xf numFmtId="4" fontId="257" fillId="64" borderId="270" xfId="130" applyNumberFormat="1" applyFont="1" applyFill="1" applyBorder="1" applyAlignment="1">
      <alignment horizontal="right" wrapText="1"/>
    </xf>
    <xf numFmtId="167" fontId="11" fillId="0" borderId="270" xfId="123" applyNumberFormat="1" applyFont="1" applyFill="1" applyBorder="1"/>
    <xf numFmtId="0" fontId="42" fillId="0" borderId="270" xfId="0" applyFont="1" applyFill="1" applyBorder="1" applyAlignment="1">
      <alignment horizontal="center" wrapText="1"/>
    </xf>
    <xf numFmtId="43" fontId="56" fillId="0" borderId="289" xfId="123" applyFont="1" applyFill="1" applyBorder="1" applyAlignment="1"/>
    <xf numFmtId="49" fontId="8" fillId="54" borderId="272" xfId="61" applyNumberFormat="1" applyFont="1" applyFill="1" applyBorder="1" applyAlignment="1" applyProtection="1">
      <alignment horizontal="center"/>
    </xf>
    <xf numFmtId="49" fontId="8" fillId="0" borderId="272" xfId="61" applyNumberFormat="1" applyFont="1" applyFill="1" applyBorder="1" applyAlignment="1" applyProtection="1">
      <alignment horizontal="center"/>
    </xf>
    <xf numFmtId="49" fontId="238" fillId="0" borderId="0" xfId="0" applyNumberFormat="1" applyFont="1" applyAlignment="1">
      <alignment wrapText="1"/>
    </xf>
    <xf numFmtId="49" fontId="240" fillId="0" borderId="0" xfId="0" applyNumberFormat="1" applyFont="1" applyAlignment="1">
      <alignment wrapText="1"/>
    </xf>
    <xf numFmtId="195" fontId="9" fillId="0" borderId="11" xfId="65" applyNumberFormat="1" applyFont="1" applyFill="1" applyBorder="1" applyAlignment="1"/>
    <xf numFmtId="44" fontId="248" fillId="0" borderId="11" xfId="49" applyFont="1" applyBorder="1" applyAlignment="1" applyProtection="1">
      <alignment horizontal="center"/>
    </xf>
    <xf numFmtId="0" fontId="127" fillId="32" borderId="0" xfId="0" applyFont="1" applyFill="1" applyAlignment="1" applyProtection="1">
      <alignment horizontal="left" vertical="center" indent="27"/>
    </xf>
    <xf numFmtId="195" fontId="3" fillId="64" borderId="11" xfId="134" applyNumberFormat="1" applyFont="1" applyFill="1" applyBorder="1" applyAlignment="1" applyProtection="1">
      <alignment horizontal="center"/>
      <protection locked="0"/>
    </xf>
    <xf numFmtId="39" fontId="3" fillId="31" borderId="310" xfId="65" applyNumberFormat="1" applyFont="1" applyFill="1" applyBorder="1" applyAlignment="1" applyProtection="1">
      <protection locked="0"/>
    </xf>
    <xf numFmtId="171" fontId="11" fillId="0" borderId="0" xfId="109" applyFont="1" applyFill="1" applyAlignment="1" applyProtection="1">
      <alignment horizontal="left"/>
    </xf>
    <xf numFmtId="43" fontId="201" fillId="105" borderId="0" xfId="123" applyFont="1" applyFill="1" applyBorder="1" applyAlignment="1"/>
    <xf numFmtId="43" fontId="173" fillId="0" borderId="0" xfId="123" applyFont="1" applyFill="1"/>
    <xf numFmtId="4" fontId="262" fillId="64" borderId="260" xfId="130" applyNumberFormat="1" applyFont="1" applyFill="1" applyBorder="1" applyAlignment="1">
      <alignment horizontal="right" wrapText="1"/>
    </xf>
    <xf numFmtId="0" fontId="71" fillId="0" borderId="0" xfId="0" applyFont="1" applyFill="1" applyBorder="1" applyAlignment="1">
      <alignment horizontal="left" wrapText="1"/>
    </xf>
    <xf numFmtId="0" fontId="71" fillId="40" borderId="0" xfId="0" applyFont="1" applyFill="1" applyBorder="1" applyAlignment="1">
      <alignment horizontal="left" wrapText="1"/>
    </xf>
    <xf numFmtId="4" fontId="211" fillId="40" borderId="0" xfId="129" applyNumberFormat="1" applyFont="1" applyFill="1" applyBorder="1" applyAlignment="1">
      <alignment horizontal="right" wrapText="1"/>
    </xf>
    <xf numFmtId="4" fontId="208" fillId="40" borderId="0" xfId="129" applyNumberFormat="1" applyFont="1" applyFill="1" applyBorder="1" applyAlignment="1">
      <alignment horizontal="left" wrapText="1"/>
    </xf>
    <xf numFmtId="4" fontId="263" fillId="0" borderId="0" xfId="129" applyNumberFormat="1" applyFont="1" applyFill="1" applyBorder="1" applyAlignment="1">
      <alignment horizontal="right" wrapText="1"/>
    </xf>
    <xf numFmtId="43" fontId="8" fillId="65" borderId="0" xfId="123" applyFont="1" applyFill="1" applyBorder="1" applyAlignment="1">
      <alignment horizontal="right"/>
    </xf>
    <xf numFmtId="43" fontId="8" fillId="65" borderId="0" xfId="123" applyFont="1" applyFill="1" applyBorder="1" applyAlignment="1"/>
    <xf numFmtId="43" fontId="41" fillId="65" borderId="0" xfId="123" applyFont="1" applyFill="1" applyBorder="1" applyAlignment="1">
      <alignment wrapText="1"/>
    </xf>
    <xf numFmtId="43" fontId="194" fillId="65" borderId="0" xfId="123" applyFont="1" applyFill="1" applyBorder="1" applyAlignment="1">
      <alignment wrapText="1"/>
    </xf>
    <xf numFmtId="43" fontId="12" fillId="65" borderId="0" xfId="123" applyFont="1" applyFill="1" applyBorder="1" applyAlignment="1"/>
    <xf numFmtId="43" fontId="40" fillId="65" borderId="0" xfId="123" applyFont="1" applyFill="1" applyBorder="1" applyAlignment="1">
      <alignment horizontal="right"/>
    </xf>
    <xf numFmtId="43" fontId="199" fillId="65" borderId="0" xfId="123" applyFont="1" applyFill="1" applyBorder="1" applyAlignment="1">
      <alignment horizontal="right"/>
    </xf>
    <xf numFmtId="43" fontId="8" fillId="65" borderId="0" xfId="123" applyFont="1" applyFill="1" applyBorder="1" applyAlignment="1">
      <alignment wrapText="1"/>
    </xf>
    <xf numFmtId="43" fontId="199" fillId="65" borderId="0" xfId="123" applyFont="1" applyFill="1" applyBorder="1" applyAlignment="1"/>
    <xf numFmtId="0" fontId="0" fillId="0" borderId="0" xfId="0" applyFill="1" applyAlignment="1">
      <alignment horizontal="center"/>
    </xf>
    <xf numFmtId="0" fontId="56" fillId="50" borderId="0" xfId="0" applyFont="1" applyFill="1" applyAlignment="1" applyProtection="1">
      <alignment horizontal="center" wrapText="1"/>
    </xf>
    <xf numFmtId="43" fontId="195" fillId="50" borderId="0" xfId="123" applyFont="1" applyFill="1" applyBorder="1" applyAlignment="1">
      <alignment horizontal="center" wrapText="1"/>
    </xf>
    <xf numFmtId="0" fontId="195" fillId="50" borderId="0" xfId="0" applyFont="1" applyFill="1" applyAlignment="1">
      <alignment horizontal="center" wrapText="1"/>
    </xf>
    <xf numFmtId="43" fontId="258" fillId="65" borderId="0" xfId="123" applyFont="1" applyFill="1" applyBorder="1" applyAlignment="1">
      <alignment horizontal="right" wrapText="1"/>
    </xf>
    <xf numFmtId="43" fontId="83" fillId="65" borderId="0" xfId="123" applyFont="1" applyFill="1" applyBorder="1"/>
    <xf numFmtId="43" fontId="67" fillId="65" borderId="0" xfId="123" applyFont="1" applyFill="1" applyBorder="1"/>
    <xf numFmtId="43" fontId="159" fillId="65" borderId="0" xfId="123" applyFont="1" applyFill="1" applyBorder="1" applyAlignment="1">
      <alignment horizontal="right" wrapText="1"/>
    </xf>
    <xf numFmtId="43" fontId="255" fillId="65" borderId="0" xfId="123" applyFont="1" applyFill="1" applyBorder="1"/>
    <xf numFmtId="0" fontId="42" fillId="31" borderId="71" xfId="0" applyFont="1" applyFill="1" applyBorder="1" applyAlignment="1" applyProtection="1">
      <alignment vertical="top" wrapText="1"/>
      <protection locked="0"/>
    </xf>
    <xf numFmtId="0" fontId="42" fillId="31" borderId="72" xfId="0" applyFont="1" applyFill="1" applyBorder="1" applyAlignment="1" applyProtection="1">
      <alignment vertical="top" wrapText="1"/>
      <protection locked="0"/>
    </xf>
    <xf numFmtId="0" fontId="9" fillId="0" borderId="149" xfId="65" applyFont="1" applyFill="1" applyBorder="1" applyAlignment="1">
      <alignment horizontal="center"/>
    </xf>
    <xf numFmtId="0" fontId="9" fillId="0" borderId="149" xfId="65" applyFont="1" applyBorder="1" applyAlignment="1">
      <alignment horizontal="center"/>
    </xf>
    <xf numFmtId="195" fontId="9" fillId="0" borderId="0" xfId="65" applyNumberFormat="1" applyFont="1" applyFill="1" applyBorder="1" applyAlignment="1"/>
    <xf numFmtId="195" fontId="104" fillId="0" borderId="0" xfId="65" applyNumberFormat="1" applyFont="1" applyFill="1" applyBorder="1" applyAlignment="1"/>
    <xf numFmtId="0" fontId="160" fillId="0" borderId="0" xfId="65" applyFont="1" applyAlignment="1">
      <alignment horizontal="center"/>
    </xf>
    <xf numFmtId="0" fontId="160" fillId="0" borderId="0" xfId="65" applyFont="1" applyAlignment="1">
      <alignment horizontal="centerContinuous"/>
    </xf>
    <xf numFmtId="0" fontId="160" fillId="0" borderId="0" xfId="65" quotePrefix="1" applyFont="1" applyAlignment="1">
      <alignment horizontal="center"/>
    </xf>
    <xf numFmtId="0" fontId="160" fillId="31" borderId="0" xfId="65" applyFont="1" applyFill="1" applyProtection="1">
      <protection locked="0"/>
    </xf>
    <xf numFmtId="0" fontId="5" fillId="31" borderId="0" xfId="65" applyFont="1" applyFill="1" applyBorder="1" applyProtection="1">
      <protection locked="0"/>
    </xf>
    <xf numFmtId="0" fontId="104" fillId="0" borderId="0" xfId="65" applyFont="1" applyFill="1" applyAlignment="1"/>
    <xf numFmtId="0" fontId="5" fillId="0" borderId="0" xfId="65" applyFont="1" applyFill="1" applyAlignment="1"/>
    <xf numFmtId="195" fontId="104" fillId="0" borderId="0" xfId="65" applyNumberFormat="1" applyFont="1" applyFill="1" applyBorder="1" applyAlignment="1">
      <alignment horizontal="left"/>
    </xf>
    <xf numFmtId="0" fontId="0" fillId="31" borderId="0" xfId="0" applyFill="1" applyAlignment="1">
      <alignment vertical="top"/>
    </xf>
    <xf numFmtId="43" fontId="9" fillId="31" borderId="0" xfId="0" applyNumberFormat="1" applyFont="1" applyFill="1" applyAlignment="1">
      <alignment wrapText="1"/>
    </xf>
    <xf numFmtId="0" fontId="64" fillId="0" borderId="0" xfId="0" applyFont="1" applyAlignment="1">
      <alignment vertical="center"/>
    </xf>
    <xf numFmtId="0" fontId="64" fillId="0" borderId="0" xfId="0" applyFont="1" applyAlignment="1">
      <alignment horizontal="left" vertical="center"/>
    </xf>
    <xf numFmtId="0" fontId="63" fillId="0" borderId="0" xfId="0" applyFont="1" applyFill="1" applyBorder="1" applyAlignment="1"/>
    <xf numFmtId="0" fontId="127" fillId="0" borderId="0" xfId="0" applyFont="1"/>
    <xf numFmtId="0" fontId="38" fillId="0" borderId="0" xfId="0" applyFont="1" applyAlignment="1">
      <alignment horizontal="center"/>
    </xf>
    <xf numFmtId="0" fontId="188" fillId="120" borderId="0" xfId="0" quotePrefix="1" applyFont="1" applyFill="1" applyAlignment="1"/>
    <xf numFmtId="0" fontId="188" fillId="120" borderId="0" xfId="0" applyFont="1" applyFill="1"/>
    <xf numFmtId="0" fontId="188" fillId="120" borderId="0" xfId="0" applyFont="1" applyFill="1" applyAlignment="1"/>
    <xf numFmtId="0" fontId="37" fillId="36" borderId="0" xfId="0" applyFont="1" applyFill="1"/>
    <xf numFmtId="0" fontId="0" fillId="36" borderId="0" xfId="0" applyFill="1"/>
    <xf numFmtId="167" fontId="0" fillId="102" borderId="0" xfId="123" applyNumberFormat="1" applyFont="1" applyFill="1"/>
    <xf numFmtId="167" fontId="0" fillId="0" borderId="0" xfId="123" applyNumberFormat="1" applyFont="1"/>
    <xf numFmtId="167" fontId="143" fillId="0" borderId="0" xfId="123" applyNumberFormat="1" applyFont="1"/>
    <xf numFmtId="167" fontId="0" fillId="0" borderId="0" xfId="123" applyNumberFormat="1" applyFont="1" applyBorder="1"/>
    <xf numFmtId="0" fontId="37" fillId="36" borderId="0" xfId="0" applyFont="1" applyFill="1" applyAlignment="1">
      <alignment horizontal="right"/>
    </xf>
    <xf numFmtId="174" fontId="37" fillId="36" borderId="0" xfId="50" applyNumberFormat="1" applyFont="1" applyFill="1" applyBorder="1"/>
    <xf numFmtId="174" fontId="37" fillId="36" borderId="115" xfId="50" applyNumberFormat="1" applyFont="1" applyFill="1" applyBorder="1"/>
    <xf numFmtId="167" fontId="0" fillId="36" borderId="0" xfId="123" applyNumberFormat="1" applyFont="1" applyFill="1"/>
    <xf numFmtId="0" fontId="210" fillId="120" borderId="0" xfId="0" applyFont="1" applyFill="1" applyAlignment="1">
      <alignment horizontal="left"/>
    </xf>
    <xf numFmtId="169" fontId="210" fillId="120" borderId="0" xfId="126" applyNumberFormat="1" applyFont="1" applyFill="1"/>
    <xf numFmtId="167" fontId="0" fillId="102" borderId="0" xfId="0" applyNumberFormat="1" applyFill="1"/>
    <xf numFmtId="167" fontId="0" fillId="0" borderId="0" xfId="0" applyNumberFormat="1"/>
    <xf numFmtId="167" fontId="0" fillId="0" borderId="0" xfId="0" applyNumberFormat="1" applyFill="1"/>
    <xf numFmtId="167" fontId="0" fillId="58" borderId="0" xfId="0" applyNumberFormat="1" applyFill="1"/>
    <xf numFmtId="0" fontId="0" fillId="36" borderId="0" xfId="0" applyFill="1" applyAlignment="1">
      <alignment horizontal="right"/>
    </xf>
    <xf numFmtId="167" fontId="0" fillId="36" borderId="0" xfId="0" applyNumberFormat="1" applyFill="1" applyBorder="1"/>
    <xf numFmtId="167" fontId="0" fillId="36" borderId="115" xfId="0" applyNumberFormat="1" applyFill="1" applyBorder="1"/>
    <xf numFmtId="167" fontId="0" fillId="36" borderId="0" xfId="0" applyNumberFormat="1" applyFill="1"/>
    <xf numFmtId="0" fontId="0" fillId="36" borderId="0" xfId="0" applyNumberFormat="1" applyFill="1"/>
    <xf numFmtId="43" fontId="0" fillId="102" borderId="0" xfId="0" applyNumberFormat="1" applyFill="1"/>
    <xf numFmtId="0" fontId="0" fillId="36" borderId="0" xfId="0" applyNumberFormat="1" applyFill="1" applyAlignment="1">
      <alignment horizontal="right"/>
    </xf>
    <xf numFmtId="43" fontId="0" fillId="36" borderId="0" xfId="0" applyNumberFormat="1" applyFill="1" applyBorder="1"/>
    <xf numFmtId="43" fontId="0" fillId="36" borderId="115" xfId="0" applyNumberFormat="1" applyFill="1" applyBorder="1"/>
    <xf numFmtId="0" fontId="3" fillId="36" borderId="0" xfId="0" applyFont="1" applyFill="1"/>
    <xf numFmtId="9" fontId="0" fillId="0" borderId="0" xfId="126" applyFont="1"/>
    <xf numFmtId="0" fontId="115" fillId="120" borderId="0" xfId="0" applyFont="1" applyFill="1"/>
    <xf numFmtId="169" fontId="115" fillId="120" borderId="0" xfId="126" applyNumberFormat="1" applyFont="1" applyFill="1"/>
    <xf numFmtId="174" fontId="0" fillId="36" borderId="0" xfId="0" applyNumberFormat="1" applyFill="1"/>
    <xf numFmtId="174" fontId="0" fillId="0" borderId="0" xfId="0" applyNumberFormat="1" applyFill="1"/>
    <xf numFmtId="43" fontId="115" fillId="120" borderId="0" xfId="0" applyNumberFormat="1" applyFont="1" applyFill="1"/>
    <xf numFmtId="0" fontId="210" fillId="120" borderId="0" xfId="0" applyFont="1" applyFill="1"/>
    <xf numFmtId="0" fontId="143" fillId="0" borderId="0" xfId="0" applyFont="1" applyAlignment="1">
      <alignment horizontal="center"/>
    </xf>
    <xf numFmtId="169" fontId="143" fillId="0" borderId="0" xfId="0" applyNumberFormat="1" applyFont="1" applyFill="1"/>
    <xf numFmtId="169" fontId="143" fillId="58" borderId="0" xfId="0" applyNumberFormat="1" applyFont="1" applyFill="1"/>
    <xf numFmtId="169" fontId="143" fillId="58" borderId="0" xfId="126" applyNumberFormat="1" applyFont="1" applyFill="1"/>
    <xf numFmtId="43" fontId="143" fillId="0" borderId="0" xfId="0" applyNumberFormat="1" applyFont="1" applyFill="1"/>
    <xf numFmtId="43" fontId="143" fillId="58" borderId="0" xfId="0" applyNumberFormat="1" applyFont="1" applyFill="1"/>
    <xf numFmtId="0" fontId="245" fillId="0" borderId="0" xfId="0" applyFont="1"/>
    <xf numFmtId="0" fontId="143" fillId="0" borderId="0" xfId="0" applyFont="1" applyFill="1" applyBorder="1"/>
    <xf numFmtId="0" fontId="115" fillId="118" borderId="0" xfId="0" applyFont="1" applyFill="1"/>
    <xf numFmtId="203" fontId="0" fillId="0" borderId="0" xfId="123" applyNumberFormat="1" applyFont="1"/>
    <xf numFmtId="43" fontId="0" fillId="0" borderId="0" xfId="123" applyNumberFormat="1" applyFont="1"/>
    <xf numFmtId="203" fontId="0" fillId="58" borderId="0" xfId="123" applyNumberFormat="1" applyFont="1" applyFill="1"/>
    <xf numFmtId="2" fontId="0" fillId="0" borderId="0" xfId="0" applyNumberFormat="1" applyFill="1"/>
    <xf numFmtId="169" fontId="0" fillId="0" borderId="0" xfId="126" applyNumberFormat="1" applyFont="1" applyFill="1"/>
    <xf numFmtId="0" fontId="0" fillId="118" borderId="0" xfId="0" applyFill="1"/>
    <xf numFmtId="2" fontId="0" fillId="0" borderId="15" xfId="0" applyNumberFormat="1" applyBorder="1"/>
    <xf numFmtId="2" fontId="0" fillId="0" borderId="16" xfId="0" applyNumberFormat="1" applyBorder="1"/>
    <xf numFmtId="43" fontId="0" fillId="58" borderId="0" xfId="123" applyNumberFormat="1" applyFont="1" applyFill="1"/>
    <xf numFmtId="2" fontId="0" fillId="0" borderId="13" xfId="0" applyNumberFormat="1" applyBorder="1"/>
    <xf numFmtId="2" fontId="0" fillId="0" borderId="14" xfId="0" applyNumberFormat="1" applyBorder="1"/>
    <xf numFmtId="0" fontId="38" fillId="0" borderId="0" xfId="0" applyFont="1"/>
    <xf numFmtId="43" fontId="38" fillId="0" borderId="0" xfId="123" applyNumberFormat="1" applyFont="1" applyBorder="1"/>
    <xf numFmtId="43" fontId="38" fillId="58" borderId="115" xfId="123" applyNumberFormat="1" applyFont="1" applyFill="1" applyBorder="1"/>
    <xf numFmtId="0" fontId="104" fillId="0" borderId="60" xfId="0" applyFont="1" applyBorder="1" applyAlignment="1"/>
    <xf numFmtId="0" fontId="104" fillId="0" borderId="54" xfId="0" applyFont="1" applyBorder="1" applyAlignment="1"/>
    <xf numFmtId="0" fontId="104" fillId="0" borderId="90" xfId="0" applyFont="1" applyFill="1" applyBorder="1" applyAlignment="1">
      <alignment horizontal="center"/>
    </xf>
    <xf numFmtId="0" fontId="104" fillId="0" borderId="91" xfId="0" applyFont="1" applyFill="1" applyBorder="1" applyAlignment="1">
      <alignment horizontal="center"/>
    </xf>
    <xf numFmtId="0" fontId="264" fillId="32" borderId="60" xfId="0" applyFont="1" applyFill="1" applyBorder="1" applyAlignment="1"/>
    <xf numFmtId="0" fontId="265" fillId="32" borderId="54" xfId="0" applyFont="1" applyFill="1" applyBorder="1" applyAlignment="1">
      <alignment horizontal="center"/>
    </xf>
    <xf numFmtId="204" fontId="104" fillId="32" borderId="54" xfId="0" applyNumberFormat="1" applyFont="1" applyFill="1" applyBorder="1" applyAlignment="1"/>
    <xf numFmtId="204" fontId="104" fillId="32" borderId="54" xfId="0" applyNumberFormat="1" applyFont="1" applyFill="1" applyBorder="1" applyAlignment="1">
      <alignment horizontal="center"/>
    </xf>
    <xf numFmtId="2" fontId="104" fillId="32" borderId="54" xfId="0" applyNumberFormat="1" applyFont="1" applyFill="1" applyBorder="1" applyAlignment="1">
      <alignment horizontal="center"/>
    </xf>
    <xf numFmtId="2" fontId="104" fillId="32" borderId="55" xfId="0" applyNumberFormat="1" applyFont="1" applyFill="1" applyBorder="1" applyAlignment="1">
      <alignment horizontal="center"/>
    </xf>
    <xf numFmtId="0" fontId="104" fillId="0" borderId="84" xfId="0" applyFont="1" applyBorder="1" applyAlignment="1"/>
    <xf numFmtId="0" fontId="265" fillId="0" borderId="51" xfId="0" applyFont="1" applyFill="1" applyBorder="1" applyAlignment="1"/>
    <xf numFmtId="0" fontId="265" fillId="121" borderId="51" xfId="0" applyFont="1" applyFill="1" applyBorder="1" applyAlignment="1"/>
    <xf numFmtId="0" fontId="265" fillId="27" borderId="51" xfId="0" applyFont="1" applyFill="1" applyBorder="1" applyAlignment="1">
      <alignment horizontal="center" vertical="center"/>
    </xf>
    <xf numFmtId="0" fontId="265" fillId="27" borderId="311" xfId="0" applyFont="1" applyFill="1" applyBorder="1" applyAlignment="1">
      <alignment horizontal="center" vertical="center"/>
    </xf>
    <xf numFmtId="0" fontId="265" fillId="0" borderId="79" xfId="0" applyFont="1" applyBorder="1" applyAlignment="1"/>
    <xf numFmtId="0" fontId="265" fillId="0" borderId="260" xfId="0" applyFont="1" applyBorder="1" applyAlignment="1">
      <alignment horizontal="center"/>
    </xf>
    <xf numFmtId="167" fontId="3" fillId="0" borderId="260" xfId="123" applyNumberFormat="1" applyFont="1" applyBorder="1"/>
    <xf numFmtId="0" fontId="265" fillId="27" borderId="259" xfId="0" applyFont="1" applyFill="1" applyBorder="1" applyAlignment="1">
      <alignment horizontal="center"/>
    </xf>
    <xf numFmtId="0" fontId="265" fillId="27" borderId="260" xfId="0" applyFont="1" applyFill="1" applyBorder="1" applyAlignment="1">
      <alignment horizontal="center"/>
    </xf>
    <xf numFmtId="0" fontId="265" fillId="27" borderId="80" xfId="0" applyFont="1" applyFill="1" applyBorder="1" applyAlignment="1">
      <alignment horizontal="center"/>
    </xf>
    <xf numFmtId="205" fontId="3" fillId="0" borderId="260" xfId="0" applyNumberFormat="1" applyFont="1" applyFill="1" applyBorder="1" applyAlignment="1" applyProtection="1">
      <protection locked="0"/>
    </xf>
    <xf numFmtId="0" fontId="104" fillId="39" borderId="87" xfId="0" applyFont="1" applyFill="1" applyBorder="1" applyAlignment="1"/>
    <xf numFmtId="0" fontId="265" fillId="39" borderId="88" xfId="0" applyFont="1" applyFill="1" applyBorder="1" applyAlignment="1">
      <alignment horizontal="center"/>
    </xf>
    <xf numFmtId="205" fontId="104" fillId="39" borderId="88" xfId="0" applyNumberFormat="1" applyFont="1" applyFill="1" applyBorder="1" applyAlignment="1"/>
    <xf numFmtId="0" fontId="265" fillId="0" borderId="86" xfId="0" applyFont="1" applyBorder="1" applyAlignment="1"/>
    <xf numFmtId="0" fontId="265" fillId="0" borderId="51" xfId="0" applyFont="1" applyBorder="1" applyAlignment="1">
      <alignment horizontal="center"/>
    </xf>
    <xf numFmtId="167" fontId="3" fillId="0" borderId="93" xfId="123" applyNumberFormat="1" applyFont="1" applyBorder="1"/>
    <xf numFmtId="167" fontId="3" fillId="0" borderId="260" xfId="0" applyNumberFormat="1" applyFont="1" applyBorder="1"/>
    <xf numFmtId="2" fontId="265" fillId="27" borderId="260" xfId="0" applyNumberFormat="1" applyFont="1" applyFill="1" applyBorder="1" applyAlignment="1">
      <alignment horizontal="center"/>
    </xf>
    <xf numFmtId="0" fontId="104" fillId="58" borderId="294" xfId="0" applyFont="1" applyFill="1" applyBorder="1" applyAlignment="1"/>
    <xf numFmtId="0" fontId="265" fillId="58" borderId="88" xfId="0" applyFont="1" applyFill="1" applyBorder="1" applyAlignment="1">
      <alignment horizontal="center"/>
    </xf>
    <xf numFmtId="167" fontId="104" fillId="58" borderId="88" xfId="123" applyNumberFormat="1" applyFont="1" applyFill="1" applyBorder="1"/>
    <xf numFmtId="0" fontId="265" fillId="27" borderId="81" xfId="0" applyFont="1" applyFill="1" applyBorder="1" applyAlignment="1">
      <alignment horizontal="center"/>
    </xf>
    <xf numFmtId="2" fontId="265" fillId="27" borderId="88" xfId="0" applyNumberFormat="1" applyFont="1" applyFill="1" applyBorder="1" applyAlignment="1">
      <alignment horizontal="center"/>
    </xf>
    <xf numFmtId="0" fontId="265" fillId="27" borderId="94" xfId="0" applyFont="1" applyFill="1" applyBorder="1" applyAlignment="1">
      <alignment horizontal="center"/>
    </xf>
    <xf numFmtId="0" fontId="264" fillId="0" borderId="60" xfId="0" applyFont="1" applyBorder="1" applyAlignment="1"/>
    <xf numFmtId="0" fontId="265" fillId="0" borderId="90" xfId="0" applyFont="1" applyBorder="1" applyAlignment="1">
      <alignment horizontal="center"/>
    </xf>
    <xf numFmtId="204" fontId="104" fillId="0" borderId="90" xfId="0" applyNumberFormat="1" applyFont="1" applyFill="1" applyBorder="1" applyAlignment="1"/>
    <xf numFmtId="0" fontId="265" fillId="30" borderId="54" xfId="0" applyFont="1" applyFill="1" applyBorder="1" applyAlignment="1">
      <alignment horizontal="center"/>
    </xf>
    <xf numFmtId="204" fontId="104" fillId="30" borderId="54" xfId="0" applyNumberFormat="1" applyFont="1" applyFill="1" applyBorder="1" applyAlignment="1"/>
    <xf numFmtId="204" fontId="104" fillId="0" borderId="261" xfId="0" applyNumberFormat="1" applyFont="1" applyBorder="1" applyAlignment="1">
      <alignment horizontal="center"/>
    </xf>
    <xf numFmtId="2" fontId="104" fillId="0" borderId="90" xfId="0" applyNumberFormat="1" applyFont="1" applyBorder="1" applyAlignment="1">
      <alignment horizontal="center"/>
    </xf>
    <xf numFmtId="2" fontId="104" fillId="0" borderId="91" xfId="0" applyNumberFormat="1" applyFont="1" applyFill="1" applyBorder="1" applyAlignment="1">
      <alignment horizontal="center"/>
    </xf>
    <xf numFmtId="0" fontId="104" fillId="0" borderId="84" xfId="0" applyFont="1" applyFill="1" applyBorder="1" applyAlignment="1"/>
    <xf numFmtId="0" fontId="265" fillId="0" borderId="34" xfId="0" applyFont="1" applyFill="1" applyBorder="1" applyAlignment="1"/>
    <xf numFmtId="37" fontId="3" fillId="0" borderId="260" xfId="0" applyNumberFormat="1" applyFont="1" applyBorder="1"/>
    <xf numFmtId="0" fontId="265" fillId="27" borderId="260" xfId="0" applyFont="1" applyFill="1" applyBorder="1" applyAlignment="1">
      <alignment horizontal="center" vertical="center"/>
    </xf>
    <xf numFmtId="2" fontId="265" fillId="27" borderId="260" xfId="0" applyNumberFormat="1" applyFont="1" applyFill="1" applyBorder="1" applyAlignment="1">
      <alignment horizontal="center" vertical="center"/>
    </xf>
    <xf numFmtId="0" fontId="265" fillId="27" borderId="80" xfId="0" applyFont="1" applyFill="1" applyBorder="1" applyAlignment="1">
      <alignment horizontal="center" vertical="center"/>
    </xf>
    <xf numFmtId="37" fontId="104" fillId="39" borderId="88" xfId="0" applyNumberFormat="1" applyFont="1" applyFill="1" applyBorder="1"/>
    <xf numFmtId="0" fontId="265" fillId="0" borderId="84" xfId="0" applyFont="1" applyBorder="1" applyAlignment="1"/>
    <xf numFmtId="37" fontId="3" fillId="0" borderId="0" xfId="0" applyNumberFormat="1" applyFont="1" applyBorder="1"/>
    <xf numFmtId="0" fontId="104" fillId="58" borderId="29" xfId="0" applyFont="1" applyFill="1" applyBorder="1" applyAlignment="1"/>
    <xf numFmtId="0" fontId="265" fillId="58" borderId="267" xfId="0" applyFont="1" applyFill="1" applyBorder="1" applyAlignment="1">
      <alignment horizontal="center"/>
    </xf>
    <xf numFmtId="205" fontId="104" fillId="58" borderId="267" xfId="0" applyNumberFormat="1" applyFont="1" applyFill="1" applyBorder="1" applyAlignment="1"/>
    <xf numFmtId="0" fontId="265" fillId="27" borderId="267" xfId="0" applyFont="1" applyFill="1" applyBorder="1" applyAlignment="1">
      <alignment horizontal="center" vertical="center"/>
    </xf>
    <xf numFmtId="2" fontId="265" fillId="27" borderId="267" xfId="0" applyNumberFormat="1" applyFont="1" applyFill="1" applyBorder="1" applyAlignment="1">
      <alignment horizontal="center" vertical="center"/>
    </xf>
    <xf numFmtId="0" fontId="265" fillId="27" borderId="312" xfId="0" applyFont="1" applyFill="1" applyBorder="1" applyAlignment="1">
      <alignment horizontal="center" vertical="center"/>
    </xf>
    <xf numFmtId="204" fontId="104" fillId="0" borderId="90" xfId="0" applyNumberFormat="1" applyFont="1" applyBorder="1" applyAlignment="1"/>
    <xf numFmtId="0" fontId="265" fillId="0" borderId="313" xfId="0" applyFont="1" applyBorder="1" applyAlignment="1"/>
    <xf numFmtId="0" fontId="265" fillId="0" borderId="260" xfId="0" applyFont="1" applyFill="1" applyBorder="1" applyAlignment="1"/>
    <xf numFmtId="43" fontId="3" fillId="0" borderId="260" xfId="0" applyNumberFormat="1" applyFont="1" applyBorder="1"/>
    <xf numFmtId="0" fontId="104" fillId="39" borderId="260" xfId="0" applyFont="1" applyFill="1" applyBorder="1"/>
    <xf numFmtId="0" fontId="265" fillId="0" borderId="29" xfId="0" applyFont="1" applyBorder="1" applyAlignment="1"/>
    <xf numFmtId="0" fontId="265" fillId="0" borderId="59" xfId="0" applyFont="1" applyBorder="1" applyAlignment="1">
      <alignment horizontal="center"/>
    </xf>
    <xf numFmtId="3" fontId="3" fillId="0" borderId="260" xfId="0" applyNumberFormat="1" applyFont="1" applyBorder="1"/>
    <xf numFmtId="0" fontId="104" fillId="58" borderId="87" xfId="0" applyFont="1" applyFill="1" applyBorder="1" applyAlignment="1"/>
    <xf numFmtId="3" fontId="104" fillId="58" borderId="88" xfId="0" applyNumberFormat="1" applyFont="1" applyFill="1" applyBorder="1"/>
    <xf numFmtId="0" fontId="265" fillId="27" borderId="259" xfId="0" applyFont="1" applyFill="1" applyBorder="1" applyAlignment="1">
      <alignment horizontal="center" vertical="center"/>
    </xf>
    <xf numFmtId="0" fontId="265" fillId="27" borderId="81" xfId="0" applyFont="1" applyFill="1" applyBorder="1" applyAlignment="1">
      <alignment horizontal="center" vertical="center"/>
    </xf>
    <xf numFmtId="2" fontId="265" fillId="27" borderId="88" xfId="0" applyNumberFormat="1" applyFont="1" applyFill="1" applyBorder="1" applyAlignment="1">
      <alignment horizontal="center" vertical="center"/>
    </xf>
    <xf numFmtId="0" fontId="265" fillId="27" borderId="94" xfId="0" applyFont="1" applyFill="1" applyBorder="1" applyAlignment="1">
      <alignment horizontal="center" vertical="center"/>
    </xf>
    <xf numFmtId="205" fontId="3" fillId="0" borderId="267" xfId="0" applyNumberFormat="1" applyFont="1" applyFill="1" applyBorder="1" applyAlignment="1"/>
    <xf numFmtId="0" fontId="104" fillId="39" borderId="79" xfId="0" applyFont="1" applyFill="1" applyBorder="1" applyAlignment="1"/>
    <xf numFmtId="49" fontId="266" fillId="39" borderId="260" xfId="0" applyNumberFormat="1" applyFont="1" applyFill="1" applyBorder="1" applyAlignment="1">
      <alignment horizontal="center"/>
    </xf>
    <xf numFmtId="205" fontId="104" fillId="39" borderId="260" xfId="0" applyNumberFormat="1" applyFont="1" applyFill="1" applyBorder="1" applyAlignment="1"/>
    <xf numFmtId="205" fontId="265" fillId="0" borderId="260" xfId="0" applyNumberFormat="1" applyFont="1" applyFill="1" applyBorder="1" applyAlignment="1" applyProtection="1">
      <protection locked="0"/>
    </xf>
    <xf numFmtId="0" fontId="265" fillId="58" borderId="59" xfId="0" applyFont="1" applyFill="1" applyBorder="1" applyAlignment="1">
      <alignment horizontal="center"/>
    </xf>
    <xf numFmtId="205" fontId="104" fillId="58" borderId="88" xfId="0" applyNumberFormat="1" applyFont="1" applyFill="1" applyBorder="1" applyAlignment="1"/>
    <xf numFmtId="0" fontId="264" fillId="0" borderId="60" xfId="0" applyFont="1" applyFill="1" applyBorder="1" applyAlignment="1"/>
    <xf numFmtId="2" fontId="104" fillId="0" borderId="90" xfId="0" applyNumberFormat="1" applyFont="1" applyFill="1" applyBorder="1" applyAlignment="1">
      <alignment horizontal="center"/>
    </xf>
    <xf numFmtId="0" fontId="104" fillId="0" borderId="314" xfId="0" applyFont="1" applyFill="1" applyBorder="1" applyAlignment="1"/>
    <xf numFmtId="49" fontId="266" fillId="0" borderId="257" xfId="0" applyNumberFormat="1" applyFont="1" applyFill="1" applyBorder="1" applyAlignment="1">
      <alignment horizontal="center"/>
    </xf>
    <xf numFmtId="204" fontId="265" fillId="0" borderId="257" xfId="0" applyNumberFormat="1" applyFont="1" applyFill="1" applyBorder="1" applyAlignment="1"/>
    <xf numFmtId="0" fontId="265" fillId="0" borderId="257" xfId="0" applyFont="1" applyFill="1" applyBorder="1" applyAlignment="1">
      <alignment horizontal="center"/>
    </xf>
    <xf numFmtId="2" fontId="104" fillId="43" borderId="315" xfId="0" applyNumberFormat="1" applyFont="1" applyFill="1" applyBorder="1" applyAlignment="1">
      <alignment horizontal="center"/>
    </xf>
    <xf numFmtId="0" fontId="0" fillId="0" borderId="316" xfId="0" applyBorder="1" applyAlignment="1">
      <alignment horizontal="left"/>
    </xf>
    <xf numFmtId="0" fontId="265" fillId="0" borderId="317" xfId="0" applyFont="1" applyFill="1" applyBorder="1" applyAlignment="1"/>
    <xf numFmtId="49" fontId="266" fillId="0" borderId="317" xfId="0" applyNumberFormat="1" applyFont="1" applyFill="1" applyBorder="1" applyAlignment="1">
      <alignment horizontal="center"/>
    </xf>
    <xf numFmtId="204" fontId="265" fillId="0" borderId="317" xfId="0" applyNumberFormat="1" applyFont="1" applyFill="1" applyBorder="1" applyAlignment="1"/>
    <xf numFmtId="178" fontId="104" fillId="0" borderId="318" xfId="0" applyNumberFormat="1" applyFont="1" applyFill="1" applyBorder="1" applyAlignment="1"/>
    <xf numFmtId="0" fontId="267" fillId="0" borderId="0" xfId="0" applyFont="1" applyFill="1" applyBorder="1" applyAlignment="1"/>
    <xf numFmtId="49" fontId="266" fillId="0" borderId="0" xfId="0" applyNumberFormat="1" applyFont="1" applyFill="1" applyBorder="1" applyAlignment="1">
      <alignment horizontal="center"/>
    </xf>
    <xf numFmtId="204" fontId="265" fillId="0" borderId="0" xfId="0" applyNumberFormat="1" applyFont="1" applyFill="1" applyBorder="1" applyAlignment="1"/>
    <xf numFmtId="0" fontId="265" fillId="0" borderId="0" xfId="0" applyFont="1" applyFill="1" applyBorder="1" applyAlignment="1"/>
    <xf numFmtId="178" fontId="104" fillId="0" borderId="0" xfId="0" applyNumberFormat="1" applyFont="1" applyFill="1" applyBorder="1" applyAlignment="1"/>
    <xf numFmtId="0" fontId="265" fillId="0" borderId="0" xfId="0" applyFont="1" applyFill="1" applyBorder="1" applyAlignment="1">
      <alignment horizontal="left"/>
    </xf>
    <xf numFmtId="0" fontId="265" fillId="0" borderId="0" xfId="0" applyFont="1" applyAlignment="1"/>
    <xf numFmtId="0" fontId="104" fillId="0" borderId="0" xfId="0" applyFont="1" applyAlignment="1">
      <alignment vertical="center"/>
    </xf>
    <xf numFmtId="43" fontId="59" fillId="0" borderId="0" xfId="123" applyFont="1" applyFill="1" applyProtection="1">
      <protection locked="0"/>
    </xf>
    <xf numFmtId="43" fontId="59" fillId="0" borderId="0" xfId="123" applyFont="1" applyFill="1" applyBorder="1" applyProtection="1">
      <protection locked="0"/>
    </xf>
    <xf numFmtId="43" fontId="59" fillId="31" borderId="0" xfId="123" applyFont="1" applyFill="1" applyBorder="1" applyAlignment="1" applyProtection="1">
      <alignment wrapText="1"/>
      <protection locked="0"/>
    </xf>
    <xf numFmtId="167" fontId="0" fillId="102" borderId="319" xfId="123" applyNumberFormat="1" applyFont="1" applyFill="1" applyBorder="1"/>
    <xf numFmtId="0" fontId="0" fillId="34" borderId="320" xfId="0" applyFill="1" applyBorder="1" applyAlignment="1">
      <alignment wrapText="1"/>
    </xf>
    <xf numFmtId="0" fontId="0" fillId="34" borderId="321" xfId="0" applyFill="1" applyBorder="1"/>
    <xf numFmtId="43" fontId="67" fillId="0" borderId="17" xfId="123" applyFont="1" applyFill="1" applyBorder="1" applyAlignment="1" applyProtection="1">
      <protection locked="0"/>
    </xf>
    <xf numFmtId="43" fontId="59" fillId="37" borderId="15" xfId="123" applyFont="1" applyFill="1" applyBorder="1" applyProtection="1">
      <protection locked="0"/>
    </xf>
    <xf numFmtId="43" fontId="67" fillId="32" borderId="273" xfId="123" applyFont="1" applyFill="1" applyBorder="1" applyAlignment="1" applyProtection="1">
      <protection locked="0"/>
    </xf>
    <xf numFmtId="0" fontId="3" fillId="59" borderId="11" xfId="65" applyFill="1" applyBorder="1" applyAlignment="1" applyProtection="1">
      <alignment horizontal="left"/>
      <protection locked="0"/>
    </xf>
    <xf numFmtId="0" fontId="3" fillId="0" borderId="0" xfId="65" applyFill="1" applyBorder="1" applyAlignment="1" applyProtection="1">
      <alignment horizontal="left"/>
      <protection locked="0"/>
    </xf>
    <xf numFmtId="0" fontId="3" fillId="0" borderId="303" xfId="65" applyFill="1" applyBorder="1" applyAlignment="1" applyProtection="1">
      <alignment horizontal="left"/>
      <protection locked="0"/>
    </xf>
    <xf numFmtId="0" fontId="3" fillId="59" borderId="251" xfId="65" quotePrefix="1" applyFill="1" applyBorder="1" applyAlignment="1" applyProtection="1">
      <alignment wrapText="1"/>
      <protection locked="0"/>
    </xf>
    <xf numFmtId="0" fontId="3" fillId="0" borderId="0" xfId="65" quotePrefix="1" applyAlignment="1" applyProtection="1">
      <alignment horizontal="left" wrapText="1"/>
      <protection locked="0"/>
    </xf>
    <xf numFmtId="0" fontId="127" fillId="0" borderId="0" xfId="0" applyFont="1" applyAlignment="1">
      <alignment horizontal="right"/>
    </xf>
    <xf numFmtId="0" fontId="37" fillId="0" borderId="0" xfId="0" applyFont="1" applyAlignment="1">
      <alignment horizontal="center"/>
    </xf>
    <xf numFmtId="0" fontId="4" fillId="0" borderId="38" xfId="0" applyNumberFormat="1" applyFont="1" applyFill="1" applyBorder="1" applyAlignment="1">
      <alignment horizontal="center" wrapText="1"/>
    </xf>
    <xf numFmtId="0" fontId="57" fillId="0" borderId="69" xfId="0" applyFont="1" applyBorder="1" applyAlignment="1">
      <alignment horizontal="center" wrapText="1"/>
    </xf>
    <xf numFmtId="173" fontId="107" fillId="40" borderId="0" xfId="61" applyNumberFormat="1" applyFont="1" applyFill="1" applyBorder="1" applyAlignment="1" applyProtection="1">
      <alignment horizontal="center"/>
    </xf>
    <xf numFmtId="195" fontId="104" fillId="0" borderId="0" xfId="134" applyNumberFormat="1" applyFont="1" applyFill="1" applyBorder="1" applyAlignment="1"/>
    <xf numFmtId="0" fontId="9" fillId="40" borderId="0" xfId="65" applyFont="1" applyFill="1" applyBorder="1" applyAlignment="1">
      <alignment horizontal="center" wrapText="1"/>
    </xf>
    <xf numFmtId="0" fontId="3" fillId="0" borderId="0" xfId="65" applyFill="1" applyBorder="1" applyAlignment="1">
      <alignment horizontal="centerContinuous"/>
    </xf>
    <xf numFmtId="49" fontId="160" fillId="0" borderId="0" xfId="65" applyNumberFormat="1" applyFont="1" applyFill="1" applyBorder="1"/>
    <xf numFmtId="0" fontId="104" fillId="0" borderId="0" xfId="65" quotePrefix="1" applyFont="1" applyFill="1" applyBorder="1" applyAlignment="1"/>
    <xf numFmtId="173" fontId="104" fillId="0" borderId="0" xfId="65" applyNumberFormat="1" applyFont="1" applyFill="1" applyBorder="1" applyAlignment="1"/>
    <xf numFmtId="49" fontId="104" fillId="0" borderId="0" xfId="65" applyNumberFormat="1" applyFont="1" applyFill="1" applyBorder="1" applyAlignment="1">
      <alignment horizontal="center"/>
    </xf>
    <xf numFmtId="0" fontId="160" fillId="0" borderId="0" xfId="65" quotePrefix="1" applyFont="1" applyFill="1" applyBorder="1" applyAlignment="1">
      <alignment horizontal="center"/>
    </xf>
    <xf numFmtId="0" fontId="3" fillId="0" borderId="0" xfId="65" quotePrefix="1" applyFill="1" applyBorder="1" applyAlignment="1">
      <alignment horizontal="center"/>
    </xf>
    <xf numFmtId="0" fontId="100" fillId="0" borderId="0" xfId="65" applyFont="1" applyFill="1" applyBorder="1" applyAlignment="1"/>
    <xf numFmtId="49" fontId="160" fillId="0" borderId="0" xfId="65" applyNumberFormat="1" applyFont="1" applyFill="1" applyBorder="1" applyAlignment="1" applyProtection="1">
      <protection locked="0"/>
    </xf>
    <xf numFmtId="49" fontId="160" fillId="0" borderId="0" xfId="65" applyNumberFormat="1" applyFont="1" applyFill="1" applyBorder="1" applyAlignment="1"/>
    <xf numFmtId="0" fontId="160" fillId="0" borderId="0" xfId="65" applyFont="1" applyFill="1" applyBorder="1"/>
    <xf numFmtId="0" fontId="5" fillId="0" borderId="0" xfId="65" applyFont="1" applyFill="1"/>
    <xf numFmtId="0" fontId="104" fillId="0" borderId="0" xfId="65" quotePrefix="1" applyFont="1" applyFill="1" applyAlignment="1">
      <alignment horizontal="left"/>
    </xf>
    <xf numFmtId="0" fontId="3" fillId="0" borderId="0" xfId="65" applyFill="1" applyProtection="1">
      <protection locked="0"/>
    </xf>
    <xf numFmtId="0" fontId="59" fillId="0" borderId="0" xfId="61" applyNumberFormat="1" applyFont="1" applyFill="1" applyBorder="1" applyAlignment="1" applyProtection="1">
      <alignment horizontal="left" wrapText="1"/>
    </xf>
    <xf numFmtId="49" fontId="59" fillId="0" borderId="0" xfId="61" applyNumberFormat="1" applyFont="1" applyFill="1" applyAlignment="1" applyProtection="1">
      <alignment horizontal="center"/>
    </xf>
    <xf numFmtId="4" fontId="73" fillId="0" borderId="77" xfId="61" applyNumberFormat="1" applyFont="1" applyBorder="1" applyAlignment="1" applyProtection="1">
      <protection locked="0"/>
    </xf>
    <xf numFmtId="4" fontId="73" fillId="0" borderId="0" xfId="61" applyNumberFormat="1" applyFont="1" applyBorder="1" applyAlignment="1" applyProtection="1">
      <protection locked="0"/>
    </xf>
    <xf numFmtId="42" fontId="3" fillId="24" borderId="0" xfId="0" applyNumberFormat="1" applyFont="1" applyFill="1" applyBorder="1" applyProtection="1">
      <protection locked="0"/>
    </xf>
    <xf numFmtId="41" fontId="3" fillId="0" borderId="0" xfId="0" applyNumberFormat="1" applyFont="1" applyFill="1" applyBorder="1" applyProtection="1">
      <protection locked="0"/>
    </xf>
    <xf numFmtId="41" fontId="3" fillId="24" borderId="0" xfId="0" applyNumberFormat="1" applyFont="1" applyFill="1" applyBorder="1" applyProtection="1">
      <protection locked="0"/>
    </xf>
    <xf numFmtId="41" fontId="3" fillId="24" borderId="0" xfId="47" applyNumberFormat="1" applyFont="1" applyFill="1" applyBorder="1" applyProtection="1">
      <protection locked="0"/>
    </xf>
    <xf numFmtId="0" fontId="3" fillId="31" borderId="0" xfId="65" applyFill="1" applyProtection="1">
      <protection locked="0"/>
    </xf>
    <xf numFmtId="0" fontId="9" fillId="0" borderId="0" xfId="65" applyFont="1" applyBorder="1" applyProtection="1">
      <protection locked="0"/>
    </xf>
    <xf numFmtId="0" fontId="3" fillId="0" borderId="0" xfId="65" applyFont="1" applyFill="1" applyBorder="1" applyProtection="1">
      <protection locked="0"/>
    </xf>
    <xf numFmtId="0" fontId="5" fillId="0" borderId="0" xfId="65" applyFont="1" applyBorder="1" applyProtection="1">
      <protection locked="0"/>
    </xf>
    <xf numFmtId="0" fontId="3" fillId="40" borderId="0" xfId="65" applyFont="1" applyFill="1" applyBorder="1" applyProtection="1">
      <protection locked="0"/>
    </xf>
    <xf numFmtId="39" fontId="67" fillId="58" borderId="73" xfId="61" applyNumberFormat="1" applyFont="1" applyFill="1" applyBorder="1" applyAlignment="1" applyProtection="1">
      <alignment horizontal="right"/>
    </xf>
    <xf numFmtId="39" fontId="67" fillId="58" borderId="74" xfId="61" applyNumberFormat="1" applyFont="1" applyFill="1" applyBorder="1" applyAlignment="1" applyProtection="1"/>
    <xf numFmtId="39" fontId="67" fillId="58" borderId="75" xfId="61" applyNumberFormat="1" applyFont="1" applyFill="1" applyBorder="1" applyAlignment="1" applyProtection="1"/>
    <xf numFmtId="39" fontId="67" fillId="58" borderId="29" xfId="61" applyNumberFormat="1" applyFont="1" applyFill="1" applyBorder="1" applyAlignment="1" applyProtection="1">
      <alignment horizontal="right"/>
    </xf>
    <xf numFmtId="39" fontId="67" fillId="58" borderId="0" xfId="61" applyNumberFormat="1" applyFont="1" applyFill="1" applyBorder="1" applyAlignment="1" applyProtection="1"/>
    <xf numFmtId="39" fontId="67" fillId="58" borderId="30" xfId="61" applyNumberFormat="1" applyFont="1" applyFill="1" applyBorder="1" applyAlignment="1" applyProtection="1"/>
    <xf numFmtId="39" fontId="67" fillId="58" borderId="66" xfId="61" applyNumberFormat="1" applyFont="1" applyFill="1" applyBorder="1" applyAlignment="1" applyProtection="1">
      <alignment horizontal="right"/>
    </xf>
    <xf numFmtId="39" fontId="67" fillId="58" borderId="67" xfId="61" applyNumberFormat="1" applyFont="1" applyFill="1" applyBorder="1" applyAlignment="1" applyProtection="1"/>
    <xf numFmtId="39" fontId="67" fillId="58" borderId="68" xfId="61" applyNumberFormat="1" applyFont="1" applyFill="1" applyBorder="1" applyAlignment="1" applyProtection="1"/>
    <xf numFmtId="39" fontId="3" fillId="0" borderId="0" xfId="65" applyNumberFormat="1" applyFont="1" applyBorder="1"/>
    <xf numFmtId="0" fontId="104" fillId="42" borderId="11" xfId="65" applyNumberFormat="1" applyFont="1" applyFill="1" applyBorder="1" applyAlignment="1"/>
    <xf numFmtId="195" fontId="104" fillId="42" borderId="11" xfId="65" applyNumberFormat="1" applyFont="1" applyFill="1" applyBorder="1" applyAlignment="1"/>
    <xf numFmtId="39" fontId="3" fillId="42" borderId="258" xfId="65" applyNumberFormat="1" applyFont="1" applyFill="1" applyBorder="1" applyAlignment="1"/>
    <xf numFmtId="39" fontId="3" fillId="42" borderId="11" xfId="65" applyNumberFormat="1" applyFont="1" applyFill="1" applyBorder="1" applyAlignment="1"/>
    <xf numFmtId="196" fontId="269" fillId="0" borderId="0" xfId="65" applyNumberFormat="1" applyFont="1" applyAlignment="1">
      <alignment horizontal="center"/>
    </xf>
    <xf numFmtId="39" fontId="3" fillId="42" borderId="258" xfId="65" applyNumberFormat="1" applyFont="1" applyFill="1" applyBorder="1" applyAlignment="1" applyProtection="1">
      <protection locked="0"/>
    </xf>
    <xf numFmtId="39" fontId="3" fillId="42" borderId="310" xfId="65" applyNumberFormat="1" applyFont="1" applyFill="1" applyBorder="1" applyAlignment="1" applyProtection="1">
      <protection locked="0"/>
    </xf>
    <xf numFmtId="39" fontId="3" fillId="42" borderId="11" xfId="65" applyNumberFormat="1" applyFont="1" applyFill="1" applyBorder="1" applyAlignment="1" applyProtection="1">
      <protection locked="0"/>
    </xf>
    <xf numFmtId="39" fontId="9" fillId="42" borderId="258" xfId="65" applyNumberFormat="1" applyFont="1" applyFill="1" applyBorder="1" applyAlignment="1" applyProtection="1">
      <protection locked="0"/>
    </xf>
    <xf numFmtId="39" fontId="3" fillId="42" borderId="12" xfId="65" applyNumberFormat="1" applyFont="1" applyFill="1" applyBorder="1" applyAlignment="1"/>
    <xf numFmtId="49" fontId="3" fillId="42" borderId="11" xfId="65" applyNumberFormat="1" applyFont="1" applyFill="1" applyBorder="1" applyAlignment="1" applyProtection="1">
      <protection locked="0"/>
    </xf>
    <xf numFmtId="0" fontId="104" fillId="0" borderId="67" xfId="65" applyFont="1" applyBorder="1" applyAlignment="1">
      <alignment horizontal="center" wrapText="1"/>
    </xf>
    <xf numFmtId="0" fontId="104" fillId="0" borderId="0" xfId="65" applyFont="1" applyFill="1" applyBorder="1" applyAlignment="1">
      <alignment horizontal="center" wrapText="1"/>
    </xf>
    <xf numFmtId="0" fontId="104" fillId="40" borderId="67" xfId="65" applyFont="1" applyFill="1" applyBorder="1" applyAlignment="1">
      <alignment horizontal="center" wrapText="1"/>
    </xf>
    <xf numFmtId="0" fontId="104" fillId="0" borderId="67" xfId="65" applyFont="1" applyFill="1" applyBorder="1" applyAlignment="1">
      <alignment horizontal="center" wrapText="1"/>
    </xf>
    <xf numFmtId="39" fontId="3" fillId="102" borderId="11" xfId="65" applyNumberFormat="1" applyFont="1" applyFill="1" applyBorder="1" applyAlignment="1" applyProtection="1">
      <protection locked="0"/>
    </xf>
    <xf numFmtId="0" fontId="160" fillId="0" borderId="0" xfId="65" applyFont="1" applyBorder="1"/>
    <xf numFmtId="0" fontId="5" fillId="0" borderId="67" xfId="65" applyFont="1" applyBorder="1"/>
    <xf numFmtId="0" fontId="104" fillId="0" borderId="67" xfId="65" applyFont="1" applyBorder="1" applyAlignment="1">
      <alignment horizontal="center"/>
    </xf>
    <xf numFmtId="0" fontId="104" fillId="0" borderId="67" xfId="65" applyFont="1" applyBorder="1" applyAlignment="1"/>
    <xf numFmtId="39" fontId="5" fillId="102" borderId="11" xfId="65" applyNumberFormat="1" applyFont="1" applyFill="1" applyBorder="1" applyAlignment="1" applyProtection="1">
      <protection locked="0"/>
    </xf>
    <xf numFmtId="16" fontId="104" fillId="0" borderId="67" xfId="65" quotePrefix="1" applyNumberFormat="1" applyFont="1" applyBorder="1" applyAlignment="1">
      <alignment horizontal="center"/>
    </xf>
    <xf numFmtId="0" fontId="104" fillId="0" borderId="0" xfId="65" applyFont="1" applyFill="1" applyBorder="1" applyAlignment="1">
      <alignment horizontal="center"/>
    </xf>
    <xf numFmtId="0" fontId="104" fillId="0" borderId="0" xfId="65" applyFont="1" applyAlignment="1">
      <alignment horizontal="right"/>
    </xf>
    <xf numFmtId="39" fontId="3" fillId="102" borderId="0" xfId="65" applyNumberFormat="1" applyFont="1" applyFill="1" applyBorder="1" applyAlignment="1" applyProtection="1">
      <protection locked="0"/>
    </xf>
    <xf numFmtId="15" fontId="104" fillId="0" borderId="0" xfId="65" applyNumberFormat="1" applyFont="1" applyAlignment="1">
      <alignment horizontal="right"/>
    </xf>
    <xf numFmtId="14" fontId="5" fillId="0" borderId="0" xfId="65" applyNumberFormat="1" applyFont="1" applyBorder="1" applyAlignment="1">
      <alignment horizontal="center"/>
    </xf>
    <xf numFmtId="49" fontId="5" fillId="0" borderId="0" xfId="65" applyNumberFormat="1" applyFont="1" applyBorder="1" applyAlignment="1"/>
    <xf numFmtId="14" fontId="104" fillId="0" borderId="0" xfId="65" applyNumberFormat="1" applyFont="1" applyAlignment="1">
      <alignment horizontal="center"/>
    </xf>
    <xf numFmtId="0" fontId="5" fillId="0" borderId="0" xfId="65" applyFont="1" applyAlignment="1">
      <alignment horizontal="right"/>
    </xf>
    <xf numFmtId="0" fontId="104" fillId="0" borderId="11" xfId="65" applyFont="1" applyBorder="1" applyAlignment="1"/>
    <xf numFmtId="0" fontId="104" fillId="0" borderId="11" xfId="65" applyFont="1" applyBorder="1" applyAlignment="1">
      <alignment horizontal="center"/>
    </xf>
    <xf numFmtId="0" fontId="104" fillId="0" borderId="11" xfId="65" quotePrefix="1" applyFont="1" applyBorder="1" applyAlignment="1">
      <alignment horizontal="center"/>
    </xf>
    <xf numFmtId="16" fontId="104" fillId="0" borderId="0" xfId="65" quotePrefix="1" applyNumberFormat="1" applyFont="1" applyBorder="1"/>
    <xf numFmtId="0" fontId="104" fillId="0" borderId="258" xfId="65" applyFont="1" applyBorder="1" applyAlignment="1">
      <alignment horizontal="center"/>
    </xf>
    <xf numFmtId="0" fontId="160" fillId="0" borderId="0" xfId="65" quotePrefix="1" applyFont="1" applyBorder="1" applyAlignment="1">
      <alignment horizontal="center"/>
    </xf>
    <xf numFmtId="0" fontId="160" fillId="0" borderId="0" xfId="65" applyNumberFormat="1" applyFont="1" applyBorder="1" applyAlignment="1">
      <alignment horizontal="center"/>
    </xf>
    <xf numFmtId="0" fontId="160" fillId="0" borderId="0" xfId="65" applyFont="1" applyBorder="1" applyAlignment="1">
      <alignment horizontal="center"/>
    </xf>
    <xf numFmtId="0" fontId="160" fillId="0" borderId="0" xfId="65" applyFont="1" applyFill="1" applyBorder="1" applyAlignment="1">
      <alignment horizontal="center"/>
    </xf>
    <xf numFmtId="0" fontId="160" fillId="0" borderId="11" xfId="65" applyFont="1" applyBorder="1" applyAlignment="1">
      <alignment horizontal="center"/>
    </xf>
    <xf numFmtId="0" fontId="160" fillId="0" borderId="11" xfId="65" applyFont="1" applyBorder="1" applyAlignment="1"/>
    <xf numFmtId="0" fontId="160" fillId="0" borderId="0" xfId="65" applyFont="1" applyAlignment="1">
      <alignment horizontal="center" wrapText="1"/>
    </xf>
    <xf numFmtId="0" fontId="77" fillId="0" borderId="0" xfId="65" applyFont="1" applyAlignment="1">
      <alignment vertical="center"/>
    </xf>
    <xf numFmtId="0" fontId="160" fillId="0" borderId="0" xfId="65" applyFont="1" applyAlignment="1">
      <alignment vertical="top"/>
    </xf>
    <xf numFmtId="0" fontId="160" fillId="0" borderId="0" xfId="65" applyFont="1" applyAlignment="1"/>
    <xf numFmtId="0" fontId="3" fillId="42" borderId="0" xfId="65" applyFont="1" applyFill="1" applyBorder="1" applyProtection="1">
      <protection locked="0"/>
    </xf>
    <xf numFmtId="0" fontId="3" fillId="40" borderId="0" xfId="4839" applyFont="1" applyFill="1"/>
    <xf numFmtId="0" fontId="270" fillId="40" borderId="0" xfId="4839" applyFont="1" applyFill="1" applyAlignment="1">
      <alignment horizontal="right"/>
    </xf>
    <xf numFmtId="0" fontId="3" fillId="40" borderId="0" xfId="4839" applyFont="1" applyFill="1" applyAlignment="1">
      <alignment horizontal="left"/>
    </xf>
    <xf numFmtId="39" fontId="3" fillId="40" borderId="0" xfId="4839" applyNumberFormat="1" applyFont="1" applyFill="1"/>
    <xf numFmtId="0" fontId="5" fillId="40" borderId="0" xfId="4839" applyFont="1" applyFill="1"/>
    <xf numFmtId="0" fontId="5" fillId="40" borderId="0" xfId="4839" applyFont="1" applyFill="1" applyAlignment="1">
      <alignment horizontal="right"/>
    </xf>
    <xf numFmtId="0" fontId="160" fillId="40" borderId="0" xfId="4839" applyFont="1" applyFill="1" applyAlignment="1">
      <alignment horizontal="right"/>
    </xf>
    <xf numFmtId="195" fontId="5" fillId="40" borderId="0" xfId="4839" applyNumberFormat="1" applyFont="1" applyFill="1"/>
    <xf numFmtId="0" fontId="272" fillId="40" borderId="0" xfId="4839" applyFont="1" applyFill="1"/>
    <xf numFmtId="0" fontId="3" fillId="40" borderId="11" xfId="4839" applyFont="1" applyFill="1" applyBorder="1" applyAlignment="1">
      <alignment horizontal="center"/>
    </xf>
    <xf numFmtId="0" fontId="3" fillId="40" borderId="11" xfId="4839" applyFont="1" applyFill="1" applyBorder="1"/>
    <xf numFmtId="0" fontId="271" fillId="40" borderId="0" xfId="4839" applyFill="1"/>
    <xf numFmtId="0" fontId="3" fillId="40" borderId="0" xfId="4839" applyFont="1" applyFill="1" applyAlignment="1">
      <alignment horizontal="center"/>
    </xf>
    <xf numFmtId="39" fontId="3" fillId="40" borderId="319" xfId="4839" applyNumberFormat="1" applyFont="1" applyFill="1" applyBorder="1"/>
    <xf numFmtId="49" fontId="3" fillId="29" borderId="11" xfId="4839" applyNumberFormat="1" applyFont="1" applyFill="1" applyBorder="1" applyAlignment="1" applyProtection="1">
      <alignment horizontal="center"/>
      <protection locked="0"/>
    </xf>
    <xf numFmtId="4" fontId="3" fillId="29" borderId="11" xfId="4839" applyNumberFormat="1" applyFont="1" applyFill="1" applyBorder="1" applyProtection="1">
      <protection locked="0"/>
    </xf>
    <xf numFmtId="4" fontId="3" fillId="40" borderId="12" xfId="4839" applyNumberFormat="1" applyFont="1" applyFill="1" applyBorder="1"/>
    <xf numFmtId="0" fontId="3" fillId="40" borderId="98" xfId="4839" applyFont="1" applyFill="1" applyBorder="1"/>
    <xf numFmtId="0" fontId="3" fillId="40" borderId="0" xfId="4839" applyFont="1" applyFill="1" applyAlignment="1">
      <alignment horizontal="right"/>
    </xf>
    <xf numFmtId="14" fontId="3" fillId="40" borderId="0" xfId="4839" applyNumberFormat="1" applyFont="1" applyFill="1"/>
    <xf numFmtId="0" fontId="157" fillId="40" borderId="0" xfId="4839" applyFont="1" applyFill="1" applyAlignment="1">
      <alignment horizontal="center"/>
    </xf>
    <xf numFmtId="0" fontId="12" fillId="40" borderId="0" xfId="4839" applyFont="1" applyFill="1"/>
    <xf numFmtId="0" fontId="12" fillId="40" borderId="0" xfId="4839" applyFont="1" applyFill="1" applyAlignment="1">
      <alignment horizontal="center"/>
    </xf>
    <xf numFmtId="0" fontId="12" fillId="40" borderId="29" xfId="4839" applyFont="1" applyFill="1" applyBorder="1" applyAlignment="1">
      <alignment horizontal="center"/>
    </xf>
    <xf numFmtId="1" fontId="12" fillId="40" borderId="11" xfId="4839" applyNumberFormat="1" applyFont="1" applyFill="1" applyBorder="1" applyAlignment="1">
      <alignment horizontal="center"/>
    </xf>
    <xf numFmtId="0" fontId="3" fillId="40" borderId="29" xfId="4839" applyFont="1" applyFill="1" applyBorder="1"/>
    <xf numFmtId="0" fontId="12" fillId="40" borderId="11" xfId="4839" applyFont="1" applyFill="1" applyBorder="1"/>
    <xf numFmtId="0" fontId="3" fillId="40" borderId="83" xfId="4839" applyFont="1" applyFill="1" applyBorder="1"/>
    <xf numFmtId="0" fontId="3" fillId="40" borderId="319" xfId="4839" applyFont="1" applyFill="1" applyBorder="1" applyAlignment="1">
      <alignment wrapText="1"/>
    </xf>
    <xf numFmtId="39" fontId="3" fillId="40" borderId="29" xfId="4839" applyNumberFormat="1" applyFont="1" applyFill="1" applyBorder="1"/>
    <xf numFmtId="0" fontId="3" fillId="40" borderId="30" xfId="4839" applyFont="1" applyFill="1" applyBorder="1"/>
    <xf numFmtId="0" fontId="3" fillId="40" borderId="0" xfId="4839" applyFont="1" applyFill="1" applyAlignment="1">
      <alignment wrapText="1"/>
    </xf>
    <xf numFmtId="39" fontId="12" fillId="40" borderId="66" xfId="4839" applyNumberFormat="1" applyFont="1" applyFill="1" applyBorder="1"/>
    <xf numFmtId="39" fontId="12" fillId="40" borderId="67" xfId="4839" applyNumberFormat="1" applyFont="1" applyFill="1" applyBorder="1"/>
    <xf numFmtId="0" fontId="3" fillId="40" borderId="67" xfId="4839" applyFont="1" applyFill="1" applyBorder="1"/>
    <xf numFmtId="0" fontId="3" fillId="40" borderId="68" xfId="4839" applyFont="1" applyFill="1" applyBorder="1"/>
    <xf numFmtId="0" fontId="1" fillId="25" borderId="282" xfId="4840" applyFont="1" applyFill="1" applyBorder="1" applyAlignment="1">
      <alignment horizontal="center"/>
    </xf>
    <xf numFmtId="0" fontId="271" fillId="0" borderId="0" xfId="4839"/>
    <xf numFmtId="0" fontId="1" fillId="25" borderId="26" xfId="4840" applyFont="1" applyFill="1" applyBorder="1" applyAlignment="1">
      <alignment horizontal="center"/>
    </xf>
    <xf numFmtId="0" fontId="1" fillId="25" borderId="26" xfId="4841" applyFont="1" applyFill="1" applyBorder="1" applyAlignment="1">
      <alignment horizontal="center"/>
    </xf>
    <xf numFmtId="0" fontId="1" fillId="0" borderId="332" xfId="4840" applyFont="1" applyBorder="1" applyAlignment="1">
      <alignment wrapText="1"/>
    </xf>
    <xf numFmtId="195" fontId="274" fillId="0" borderId="333" xfId="4839" applyNumberFormat="1" applyFont="1" applyBorder="1" applyAlignment="1">
      <alignment vertical="center" wrapText="1"/>
    </xf>
    <xf numFmtId="0" fontId="274" fillId="0" borderId="333" xfId="4839" applyFont="1" applyBorder="1" applyAlignment="1">
      <alignment vertical="center" wrapText="1"/>
    </xf>
    <xf numFmtId="0" fontId="1" fillId="0" borderId="332" xfId="4839" applyFont="1" applyBorder="1" applyAlignment="1">
      <alignment wrapText="1"/>
    </xf>
    <xf numFmtId="0" fontId="1" fillId="0" borderId="334" xfId="4840" applyFont="1" applyBorder="1" applyAlignment="1">
      <alignment wrapText="1"/>
    </xf>
    <xf numFmtId="0" fontId="1" fillId="0" borderId="332" xfId="4841" applyFont="1" applyBorder="1" applyAlignment="1">
      <alignment wrapText="1"/>
    </xf>
    <xf numFmtId="0" fontId="1" fillId="0" borderId="335" xfId="4841" applyFont="1" applyBorder="1" applyAlignment="1">
      <alignment wrapText="1"/>
    </xf>
    <xf numFmtId="49" fontId="274" fillId="0" borderId="333" xfId="4839" applyNumberFormat="1" applyFont="1" applyBorder="1" applyAlignment="1">
      <alignment vertical="center" wrapText="1"/>
    </xf>
    <xf numFmtId="195" fontId="274" fillId="0" borderId="336" xfId="4839" applyNumberFormat="1" applyFont="1" applyBorder="1" applyAlignment="1">
      <alignment vertical="center" wrapText="1"/>
    </xf>
    <xf numFmtId="0" fontId="274" fillId="0" borderId="336" xfId="4839" applyFont="1" applyBorder="1" applyAlignment="1">
      <alignment vertical="center" wrapText="1"/>
    </xf>
    <xf numFmtId="195" fontId="274" fillId="0" borderId="336" xfId="4841" applyNumberFormat="1" applyFont="1" applyBorder="1" applyAlignment="1">
      <alignment vertical="center" wrapText="1"/>
    </xf>
    <xf numFmtId="195" fontId="1" fillId="0" borderId="332" xfId="4841" applyNumberFormat="1" applyFont="1" applyBorder="1" applyAlignment="1">
      <alignment wrapText="1"/>
    </xf>
    <xf numFmtId="0" fontId="0" fillId="0" borderId="0" xfId="0" applyFont="1" applyBorder="1" applyAlignment="1">
      <alignment horizontal="right"/>
    </xf>
    <xf numFmtId="185" fontId="204" fillId="0" borderId="0" xfId="123" applyNumberFormat="1" applyFont="1" applyFill="1" applyBorder="1" applyAlignment="1" applyProtection="1">
      <alignment horizontal="right"/>
    </xf>
    <xf numFmtId="185" fontId="204" fillId="107" borderId="0" xfId="123" applyNumberFormat="1" applyFont="1" applyFill="1" applyBorder="1" applyAlignment="1" applyProtection="1">
      <alignment horizontal="right"/>
    </xf>
    <xf numFmtId="0" fontId="0" fillId="107" borderId="0" xfId="0" applyFont="1" applyFill="1" applyBorder="1" applyAlignment="1">
      <alignment horizontal="right"/>
    </xf>
    <xf numFmtId="0" fontId="0" fillId="0" borderId="0" xfId="0" applyFont="1" applyFill="1" applyBorder="1" applyAlignment="1" applyProtection="1">
      <alignment horizontal="right"/>
    </xf>
    <xf numFmtId="0" fontId="0" fillId="29" borderId="260" xfId="0" applyFont="1" applyFill="1" applyBorder="1" applyAlignment="1" applyProtection="1">
      <alignment horizontal="right"/>
    </xf>
    <xf numFmtId="0" fontId="42" fillId="0" borderId="260" xfId="0" applyFont="1" applyFill="1" applyBorder="1" applyAlignment="1" applyProtection="1">
      <alignment horizontal="right" wrapText="1"/>
    </xf>
    <xf numFmtId="0" fontId="42" fillId="0" borderId="0" xfId="0" applyFont="1" applyBorder="1" applyAlignment="1" applyProtection="1">
      <alignment horizontal="right"/>
    </xf>
    <xf numFmtId="0" fontId="71" fillId="0" borderId="0" xfId="0" applyFont="1" applyBorder="1" applyAlignment="1">
      <alignment horizontal="right" wrapText="1"/>
    </xf>
    <xf numFmtId="4" fontId="208" fillId="0" borderId="0" xfId="129" applyNumberFormat="1" applyFont="1" applyFill="1" applyBorder="1" applyAlignment="1">
      <alignment horizontal="right" wrapText="1"/>
    </xf>
    <xf numFmtId="0" fontId="229" fillId="0" borderId="0" xfId="0" applyFont="1" applyBorder="1" applyAlignment="1">
      <alignment horizontal="right"/>
    </xf>
    <xf numFmtId="0" fontId="0" fillId="40" borderId="0" xfId="0" applyFont="1" applyFill="1" applyBorder="1" applyAlignment="1">
      <alignment horizontal="right"/>
    </xf>
    <xf numFmtId="4" fontId="208" fillId="40" borderId="0" xfId="129" applyNumberFormat="1" applyFont="1" applyFill="1" applyBorder="1" applyAlignment="1">
      <alignment horizontal="right" wrapText="1"/>
    </xf>
    <xf numFmtId="167" fontId="11" fillId="0" borderId="260" xfId="123" applyNumberFormat="1" applyFont="1" applyFill="1" applyBorder="1" applyAlignment="1">
      <alignment horizontal="right"/>
    </xf>
    <xf numFmtId="43" fontId="3" fillId="0" borderId="260" xfId="123" applyFont="1" applyFill="1" applyBorder="1" applyAlignment="1">
      <alignment horizontal="right"/>
    </xf>
    <xf numFmtId="43" fontId="11" fillId="0" borderId="0" xfId="123" applyFont="1" applyFill="1" applyBorder="1" applyAlignment="1">
      <alignment horizontal="right"/>
    </xf>
    <xf numFmtId="0" fontId="42" fillId="0" borderId="260" xfId="0" applyFont="1" applyFill="1" applyBorder="1" applyAlignment="1">
      <alignment horizontal="right" wrapText="1"/>
    </xf>
    <xf numFmtId="0" fontId="59" fillId="0" borderId="0" xfId="0" applyFont="1" applyBorder="1" applyAlignment="1" applyProtection="1">
      <alignment horizontal="right"/>
    </xf>
    <xf numFmtId="0" fontId="59" fillId="0" borderId="0" xfId="0" applyFont="1" applyFill="1" applyBorder="1" applyAlignment="1" applyProtection="1">
      <alignment horizontal="right"/>
    </xf>
    <xf numFmtId="167" fontId="191" fillId="0" borderId="0" xfId="123" applyNumberFormat="1" applyFont="1" applyFill="1" applyBorder="1" applyAlignment="1">
      <alignment horizontal="right"/>
    </xf>
    <xf numFmtId="43" fontId="191" fillId="0" borderId="0" xfId="123" applyFont="1" applyFill="1" applyBorder="1" applyAlignment="1">
      <alignment horizontal="right"/>
    </xf>
    <xf numFmtId="43" fontId="195" fillId="0" borderId="0" xfId="123" applyFont="1" applyFill="1" applyBorder="1" applyAlignment="1">
      <alignment horizontal="right" wrapText="1"/>
    </xf>
    <xf numFmtId="43" fontId="12" fillId="65" borderId="0" xfId="123" applyFont="1" applyFill="1" applyBorder="1" applyAlignment="1">
      <alignment horizontal="right"/>
    </xf>
    <xf numFmtId="167" fontId="40" fillId="0" borderId="0" xfId="123" applyNumberFormat="1" applyFont="1" applyFill="1" applyBorder="1" applyAlignment="1">
      <alignment horizontal="right"/>
    </xf>
    <xf numFmtId="43" fontId="191" fillId="46" borderId="0" xfId="123" applyFont="1" applyFill="1" applyBorder="1" applyAlignment="1">
      <alignment horizontal="right"/>
    </xf>
    <xf numFmtId="43" fontId="37" fillId="102" borderId="0" xfId="123" applyFont="1" applyFill="1" applyBorder="1" applyAlignment="1">
      <alignment horizontal="right" wrapText="1"/>
    </xf>
    <xf numFmtId="43" fontId="36" fillId="102" borderId="0" xfId="123" applyFont="1" applyFill="1" applyBorder="1" applyAlignment="1">
      <alignment horizontal="right"/>
    </xf>
    <xf numFmtId="0" fontId="0" fillId="0" borderId="0" xfId="0" applyFont="1" applyFill="1" applyBorder="1" applyAlignment="1">
      <alignment horizontal="right"/>
    </xf>
    <xf numFmtId="43" fontId="41" fillId="0" borderId="0" xfId="123" applyFont="1" applyFill="1" applyBorder="1" applyAlignment="1">
      <alignment horizontal="right"/>
    </xf>
    <xf numFmtId="167" fontId="40" fillId="0" borderId="0" xfId="123" applyNumberFormat="1" applyFont="1" applyAlignment="1">
      <alignment horizontal="center"/>
    </xf>
    <xf numFmtId="0" fontId="104" fillId="40" borderId="0" xfId="4839" applyFont="1" applyFill="1" applyAlignment="1">
      <alignment horizontal="center"/>
    </xf>
    <xf numFmtId="173" fontId="104" fillId="40" borderId="0" xfId="4839" applyNumberFormat="1" applyFont="1" applyFill="1" applyAlignment="1">
      <alignment horizontal="center"/>
    </xf>
    <xf numFmtId="49" fontId="3" fillId="40" borderId="73" xfId="4839" applyNumberFormat="1" applyFont="1" applyFill="1" applyBorder="1" applyAlignment="1">
      <alignment horizontal="right"/>
    </xf>
    <xf numFmtId="49" fontId="3" fillId="40" borderId="74" xfId="4839" applyNumberFormat="1" applyFont="1" applyFill="1" applyBorder="1" applyAlignment="1">
      <alignment horizontal="right"/>
    </xf>
    <xf numFmtId="0" fontId="3" fillId="40" borderId="322" xfId="4839" applyFont="1" applyFill="1" applyBorder="1" applyAlignment="1">
      <alignment horizontal="left"/>
    </xf>
    <xf numFmtId="0" fontId="271" fillId="40" borderId="323" xfId="4839" applyFill="1" applyBorder="1" applyAlignment="1">
      <alignment horizontal="left"/>
    </xf>
    <xf numFmtId="0" fontId="270" fillId="40" borderId="66" xfId="4839" applyFont="1" applyFill="1" applyBorder="1" applyAlignment="1">
      <alignment horizontal="center"/>
    </xf>
    <xf numFmtId="0" fontId="270" fillId="40" borderId="67" xfId="4839" applyFont="1" applyFill="1" applyBorder="1" applyAlignment="1">
      <alignment horizontal="center"/>
    </xf>
    <xf numFmtId="0" fontId="270" fillId="40" borderId="68" xfId="4839" applyFont="1" applyFill="1" applyBorder="1" applyAlignment="1">
      <alignment horizontal="center"/>
    </xf>
    <xf numFmtId="49" fontId="3" fillId="29" borderId="11" xfId="4839" applyNumberFormat="1" applyFont="1" applyFill="1" applyBorder="1" applyAlignment="1" applyProtection="1">
      <alignment horizontal="center"/>
      <protection locked="0"/>
    </xf>
    <xf numFmtId="0" fontId="3" fillId="29" borderId="11" xfId="4839" applyFont="1" applyFill="1" applyBorder="1" applyAlignment="1">
      <alignment horizontal="center" wrapText="1"/>
    </xf>
    <xf numFmtId="4" fontId="3" fillId="29" borderId="11" xfId="4839" applyNumberFormat="1" applyFont="1" applyFill="1" applyBorder="1" applyProtection="1">
      <protection locked="0"/>
    </xf>
    <xf numFmtId="0" fontId="3" fillId="40" borderId="0" xfId="4839" applyFont="1" applyFill="1" applyAlignment="1">
      <alignment horizontal="center"/>
    </xf>
    <xf numFmtId="195" fontId="5" fillId="29" borderId="11" xfId="4839" quotePrefix="1" applyNumberFormat="1" applyFont="1" applyFill="1" applyBorder="1" applyAlignment="1" applyProtection="1">
      <alignment horizontal="left"/>
      <protection locked="0"/>
    </xf>
    <xf numFmtId="0" fontId="271" fillId="29" borderId="11" xfId="4839" applyFill="1" applyBorder="1" applyProtection="1">
      <protection locked="0"/>
    </xf>
    <xf numFmtId="0" fontId="3" fillId="40" borderId="11" xfId="4839" applyFont="1" applyFill="1" applyBorder="1" applyAlignment="1">
      <alignment horizontal="center"/>
    </xf>
    <xf numFmtId="4" fontId="3" fillId="40" borderId="115" xfId="4839" applyNumberFormat="1" applyFont="1" applyFill="1" applyBorder="1"/>
    <xf numFmtId="49" fontId="3" fillId="29" borderId="11" xfId="4839" applyNumberFormat="1" applyFont="1" applyFill="1" applyBorder="1" applyAlignment="1" applyProtection="1">
      <alignment horizontal="left"/>
      <protection locked="0"/>
    </xf>
    <xf numFmtId="49" fontId="271" fillId="29" borderId="11" xfId="4839" applyNumberFormat="1" applyFill="1" applyBorder="1" applyProtection="1">
      <protection locked="0"/>
    </xf>
    <xf numFmtId="206" fontId="3" fillId="29" borderId="11" xfId="4839" applyNumberFormat="1" applyFont="1" applyFill="1" applyBorder="1" applyAlignment="1" applyProtection="1">
      <alignment horizontal="center"/>
      <protection locked="0"/>
    </xf>
    <xf numFmtId="39" fontId="9" fillId="40" borderId="0" xfId="4839" applyNumberFormat="1" applyFont="1" applyFill="1" applyAlignment="1">
      <alignment horizontal="center"/>
    </xf>
    <xf numFmtId="49" fontId="3" fillId="29" borderId="299" xfId="4839" applyNumberFormat="1" applyFont="1" applyFill="1" applyBorder="1" applyAlignment="1" applyProtection="1">
      <alignment horizontal="left" vertical="center" wrapText="1"/>
      <protection locked="0"/>
    </xf>
    <xf numFmtId="49" fontId="3" fillId="29" borderId="319" xfId="4839" applyNumberFormat="1" applyFont="1" applyFill="1" applyBorder="1" applyAlignment="1" applyProtection="1">
      <alignment horizontal="left" vertical="center" wrapText="1"/>
      <protection locked="0"/>
    </xf>
    <xf numFmtId="49" fontId="3" fillId="29" borderId="321" xfId="4839" applyNumberFormat="1" applyFont="1" applyFill="1" applyBorder="1" applyAlignment="1" applyProtection="1">
      <alignment horizontal="left" vertical="center" wrapText="1"/>
      <protection locked="0"/>
    </xf>
    <xf numFmtId="49" fontId="3" fillId="29" borderId="15" xfId="4839" applyNumberFormat="1" applyFont="1" applyFill="1" applyBorder="1" applyAlignment="1" applyProtection="1">
      <alignment horizontal="left" vertical="center" wrapText="1"/>
      <protection locked="0"/>
    </xf>
    <xf numFmtId="49" fontId="3" fillId="29" borderId="0" xfId="4839" applyNumberFormat="1" applyFont="1" applyFill="1" applyAlignment="1" applyProtection="1">
      <alignment horizontal="left" vertical="center" wrapText="1"/>
      <protection locked="0"/>
    </xf>
    <xf numFmtId="49" fontId="3" fillId="29" borderId="16" xfId="4839" applyNumberFormat="1" applyFont="1" applyFill="1" applyBorder="1" applyAlignment="1" applyProtection="1">
      <alignment horizontal="left" vertical="center" wrapText="1"/>
      <protection locked="0"/>
    </xf>
    <xf numFmtId="49" fontId="3" fillId="29" borderId="13" xfId="4839" applyNumberFormat="1" applyFont="1" applyFill="1" applyBorder="1" applyAlignment="1" applyProtection="1">
      <alignment horizontal="left" vertical="center" wrapText="1"/>
      <protection locked="0"/>
    </xf>
    <xf numFmtId="49" fontId="3" fillId="29" borderId="11" xfId="4839" applyNumberFormat="1" applyFont="1" applyFill="1" applyBorder="1" applyAlignment="1" applyProtection="1">
      <alignment horizontal="left" vertical="center" wrapText="1"/>
      <protection locked="0"/>
    </xf>
    <xf numFmtId="49" fontId="3" fillId="29" borderId="14" xfId="4839" applyNumberFormat="1" applyFont="1" applyFill="1" applyBorder="1" applyAlignment="1" applyProtection="1">
      <alignment horizontal="left" vertical="center" wrapText="1"/>
      <protection locked="0"/>
    </xf>
    <xf numFmtId="0" fontId="157" fillId="40" borderId="73" xfId="4839" applyFont="1" applyFill="1" applyBorder="1" applyAlignment="1">
      <alignment horizontal="center"/>
    </xf>
    <xf numFmtId="0" fontId="157" fillId="40" borderId="74" xfId="4839" applyFont="1" applyFill="1" applyBorder="1" applyAlignment="1">
      <alignment horizontal="center"/>
    </xf>
    <xf numFmtId="0" fontId="157" fillId="40" borderId="75" xfId="4839" applyFont="1" applyFill="1" applyBorder="1" applyAlignment="1">
      <alignment horizontal="center"/>
    </xf>
    <xf numFmtId="0" fontId="12" fillId="40" borderId="29" xfId="4839" applyFont="1" applyFill="1" applyBorder="1" applyAlignment="1">
      <alignment horizontal="center" vertical="center"/>
    </xf>
    <xf numFmtId="0" fontId="12" fillId="40" borderId="0" xfId="4839" applyFont="1" applyFill="1" applyAlignment="1">
      <alignment horizontal="center" vertical="center"/>
    </xf>
    <xf numFmtId="0" fontId="12" fillId="40" borderId="30" xfId="4839" applyFont="1" applyFill="1" applyBorder="1" applyAlignment="1">
      <alignment horizontal="center" vertical="center"/>
    </xf>
    <xf numFmtId="0" fontId="12" fillId="40" borderId="29" xfId="4839" applyFont="1" applyFill="1" applyBorder="1" applyAlignment="1">
      <alignment horizontal="center"/>
    </xf>
    <xf numFmtId="0" fontId="12" fillId="40" borderId="0" xfId="4839" applyFont="1" applyFill="1" applyAlignment="1">
      <alignment horizontal="center"/>
    </xf>
    <xf numFmtId="0" fontId="12" fillId="40" borderId="30" xfId="4839" applyFont="1" applyFill="1" applyBorder="1" applyAlignment="1">
      <alignment horizontal="center"/>
    </xf>
    <xf numFmtId="1" fontId="12" fillId="40" borderId="11" xfId="4839" applyNumberFormat="1" applyFont="1" applyFill="1" applyBorder="1" applyAlignment="1">
      <alignment horizontal="center"/>
    </xf>
    <xf numFmtId="1" fontId="12" fillId="40" borderId="83" xfId="4839" applyNumberFormat="1" applyFont="1" applyFill="1" applyBorder="1" applyAlignment="1">
      <alignment horizontal="center"/>
    </xf>
    <xf numFmtId="0" fontId="3" fillId="40" borderId="30" xfId="4839" applyFont="1" applyFill="1" applyBorder="1" applyAlignment="1">
      <alignment horizontal="center"/>
    </xf>
    <xf numFmtId="0" fontId="12" fillId="40" borderId="74" xfId="4839" applyFont="1" applyFill="1" applyBorder="1"/>
    <xf numFmtId="0" fontId="12" fillId="40" borderId="0" xfId="4839" applyFont="1" applyFill="1"/>
    <xf numFmtId="0" fontId="3" fillId="40" borderId="0" xfId="4839" quotePrefix="1" applyFont="1" applyFill="1"/>
    <xf numFmtId="0" fontId="3" fillId="40" borderId="319" xfId="4839" applyFont="1" applyFill="1" applyBorder="1" applyAlignment="1">
      <alignment wrapText="1"/>
    </xf>
    <xf numFmtId="0" fontId="3" fillId="40" borderId="0" xfId="4839" applyFont="1" applyFill="1" applyAlignment="1">
      <alignment wrapText="1"/>
    </xf>
    <xf numFmtId="0" fontId="63" fillId="40" borderId="0" xfId="4839" applyFont="1" applyFill="1" applyAlignment="1">
      <alignment wrapText="1"/>
    </xf>
    <xf numFmtId="0" fontId="63" fillId="40" borderId="0" xfId="4839" applyFont="1" applyFill="1" applyAlignment="1">
      <alignment vertical="center" wrapText="1"/>
    </xf>
    <xf numFmtId="0" fontId="9" fillId="40" borderId="324" xfId="4839" applyFont="1" applyFill="1" applyBorder="1" applyAlignment="1">
      <alignment horizontal="left" vertical="center" wrapText="1"/>
    </xf>
    <xf numFmtId="0" fontId="273" fillId="40" borderId="325" xfId="4839" applyFont="1" applyFill="1" applyBorder="1" applyAlignment="1">
      <alignment horizontal="left" vertical="center" wrapText="1"/>
    </xf>
    <xf numFmtId="0" fontId="273" fillId="40" borderId="326" xfId="4839" applyFont="1" applyFill="1" applyBorder="1" applyAlignment="1">
      <alignment horizontal="left" vertical="center" wrapText="1"/>
    </xf>
    <xf numFmtId="0" fontId="273" fillId="40" borderId="327" xfId="4839" applyFont="1" applyFill="1" applyBorder="1" applyAlignment="1">
      <alignment horizontal="left" vertical="center" wrapText="1"/>
    </xf>
    <xf numFmtId="0" fontId="273" fillId="40" borderId="0" xfId="4839" applyFont="1" applyFill="1" applyAlignment="1">
      <alignment horizontal="left" vertical="center" wrapText="1"/>
    </xf>
    <xf numFmtId="0" fontId="273" fillId="40" borderId="328" xfId="4839" applyFont="1" applyFill="1" applyBorder="1" applyAlignment="1">
      <alignment horizontal="left" vertical="center" wrapText="1"/>
    </xf>
    <xf numFmtId="0" fontId="273" fillId="40" borderId="329" xfId="4839" applyFont="1" applyFill="1" applyBorder="1" applyAlignment="1">
      <alignment horizontal="left" vertical="center" wrapText="1"/>
    </xf>
    <xf numFmtId="0" fontId="273" fillId="40" borderId="330" xfId="4839" applyFont="1" applyFill="1" applyBorder="1" applyAlignment="1">
      <alignment horizontal="left" vertical="center" wrapText="1"/>
    </xf>
    <xf numFmtId="0" fontId="273" fillId="40" borderId="331" xfId="4839" applyFont="1" applyFill="1" applyBorder="1" applyAlignment="1">
      <alignment horizontal="left" vertical="center" wrapText="1"/>
    </xf>
    <xf numFmtId="0" fontId="265" fillId="0" borderId="0" xfId="0" applyFont="1" applyBorder="1" applyAlignment="1">
      <alignment wrapText="1"/>
    </xf>
    <xf numFmtId="0" fontId="268" fillId="0" borderId="0" xfId="0" applyFont="1" applyBorder="1" applyAlignment="1">
      <alignment wrapText="1"/>
    </xf>
    <xf numFmtId="0" fontId="265" fillId="0" borderId="0" xfId="0" applyFont="1" applyAlignment="1">
      <alignment vertical="center" wrapText="1"/>
    </xf>
    <xf numFmtId="0" fontId="268" fillId="0" borderId="0" xfId="0" applyFont="1" applyAlignment="1">
      <alignment vertical="center" wrapText="1"/>
    </xf>
    <xf numFmtId="0" fontId="37" fillId="0" borderId="0" xfId="0" applyFont="1" applyFill="1" applyBorder="1" applyAlignment="1">
      <alignment horizontal="center"/>
    </xf>
    <xf numFmtId="39" fontId="19" fillId="0" borderId="0" xfId="65" applyNumberFormat="1" applyFont="1" applyFill="1" applyBorder="1" applyAlignment="1" applyProtection="1">
      <alignment horizontal="center"/>
    </xf>
    <xf numFmtId="40" fontId="3" fillId="0" borderId="12" xfId="65" applyNumberFormat="1" applyFill="1" applyBorder="1" applyAlignment="1" applyProtection="1">
      <alignment horizontal="right"/>
    </xf>
    <xf numFmtId="49" fontId="3" fillId="31" borderId="11" xfId="65" applyNumberFormat="1" applyFont="1" applyFill="1" applyBorder="1" applyAlignment="1" applyProtection="1">
      <alignment horizontal="left"/>
    </xf>
    <xf numFmtId="49" fontId="3" fillId="0" borderId="303" xfId="65" applyNumberFormat="1" applyFont="1" applyBorder="1" applyAlignment="1" applyProtection="1">
      <alignment horizontal="center"/>
    </xf>
    <xf numFmtId="49" fontId="3" fillId="31" borderId="251" xfId="65" applyNumberFormat="1" applyFont="1" applyFill="1" applyBorder="1" applyAlignment="1" applyProtection="1">
      <alignment horizontal="center"/>
    </xf>
    <xf numFmtId="0" fontId="9" fillId="0" borderId="0" xfId="65" applyFont="1" applyFill="1" applyBorder="1" applyAlignment="1" applyProtection="1">
      <alignment horizontal="center"/>
    </xf>
    <xf numFmtId="49" fontId="3" fillId="31" borderId="11" xfId="65" applyNumberFormat="1" applyFont="1" applyFill="1" applyBorder="1" applyAlignment="1" applyProtection="1">
      <alignment horizontal="center"/>
    </xf>
    <xf numFmtId="40" fontId="3" fillId="31" borderId="11" xfId="65" applyNumberFormat="1" applyFont="1" applyFill="1" applyBorder="1" applyAlignment="1" applyProtection="1">
      <alignment horizontal="right"/>
    </xf>
    <xf numFmtId="49" fontId="7" fillId="0" borderId="303" xfId="65" applyNumberFormat="1" applyFont="1" applyFill="1" applyBorder="1" applyAlignment="1" applyProtection="1">
      <alignment horizontal="center"/>
    </xf>
    <xf numFmtId="0" fontId="9" fillId="0" borderId="74" xfId="65" applyFont="1" applyBorder="1" applyAlignment="1" applyProtection="1">
      <alignment horizontal="center"/>
    </xf>
    <xf numFmtId="0" fontId="9" fillId="0" borderId="67" xfId="65" applyFont="1" applyBorder="1" applyAlignment="1" applyProtection="1">
      <alignment horizontal="center"/>
    </xf>
    <xf numFmtId="0" fontId="9" fillId="0" borderId="67" xfId="65" applyFont="1" applyBorder="1" applyAlignment="1" applyProtection="1">
      <alignment horizontal="center" wrapText="1"/>
    </xf>
    <xf numFmtId="0" fontId="9" fillId="59" borderId="11" xfId="65" applyFont="1" applyFill="1" applyBorder="1" applyAlignment="1" applyProtection="1">
      <alignment horizontal="center"/>
    </xf>
    <xf numFmtId="0" fontId="3" fillId="31" borderId="11" xfId="65" applyFont="1" applyFill="1" applyBorder="1" applyAlignment="1" applyProtection="1">
      <alignment horizontal="center"/>
    </xf>
    <xf numFmtId="0" fontId="3" fillId="0" borderId="0" xfId="65" applyFont="1" applyFill="1" applyBorder="1" applyAlignment="1" applyProtection="1">
      <alignment horizontal="center"/>
    </xf>
    <xf numFmtId="39" fontId="19" fillId="0" borderId="303" xfId="65" applyNumberFormat="1" applyFont="1" applyFill="1" applyBorder="1" applyAlignment="1" applyProtection="1">
      <alignment horizontal="center"/>
    </xf>
    <xf numFmtId="40" fontId="3" fillId="0" borderId="115" xfId="65" applyNumberFormat="1" applyFill="1" applyBorder="1" applyAlignment="1" applyProtection="1">
      <alignment horizontal="right"/>
    </xf>
    <xf numFmtId="0" fontId="3" fillId="0" borderId="303" xfId="65" applyFont="1" applyBorder="1" applyAlignment="1" applyProtection="1">
      <alignment horizontal="center"/>
    </xf>
    <xf numFmtId="0" fontId="7" fillId="0" borderId="303" xfId="65" applyFont="1" applyFill="1" applyBorder="1" applyAlignment="1" applyProtection="1">
      <alignment horizontal="center"/>
    </xf>
    <xf numFmtId="0" fontId="9" fillId="59" borderId="251" xfId="65" applyFont="1" applyFill="1" applyBorder="1" applyAlignment="1" applyProtection="1">
      <alignment horizontal="center"/>
    </xf>
    <xf numFmtId="40" fontId="3" fillId="0" borderId="115" xfId="65" applyNumberFormat="1" applyFont="1" applyFill="1" applyBorder="1" applyAlignment="1" applyProtection="1">
      <alignment horizontal="right"/>
    </xf>
    <xf numFmtId="39" fontId="9" fillId="0" borderId="67" xfId="65" applyNumberFormat="1" applyFont="1" applyBorder="1" applyAlignment="1" applyProtection="1">
      <alignment horizontal="center"/>
    </xf>
    <xf numFmtId="49" fontId="9" fillId="31" borderId="11" xfId="65" applyNumberFormat="1" applyFont="1" applyFill="1" applyBorder="1" applyAlignment="1" applyProtection="1">
      <alignment horizontal="center"/>
    </xf>
    <xf numFmtId="40" fontId="9" fillId="31" borderId="11" xfId="65" applyNumberFormat="1" applyFont="1" applyFill="1" applyBorder="1" applyAlignment="1" applyProtection="1">
      <alignment horizontal="right"/>
    </xf>
    <xf numFmtId="39" fontId="3" fillId="0" borderId="0" xfId="65" applyNumberFormat="1" applyFill="1" applyBorder="1" applyAlignment="1" applyProtection="1">
      <alignment horizontal="right"/>
    </xf>
    <xf numFmtId="40" fontId="3" fillId="0" borderId="0" xfId="65" applyNumberFormat="1" applyFont="1" applyFill="1" applyBorder="1" applyAlignment="1" applyProtection="1">
      <alignment horizontal="center"/>
    </xf>
    <xf numFmtId="39" fontId="3" fillId="0" borderId="0" xfId="65" applyNumberFormat="1" applyFill="1" applyBorder="1" applyAlignment="1" applyProtection="1">
      <alignment horizontal="center"/>
    </xf>
    <xf numFmtId="40" fontId="3" fillId="0" borderId="11" xfId="65" applyNumberFormat="1" applyFill="1" applyBorder="1" applyAlignment="1" applyProtection="1">
      <alignment horizontal="right"/>
    </xf>
    <xf numFmtId="0" fontId="162" fillId="0" borderId="0" xfId="65" applyFont="1" applyFill="1" applyBorder="1" applyAlignment="1" applyProtection="1">
      <alignment horizontal="center"/>
    </xf>
    <xf numFmtId="40" fontId="3" fillId="0" borderId="11" xfId="65" applyNumberFormat="1" applyFont="1" applyFill="1" applyBorder="1" applyAlignment="1" applyProtection="1">
      <alignment horizontal="right"/>
    </xf>
    <xf numFmtId="40" fontId="3" fillId="0" borderId="303" xfId="65" quotePrefix="1" applyNumberFormat="1" applyBorder="1" applyAlignment="1" applyProtection="1">
      <alignment horizontal="right"/>
    </xf>
    <xf numFmtId="40" fontId="3" fillId="0" borderId="303" xfId="65" applyNumberFormat="1" applyFont="1" applyBorder="1" applyAlignment="1" applyProtection="1">
      <alignment horizontal="right"/>
    </xf>
    <xf numFmtId="40" fontId="3" fillId="0" borderId="303" xfId="65" applyNumberFormat="1" applyFont="1" applyFill="1" applyBorder="1" applyAlignment="1" applyProtection="1">
      <alignment horizontal="right"/>
    </xf>
    <xf numFmtId="40" fontId="9" fillId="0" borderId="74" xfId="65" applyNumberFormat="1" applyFont="1" applyBorder="1" applyAlignment="1" applyProtection="1">
      <alignment horizontal="center"/>
    </xf>
    <xf numFmtId="40" fontId="9" fillId="0" borderId="303" xfId="65" applyNumberFormat="1" applyFont="1" applyFill="1" applyBorder="1" applyAlignment="1" applyProtection="1">
      <alignment horizontal="right"/>
    </xf>
    <xf numFmtId="39" fontId="11" fillId="0" borderId="0" xfId="65" applyNumberFormat="1" applyFont="1" applyFill="1" applyBorder="1" applyAlignment="1" applyProtection="1"/>
    <xf numFmtId="39" fontId="3" fillId="0" borderId="0" xfId="65" applyNumberFormat="1" applyFill="1" applyBorder="1" applyAlignment="1" applyProtection="1"/>
    <xf numFmtId="0" fontId="3" fillId="0" borderId="0" xfId="65" applyFill="1" applyBorder="1" applyAlignment="1" applyProtection="1">
      <alignment horizontal="right"/>
    </xf>
    <xf numFmtId="0" fontId="9" fillId="0" borderId="0" xfId="65" applyFont="1" applyAlignment="1" applyProtection="1"/>
    <xf numFmtId="0" fontId="3" fillId="0" borderId="0" xfId="65" applyAlignment="1" applyProtection="1"/>
    <xf numFmtId="0" fontId="100" fillId="59" borderId="11" xfId="65" applyNumberFormat="1" applyFont="1" applyFill="1" applyBorder="1" applyAlignment="1" applyProtection="1">
      <alignment horizontal="left"/>
    </xf>
    <xf numFmtId="0" fontId="9" fillId="0" borderId="0" xfId="65" applyFont="1" applyAlignment="1" applyProtection="1">
      <alignment wrapText="1"/>
    </xf>
    <xf numFmtId="0" fontId="3" fillId="0" borderId="0" xfId="65" applyAlignment="1" applyProtection="1">
      <alignment wrapText="1"/>
    </xf>
    <xf numFmtId="0" fontId="9" fillId="0" borderId="0" xfId="65" applyFont="1" applyAlignment="1" applyProtection="1">
      <alignment vertical="center" wrapText="1"/>
    </xf>
    <xf numFmtId="0" fontId="3" fillId="0" borderId="0" xfId="65" applyAlignment="1" applyProtection="1">
      <alignment vertical="center" wrapText="1"/>
    </xf>
    <xf numFmtId="0" fontId="9" fillId="0" borderId="0" xfId="65" applyFont="1" applyBorder="1" applyAlignment="1" applyProtection="1">
      <alignment horizontal="center"/>
    </xf>
    <xf numFmtId="0" fontId="104" fillId="0" borderId="0" xfId="65" applyFont="1" applyAlignment="1" applyProtection="1">
      <alignment horizontal="center"/>
    </xf>
    <xf numFmtId="0" fontId="104" fillId="0" borderId="0" xfId="65" applyNumberFormat="1" applyFont="1" applyAlignment="1" applyProtection="1">
      <alignment horizontal="right"/>
    </xf>
    <xf numFmtId="0" fontId="9" fillId="0" borderId="0" xfId="65" applyFont="1" applyAlignment="1" applyProtection="1">
      <alignment horizontal="left"/>
    </xf>
    <xf numFmtId="0" fontId="100" fillId="59" borderId="11" xfId="65" applyFont="1" applyFill="1" applyBorder="1" applyAlignment="1" applyProtection="1">
      <alignment horizontal="left"/>
    </xf>
    <xf numFmtId="4" fontId="5" fillId="0" borderId="0" xfId="123" applyNumberFormat="1" applyFont="1" applyAlignment="1" applyProtection="1"/>
    <xf numFmtId="4" fontId="85" fillId="0" borderId="0" xfId="123" applyNumberFormat="1" applyFont="1" applyAlignment="1" applyProtection="1"/>
    <xf numFmtId="43" fontId="3" fillId="59" borderId="258" xfId="123" applyFont="1" applyFill="1" applyBorder="1" applyAlignment="1" applyProtection="1">
      <alignment horizontal="center"/>
    </xf>
    <xf numFmtId="43" fontId="3" fillId="31" borderId="258" xfId="123" applyFont="1" applyFill="1" applyBorder="1" applyAlignment="1" applyProtection="1">
      <alignment horizontal="center"/>
    </xf>
    <xf numFmtId="43" fontId="3" fillId="59" borderId="11" xfId="123" applyFont="1" applyFill="1" applyBorder="1" applyAlignment="1" applyProtection="1">
      <alignment horizontal="center"/>
    </xf>
    <xf numFmtId="49" fontId="3" fillId="0" borderId="0" xfId="65" applyNumberFormat="1" applyFont="1" applyAlignment="1" applyProtection="1">
      <alignment wrapText="1"/>
    </xf>
    <xf numFmtId="49" fontId="3" fillId="0" borderId="0" xfId="65" applyNumberFormat="1" applyAlignment="1" applyProtection="1">
      <alignment wrapText="1"/>
    </xf>
    <xf numFmtId="43" fontId="3" fillId="62" borderId="258" xfId="123" applyFont="1" applyFill="1" applyBorder="1" applyAlignment="1" applyProtection="1">
      <alignment horizontal="center"/>
    </xf>
    <xf numFmtId="43" fontId="3" fillId="62" borderId="11" xfId="123" applyFont="1" applyFill="1" applyBorder="1" applyAlignment="1" applyProtection="1">
      <alignment horizontal="center"/>
    </xf>
    <xf numFmtId="199" fontId="169" fillId="0" borderId="0" xfId="65" applyNumberFormat="1" applyFont="1" applyFill="1" applyBorder="1" applyAlignment="1" applyProtection="1">
      <alignment horizontal="center"/>
    </xf>
    <xf numFmtId="43" fontId="3" fillId="31" borderId="11" xfId="123" applyFont="1" applyFill="1" applyBorder="1" applyAlignment="1" applyProtection="1">
      <alignment horizontal="center"/>
    </xf>
    <xf numFmtId="43" fontId="3" fillId="62" borderId="0" xfId="123" applyFont="1" applyFill="1" applyBorder="1" applyAlignment="1" applyProtection="1">
      <alignment horizontal="center"/>
    </xf>
    <xf numFmtId="0" fontId="3" fillId="0" borderId="0" xfId="65" applyFont="1" applyAlignment="1" applyProtection="1">
      <alignment vertical="center"/>
    </xf>
    <xf numFmtId="43" fontId="3" fillId="62" borderId="303" xfId="123" applyFont="1" applyFill="1" applyBorder="1" applyAlignment="1" applyProtection="1">
      <alignment horizontal="center"/>
    </xf>
    <xf numFmtId="43" fontId="3" fillId="59" borderId="303" xfId="123" applyFont="1" applyFill="1" applyBorder="1" applyAlignment="1" applyProtection="1">
      <alignment horizontal="center"/>
    </xf>
    <xf numFmtId="43" fontId="3" fillId="0" borderId="303" xfId="123" applyFont="1" applyBorder="1" applyAlignment="1" applyProtection="1">
      <alignment horizontal="center"/>
    </xf>
    <xf numFmtId="43" fontId="3" fillId="0" borderId="11" xfId="123" applyFont="1" applyBorder="1" applyAlignment="1" applyProtection="1">
      <alignment horizontal="center"/>
    </xf>
    <xf numFmtId="43" fontId="3" fillId="31" borderId="303" xfId="123" applyFont="1" applyFill="1" applyBorder="1" applyAlignment="1" applyProtection="1">
      <alignment horizontal="center"/>
    </xf>
    <xf numFmtId="43" fontId="3" fillId="31" borderId="303" xfId="123" quotePrefix="1" applyFont="1" applyFill="1" applyBorder="1" applyAlignment="1" applyProtection="1">
      <alignment horizontal="center"/>
    </xf>
    <xf numFmtId="49" fontId="3" fillId="0" borderId="0" xfId="65" applyNumberFormat="1" applyAlignment="1" applyProtection="1">
      <alignment horizontal="center"/>
    </xf>
    <xf numFmtId="49" fontId="3" fillId="0" borderId="11" xfId="65" applyNumberFormat="1" applyFont="1" applyBorder="1" applyAlignment="1" applyProtection="1">
      <alignment horizontal="center"/>
    </xf>
    <xf numFmtId="0" fontId="3" fillId="0" borderId="11" xfId="65" applyBorder="1" applyAlignment="1" applyProtection="1">
      <alignment horizontal="center"/>
    </xf>
    <xf numFmtId="0" fontId="3" fillId="0" borderId="0" xfId="65" applyFont="1" applyBorder="1" applyAlignment="1" applyProtection="1">
      <alignment horizontal="center"/>
    </xf>
    <xf numFmtId="0" fontId="3" fillId="0" borderId="0" xfId="65" quotePrefix="1" applyFont="1" applyBorder="1" applyAlignment="1" applyProtection="1">
      <alignment horizontal="center"/>
    </xf>
    <xf numFmtId="49" fontId="3" fillId="0" borderId="11" xfId="65" applyNumberFormat="1" applyBorder="1" applyAlignment="1" applyProtection="1">
      <alignment horizontal="center"/>
    </xf>
    <xf numFmtId="0" fontId="9" fillId="0" borderId="0" xfId="65" applyFont="1" applyAlignment="1" applyProtection="1">
      <alignment horizontal="center"/>
    </xf>
    <xf numFmtId="0" fontId="3" fillId="0" borderId="0" xfId="65" applyFont="1" applyAlignment="1" applyProtection="1">
      <alignment horizontal="center"/>
    </xf>
    <xf numFmtId="0" fontId="145" fillId="0" borderId="0" xfId="65" applyFont="1" applyAlignment="1" applyProtection="1">
      <alignment horizontal="center"/>
    </xf>
    <xf numFmtId="0" fontId="9" fillId="0" borderId="0" xfId="65" quotePrefix="1" applyFont="1" applyBorder="1" applyAlignment="1" applyProtection="1">
      <alignment horizontal="center"/>
    </xf>
    <xf numFmtId="0" fontId="104" fillId="59" borderId="11" xfId="65" applyFont="1" applyFill="1" applyBorder="1" applyAlignment="1" applyProtection="1">
      <alignment horizontal="left"/>
    </xf>
    <xf numFmtId="0" fontId="9" fillId="0" borderId="11" xfId="65" applyFont="1" applyBorder="1" applyAlignment="1" applyProtection="1"/>
    <xf numFmtId="0" fontId="5" fillId="0" borderId="0" xfId="65" applyFont="1" applyFill="1" applyBorder="1" applyAlignment="1" applyProtection="1">
      <alignment horizontal="center"/>
    </xf>
    <xf numFmtId="195" fontId="104" fillId="59" borderId="11" xfId="65" applyNumberFormat="1" applyFont="1" applyFill="1" applyBorder="1" applyAlignment="1" applyProtection="1">
      <alignment horizontal="left"/>
    </xf>
    <xf numFmtId="195" fontId="9" fillId="0" borderId="11" xfId="65" applyNumberFormat="1" applyFont="1" applyBorder="1" applyAlignment="1" applyProtection="1"/>
    <xf numFmtId="49" fontId="104" fillId="0" borderId="0" xfId="65" applyNumberFormat="1" applyFont="1" applyAlignment="1" applyProtection="1">
      <alignment horizontal="center"/>
    </xf>
    <xf numFmtId="0" fontId="104" fillId="0" borderId="0" xfId="65" applyNumberFormat="1" applyFont="1" applyAlignment="1" applyProtection="1">
      <alignment horizontal="left"/>
    </xf>
    <xf numFmtId="4" fontId="3" fillId="46" borderId="124" xfId="0" applyNumberFormat="1" applyFont="1" applyFill="1" applyBorder="1" applyAlignment="1" applyProtection="1">
      <alignment horizontal="center"/>
    </xf>
    <xf numFmtId="0" fontId="3" fillId="46" borderId="125" xfId="0" applyFont="1" applyFill="1" applyBorder="1" applyAlignment="1" applyProtection="1">
      <alignment horizontal="center"/>
    </xf>
    <xf numFmtId="0" fontId="3" fillId="46" borderId="126" xfId="0" applyFont="1" applyFill="1" applyBorder="1" applyAlignment="1" applyProtection="1">
      <alignment horizontal="center"/>
    </xf>
    <xf numFmtId="173" fontId="3" fillId="46" borderId="127" xfId="0" applyNumberFormat="1" applyFont="1" applyFill="1" applyBorder="1" applyAlignment="1" applyProtection="1">
      <alignment horizontal="center"/>
    </xf>
    <xf numFmtId="0" fontId="3" fillId="46" borderId="0" xfId="0" applyNumberFormat="1" applyFont="1" applyFill="1" applyBorder="1" applyAlignment="1" applyProtection="1">
      <alignment horizontal="center"/>
    </xf>
    <xf numFmtId="0" fontId="3" fillId="46" borderId="128" xfId="0" applyNumberFormat="1" applyFont="1" applyFill="1" applyBorder="1" applyAlignment="1" applyProtection="1">
      <alignment horizontal="center"/>
    </xf>
    <xf numFmtId="0" fontId="9" fillId="47" borderId="288" xfId="0" applyFont="1" applyFill="1" applyBorder="1" applyAlignment="1" applyProtection="1">
      <alignment horizontal="center"/>
    </xf>
    <xf numFmtId="0" fontId="9" fillId="47" borderId="303" xfId="0" applyFont="1" applyFill="1" applyBorder="1" applyAlignment="1" applyProtection="1">
      <alignment horizontal="center"/>
    </xf>
    <xf numFmtId="0" fontId="9" fillId="47" borderId="308" xfId="0" applyFont="1" applyFill="1" applyBorder="1" applyAlignment="1" applyProtection="1">
      <alignment horizontal="center"/>
    </xf>
    <xf numFmtId="4" fontId="74" fillId="40" borderId="0" xfId="61" applyNumberFormat="1" applyFont="1" applyFill="1" applyBorder="1" applyAlignment="1" applyProtection="1">
      <alignment horizontal="center"/>
    </xf>
    <xf numFmtId="0" fontId="74" fillId="40" borderId="0" xfId="0" applyFont="1" applyFill="1" applyAlignment="1" applyProtection="1">
      <alignment horizontal="center" vertical="center"/>
    </xf>
    <xf numFmtId="0" fontId="75" fillId="40" borderId="0" xfId="61" applyNumberFormat="1" applyFont="1" applyFill="1" applyBorder="1" applyAlignment="1" applyProtection="1">
      <alignment horizontal="center"/>
    </xf>
    <xf numFmtId="173" fontId="75" fillId="40" borderId="0" xfId="61" applyNumberFormat="1" applyFont="1" applyFill="1" applyBorder="1" applyAlignment="1" applyProtection="1">
      <alignment horizontal="center"/>
    </xf>
    <xf numFmtId="0" fontId="117" fillId="31" borderId="0" xfId="0" applyFont="1" applyFill="1" applyAlignment="1" applyProtection="1">
      <alignment horizontal="left" wrapText="1"/>
      <protection locked="0"/>
    </xf>
    <xf numFmtId="0" fontId="3" fillId="31" borderId="137" xfId="0" applyFont="1" applyFill="1" applyBorder="1" applyAlignment="1" applyProtection="1">
      <alignment horizontal="center"/>
      <protection locked="0"/>
    </xf>
    <xf numFmtId="0" fontId="3" fillId="31" borderId="138" xfId="0" applyFont="1" applyFill="1" applyBorder="1" applyAlignment="1" applyProtection="1">
      <alignment horizontal="center"/>
      <protection locked="0"/>
    </xf>
    <xf numFmtId="0" fontId="3" fillId="31" borderId="139" xfId="0" applyFont="1" applyFill="1" applyBorder="1" applyAlignment="1" applyProtection="1">
      <alignment horizontal="center"/>
      <protection locked="0"/>
    </xf>
    <xf numFmtId="0" fontId="100" fillId="40" borderId="124" xfId="0" applyFont="1" applyFill="1" applyBorder="1" applyAlignment="1" applyProtection="1">
      <alignment horizontal="center" wrapText="1"/>
    </xf>
    <xf numFmtId="0" fontId="100" fillId="40" borderId="125" xfId="0" applyFont="1" applyFill="1" applyBorder="1" applyAlignment="1" applyProtection="1">
      <alignment horizontal="center" wrapText="1"/>
    </xf>
    <xf numFmtId="0" fontId="100" fillId="40" borderId="126" xfId="0" applyFont="1" applyFill="1" applyBorder="1" applyAlignment="1" applyProtection="1">
      <alignment horizontal="center" wrapText="1"/>
    </xf>
    <xf numFmtId="0" fontId="100" fillId="40" borderId="127" xfId="0" applyFont="1" applyFill="1" applyBorder="1" applyAlignment="1" applyProtection="1">
      <alignment horizontal="center" wrapText="1"/>
    </xf>
    <xf numFmtId="0" fontId="100" fillId="40" borderId="0" xfId="0" applyFont="1" applyFill="1" applyBorder="1" applyAlignment="1" applyProtection="1">
      <alignment horizontal="center" wrapText="1"/>
    </xf>
    <xf numFmtId="0" fontId="100" fillId="40" borderId="128" xfId="0" applyFont="1" applyFill="1" applyBorder="1" applyAlignment="1" applyProtection="1">
      <alignment horizontal="center" wrapText="1"/>
    </xf>
    <xf numFmtId="43" fontId="0" fillId="40" borderId="0" xfId="123" applyFont="1" applyFill="1" applyAlignment="1" applyProtection="1">
      <alignment horizontal="center"/>
    </xf>
    <xf numFmtId="0" fontId="37" fillId="40" borderId="140" xfId="0" applyFont="1" applyFill="1" applyBorder="1" applyAlignment="1" applyProtection="1">
      <alignment horizontal="center"/>
    </xf>
    <xf numFmtId="0" fontId="37" fillId="40" borderId="130" xfId="0" applyFont="1" applyFill="1" applyBorder="1" applyAlignment="1" applyProtection="1">
      <alignment horizontal="center"/>
    </xf>
    <xf numFmtId="0" fontId="3" fillId="40" borderId="127" xfId="0" applyFont="1" applyFill="1" applyBorder="1" applyAlignment="1" applyProtection="1">
      <alignment horizontal="center" wrapText="1"/>
    </xf>
    <xf numFmtId="0" fontId="3" fillId="40" borderId="0" xfId="0" applyFont="1" applyFill="1" applyBorder="1" applyAlignment="1" applyProtection="1">
      <alignment horizontal="center" wrapText="1"/>
    </xf>
    <xf numFmtId="0" fontId="3" fillId="40" borderId="128" xfId="0" applyFont="1" applyFill="1" applyBorder="1" applyAlignment="1" applyProtection="1">
      <alignment horizontal="center" wrapText="1"/>
    </xf>
    <xf numFmtId="0" fontId="3" fillId="40" borderId="131" xfId="0" applyFont="1" applyFill="1" applyBorder="1" applyAlignment="1" applyProtection="1">
      <alignment horizontal="center" wrapText="1"/>
    </xf>
    <xf numFmtId="0" fontId="3" fillId="40" borderId="132" xfId="0" applyFont="1" applyFill="1" applyBorder="1" applyAlignment="1" applyProtection="1">
      <alignment horizontal="center" wrapText="1"/>
    </xf>
    <xf numFmtId="0" fontId="3" fillId="40" borderId="141" xfId="0" applyFont="1" applyFill="1" applyBorder="1" applyAlignment="1" applyProtection="1">
      <alignment horizontal="center" wrapText="1"/>
    </xf>
    <xf numFmtId="0" fontId="3" fillId="40" borderId="127" xfId="0" applyFont="1" applyFill="1" applyBorder="1" applyAlignment="1" applyProtection="1">
      <alignment horizontal="right" wrapText="1"/>
    </xf>
    <xf numFmtId="0" fontId="3" fillId="40" borderId="0" xfId="0" applyFont="1" applyFill="1" applyBorder="1" applyAlignment="1" applyProtection="1">
      <alignment horizontal="right" wrapText="1"/>
    </xf>
    <xf numFmtId="0" fontId="9" fillId="47" borderId="127" xfId="0" applyFont="1" applyFill="1" applyBorder="1" applyAlignment="1" applyProtection="1">
      <alignment horizontal="center" wrapText="1"/>
    </xf>
    <xf numFmtId="0" fontId="9" fillId="47" borderId="0" xfId="0" applyFont="1" applyFill="1" applyBorder="1" applyAlignment="1" applyProtection="1">
      <alignment horizontal="center" wrapText="1"/>
    </xf>
    <xf numFmtId="0" fontId="9" fillId="47" borderId="128" xfId="0" applyFont="1" applyFill="1" applyBorder="1" applyAlignment="1" applyProtection="1">
      <alignment horizontal="center" wrapText="1"/>
    </xf>
    <xf numFmtId="0" fontId="9" fillId="47" borderId="133" xfId="0" applyFont="1" applyFill="1" applyBorder="1" applyAlignment="1" applyProtection="1">
      <alignment horizontal="center" wrapText="1"/>
    </xf>
    <xf numFmtId="0" fontId="9" fillId="47" borderId="117" xfId="0" applyFont="1" applyFill="1" applyBorder="1" applyAlignment="1" applyProtection="1">
      <alignment horizontal="center" wrapText="1"/>
    </xf>
    <xf numFmtId="0" fontId="9" fillId="47" borderId="134" xfId="0" applyFont="1" applyFill="1" applyBorder="1" applyAlignment="1" applyProtection="1">
      <alignment horizontal="center" wrapText="1"/>
    </xf>
    <xf numFmtId="0" fontId="42" fillId="0" borderId="0" xfId="0" applyFont="1" applyAlignment="1">
      <alignment horizontal="right" wrapText="1"/>
    </xf>
    <xf numFmtId="173" fontId="75" fillId="40" borderId="0" xfId="61" applyNumberFormat="1" applyFont="1" applyFill="1" applyBorder="1" applyAlignment="1">
      <alignment horizontal="center"/>
    </xf>
    <xf numFmtId="0" fontId="3" fillId="40" borderId="0" xfId="0" applyFont="1" applyFill="1" applyBorder="1" applyAlignment="1" applyProtection="1">
      <alignment horizontal="center"/>
      <protection locked="0"/>
    </xf>
    <xf numFmtId="0" fontId="3" fillId="24" borderId="11" xfId="0" applyFont="1" applyFill="1" applyBorder="1" applyAlignment="1" applyProtection="1">
      <alignment horizontal="center"/>
      <protection locked="0"/>
    </xf>
    <xf numFmtId="4" fontId="74" fillId="40" borderId="0" xfId="61" applyNumberFormat="1" applyFont="1" applyFill="1" applyBorder="1" applyAlignment="1">
      <alignment horizontal="center"/>
    </xf>
    <xf numFmtId="0" fontId="74" fillId="40" borderId="0" xfId="0" applyFont="1" applyFill="1" applyAlignment="1">
      <alignment horizontal="center" vertical="center"/>
    </xf>
    <xf numFmtId="0" fontId="75" fillId="40" borderId="0" xfId="61" applyNumberFormat="1" applyFont="1" applyFill="1" applyBorder="1" applyAlignment="1">
      <alignment horizontal="center"/>
    </xf>
    <xf numFmtId="0" fontId="87" fillId="40" borderId="29" xfId="0" applyFont="1" applyFill="1" applyBorder="1" applyAlignment="1">
      <alignment horizontal="center"/>
    </xf>
    <xf numFmtId="0" fontId="87" fillId="40" borderId="0" xfId="0" applyFont="1" applyFill="1" applyBorder="1" applyAlignment="1">
      <alignment horizontal="center"/>
    </xf>
    <xf numFmtId="0" fontId="87" fillId="40" borderId="30" xfId="0" applyFont="1" applyFill="1" applyBorder="1" applyAlignment="1">
      <alignment horizontal="center"/>
    </xf>
    <xf numFmtId="49" fontId="42" fillId="31" borderId="0" xfId="0" applyNumberFormat="1" applyFont="1" applyFill="1" applyBorder="1" applyAlignment="1" applyProtection="1">
      <alignment horizontal="left"/>
      <protection locked="0"/>
    </xf>
    <xf numFmtId="0" fontId="46" fillId="40" borderId="0" xfId="0" applyFont="1" applyFill="1" applyBorder="1" applyAlignment="1">
      <alignment horizontal="distributed" justifyLastLine="1"/>
    </xf>
    <xf numFmtId="0" fontId="46" fillId="40" borderId="0" xfId="0" applyFont="1" applyFill="1" applyBorder="1" applyAlignment="1">
      <alignment horizontal="left"/>
    </xf>
    <xf numFmtId="0" fontId="42" fillId="29" borderId="29" xfId="0" applyFont="1" applyFill="1" applyBorder="1" applyAlignment="1">
      <alignment horizontal="center"/>
    </xf>
    <xf numFmtId="0" fontId="42" fillId="29" borderId="0" xfId="0" applyFont="1" applyFill="1" applyBorder="1" applyAlignment="1">
      <alignment horizontal="center"/>
    </xf>
    <xf numFmtId="0" fontId="42" fillId="29" borderId="30" xfId="0" applyFont="1" applyFill="1" applyBorder="1" applyAlignment="1">
      <alignment horizontal="center"/>
    </xf>
    <xf numFmtId="0" fontId="42" fillId="46" borderId="73" xfId="0" applyFont="1" applyFill="1" applyBorder="1" applyAlignment="1">
      <alignment horizontal="center"/>
    </xf>
    <xf numFmtId="0" fontId="42" fillId="46" borderId="74" xfId="0" applyFont="1" applyFill="1" applyBorder="1" applyAlignment="1">
      <alignment horizontal="center"/>
    </xf>
    <xf numFmtId="0" fontId="42" fillId="46" borderId="75" xfId="0" applyFont="1" applyFill="1" applyBorder="1" applyAlignment="1">
      <alignment horizontal="center"/>
    </xf>
    <xf numFmtId="49" fontId="42" fillId="46" borderId="66" xfId="0" applyNumberFormat="1" applyFont="1" applyFill="1" applyBorder="1" applyAlignment="1">
      <alignment horizontal="center"/>
    </xf>
    <xf numFmtId="0" fontId="42" fillId="46" borderId="67" xfId="0" applyFont="1" applyFill="1" applyBorder="1" applyAlignment="1">
      <alignment horizontal="center"/>
    </xf>
    <xf numFmtId="0" fontId="42" fillId="46" borderId="68" xfId="0" applyFont="1" applyFill="1" applyBorder="1" applyAlignment="1">
      <alignment horizontal="center"/>
    </xf>
    <xf numFmtId="0" fontId="57" fillId="47" borderId="66" xfId="0" applyFont="1" applyFill="1" applyBorder="1" applyAlignment="1">
      <alignment horizontal="center"/>
    </xf>
    <xf numFmtId="0" fontId="57" fillId="47" borderId="67" xfId="0" applyFont="1" applyFill="1" applyBorder="1" applyAlignment="1">
      <alignment horizontal="center"/>
    </xf>
    <xf numFmtId="0" fontId="57" fillId="47" borderId="68" xfId="0" applyFont="1" applyFill="1" applyBorder="1" applyAlignment="1">
      <alignment horizontal="center"/>
    </xf>
    <xf numFmtId="0" fontId="60" fillId="40" borderId="0" xfId="0" applyFont="1" applyFill="1" applyAlignment="1">
      <alignment horizontal="center"/>
    </xf>
    <xf numFmtId="173" fontId="60" fillId="40" borderId="0" xfId="0" applyNumberFormat="1" applyFont="1" applyFill="1" applyAlignment="1">
      <alignment horizontal="center"/>
    </xf>
    <xf numFmtId="0" fontId="57" fillId="47" borderId="84" xfId="0" applyFont="1" applyFill="1" applyBorder="1" applyAlignment="1" applyProtection="1">
      <alignment horizontal="center"/>
    </xf>
    <xf numFmtId="0" fontId="57" fillId="47" borderId="11" xfId="0" applyFont="1" applyFill="1" applyBorder="1" applyAlignment="1" applyProtection="1">
      <alignment horizontal="center"/>
    </xf>
    <xf numFmtId="0" fontId="57" fillId="47" borderId="83" xfId="0" applyFont="1" applyFill="1" applyBorder="1" applyAlignment="1" applyProtection="1">
      <alignment horizontal="center"/>
    </xf>
    <xf numFmtId="0" fontId="42" fillId="46" borderId="73" xfId="0" applyFont="1" applyFill="1" applyBorder="1" applyAlignment="1" applyProtection="1">
      <alignment horizontal="center"/>
    </xf>
    <xf numFmtId="0" fontId="42" fillId="46" borderId="74" xfId="0" applyFont="1" applyFill="1" applyBorder="1" applyAlignment="1" applyProtection="1">
      <alignment horizontal="center"/>
    </xf>
    <xf numFmtId="0" fontId="42" fillId="46" borderId="75" xfId="0" applyFont="1" applyFill="1" applyBorder="1" applyAlignment="1" applyProtection="1">
      <alignment horizontal="center"/>
    </xf>
    <xf numFmtId="173" fontId="42" fillId="46" borderId="29" xfId="0" applyNumberFormat="1" applyFont="1" applyFill="1" applyBorder="1" applyAlignment="1" applyProtection="1">
      <alignment horizontal="center"/>
    </xf>
    <xf numFmtId="0" fontId="42" fillId="46" borderId="0" xfId="0" applyNumberFormat="1" applyFont="1" applyFill="1" applyBorder="1" applyAlignment="1" applyProtection="1">
      <alignment horizontal="center"/>
    </xf>
    <xf numFmtId="0" fontId="42" fillId="46" borderId="30" xfId="0" applyNumberFormat="1" applyFont="1" applyFill="1" applyBorder="1" applyAlignment="1" applyProtection="1">
      <alignment horizontal="center"/>
    </xf>
    <xf numFmtId="0" fontId="57" fillId="47" borderId="284" xfId="0" applyFont="1" applyFill="1" applyBorder="1" applyAlignment="1" applyProtection="1">
      <alignment horizontal="center"/>
    </xf>
    <xf numFmtId="0" fontId="57" fillId="47" borderId="303" xfId="0" applyFont="1" applyFill="1" applyBorder="1" applyAlignment="1" applyProtection="1">
      <alignment horizontal="center"/>
    </xf>
    <xf numFmtId="0" fontId="57" fillId="47" borderId="309" xfId="0" applyFont="1" applyFill="1" applyBorder="1" applyAlignment="1" applyProtection="1">
      <alignment horizontal="center"/>
    </xf>
    <xf numFmtId="0" fontId="3" fillId="40" borderId="29" xfId="0" applyFont="1" applyFill="1" applyBorder="1" applyAlignment="1" applyProtection="1">
      <alignment horizontal="right" wrapText="1"/>
    </xf>
    <xf numFmtId="0" fontId="3" fillId="40" borderId="66" xfId="0" applyFont="1" applyFill="1" applyBorder="1" applyAlignment="1" applyProtection="1">
      <alignment horizontal="right" wrapText="1"/>
    </xf>
    <xf numFmtId="0" fontId="3" fillId="40" borderId="67" xfId="0" applyFont="1" applyFill="1" applyBorder="1" applyAlignment="1" applyProtection="1">
      <alignment horizontal="right" wrapText="1"/>
    </xf>
    <xf numFmtId="0" fontId="42" fillId="31" borderId="0" xfId="0" applyFont="1" applyFill="1" applyAlignment="1" applyProtection="1">
      <alignment horizontal="left" wrapText="1"/>
      <protection locked="0"/>
    </xf>
    <xf numFmtId="0" fontId="60" fillId="0" borderId="0" xfId="0" applyFont="1" applyAlignment="1" applyProtection="1">
      <alignment horizontal="center"/>
    </xf>
    <xf numFmtId="0" fontId="60" fillId="40" borderId="0" xfId="0" applyFont="1" applyFill="1" applyAlignment="1" applyProtection="1">
      <alignment horizontal="center"/>
    </xf>
    <xf numFmtId="173" fontId="60" fillId="40" borderId="0" xfId="0" applyNumberFormat="1" applyFont="1" applyFill="1" applyAlignment="1" applyProtection="1">
      <alignment horizontal="center"/>
    </xf>
    <xf numFmtId="0" fontId="64" fillId="40" borderId="0" xfId="0" applyFont="1" applyFill="1" applyBorder="1" applyAlignment="1" applyProtection="1"/>
    <xf numFmtId="0" fontId="3" fillId="40" borderId="0" xfId="0" applyFont="1" applyFill="1" applyBorder="1" applyAlignment="1" applyProtection="1">
      <alignment horizontal="left" indent="1"/>
    </xf>
    <xf numFmtId="0" fontId="3" fillId="40" borderId="0" xfId="0" applyFont="1" applyFill="1" applyBorder="1" applyAlignment="1" applyProtection="1">
      <alignment horizontal="left" indent="2"/>
    </xf>
    <xf numFmtId="0" fontId="42" fillId="40" borderId="0" xfId="0" applyFont="1" applyFill="1" applyBorder="1" applyAlignment="1" applyProtection="1">
      <alignment horizontal="left" indent="2"/>
    </xf>
    <xf numFmtId="0" fontId="42" fillId="40" borderId="0" xfId="0" applyFont="1" applyFill="1" applyBorder="1" applyAlignment="1" applyProtection="1">
      <alignment horizontal="center"/>
    </xf>
    <xf numFmtId="0" fontId="42" fillId="0" borderId="0" xfId="0" applyFont="1" applyBorder="1" applyAlignment="1" applyProtection="1">
      <alignment horizontal="center"/>
    </xf>
    <xf numFmtId="0" fontId="42" fillId="31" borderId="60" xfId="0" applyFont="1" applyFill="1" applyBorder="1" applyAlignment="1" applyProtection="1">
      <alignment horizontal="center"/>
      <protection locked="0"/>
    </xf>
    <xf numFmtId="0" fontId="42" fillId="31" borderId="55" xfId="0" applyFont="1" applyFill="1" applyBorder="1" applyAlignment="1" applyProtection="1">
      <alignment horizontal="center"/>
      <protection locked="0"/>
    </xf>
    <xf numFmtId="0" fontId="42" fillId="29" borderId="0" xfId="0" applyFont="1" applyFill="1" applyBorder="1" applyAlignment="1" applyProtection="1">
      <alignment horizontal="left" indent="7"/>
    </xf>
    <xf numFmtId="0" fontId="42" fillId="29" borderId="30" xfId="0" applyFont="1" applyFill="1" applyBorder="1" applyAlignment="1" applyProtection="1">
      <alignment horizontal="left" indent="7"/>
    </xf>
    <xf numFmtId="0" fontId="147" fillId="40" borderId="0" xfId="0" applyFont="1" applyFill="1" applyBorder="1" applyAlignment="1" applyProtection="1">
      <alignment horizontal="center"/>
    </xf>
    <xf numFmtId="0" fontId="42" fillId="46" borderId="0" xfId="0" applyFont="1" applyFill="1" applyBorder="1" applyAlignment="1" applyProtection="1">
      <alignment horizontal="center"/>
    </xf>
    <xf numFmtId="173" fontId="42" fillId="46" borderId="0" xfId="0" applyNumberFormat="1" applyFont="1" applyFill="1" applyBorder="1" applyAlignment="1" applyProtection="1">
      <alignment horizontal="center"/>
    </xf>
    <xf numFmtId="0" fontId="57" fillId="47" borderId="0" xfId="0" applyFont="1" applyFill="1" applyBorder="1" applyAlignment="1" applyProtection="1">
      <alignment horizontal="center"/>
    </xf>
    <xf numFmtId="0" fontId="93" fillId="40" borderId="0" xfId="57" applyFont="1" applyFill="1" applyBorder="1" applyAlignment="1" applyProtection="1">
      <alignment horizontal="left" indent="1"/>
    </xf>
    <xf numFmtId="0" fontId="19" fillId="40" borderId="0" xfId="0" applyFont="1" applyFill="1" applyBorder="1" applyAlignment="1" applyProtection="1">
      <alignment horizontal="left" indent="1"/>
    </xf>
    <xf numFmtId="43" fontId="196" fillId="50" borderId="0" xfId="123" applyFont="1" applyFill="1" applyBorder="1" applyAlignment="1">
      <alignment horizontal="center"/>
    </xf>
    <xf numFmtId="43" fontId="196" fillId="51" borderId="0" xfId="123" applyFont="1" applyFill="1" applyBorder="1" applyAlignment="1">
      <alignment horizontal="center"/>
    </xf>
    <xf numFmtId="0" fontId="0" fillId="32" borderId="260" xfId="0" applyFill="1" applyBorder="1" applyAlignment="1" applyProtection="1">
      <alignment horizontal="center" vertical="center" wrapText="1"/>
    </xf>
    <xf numFmtId="0" fontId="0" fillId="32" borderId="260" xfId="0" applyFont="1" applyFill="1" applyBorder="1" applyAlignment="1" applyProtection="1">
      <alignment horizontal="center" wrapText="1"/>
    </xf>
    <xf numFmtId="0" fontId="0" fillId="32" borderId="260" xfId="0" applyFill="1" applyBorder="1" applyAlignment="1" applyProtection="1">
      <alignment horizontal="center" wrapText="1"/>
    </xf>
    <xf numFmtId="0" fontId="0" fillId="29" borderId="260" xfId="0" applyFill="1" applyBorder="1" applyAlignment="1" applyProtection="1">
      <alignment horizontal="center"/>
    </xf>
    <xf numFmtId="0" fontId="0" fillId="0" borderId="260" xfId="0" applyBorder="1" applyAlignment="1" applyProtection="1">
      <alignment horizontal="center" wrapText="1"/>
    </xf>
    <xf numFmtId="43" fontId="196" fillId="48" borderId="0" xfId="123" applyFont="1" applyFill="1" applyBorder="1" applyAlignment="1">
      <alignment horizontal="center"/>
    </xf>
    <xf numFmtId="43" fontId="196" fillId="103" borderId="0" xfId="123" applyFont="1" applyFill="1" applyBorder="1" applyAlignment="1">
      <alignment horizontal="center" wrapText="1"/>
    </xf>
    <xf numFmtId="43" fontId="196" fillId="34" borderId="0" xfId="123" applyFont="1" applyFill="1" applyBorder="1" applyAlignment="1">
      <alignment horizontal="center"/>
    </xf>
    <xf numFmtId="43" fontId="196" fillId="66" borderId="0" xfId="123" applyFont="1" applyFill="1" applyBorder="1" applyAlignment="1">
      <alignment horizontal="center" wrapText="1"/>
    </xf>
    <xf numFmtId="43" fontId="196" fillId="49" borderId="0" xfId="123" applyFont="1" applyFill="1" applyBorder="1" applyAlignment="1">
      <alignment horizontal="center"/>
    </xf>
    <xf numFmtId="0" fontId="215" fillId="0" borderId="11" xfId="0" applyFont="1" applyBorder="1" applyAlignment="1">
      <alignment horizontal="center"/>
    </xf>
    <xf numFmtId="43" fontId="196" fillId="69" borderId="0" xfId="123" applyFont="1" applyFill="1" applyBorder="1" applyAlignment="1">
      <alignment horizontal="center"/>
    </xf>
    <xf numFmtId="43" fontId="196" fillId="104" borderId="0" xfId="123" applyFont="1" applyFill="1" applyBorder="1" applyAlignment="1">
      <alignment horizontal="center"/>
    </xf>
    <xf numFmtId="43" fontId="196" fillId="57" borderId="0" xfId="123" applyFont="1" applyFill="1" applyBorder="1" applyAlignment="1">
      <alignment horizontal="center"/>
    </xf>
    <xf numFmtId="43" fontId="196" fillId="32" borderId="0" xfId="123" applyFont="1" applyFill="1" applyBorder="1" applyAlignment="1">
      <alignment horizontal="center"/>
    </xf>
    <xf numFmtId="0" fontId="0" fillId="0" borderId="300" xfId="0" applyBorder="1" applyAlignment="1">
      <alignment horizontal="center"/>
    </xf>
    <xf numFmtId="0" fontId="0" fillId="0" borderId="51" xfId="0" applyBorder="1" applyAlignment="1">
      <alignment horizontal="center"/>
    </xf>
    <xf numFmtId="0" fontId="107" fillId="66" borderId="13" xfId="0" applyFont="1" applyFill="1" applyBorder="1" applyAlignment="1" applyProtection="1">
      <alignment horizontal="center" wrapText="1"/>
    </xf>
    <xf numFmtId="0" fontId="107" fillId="66" borderId="11" xfId="0" applyFont="1" applyFill="1" applyBorder="1" applyAlignment="1" applyProtection="1">
      <alignment horizontal="center" wrapText="1"/>
    </xf>
    <xf numFmtId="0" fontId="107" fillId="66" borderId="14" xfId="0" applyFont="1" applyFill="1" applyBorder="1" applyAlignment="1" applyProtection="1">
      <alignment horizontal="center" wrapText="1"/>
    </xf>
    <xf numFmtId="0" fontId="212" fillId="0" borderId="299" xfId="0" applyFont="1" applyFill="1" applyBorder="1" applyAlignment="1">
      <alignment horizontal="center" vertical="center" wrapText="1"/>
    </xf>
    <xf numFmtId="0" fontId="212" fillId="0" borderId="303" xfId="0" applyFont="1" applyFill="1" applyBorder="1" applyAlignment="1">
      <alignment horizontal="center" vertical="center" wrapText="1"/>
    </xf>
    <xf numFmtId="0" fontId="212" fillId="0" borderId="304" xfId="0" applyFont="1" applyFill="1" applyBorder="1" applyAlignment="1">
      <alignment horizontal="center" vertical="center" wrapText="1"/>
    </xf>
    <xf numFmtId="0" fontId="212" fillId="0" borderId="15" xfId="0" applyFont="1" applyFill="1" applyBorder="1" applyAlignment="1">
      <alignment horizontal="center" vertical="center" wrapText="1"/>
    </xf>
    <xf numFmtId="0" fontId="212" fillId="0" borderId="0" xfId="0" applyFont="1" applyFill="1" applyBorder="1" applyAlignment="1">
      <alignment horizontal="center" vertical="center" wrapText="1"/>
    </xf>
    <xf numFmtId="0" fontId="212" fillId="0" borderId="16" xfId="0" applyFont="1" applyFill="1" applyBorder="1" applyAlignment="1">
      <alignment horizontal="center" vertical="center" wrapText="1"/>
    </xf>
    <xf numFmtId="0" fontId="212" fillId="0" borderId="13" xfId="0" applyFont="1" applyFill="1" applyBorder="1" applyAlignment="1">
      <alignment horizontal="center" vertical="center" wrapText="1"/>
    </xf>
    <xf numFmtId="0" fontId="212" fillId="0" borderId="11" xfId="0" applyFont="1" applyFill="1" applyBorder="1" applyAlignment="1">
      <alignment horizontal="center" vertical="center" wrapText="1"/>
    </xf>
    <xf numFmtId="0" fontId="212" fillId="0" borderId="14" xfId="0" applyFont="1" applyFill="1" applyBorder="1" applyAlignment="1">
      <alignment horizontal="center" vertical="center" wrapText="1"/>
    </xf>
    <xf numFmtId="0" fontId="0" fillId="0" borderId="13" xfId="0" applyBorder="1" applyAlignment="1">
      <alignment horizontal="left"/>
    </xf>
    <xf numFmtId="0" fontId="0" fillId="0" borderId="14" xfId="0" applyBorder="1" applyAlignment="1">
      <alignment horizontal="left"/>
    </xf>
    <xf numFmtId="0" fontId="215" fillId="29" borderId="0" xfId="0" applyFont="1" applyFill="1" applyBorder="1" applyAlignment="1">
      <alignment horizontal="center"/>
    </xf>
    <xf numFmtId="0" fontId="213" fillId="0" borderId="299" xfId="136" applyFont="1" applyBorder="1" applyAlignment="1">
      <alignment horizontal="center" vertical="center"/>
    </xf>
    <xf numFmtId="0" fontId="213" fillId="0" borderId="303" xfId="136" applyFont="1" applyBorder="1" applyAlignment="1">
      <alignment horizontal="center" vertical="center"/>
    </xf>
    <xf numFmtId="0" fontId="213" fillId="0" borderId="304" xfId="136" applyFont="1" applyBorder="1" applyAlignment="1">
      <alignment horizontal="center" vertical="center"/>
    </xf>
    <xf numFmtId="0" fontId="213" fillId="0" borderId="13" xfId="136" applyFont="1" applyBorder="1" applyAlignment="1">
      <alignment horizontal="center" vertical="center"/>
    </xf>
    <xf numFmtId="0" fontId="213" fillId="0" borderId="11" xfId="136" applyFont="1" applyBorder="1" applyAlignment="1">
      <alignment horizontal="center" vertical="center"/>
    </xf>
    <xf numFmtId="0" fontId="213" fillId="0" borderId="14" xfId="136" applyFont="1" applyBorder="1" applyAlignment="1">
      <alignment horizontal="center" vertical="center"/>
    </xf>
    <xf numFmtId="0" fontId="107" fillId="67" borderId="259" xfId="0" applyFont="1" applyFill="1" applyBorder="1" applyAlignment="1" applyProtection="1">
      <alignment horizontal="center" wrapText="1"/>
    </xf>
    <xf numFmtId="0" fontId="107" fillId="67" borderId="258" xfId="0" applyFont="1" applyFill="1" applyBorder="1" applyAlignment="1" applyProtection="1">
      <alignment horizontal="center" wrapText="1"/>
    </xf>
    <xf numFmtId="0" fontId="107" fillId="67" borderId="270" xfId="0" applyFont="1" applyFill="1" applyBorder="1" applyAlignment="1" applyProtection="1">
      <alignment horizontal="center" wrapText="1"/>
    </xf>
    <xf numFmtId="0" fontId="107" fillId="41" borderId="259" xfId="0" applyFont="1" applyFill="1" applyBorder="1" applyAlignment="1" applyProtection="1">
      <alignment horizontal="center" vertical="center" wrapText="1"/>
    </xf>
    <xf numFmtId="0" fontId="107" fillId="41" borderId="258" xfId="0" applyFont="1" applyFill="1" applyBorder="1" applyAlignment="1" applyProtection="1">
      <alignment horizontal="center" vertical="center" wrapText="1"/>
    </xf>
    <xf numFmtId="0" fontId="107" fillId="41" borderId="270" xfId="0" applyFont="1" applyFill="1" applyBorder="1" applyAlignment="1" applyProtection="1">
      <alignment horizontal="center" vertical="center" wrapText="1"/>
    </xf>
    <xf numFmtId="0" fontId="206" fillId="0" borderId="299" xfId="136" applyFont="1" applyBorder="1" applyAlignment="1">
      <alignment horizontal="center" vertical="center"/>
    </xf>
    <xf numFmtId="0" fontId="206" fillId="0" borderId="303" xfId="136" applyFont="1" applyBorder="1" applyAlignment="1">
      <alignment horizontal="center" vertical="center"/>
    </xf>
    <xf numFmtId="0" fontId="206" fillId="0" borderId="304" xfId="136" applyFont="1" applyBorder="1" applyAlignment="1">
      <alignment horizontal="center" vertical="center"/>
    </xf>
    <xf numFmtId="0" fontId="206" fillId="0" borderId="13" xfId="136" applyFont="1" applyBorder="1" applyAlignment="1">
      <alignment horizontal="center" vertical="center"/>
    </xf>
    <xf numFmtId="0" fontId="206" fillId="0" borderId="11" xfId="136" applyFont="1" applyBorder="1" applyAlignment="1">
      <alignment horizontal="center" vertical="center"/>
    </xf>
    <xf numFmtId="0" fontId="206" fillId="0" borderId="14" xfId="136" applyFont="1" applyBorder="1" applyAlignment="1">
      <alignment horizontal="center" vertical="center"/>
    </xf>
    <xf numFmtId="0" fontId="0" fillId="32" borderId="260" xfId="0" applyFont="1" applyFill="1" applyBorder="1" applyAlignment="1" applyProtection="1">
      <alignment horizontal="right" wrapText="1"/>
    </xf>
    <xf numFmtId="171" fontId="214" fillId="0" borderId="260" xfId="109" applyFont="1" applyBorder="1" applyAlignment="1" applyProtection="1">
      <alignment horizontal="left" vertical="center" wrapText="1"/>
    </xf>
    <xf numFmtId="0" fontId="42" fillId="0" borderId="15" xfId="0" applyFont="1" applyBorder="1" applyAlignment="1" applyProtection="1">
      <alignment horizontal="left"/>
    </xf>
    <xf numFmtId="0" fontId="42" fillId="0" borderId="0" xfId="0" applyFont="1" applyBorder="1" applyAlignment="1" applyProtection="1">
      <alignment horizontal="left"/>
    </xf>
    <xf numFmtId="0" fontId="42" fillId="0" borderId="16" xfId="0" applyFont="1" applyBorder="1" applyAlignment="1" applyProtection="1">
      <alignment horizontal="left"/>
    </xf>
    <xf numFmtId="0" fontId="0" fillId="0" borderId="15"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65" borderId="0" xfId="0" applyFill="1" applyAlignment="1">
      <alignment horizontal="center"/>
    </xf>
    <xf numFmtId="0" fontId="0" fillId="0" borderId="260" xfId="0" applyBorder="1" applyAlignment="1" applyProtection="1">
      <alignment horizontal="center"/>
    </xf>
    <xf numFmtId="43" fontId="11" fillId="0" borderId="260" xfId="123" applyFont="1" applyFill="1" applyBorder="1" applyAlignment="1">
      <alignment horizontal="center" wrapText="1"/>
    </xf>
    <xf numFmtId="43" fontId="196" fillId="56" borderId="0" xfId="123" applyFont="1" applyFill="1" applyBorder="1" applyAlignment="1">
      <alignment horizontal="center"/>
    </xf>
    <xf numFmtId="43" fontId="56" fillId="56" borderId="260" xfId="123" applyFont="1" applyFill="1" applyBorder="1" applyAlignment="1">
      <alignment horizontal="center"/>
    </xf>
    <xf numFmtId="43" fontId="56" fillId="32" borderId="260" xfId="123" applyFont="1" applyFill="1" applyBorder="1" applyAlignment="1">
      <alignment horizontal="center"/>
    </xf>
    <xf numFmtId="43" fontId="56" fillId="49" borderId="260" xfId="123" applyFont="1" applyFill="1" applyBorder="1" applyAlignment="1">
      <alignment horizontal="center"/>
    </xf>
    <xf numFmtId="43" fontId="44" fillId="0" borderId="260" xfId="123" applyFont="1" applyFill="1" applyBorder="1" applyAlignment="1">
      <alignment horizontal="center" wrapText="1"/>
    </xf>
    <xf numFmtId="0" fontId="42" fillId="0" borderId="260" xfId="0" applyFont="1" applyFill="1" applyBorder="1" applyAlignment="1">
      <alignment horizontal="center" wrapText="1"/>
    </xf>
    <xf numFmtId="0" fontId="3" fillId="0" borderId="260" xfId="0" applyFont="1" applyFill="1" applyBorder="1" applyAlignment="1">
      <alignment horizontal="center" wrapText="1"/>
    </xf>
    <xf numFmtId="0" fontId="42" fillId="0" borderId="259" xfId="0" applyFont="1" applyFill="1" applyBorder="1" applyAlignment="1">
      <alignment horizontal="left" wrapText="1"/>
    </xf>
    <xf numFmtId="0" fontId="217" fillId="0" borderId="0" xfId="0" applyFont="1" applyAlignment="1">
      <alignment horizontal="center" vertical="center"/>
    </xf>
  </cellXfs>
  <cellStyles count="4842">
    <cellStyle name="20% - Accent1" xfId="154" builtinId="30" customBuiltin="1"/>
    <cellStyle name="20% - Accent1 2" xfId="1"/>
    <cellStyle name="20% - Accent1 2 2" xfId="212"/>
    <cellStyle name="20% - Accent2" xfId="158" builtinId="34" customBuiltin="1"/>
    <cellStyle name="20% - Accent2 2" xfId="2"/>
    <cellStyle name="20% - Accent2 2 2" xfId="214"/>
    <cellStyle name="20% - Accent3" xfId="162" builtinId="38" customBuiltin="1"/>
    <cellStyle name="20% - Accent3 2" xfId="3"/>
    <cellStyle name="20% - Accent3 2 2" xfId="216"/>
    <cellStyle name="20% - Accent4" xfId="166" builtinId="42" customBuiltin="1"/>
    <cellStyle name="20% - Accent4 2" xfId="4"/>
    <cellStyle name="20% - Accent4 2 2" xfId="218"/>
    <cellStyle name="20% - Accent5" xfId="170" builtinId="46" customBuiltin="1"/>
    <cellStyle name="20% - Accent5 2" xfId="5"/>
    <cellStyle name="20% - Accent5 2 2" xfId="220"/>
    <cellStyle name="20% - Accent6" xfId="174" builtinId="50" customBuiltin="1"/>
    <cellStyle name="20% - Accent6 2" xfId="6"/>
    <cellStyle name="20% - Accent6 2 2" xfId="222"/>
    <cellStyle name="40% - Accent1" xfId="155" builtinId="31" customBuiltin="1"/>
    <cellStyle name="40% - Accent1 2" xfId="7"/>
    <cellStyle name="40% - Accent1 2 2" xfId="213"/>
    <cellStyle name="40% - Accent2" xfId="159" builtinId="35" customBuiltin="1"/>
    <cellStyle name="40% - Accent2 2" xfId="8"/>
    <cellStyle name="40% - Accent2 2 2" xfId="215"/>
    <cellStyle name="40% - Accent3" xfId="163" builtinId="39" customBuiltin="1"/>
    <cellStyle name="40% - Accent3 2" xfId="9"/>
    <cellStyle name="40% - Accent3 2 2" xfId="217"/>
    <cellStyle name="40% - Accent4" xfId="167" builtinId="43" customBuiltin="1"/>
    <cellStyle name="40% - Accent4 2" xfId="10"/>
    <cellStyle name="40% - Accent4 2 2" xfId="219"/>
    <cellStyle name="40% - Accent5" xfId="171" builtinId="47" customBuiltin="1"/>
    <cellStyle name="40% - Accent5 2" xfId="11"/>
    <cellStyle name="40% - Accent5 2 2" xfId="221"/>
    <cellStyle name="40% - Accent6" xfId="175" builtinId="51" customBuiltin="1"/>
    <cellStyle name="40% - Accent6 2" xfId="12"/>
    <cellStyle name="40% - Accent6 2 2" xfId="223"/>
    <cellStyle name="60% - Accent1" xfId="156" builtinId="32" customBuiltin="1"/>
    <cellStyle name="60% - Accent1 2" xfId="13"/>
    <cellStyle name="60% - Accent2" xfId="160" builtinId="36" customBuiltin="1"/>
    <cellStyle name="60% - Accent2 2" xfId="14"/>
    <cellStyle name="60% - Accent3" xfId="164" builtinId="40" customBuiltin="1"/>
    <cellStyle name="60% - Accent3 2" xfId="15"/>
    <cellStyle name="60% - Accent4" xfId="168" builtinId="44" customBuiltin="1"/>
    <cellStyle name="60% - Accent4 2" xfId="16"/>
    <cellStyle name="60% - Accent5" xfId="172" builtinId="48" customBuiltin="1"/>
    <cellStyle name="60% - Accent5 2" xfId="17"/>
    <cellStyle name="60% - Accent6" xfId="176" builtinId="52" customBuiltin="1"/>
    <cellStyle name="60% - Accent6 2" xfId="18"/>
    <cellStyle name="Accent1" xfId="153" builtinId="29" customBuiltin="1"/>
    <cellStyle name="Accent1 2" xfId="19"/>
    <cellStyle name="Accent2" xfId="157" builtinId="33" customBuiltin="1"/>
    <cellStyle name="Accent2 2" xfId="20"/>
    <cellStyle name="Accent3" xfId="161" builtinId="37" customBuiltin="1"/>
    <cellStyle name="Accent3 2" xfId="21"/>
    <cellStyle name="Accent4" xfId="165" builtinId="41" customBuiltin="1"/>
    <cellStyle name="Accent4 2" xfId="22"/>
    <cellStyle name="Accent5" xfId="169" builtinId="45" customBuiltin="1"/>
    <cellStyle name="Accent5 2" xfId="23"/>
    <cellStyle name="Accent6" xfId="173" builtinId="49" customBuiltin="1"/>
    <cellStyle name="Accent6 2" xfId="24"/>
    <cellStyle name="Bad" xfId="143" builtinId="27" customBuiltin="1"/>
    <cellStyle name="Bad 2" xfId="25"/>
    <cellStyle name="Calculation" xfId="147" builtinId="22" customBuiltin="1"/>
    <cellStyle name="Calculation 2" xfId="26"/>
    <cellStyle name="Calculation 2 2" xfId="229"/>
    <cellStyle name="Calculation 2 2 10" xfId="412"/>
    <cellStyle name="Calculation 2 2 10 10" xfId="2671"/>
    <cellStyle name="Calculation 2 2 10 11" xfId="2925"/>
    <cellStyle name="Calculation 2 2 10 12" xfId="3177"/>
    <cellStyle name="Calculation 2 2 10 13" xfId="3427"/>
    <cellStyle name="Calculation 2 2 10 14" xfId="3677"/>
    <cellStyle name="Calculation 2 2 10 15" xfId="3929"/>
    <cellStyle name="Calculation 2 2 10 16" xfId="4179"/>
    <cellStyle name="Calculation 2 2 10 17" xfId="4431"/>
    <cellStyle name="Calculation 2 2 10 18" xfId="4683"/>
    <cellStyle name="Calculation 2 2 10 2" xfId="665"/>
    <cellStyle name="Calculation 2 2 10 3" xfId="917"/>
    <cellStyle name="Calculation 2 2 10 4" xfId="1168"/>
    <cellStyle name="Calculation 2 2 10 5" xfId="1418"/>
    <cellStyle name="Calculation 2 2 10 6" xfId="1668"/>
    <cellStyle name="Calculation 2 2 10 7" xfId="1918"/>
    <cellStyle name="Calculation 2 2 10 8" xfId="2168"/>
    <cellStyle name="Calculation 2 2 10 9" xfId="2420"/>
    <cellStyle name="Calculation 2 2 11" xfId="285"/>
    <cellStyle name="Calculation 2 2 2" xfId="266"/>
    <cellStyle name="Calculation 2 2 2 10" xfId="1602"/>
    <cellStyle name="Calculation 2 2 2 11" xfId="1852"/>
    <cellStyle name="Calculation 2 2 2 12" xfId="2102"/>
    <cellStyle name="Calculation 2 2 2 13" xfId="2354"/>
    <cellStyle name="Calculation 2 2 2 14" xfId="2604"/>
    <cellStyle name="Calculation 2 2 2 15" xfId="2858"/>
    <cellStyle name="Calculation 2 2 2 16" xfId="3111"/>
    <cellStyle name="Calculation 2 2 2 17" xfId="3361"/>
    <cellStyle name="Calculation 2 2 2 18" xfId="3611"/>
    <cellStyle name="Calculation 2 2 2 19" xfId="3863"/>
    <cellStyle name="Calculation 2 2 2 2" xfId="394"/>
    <cellStyle name="Calculation 2 2 2 2 10" xfId="2402"/>
    <cellStyle name="Calculation 2 2 2 2 11" xfId="2653"/>
    <cellStyle name="Calculation 2 2 2 2 12" xfId="2907"/>
    <cellStyle name="Calculation 2 2 2 2 13" xfId="3159"/>
    <cellStyle name="Calculation 2 2 2 2 14" xfId="3409"/>
    <cellStyle name="Calculation 2 2 2 2 15" xfId="3659"/>
    <cellStyle name="Calculation 2 2 2 2 16" xfId="3911"/>
    <cellStyle name="Calculation 2 2 2 2 17" xfId="4161"/>
    <cellStyle name="Calculation 2 2 2 2 18" xfId="4413"/>
    <cellStyle name="Calculation 2 2 2 2 19" xfId="4665"/>
    <cellStyle name="Calculation 2 2 2 2 2" xfId="502"/>
    <cellStyle name="Calculation 2 2 2 2 2 10" xfId="2761"/>
    <cellStyle name="Calculation 2 2 2 2 2 11" xfId="3015"/>
    <cellStyle name="Calculation 2 2 2 2 2 12" xfId="3267"/>
    <cellStyle name="Calculation 2 2 2 2 2 13" xfId="3517"/>
    <cellStyle name="Calculation 2 2 2 2 2 14" xfId="3767"/>
    <cellStyle name="Calculation 2 2 2 2 2 15" xfId="4019"/>
    <cellStyle name="Calculation 2 2 2 2 2 16" xfId="4269"/>
    <cellStyle name="Calculation 2 2 2 2 2 17" xfId="4521"/>
    <cellStyle name="Calculation 2 2 2 2 2 18" xfId="4773"/>
    <cellStyle name="Calculation 2 2 2 2 2 2" xfId="755"/>
    <cellStyle name="Calculation 2 2 2 2 2 3" xfId="1007"/>
    <cellStyle name="Calculation 2 2 2 2 2 4" xfId="1258"/>
    <cellStyle name="Calculation 2 2 2 2 2 5" xfId="1508"/>
    <cellStyle name="Calculation 2 2 2 2 2 6" xfId="1758"/>
    <cellStyle name="Calculation 2 2 2 2 2 7" xfId="2008"/>
    <cellStyle name="Calculation 2 2 2 2 2 8" xfId="2258"/>
    <cellStyle name="Calculation 2 2 2 2 2 9" xfId="2510"/>
    <cellStyle name="Calculation 2 2 2 2 3" xfId="647"/>
    <cellStyle name="Calculation 2 2 2 2 4" xfId="899"/>
    <cellStyle name="Calculation 2 2 2 2 5" xfId="1150"/>
    <cellStyle name="Calculation 2 2 2 2 6" xfId="1400"/>
    <cellStyle name="Calculation 2 2 2 2 7" xfId="1650"/>
    <cellStyle name="Calculation 2 2 2 2 8" xfId="1900"/>
    <cellStyle name="Calculation 2 2 2 2 9" xfId="2150"/>
    <cellStyle name="Calculation 2 2 2 20" xfId="4113"/>
    <cellStyle name="Calculation 2 2 2 21" xfId="4365"/>
    <cellStyle name="Calculation 2 2 2 22" xfId="4617"/>
    <cellStyle name="Calculation 2 2 2 3" xfId="550"/>
    <cellStyle name="Calculation 2 2 2 3 10" xfId="2809"/>
    <cellStyle name="Calculation 2 2 2 3 11" xfId="3063"/>
    <cellStyle name="Calculation 2 2 2 3 12" xfId="3315"/>
    <cellStyle name="Calculation 2 2 2 3 13" xfId="3565"/>
    <cellStyle name="Calculation 2 2 2 3 14" xfId="3815"/>
    <cellStyle name="Calculation 2 2 2 3 15" xfId="4067"/>
    <cellStyle name="Calculation 2 2 2 3 16" xfId="4317"/>
    <cellStyle name="Calculation 2 2 2 3 17" xfId="4569"/>
    <cellStyle name="Calculation 2 2 2 3 18" xfId="4821"/>
    <cellStyle name="Calculation 2 2 2 3 2" xfId="803"/>
    <cellStyle name="Calculation 2 2 2 3 3" xfId="1055"/>
    <cellStyle name="Calculation 2 2 2 3 4" xfId="1306"/>
    <cellStyle name="Calculation 2 2 2 3 5" xfId="1556"/>
    <cellStyle name="Calculation 2 2 2 3 6" xfId="1806"/>
    <cellStyle name="Calculation 2 2 2 3 7" xfId="2056"/>
    <cellStyle name="Calculation 2 2 2 3 8" xfId="2306"/>
    <cellStyle name="Calculation 2 2 2 3 9" xfId="2558"/>
    <cellStyle name="Calculation 2 2 2 4" xfId="448"/>
    <cellStyle name="Calculation 2 2 2 4 10" xfId="2707"/>
    <cellStyle name="Calculation 2 2 2 4 11" xfId="2961"/>
    <cellStyle name="Calculation 2 2 2 4 12" xfId="3213"/>
    <cellStyle name="Calculation 2 2 2 4 13" xfId="3463"/>
    <cellStyle name="Calculation 2 2 2 4 14" xfId="3713"/>
    <cellStyle name="Calculation 2 2 2 4 15" xfId="3965"/>
    <cellStyle name="Calculation 2 2 2 4 16" xfId="4215"/>
    <cellStyle name="Calculation 2 2 2 4 17" xfId="4467"/>
    <cellStyle name="Calculation 2 2 2 4 18" xfId="4719"/>
    <cellStyle name="Calculation 2 2 2 4 2" xfId="701"/>
    <cellStyle name="Calculation 2 2 2 4 3" xfId="953"/>
    <cellStyle name="Calculation 2 2 2 4 4" xfId="1204"/>
    <cellStyle name="Calculation 2 2 2 4 5" xfId="1454"/>
    <cellStyle name="Calculation 2 2 2 4 6" xfId="1704"/>
    <cellStyle name="Calculation 2 2 2 4 7" xfId="1954"/>
    <cellStyle name="Calculation 2 2 2 4 8" xfId="2204"/>
    <cellStyle name="Calculation 2 2 2 4 9" xfId="2456"/>
    <cellStyle name="Calculation 2 2 2 5" xfId="345"/>
    <cellStyle name="Calculation 2 2 2 6" xfId="599"/>
    <cellStyle name="Calculation 2 2 2 7" xfId="851"/>
    <cellStyle name="Calculation 2 2 2 8" xfId="1102"/>
    <cellStyle name="Calculation 2 2 2 9" xfId="1352"/>
    <cellStyle name="Calculation 2 2 3" xfId="261"/>
    <cellStyle name="Calculation 2 2 3 10" xfId="1597"/>
    <cellStyle name="Calculation 2 2 3 11" xfId="1847"/>
    <cellStyle name="Calculation 2 2 3 12" xfId="2097"/>
    <cellStyle name="Calculation 2 2 3 13" xfId="2349"/>
    <cellStyle name="Calculation 2 2 3 14" xfId="2599"/>
    <cellStyle name="Calculation 2 2 3 15" xfId="2853"/>
    <cellStyle name="Calculation 2 2 3 16" xfId="3106"/>
    <cellStyle name="Calculation 2 2 3 17" xfId="3356"/>
    <cellStyle name="Calculation 2 2 3 18" xfId="3606"/>
    <cellStyle name="Calculation 2 2 3 19" xfId="3858"/>
    <cellStyle name="Calculation 2 2 3 2" xfId="389"/>
    <cellStyle name="Calculation 2 2 3 2 10" xfId="2397"/>
    <cellStyle name="Calculation 2 2 3 2 11" xfId="2648"/>
    <cellStyle name="Calculation 2 2 3 2 12" xfId="2902"/>
    <cellStyle name="Calculation 2 2 3 2 13" xfId="3154"/>
    <cellStyle name="Calculation 2 2 3 2 14" xfId="3404"/>
    <cellStyle name="Calculation 2 2 3 2 15" xfId="3654"/>
    <cellStyle name="Calculation 2 2 3 2 16" xfId="3906"/>
    <cellStyle name="Calculation 2 2 3 2 17" xfId="4156"/>
    <cellStyle name="Calculation 2 2 3 2 18" xfId="4408"/>
    <cellStyle name="Calculation 2 2 3 2 19" xfId="4660"/>
    <cellStyle name="Calculation 2 2 3 2 2" xfId="497"/>
    <cellStyle name="Calculation 2 2 3 2 2 10" xfId="2756"/>
    <cellStyle name="Calculation 2 2 3 2 2 11" xfId="3010"/>
    <cellStyle name="Calculation 2 2 3 2 2 12" xfId="3262"/>
    <cellStyle name="Calculation 2 2 3 2 2 13" xfId="3512"/>
    <cellStyle name="Calculation 2 2 3 2 2 14" xfId="3762"/>
    <cellStyle name="Calculation 2 2 3 2 2 15" xfId="4014"/>
    <cellStyle name="Calculation 2 2 3 2 2 16" xfId="4264"/>
    <cellStyle name="Calculation 2 2 3 2 2 17" xfId="4516"/>
    <cellStyle name="Calculation 2 2 3 2 2 18" xfId="4768"/>
    <cellStyle name="Calculation 2 2 3 2 2 2" xfId="750"/>
    <cellStyle name="Calculation 2 2 3 2 2 3" xfId="1002"/>
    <cellStyle name="Calculation 2 2 3 2 2 4" xfId="1253"/>
    <cellStyle name="Calculation 2 2 3 2 2 5" xfId="1503"/>
    <cellStyle name="Calculation 2 2 3 2 2 6" xfId="1753"/>
    <cellStyle name="Calculation 2 2 3 2 2 7" xfId="2003"/>
    <cellStyle name="Calculation 2 2 3 2 2 8" xfId="2253"/>
    <cellStyle name="Calculation 2 2 3 2 2 9" xfId="2505"/>
    <cellStyle name="Calculation 2 2 3 2 3" xfId="642"/>
    <cellStyle name="Calculation 2 2 3 2 4" xfId="894"/>
    <cellStyle name="Calculation 2 2 3 2 5" xfId="1145"/>
    <cellStyle name="Calculation 2 2 3 2 6" xfId="1395"/>
    <cellStyle name="Calculation 2 2 3 2 7" xfId="1645"/>
    <cellStyle name="Calculation 2 2 3 2 8" xfId="1895"/>
    <cellStyle name="Calculation 2 2 3 2 9" xfId="2145"/>
    <cellStyle name="Calculation 2 2 3 20" xfId="4108"/>
    <cellStyle name="Calculation 2 2 3 21" xfId="4360"/>
    <cellStyle name="Calculation 2 2 3 22" xfId="4612"/>
    <cellStyle name="Calculation 2 2 3 3" xfId="545"/>
    <cellStyle name="Calculation 2 2 3 3 10" xfId="2804"/>
    <cellStyle name="Calculation 2 2 3 3 11" xfId="3058"/>
    <cellStyle name="Calculation 2 2 3 3 12" xfId="3310"/>
    <cellStyle name="Calculation 2 2 3 3 13" xfId="3560"/>
    <cellStyle name="Calculation 2 2 3 3 14" xfId="3810"/>
    <cellStyle name="Calculation 2 2 3 3 15" xfId="4062"/>
    <cellStyle name="Calculation 2 2 3 3 16" xfId="4312"/>
    <cellStyle name="Calculation 2 2 3 3 17" xfId="4564"/>
    <cellStyle name="Calculation 2 2 3 3 18" xfId="4816"/>
    <cellStyle name="Calculation 2 2 3 3 2" xfId="798"/>
    <cellStyle name="Calculation 2 2 3 3 3" xfId="1050"/>
    <cellStyle name="Calculation 2 2 3 3 4" xfId="1301"/>
    <cellStyle name="Calculation 2 2 3 3 5" xfId="1551"/>
    <cellStyle name="Calculation 2 2 3 3 6" xfId="1801"/>
    <cellStyle name="Calculation 2 2 3 3 7" xfId="2051"/>
    <cellStyle name="Calculation 2 2 3 3 8" xfId="2301"/>
    <cellStyle name="Calculation 2 2 3 3 9" xfId="2553"/>
    <cellStyle name="Calculation 2 2 3 4" xfId="443"/>
    <cellStyle name="Calculation 2 2 3 4 10" xfId="2702"/>
    <cellStyle name="Calculation 2 2 3 4 11" xfId="2956"/>
    <cellStyle name="Calculation 2 2 3 4 12" xfId="3208"/>
    <cellStyle name="Calculation 2 2 3 4 13" xfId="3458"/>
    <cellStyle name="Calculation 2 2 3 4 14" xfId="3708"/>
    <cellStyle name="Calculation 2 2 3 4 15" xfId="3960"/>
    <cellStyle name="Calculation 2 2 3 4 16" xfId="4210"/>
    <cellStyle name="Calculation 2 2 3 4 17" xfId="4462"/>
    <cellStyle name="Calculation 2 2 3 4 18" xfId="4714"/>
    <cellStyle name="Calculation 2 2 3 4 2" xfId="696"/>
    <cellStyle name="Calculation 2 2 3 4 3" xfId="948"/>
    <cellStyle name="Calculation 2 2 3 4 4" xfId="1199"/>
    <cellStyle name="Calculation 2 2 3 4 5" xfId="1449"/>
    <cellStyle name="Calculation 2 2 3 4 6" xfId="1699"/>
    <cellStyle name="Calculation 2 2 3 4 7" xfId="1949"/>
    <cellStyle name="Calculation 2 2 3 4 8" xfId="2199"/>
    <cellStyle name="Calculation 2 2 3 4 9" xfId="2451"/>
    <cellStyle name="Calculation 2 2 3 5" xfId="340"/>
    <cellStyle name="Calculation 2 2 3 6" xfId="594"/>
    <cellStyle name="Calculation 2 2 3 7" xfId="846"/>
    <cellStyle name="Calculation 2 2 3 8" xfId="1097"/>
    <cellStyle name="Calculation 2 2 3 9" xfId="1347"/>
    <cellStyle name="Calculation 2 2 4" xfId="257"/>
    <cellStyle name="Calculation 2 2 4 10" xfId="1593"/>
    <cellStyle name="Calculation 2 2 4 11" xfId="1843"/>
    <cellStyle name="Calculation 2 2 4 12" xfId="2093"/>
    <cellStyle name="Calculation 2 2 4 13" xfId="2345"/>
    <cellStyle name="Calculation 2 2 4 14" xfId="2595"/>
    <cellStyle name="Calculation 2 2 4 15" xfId="2849"/>
    <cellStyle name="Calculation 2 2 4 16" xfId="3102"/>
    <cellStyle name="Calculation 2 2 4 17" xfId="3352"/>
    <cellStyle name="Calculation 2 2 4 18" xfId="3602"/>
    <cellStyle name="Calculation 2 2 4 19" xfId="3854"/>
    <cellStyle name="Calculation 2 2 4 2" xfId="385"/>
    <cellStyle name="Calculation 2 2 4 2 10" xfId="2393"/>
    <cellStyle name="Calculation 2 2 4 2 11" xfId="2644"/>
    <cellStyle name="Calculation 2 2 4 2 12" xfId="2898"/>
    <cellStyle name="Calculation 2 2 4 2 13" xfId="3150"/>
    <cellStyle name="Calculation 2 2 4 2 14" xfId="3400"/>
    <cellStyle name="Calculation 2 2 4 2 15" xfId="3650"/>
    <cellStyle name="Calculation 2 2 4 2 16" xfId="3902"/>
    <cellStyle name="Calculation 2 2 4 2 17" xfId="4152"/>
    <cellStyle name="Calculation 2 2 4 2 18" xfId="4404"/>
    <cellStyle name="Calculation 2 2 4 2 19" xfId="4656"/>
    <cellStyle name="Calculation 2 2 4 2 2" xfId="493"/>
    <cellStyle name="Calculation 2 2 4 2 2 10" xfId="2752"/>
    <cellStyle name="Calculation 2 2 4 2 2 11" xfId="3006"/>
    <cellStyle name="Calculation 2 2 4 2 2 12" xfId="3258"/>
    <cellStyle name="Calculation 2 2 4 2 2 13" xfId="3508"/>
    <cellStyle name="Calculation 2 2 4 2 2 14" xfId="3758"/>
    <cellStyle name="Calculation 2 2 4 2 2 15" xfId="4010"/>
    <cellStyle name="Calculation 2 2 4 2 2 16" xfId="4260"/>
    <cellStyle name="Calculation 2 2 4 2 2 17" xfId="4512"/>
    <cellStyle name="Calculation 2 2 4 2 2 18" xfId="4764"/>
    <cellStyle name="Calculation 2 2 4 2 2 2" xfId="746"/>
    <cellStyle name="Calculation 2 2 4 2 2 3" xfId="998"/>
    <cellStyle name="Calculation 2 2 4 2 2 4" xfId="1249"/>
    <cellStyle name="Calculation 2 2 4 2 2 5" xfId="1499"/>
    <cellStyle name="Calculation 2 2 4 2 2 6" xfId="1749"/>
    <cellStyle name="Calculation 2 2 4 2 2 7" xfId="1999"/>
    <cellStyle name="Calculation 2 2 4 2 2 8" xfId="2249"/>
    <cellStyle name="Calculation 2 2 4 2 2 9" xfId="2501"/>
    <cellStyle name="Calculation 2 2 4 2 3" xfId="638"/>
    <cellStyle name="Calculation 2 2 4 2 4" xfId="890"/>
    <cellStyle name="Calculation 2 2 4 2 5" xfId="1141"/>
    <cellStyle name="Calculation 2 2 4 2 6" xfId="1391"/>
    <cellStyle name="Calculation 2 2 4 2 7" xfId="1641"/>
    <cellStyle name="Calculation 2 2 4 2 8" xfId="1891"/>
    <cellStyle name="Calculation 2 2 4 2 9" xfId="2141"/>
    <cellStyle name="Calculation 2 2 4 20" xfId="4104"/>
    <cellStyle name="Calculation 2 2 4 21" xfId="4356"/>
    <cellStyle name="Calculation 2 2 4 22" xfId="4608"/>
    <cellStyle name="Calculation 2 2 4 3" xfId="541"/>
    <cellStyle name="Calculation 2 2 4 3 10" xfId="2800"/>
    <cellStyle name="Calculation 2 2 4 3 11" xfId="3054"/>
    <cellStyle name="Calculation 2 2 4 3 12" xfId="3306"/>
    <cellStyle name="Calculation 2 2 4 3 13" xfId="3556"/>
    <cellStyle name="Calculation 2 2 4 3 14" xfId="3806"/>
    <cellStyle name="Calculation 2 2 4 3 15" xfId="4058"/>
    <cellStyle name="Calculation 2 2 4 3 16" xfId="4308"/>
    <cellStyle name="Calculation 2 2 4 3 17" xfId="4560"/>
    <cellStyle name="Calculation 2 2 4 3 18" xfId="4812"/>
    <cellStyle name="Calculation 2 2 4 3 2" xfId="794"/>
    <cellStyle name="Calculation 2 2 4 3 3" xfId="1046"/>
    <cellStyle name="Calculation 2 2 4 3 4" xfId="1297"/>
    <cellStyle name="Calculation 2 2 4 3 5" xfId="1547"/>
    <cellStyle name="Calculation 2 2 4 3 6" xfId="1797"/>
    <cellStyle name="Calculation 2 2 4 3 7" xfId="2047"/>
    <cellStyle name="Calculation 2 2 4 3 8" xfId="2297"/>
    <cellStyle name="Calculation 2 2 4 3 9" xfId="2549"/>
    <cellStyle name="Calculation 2 2 4 4" xfId="439"/>
    <cellStyle name="Calculation 2 2 4 4 10" xfId="2698"/>
    <cellStyle name="Calculation 2 2 4 4 11" xfId="2952"/>
    <cellStyle name="Calculation 2 2 4 4 12" xfId="3204"/>
    <cellStyle name="Calculation 2 2 4 4 13" xfId="3454"/>
    <cellStyle name="Calculation 2 2 4 4 14" xfId="3704"/>
    <cellStyle name="Calculation 2 2 4 4 15" xfId="3956"/>
    <cellStyle name="Calculation 2 2 4 4 16" xfId="4206"/>
    <cellStyle name="Calculation 2 2 4 4 17" xfId="4458"/>
    <cellStyle name="Calculation 2 2 4 4 18" xfId="4710"/>
    <cellStyle name="Calculation 2 2 4 4 2" xfId="692"/>
    <cellStyle name="Calculation 2 2 4 4 3" xfId="944"/>
    <cellStyle name="Calculation 2 2 4 4 4" xfId="1195"/>
    <cellStyle name="Calculation 2 2 4 4 5" xfId="1445"/>
    <cellStyle name="Calculation 2 2 4 4 6" xfId="1695"/>
    <cellStyle name="Calculation 2 2 4 4 7" xfId="1945"/>
    <cellStyle name="Calculation 2 2 4 4 8" xfId="2195"/>
    <cellStyle name="Calculation 2 2 4 4 9" xfId="2447"/>
    <cellStyle name="Calculation 2 2 4 5" xfId="336"/>
    <cellStyle name="Calculation 2 2 4 6" xfId="590"/>
    <cellStyle name="Calculation 2 2 4 7" xfId="842"/>
    <cellStyle name="Calculation 2 2 4 8" xfId="1093"/>
    <cellStyle name="Calculation 2 2 4 9" xfId="1343"/>
    <cellStyle name="Calculation 2 2 5" xfId="273"/>
    <cellStyle name="Calculation 2 2 5 10" xfId="1609"/>
    <cellStyle name="Calculation 2 2 5 11" xfId="1859"/>
    <cellStyle name="Calculation 2 2 5 12" xfId="2109"/>
    <cellStyle name="Calculation 2 2 5 13" xfId="2361"/>
    <cellStyle name="Calculation 2 2 5 14" xfId="2611"/>
    <cellStyle name="Calculation 2 2 5 15" xfId="2865"/>
    <cellStyle name="Calculation 2 2 5 16" xfId="3118"/>
    <cellStyle name="Calculation 2 2 5 17" xfId="3368"/>
    <cellStyle name="Calculation 2 2 5 18" xfId="3618"/>
    <cellStyle name="Calculation 2 2 5 19" xfId="3870"/>
    <cellStyle name="Calculation 2 2 5 2" xfId="401"/>
    <cellStyle name="Calculation 2 2 5 2 10" xfId="2409"/>
    <cellStyle name="Calculation 2 2 5 2 11" xfId="2660"/>
    <cellStyle name="Calculation 2 2 5 2 12" xfId="2914"/>
    <cellStyle name="Calculation 2 2 5 2 13" xfId="3166"/>
    <cellStyle name="Calculation 2 2 5 2 14" xfId="3416"/>
    <cellStyle name="Calculation 2 2 5 2 15" xfId="3666"/>
    <cellStyle name="Calculation 2 2 5 2 16" xfId="3918"/>
    <cellStyle name="Calculation 2 2 5 2 17" xfId="4168"/>
    <cellStyle name="Calculation 2 2 5 2 18" xfId="4420"/>
    <cellStyle name="Calculation 2 2 5 2 19" xfId="4672"/>
    <cellStyle name="Calculation 2 2 5 2 2" xfId="509"/>
    <cellStyle name="Calculation 2 2 5 2 2 10" xfId="2768"/>
    <cellStyle name="Calculation 2 2 5 2 2 11" xfId="3022"/>
    <cellStyle name="Calculation 2 2 5 2 2 12" xfId="3274"/>
    <cellStyle name="Calculation 2 2 5 2 2 13" xfId="3524"/>
    <cellStyle name="Calculation 2 2 5 2 2 14" xfId="3774"/>
    <cellStyle name="Calculation 2 2 5 2 2 15" xfId="4026"/>
    <cellStyle name="Calculation 2 2 5 2 2 16" xfId="4276"/>
    <cellStyle name="Calculation 2 2 5 2 2 17" xfId="4528"/>
    <cellStyle name="Calculation 2 2 5 2 2 18" xfId="4780"/>
    <cellStyle name="Calculation 2 2 5 2 2 2" xfId="762"/>
    <cellStyle name="Calculation 2 2 5 2 2 3" xfId="1014"/>
    <cellStyle name="Calculation 2 2 5 2 2 4" xfId="1265"/>
    <cellStyle name="Calculation 2 2 5 2 2 5" xfId="1515"/>
    <cellStyle name="Calculation 2 2 5 2 2 6" xfId="1765"/>
    <cellStyle name="Calculation 2 2 5 2 2 7" xfId="2015"/>
    <cellStyle name="Calculation 2 2 5 2 2 8" xfId="2265"/>
    <cellStyle name="Calculation 2 2 5 2 2 9" xfId="2517"/>
    <cellStyle name="Calculation 2 2 5 2 3" xfId="654"/>
    <cellStyle name="Calculation 2 2 5 2 4" xfId="906"/>
    <cellStyle name="Calculation 2 2 5 2 5" xfId="1157"/>
    <cellStyle name="Calculation 2 2 5 2 6" xfId="1407"/>
    <cellStyle name="Calculation 2 2 5 2 7" xfId="1657"/>
    <cellStyle name="Calculation 2 2 5 2 8" xfId="1907"/>
    <cellStyle name="Calculation 2 2 5 2 9" xfId="2157"/>
    <cellStyle name="Calculation 2 2 5 20" xfId="4120"/>
    <cellStyle name="Calculation 2 2 5 21" xfId="4372"/>
    <cellStyle name="Calculation 2 2 5 22" xfId="4624"/>
    <cellStyle name="Calculation 2 2 5 3" xfId="557"/>
    <cellStyle name="Calculation 2 2 5 3 10" xfId="2816"/>
    <cellStyle name="Calculation 2 2 5 3 11" xfId="3070"/>
    <cellStyle name="Calculation 2 2 5 3 12" xfId="3322"/>
    <cellStyle name="Calculation 2 2 5 3 13" xfId="3572"/>
    <cellStyle name="Calculation 2 2 5 3 14" xfId="3822"/>
    <cellStyle name="Calculation 2 2 5 3 15" xfId="4074"/>
    <cellStyle name="Calculation 2 2 5 3 16" xfId="4324"/>
    <cellStyle name="Calculation 2 2 5 3 17" xfId="4576"/>
    <cellStyle name="Calculation 2 2 5 3 18" xfId="4828"/>
    <cellStyle name="Calculation 2 2 5 3 2" xfId="810"/>
    <cellStyle name="Calculation 2 2 5 3 3" xfId="1062"/>
    <cellStyle name="Calculation 2 2 5 3 4" xfId="1313"/>
    <cellStyle name="Calculation 2 2 5 3 5" xfId="1563"/>
    <cellStyle name="Calculation 2 2 5 3 6" xfId="1813"/>
    <cellStyle name="Calculation 2 2 5 3 7" xfId="2063"/>
    <cellStyle name="Calculation 2 2 5 3 8" xfId="2313"/>
    <cellStyle name="Calculation 2 2 5 3 9" xfId="2565"/>
    <cellStyle name="Calculation 2 2 5 4" xfId="455"/>
    <cellStyle name="Calculation 2 2 5 4 10" xfId="2714"/>
    <cellStyle name="Calculation 2 2 5 4 11" xfId="2968"/>
    <cellStyle name="Calculation 2 2 5 4 12" xfId="3220"/>
    <cellStyle name="Calculation 2 2 5 4 13" xfId="3470"/>
    <cellStyle name="Calculation 2 2 5 4 14" xfId="3720"/>
    <cellStyle name="Calculation 2 2 5 4 15" xfId="3972"/>
    <cellStyle name="Calculation 2 2 5 4 16" xfId="4222"/>
    <cellStyle name="Calculation 2 2 5 4 17" xfId="4474"/>
    <cellStyle name="Calculation 2 2 5 4 18" xfId="4726"/>
    <cellStyle name="Calculation 2 2 5 4 2" xfId="708"/>
    <cellStyle name="Calculation 2 2 5 4 3" xfId="960"/>
    <cellStyle name="Calculation 2 2 5 4 4" xfId="1211"/>
    <cellStyle name="Calculation 2 2 5 4 5" xfId="1461"/>
    <cellStyle name="Calculation 2 2 5 4 6" xfId="1711"/>
    <cellStyle name="Calculation 2 2 5 4 7" xfId="1961"/>
    <cellStyle name="Calculation 2 2 5 4 8" xfId="2211"/>
    <cellStyle name="Calculation 2 2 5 4 9" xfId="2463"/>
    <cellStyle name="Calculation 2 2 5 5" xfId="352"/>
    <cellStyle name="Calculation 2 2 5 6" xfId="606"/>
    <cellStyle name="Calculation 2 2 5 7" xfId="858"/>
    <cellStyle name="Calculation 2 2 5 8" xfId="1109"/>
    <cellStyle name="Calculation 2 2 5 9" xfId="1359"/>
    <cellStyle name="Calculation 2 2 6" xfId="278"/>
    <cellStyle name="Calculation 2 2 6 10" xfId="1614"/>
    <cellStyle name="Calculation 2 2 6 11" xfId="1864"/>
    <cellStyle name="Calculation 2 2 6 12" xfId="2114"/>
    <cellStyle name="Calculation 2 2 6 13" xfId="2366"/>
    <cellStyle name="Calculation 2 2 6 14" xfId="2616"/>
    <cellStyle name="Calculation 2 2 6 15" xfId="2870"/>
    <cellStyle name="Calculation 2 2 6 16" xfId="3123"/>
    <cellStyle name="Calculation 2 2 6 17" xfId="3373"/>
    <cellStyle name="Calculation 2 2 6 18" xfId="3623"/>
    <cellStyle name="Calculation 2 2 6 19" xfId="3875"/>
    <cellStyle name="Calculation 2 2 6 2" xfId="406"/>
    <cellStyle name="Calculation 2 2 6 2 10" xfId="2414"/>
    <cellStyle name="Calculation 2 2 6 2 11" xfId="2665"/>
    <cellStyle name="Calculation 2 2 6 2 12" xfId="2919"/>
    <cellStyle name="Calculation 2 2 6 2 13" xfId="3171"/>
    <cellStyle name="Calculation 2 2 6 2 14" xfId="3421"/>
    <cellStyle name="Calculation 2 2 6 2 15" xfId="3671"/>
    <cellStyle name="Calculation 2 2 6 2 16" xfId="3923"/>
    <cellStyle name="Calculation 2 2 6 2 17" xfId="4173"/>
    <cellStyle name="Calculation 2 2 6 2 18" xfId="4425"/>
    <cellStyle name="Calculation 2 2 6 2 19" xfId="4677"/>
    <cellStyle name="Calculation 2 2 6 2 2" xfId="514"/>
    <cellStyle name="Calculation 2 2 6 2 2 10" xfId="2773"/>
    <cellStyle name="Calculation 2 2 6 2 2 11" xfId="3027"/>
    <cellStyle name="Calculation 2 2 6 2 2 12" xfId="3279"/>
    <cellStyle name="Calculation 2 2 6 2 2 13" xfId="3529"/>
    <cellStyle name="Calculation 2 2 6 2 2 14" xfId="3779"/>
    <cellStyle name="Calculation 2 2 6 2 2 15" xfId="4031"/>
    <cellStyle name="Calculation 2 2 6 2 2 16" xfId="4281"/>
    <cellStyle name="Calculation 2 2 6 2 2 17" xfId="4533"/>
    <cellStyle name="Calculation 2 2 6 2 2 18" xfId="4785"/>
    <cellStyle name="Calculation 2 2 6 2 2 2" xfId="767"/>
    <cellStyle name="Calculation 2 2 6 2 2 3" xfId="1019"/>
    <cellStyle name="Calculation 2 2 6 2 2 4" xfId="1270"/>
    <cellStyle name="Calculation 2 2 6 2 2 5" xfId="1520"/>
    <cellStyle name="Calculation 2 2 6 2 2 6" xfId="1770"/>
    <cellStyle name="Calculation 2 2 6 2 2 7" xfId="2020"/>
    <cellStyle name="Calculation 2 2 6 2 2 8" xfId="2270"/>
    <cellStyle name="Calculation 2 2 6 2 2 9" xfId="2522"/>
    <cellStyle name="Calculation 2 2 6 2 3" xfId="659"/>
    <cellStyle name="Calculation 2 2 6 2 4" xfId="911"/>
    <cellStyle name="Calculation 2 2 6 2 5" xfId="1162"/>
    <cellStyle name="Calculation 2 2 6 2 6" xfId="1412"/>
    <cellStyle name="Calculation 2 2 6 2 7" xfId="1662"/>
    <cellStyle name="Calculation 2 2 6 2 8" xfId="1912"/>
    <cellStyle name="Calculation 2 2 6 2 9" xfId="2162"/>
    <cellStyle name="Calculation 2 2 6 20" xfId="4125"/>
    <cellStyle name="Calculation 2 2 6 21" xfId="4377"/>
    <cellStyle name="Calculation 2 2 6 22" xfId="4629"/>
    <cellStyle name="Calculation 2 2 6 3" xfId="562"/>
    <cellStyle name="Calculation 2 2 6 3 10" xfId="2821"/>
    <cellStyle name="Calculation 2 2 6 3 11" xfId="3075"/>
    <cellStyle name="Calculation 2 2 6 3 12" xfId="3327"/>
    <cellStyle name="Calculation 2 2 6 3 13" xfId="3577"/>
    <cellStyle name="Calculation 2 2 6 3 14" xfId="3827"/>
    <cellStyle name="Calculation 2 2 6 3 15" xfId="4079"/>
    <cellStyle name="Calculation 2 2 6 3 16" xfId="4329"/>
    <cellStyle name="Calculation 2 2 6 3 17" xfId="4581"/>
    <cellStyle name="Calculation 2 2 6 3 18" xfId="4833"/>
    <cellStyle name="Calculation 2 2 6 3 2" xfId="815"/>
    <cellStyle name="Calculation 2 2 6 3 3" xfId="1067"/>
    <cellStyle name="Calculation 2 2 6 3 4" xfId="1318"/>
    <cellStyle name="Calculation 2 2 6 3 5" xfId="1568"/>
    <cellStyle name="Calculation 2 2 6 3 6" xfId="1818"/>
    <cellStyle name="Calculation 2 2 6 3 7" xfId="2068"/>
    <cellStyle name="Calculation 2 2 6 3 8" xfId="2318"/>
    <cellStyle name="Calculation 2 2 6 3 9" xfId="2570"/>
    <cellStyle name="Calculation 2 2 6 4" xfId="460"/>
    <cellStyle name="Calculation 2 2 6 4 10" xfId="2719"/>
    <cellStyle name="Calculation 2 2 6 4 11" xfId="2973"/>
    <cellStyle name="Calculation 2 2 6 4 12" xfId="3225"/>
    <cellStyle name="Calculation 2 2 6 4 13" xfId="3475"/>
    <cellStyle name="Calculation 2 2 6 4 14" xfId="3725"/>
    <cellStyle name="Calculation 2 2 6 4 15" xfId="3977"/>
    <cellStyle name="Calculation 2 2 6 4 16" xfId="4227"/>
    <cellStyle name="Calculation 2 2 6 4 17" xfId="4479"/>
    <cellStyle name="Calculation 2 2 6 4 18" xfId="4731"/>
    <cellStyle name="Calculation 2 2 6 4 2" xfId="713"/>
    <cellStyle name="Calculation 2 2 6 4 3" xfId="965"/>
    <cellStyle name="Calculation 2 2 6 4 4" xfId="1216"/>
    <cellStyle name="Calculation 2 2 6 4 5" xfId="1466"/>
    <cellStyle name="Calculation 2 2 6 4 6" xfId="1716"/>
    <cellStyle name="Calculation 2 2 6 4 7" xfId="1966"/>
    <cellStyle name="Calculation 2 2 6 4 8" xfId="2216"/>
    <cellStyle name="Calculation 2 2 6 4 9" xfId="2468"/>
    <cellStyle name="Calculation 2 2 6 5" xfId="357"/>
    <cellStyle name="Calculation 2 2 6 6" xfId="611"/>
    <cellStyle name="Calculation 2 2 6 7" xfId="863"/>
    <cellStyle name="Calculation 2 2 6 8" xfId="1114"/>
    <cellStyle name="Calculation 2 2 6 9" xfId="1364"/>
    <cellStyle name="Calculation 2 2 7" xfId="250"/>
    <cellStyle name="Calculation 2 2 7 10" xfId="1586"/>
    <cellStyle name="Calculation 2 2 7 11" xfId="1836"/>
    <cellStyle name="Calculation 2 2 7 12" xfId="2086"/>
    <cellStyle name="Calculation 2 2 7 13" xfId="2338"/>
    <cellStyle name="Calculation 2 2 7 14" xfId="2588"/>
    <cellStyle name="Calculation 2 2 7 15" xfId="2842"/>
    <cellStyle name="Calculation 2 2 7 16" xfId="3095"/>
    <cellStyle name="Calculation 2 2 7 17" xfId="3345"/>
    <cellStyle name="Calculation 2 2 7 18" xfId="3595"/>
    <cellStyle name="Calculation 2 2 7 19" xfId="3847"/>
    <cellStyle name="Calculation 2 2 7 2" xfId="378"/>
    <cellStyle name="Calculation 2 2 7 2 10" xfId="2386"/>
    <cellStyle name="Calculation 2 2 7 2 11" xfId="2637"/>
    <cellStyle name="Calculation 2 2 7 2 12" xfId="2891"/>
    <cellStyle name="Calculation 2 2 7 2 13" xfId="3143"/>
    <cellStyle name="Calculation 2 2 7 2 14" xfId="3393"/>
    <cellStyle name="Calculation 2 2 7 2 15" xfId="3643"/>
    <cellStyle name="Calculation 2 2 7 2 16" xfId="3895"/>
    <cellStyle name="Calculation 2 2 7 2 17" xfId="4145"/>
    <cellStyle name="Calculation 2 2 7 2 18" xfId="4397"/>
    <cellStyle name="Calculation 2 2 7 2 19" xfId="4649"/>
    <cellStyle name="Calculation 2 2 7 2 2" xfId="486"/>
    <cellStyle name="Calculation 2 2 7 2 2 10" xfId="2745"/>
    <cellStyle name="Calculation 2 2 7 2 2 11" xfId="2999"/>
    <cellStyle name="Calculation 2 2 7 2 2 12" xfId="3251"/>
    <cellStyle name="Calculation 2 2 7 2 2 13" xfId="3501"/>
    <cellStyle name="Calculation 2 2 7 2 2 14" xfId="3751"/>
    <cellStyle name="Calculation 2 2 7 2 2 15" xfId="4003"/>
    <cellStyle name="Calculation 2 2 7 2 2 16" xfId="4253"/>
    <cellStyle name="Calculation 2 2 7 2 2 17" xfId="4505"/>
    <cellStyle name="Calculation 2 2 7 2 2 18" xfId="4757"/>
    <cellStyle name="Calculation 2 2 7 2 2 2" xfId="739"/>
    <cellStyle name="Calculation 2 2 7 2 2 3" xfId="991"/>
    <cellStyle name="Calculation 2 2 7 2 2 4" xfId="1242"/>
    <cellStyle name="Calculation 2 2 7 2 2 5" xfId="1492"/>
    <cellStyle name="Calculation 2 2 7 2 2 6" xfId="1742"/>
    <cellStyle name="Calculation 2 2 7 2 2 7" xfId="1992"/>
    <cellStyle name="Calculation 2 2 7 2 2 8" xfId="2242"/>
    <cellStyle name="Calculation 2 2 7 2 2 9" xfId="2494"/>
    <cellStyle name="Calculation 2 2 7 2 3" xfId="631"/>
    <cellStyle name="Calculation 2 2 7 2 4" xfId="883"/>
    <cellStyle name="Calculation 2 2 7 2 5" xfId="1134"/>
    <cellStyle name="Calculation 2 2 7 2 6" xfId="1384"/>
    <cellStyle name="Calculation 2 2 7 2 7" xfId="1634"/>
    <cellStyle name="Calculation 2 2 7 2 8" xfId="1884"/>
    <cellStyle name="Calculation 2 2 7 2 9" xfId="2134"/>
    <cellStyle name="Calculation 2 2 7 20" xfId="4097"/>
    <cellStyle name="Calculation 2 2 7 21" xfId="4349"/>
    <cellStyle name="Calculation 2 2 7 22" xfId="4601"/>
    <cellStyle name="Calculation 2 2 7 3" xfId="534"/>
    <cellStyle name="Calculation 2 2 7 3 10" xfId="2793"/>
    <cellStyle name="Calculation 2 2 7 3 11" xfId="3047"/>
    <cellStyle name="Calculation 2 2 7 3 12" xfId="3299"/>
    <cellStyle name="Calculation 2 2 7 3 13" xfId="3549"/>
    <cellStyle name="Calculation 2 2 7 3 14" xfId="3799"/>
    <cellStyle name="Calculation 2 2 7 3 15" xfId="4051"/>
    <cellStyle name="Calculation 2 2 7 3 16" xfId="4301"/>
    <cellStyle name="Calculation 2 2 7 3 17" xfId="4553"/>
    <cellStyle name="Calculation 2 2 7 3 18" xfId="4805"/>
    <cellStyle name="Calculation 2 2 7 3 2" xfId="787"/>
    <cellStyle name="Calculation 2 2 7 3 3" xfId="1039"/>
    <cellStyle name="Calculation 2 2 7 3 4" xfId="1290"/>
    <cellStyle name="Calculation 2 2 7 3 5" xfId="1540"/>
    <cellStyle name="Calculation 2 2 7 3 6" xfId="1790"/>
    <cellStyle name="Calculation 2 2 7 3 7" xfId="2040"/>
    <cellStyle name="Calculation 2 2 7 3 8" xfId="2290"/>
    <cellStyle name="Calculation 2 2 7 3 9" xfId="2542"/>
    <cellStyle name="Calculation 2 2 7 4" xfId="432"/>
    <cellStyle name="Calculation 2 2 7 4 10" xfId="2691"/>
    <cellStyle name="Calculation 2 2 7 4 11" xfId="2945"/>
    <cellStyle name="Calculation 2 2 7 4 12" xfId="3197"/>
    <cellStyle name="Calculation 2 2 7 4 13" xfId="3447"/>
    <cellStyle name="Calculation 2 2 7 4 14" xfId="3697"/>
    <cellStyle name="Calculation 2 2 7 4 15" xfId="3949"/>
    <cellStyle name="Calculation 2 2 7 4 16" xfId="4199"/>
    <cellStyle name="Calculation 2 2 7 4 17" xfId="4451"/>
    <cellStyle name="Calculation 2 2 7 4 18" xfId="4703"/>
    <cellStyle name="Calculation 2 2 7 4 2" xfId="685"/>
    <cellStyle name="Calculation 2 2 7 4 3" xfId="937"/>
    <cellStyle name="Calculation 2 2 7 4 4" xfId="1188"/>
    <cellStyle name="Calculation 2 2 7 4 5" xfId="1438"/>
    <cellStyle name="Calculation 2 2 7 4 6" xfId="1688"/>
    <cellStyle name="Calculation 2 2 7 4 7" xfId="1938"/>
    <cellStyle name="Calculation 2 2 7 4 8" xfId="2188"/>
    <cellStyle name="Calculation 2 2 7 4 9" xfId="2440"/>
    <cellStyle name="Calculation 2 2 7 5" xfId="329"/>
    <cellStyle name="Calculation 2 2 7 6" xfId="583"/>
    <cellStyle name="Calculation 2 2 7 7" xfId="835"/>
    <cellStyle name="Calculation 2 2 7 8" xfId="1086"/>
    <cellStyle name="Calculation 2 2 7 9" xfId="1336"/>
    <cellStyle name="Calculation 2 2 8" xfId="241"/>
    <cellStyle name="Calculation 2 2 8 10" xfId="1577"/>
    <cellStyle name="Calculation 2 2 8 11" xfId="1827"/>
    <cellStyle name="Calculation 2 2 8 12" xfId="2077"/>
    <cellStyle name="Calculation 2 2 8 13" xfId="2329"/>
    <cellStyle name="Calculation 2 2 8 14" xfId="2579"/>
    <cellStyle name="Calculation 2 2 8 15" xfId="2833"/>
    <cellStyle name="Calculation 2 2 8 16" xfId="3086"/>
    <cellStyle name="Calculation 2 2 8 17" xfId="3336"/>
    <cellStyle name="Calculation 2 2 8 18" xfId="3586"/>
    <cellStyle name="Calculation 2 2 8 19" xfId="3838"/>
    <cellStyle name="Calculation 2 2 8 2" xfId="369"/>
    <cellStyle name="Calculation 2 2 8 2 10" xfId="2377"/>
    <cellStyle name="Calculation 2 2 8 2 11" xfId="2628"/>
    <cellStyle name="Calculation 2 2 8 2 12" xfId="2882"/>
    <cellStyle name="Calculation 2 2 8 2 13" xfId="3134"/>
    <cellStyle name="Calculation 2 2 8 2 14" xfId="3384"/>
    <cellStyle name="Calculation 2 2 8 2 15" xfId="3634"/>
    <cellStyle name="Calculation 2 2 8 2 16" xfId="3886"/>
    <cellStyle name="Calculation 2 2 8 2 17" xfId="4136"/>
    <cellStyle name="Calculation 2 2 8 2 18" xfId="4388"/>
    <cellStyle name="Calculation 2 2 8 2 19" xfId="4640"/>
    <cellStyle name="Calculation 2 2 8 2 2" xfId="477"/>
    <cellStyle name="Calculation 2 2 8 2 2 10" xfId="2736"/>
    <cellStyle name="Calculation 2 2 8 2 2 11" xfId="2990"/>
    <cellStyle name="Calculation 2 2 8 2 2 12" xfId="3242"/>
    <cellStyle name="Calculation 2 2 8 2 2 13" xfId="3492"/>
    <cellStyle name="Calculation 2 2 8 2 2 14" xfId="3742"/>
    <cellStyle name="Calculation 2 2 8 2 2 15" xfId="3994"/>
    <cellStyle name="Calculation 2 2 8 2 2 16" xfId="4244"/>
    <cellStyle name="Calculation 2 2 8 2 2 17" xfId="4496"/>
    <cellStyle name="Calculation 2 2 8 2 2 18" xfId="4748"/>
    <cellStyle name="Calculation 2 2 8 2 2 2" xfId="730"/>
    <cellStyle name="Calculation 2 2 8 2 2 3" xfId="982"/>
    <cellStyle name="Calculation 2 2 8 2 2 4" xfId="1233"/>
    <cellStyle name="Calculation 2 2 8 2 2 5" xfId="1483"/>
    <cellStyle name="Calculation 2 2 8 2 2 6" xfId="1733"/>
    <cellStyle name="Calculation 2 2 8 2 2 7" xfId="1983"/>
    <cellStyle name="Calculation 2 2 8 2 2 8" xfId="2233"/>
    <cellStyle name="Calculation 2 2 8 2 2 9" xfId="2485"/>
    <cellStyle name="Calculation 2 2 8 2 3" xfId="622"/>
    <cellStyle name="Calculation 2 2 8 2 4" xfId="874"/>
    <cellStyle name="Calculation 2 2 8 2 5" xfId="1125"/>
    <cellStyle name="Calculation 2 2 8 2 6" xfId="1375"/>
    <cellStyle name="Calculation 2 2 8 2 7" xfId="1625"/>
    <cellStyle name="Calculation 2 2 8 2 8" xfId="1875"/>
    <cellStyle name="Calculation 2 2 8 2 9" xfId="2125"/>
    <cellStyle name="Calculation 2 2 8 20" xfId="4088"/>
    <cellStyle name="Calculation 2 2 8 21" xfId="4340"/>
    <cellStyle name="Calculation 2 2 8 22" xfId="4592"/>
    <cellStyle name="Calculation 2 2 8 3" xfId="525"/>
    <cellStyle name="Calculation 2 2 8 3 10" xfId="2784"/>
    <cellStyle name="Calculation 2 2 8 3 11" xfId="3038"/>
    <cellStyle name="Calculation 2 2 8 3 12" xfId="3290"/>
    <cellStyle name="Calculation 2 2 8 3 13" xfId="3540"/>
    <cellStyle name="Calculation 2 2 8 3 14" xfId="3790"/>
    <cellStyle name="Calculation 2 2 8 3 15" xfId="4042"/>
    <cellStyle name="Calculation 2 2 8 3 16" xfId="4292"/>
    <cellStyle name="Calculation 2 2 8 3 17" xfId="4544"/>
    <cellStyle name="Calculation 2 2 8 3 18" xfId="4796"/>
    <cellStyle name="Calculation 2 2 8 3 2" xfId="778"/>
    <cellStyle name="Calculation 2 2 8 3 3" xfId="1030"/>
    <cellStyle name="Calculation 2 2 8 3 4" xfId="1281"/>
    <cellStyle name="Calculation 2 2 8 3 5" xfId="1531"/>
    <cellStyle name="Calculation 2 2 8 3 6" xfId="1781"/>
    <cellStyle name="Calculation 2 2 8 3 7" xfId="2031"/>
    <cellStyle name="Calculation 2 2 8 3 8" xfId="2281"/>
    <cellStyle name="Calculation 2 2 8 3 9" xfId="2533"/>
    <cellStyle name="Calculation 2 2 8 4" xfId="423"/>
    <cellStyle name="Calculation 2 2 8 4 10" xfId="2682"/>
    <cellStyle name="Calculation 2 2 8 4 11" xfId="2936"/>
    <cellStyle name="Calculation 2 2 8 4 12" xfId="3188"/>
    <cellStyle name="Calculation 2 2 8 4 13" xfId="3438"/>
    <cellStyle name="Calculation 2 2 8 4 14" xfId="3688"/>
    <cellStyle name="Calculation 2 2 8 4 15" xfId="3940"/>
    <cellStyle name="Calculation 2 2 8 4 16" xfId="4190"/>
    <cellStyle name="Calculation 2 2 8 4 17" xfId="4442"/>
    <cellStyle name="Calculation 2 2 8 4 18" xfId="4694"/>
    <cellStyle name="Calculation 2 2 8 4 2" xfId="676"/>
    <cellStyle name="Calculation 2 2 8 4 3" xfId="928"/>
    <cellStyle name="Calculation 2 2 8 4 4" xfId="1179"/>
    <cellStyle name="Calculation 2 2 8 4 5" xfId="1429"/>
    <cellStyle name="Calculation 2 2 8 4 6" xfId="1679"/>
    <cellStyle name="Calculation 2 2 8 4 7" xfId="1929"/>
    <cellStyle name="Calculation 2 2 8 4 8" xfId="2179"/>
    <cellStyle name="Calculation 2 2 8 4 9" xfId="2431"/>
    <cellStyle name="Calculation 2 2 8 5" xfId="320"/>
    <cellStyle name="Calculation 2 2 8 6" xfId="574"/>
    <cellStyle name="Calculation 2 2 8 7" xfId="826"/>
    <cellStyle name="Calculation 2 2 8 8" xfId="1077"/>
    <cellStyle name="Calculation 2 2 8 9" xfId="1327"/>
    <cellStyle name="Calculation 2 2 9" xfId="466"/>
    <cellStyle name="Calculation 2 2 9 10" xfId="2725"/>
    <cellStyle name="Calculation 2 2 9 11" xfId="2979"/>
    <cellStyle name="Calculation 2 2 9 12" xfId="3231"/>
    <cellStyle name="Calculation 2 2 9 13" xfId="3481"/>
    <cellStyle name="Calculation 2 2 9 14" xfId="3731"/>
    <cellStyle name="Calculation 2 2 9 15" xfId="3983"/>
    <cellStyle name="Calculation 2 2 9 16" xfId="4233"/>
    <cellStyle name="Calculation 2 2 9 17" xfId="4485"/>
    <cellStyle name="Calculation 2 2 9 18" xfId="4737"/>
    <cellStyle name="Calculation 2 2 9 2" xfId="719"/>
    <cellStyle name="Calculation 2 2 9 3" xfId="971"/>
    <cellStyle name="Calculation 2 2 9 4" xfId="1222"/>
    <cellStyle name="Calculation 2 2 9 5" xfId="1472"/>
    <cellStyle name="Calculation 2 2 9 6" xfId="1722"/>
    <cellStyle name="Calculation 2 2 9 7" xfId="1972"/>
    <cellStyle name="Calculation 2 2 9 8" xfId="2222"/>
    <cellStyle name="Calculation 2 2 9 9" xfId="2474"/>
    <cellStyle name="Calculation 2 3" xfId="230"/>
    <cellStyle name="Calculation 2 3 10" xfId="300"/>
    <cellStyle name="Calculation 2 3 11" xfId="301"/>
    <cellStyle name="Calculation 2 3 12" xfId="284"/>
    <cellStyle name="Calculation 2 3 13" xfId="2319"/>
    <cellStyle name="Calculation 2 3 14" xfId="307"/>
    <cellStyle name="Calculation 2 3 15" xfId="2823"/>
    <cellStyle name="Calculation 2 3 16" xfId="3076"/>
    <cellStyle name="Calculation 2 3 17" xfId="282"/>
    <cellStyle name="Calculation 2 3 18" xfId="288"/>
    <cellStyle name="Calculation 2 3 19" xfId="3828"/>
    <cellStyle name="Calculation 2 3 2" xfId="359"/>
    <cellStyle name="Calculation 2 3 2 10" xfId="2367"/>
    <cellStyle name="Calculation 2 3 2 11" xfId="2618"/>
    <cellStyle name="Calculation 2 3 2 12" xfId="2872"/>
    <cellStyle name="Calculation 2 3 2 13" xfId="3124"/>
    <cellStyle name="Calculation 2 3 2 14" xfId="3374"/>
    <cellStyle name="Calculation 2 3 2 15" xfId="3624"/>
    <cellStyle name="Calculation 2 3 2 16" xfId="3876"/>
    <cellStyle name="Calculation 2 3 2 17" xfId="4126"/>
    <cellStyle name="Calculation 2 3 2 18" xfId="4378"/>
    <cellStyle name="Calculation 2 3 2 19" xfId="4630"/>
    <cellStyle name="Calculation 2 3 2 2" xfId="467"/>
    <cellStyle name="Calculation 2 3 2 2 10" xfId="2726"/>
    <cellStyle name="Calculation 2 3 2 2 11" xfId="2980"/>
    <cellStyle name="Calculation 2 3 2 2 12" xfId="3232"/>
    <cellStyle name="Calculation 2 3 2 2 13" xfId="3482"/>
    <cellStyle name="Calculation 2 3 2 2 14" xfId="3732"/>
    <cellStyle name="Calculation 2 3 2 2 15" xfId="3984"/>
    <cellStyle name="Calculation 2 3 2 2 16" xfId="4234"/>
    <cellStyle name="Calculation 2 3 2 2 17" xfId="4486"/>
    <cellStyle name="Calculation 2 3 2 2 18" xfId="4738"/>
    <cellStyle name="Calculation 2 3 2 2 2" xfId="720"/>
    <cellStyle name="Calculation 2 3 2 2 3" xfId="972"/>
    <cellStyle name="Calculation 2 3 2 2 4" xfId="1223"/>
    <cellStyle name="Calculation 2 3 2 2 5" xfId="1473"/>
    <cellStyle name="Calculation 2 3 2 2 6" xfId="1723"/>
    <cellStyle name="Calculation 2 3 2 2 7" xfId="1973"/>
    <cellStyle name="Calculation 2 3 2 2 8" xfId="2223"/>
    <cellStyle name="Calculation 2 3 2 2 9" xfId="2475"/>
    <cellStyle name="Calculation 2 3 2 3" xfId="612"/>
    <cellStyle name="Calculation 2 3 2 4" xfId="864"/>
    <cellStyle name="Calculation 2 3 2 5" xfId="1115"/>
    <cellStyle name="Calculation 2 3 2 6" xfId="1365"/>
    <cellStyle name="Calculation 2 3 2 7" xfId="1615"/>
    <cellStyle name="Calculation 2 3 2 8" xfId="1865"/>
    <cellStyle name="Calculation 2 3 2 9" xfId="2115"/>
    <cellStyle name="Calculation 2 3 20" xfId="287"/>
    <cellStyle name="Calculation 2 3 21" xfId="4330"/>
    <cellStyle name="Calculation 2 3 22" xfId="4582"/>
    <cellStyle name="Calculation 2 3 3" xfId="515"/>
    <cellStyle name="Calculation 2 3 3 10" xfId="2774"/>
    <cellStyle name="Calculation 2 3 3 11" xfId="3028"/>
    <cellStyle name="Calculation 2 3 3 12" xfId="3280"/>
    <cellStyle name="Calculation 2 3 3 13" xfId="3530"/>
    <cellStyle name="Calculation 2 3 3 14" xfId="3780"/>
    <cellStyle name="Calculation 2 3 3 15" xfId="4032"/>
    <cellStyle name="Calculation 2 3 3 16" xfId="4282"/>
    <cellStyle name="Calculation 2 3 3 17" xfId="4534"/>
    <cellStyle name="Calculation 2 3 3 18" xfId="4786"/>
    <cellStyle name="Calculation 2 3 3 2" xfId="768"/>
    <cellStyle name="Calculation 2 3 3 3" xfId="1020"/>
    <cellStyle name="Calculation 2 3 3 4" xfId="1271"/>
    <cellStyle name="Calculation 2 3 3 5" xfId="1521"/>
    <cellStyle name="Calculation 2 3 3 6" xfId="1771"/>
    <cellStyle name="Calculation 2 3 3 7" xfId="2021"/>
    <cellStyle name="Calculation 2 3 3 8" xfId="2271"/>
    <cellStyle name="Calculation 2 3 3 9" xfId="2523"/>
    <cellStyle name="Calculation 2 3 4" xfId="413"/>
    <cellStyle name="Calculation 2 3 4 10" xfId="2672"/>
    <cellStyle name="Calculation 2 3 4 11" xfId="2926"/>
    <cellStyle name="Calculation 2 3 4 12" xfId="3178"/>
    <cellStyle name="Calculation 2 3 4 13" xfId="3428"/>
    <cellStyle name="Calculation 2 3 4 14" xfId="3678"/>
    <cellStyle name="Calculation 2 3 4 15" xfId="3930"/>
    <cellStyle name="Calculation 2 3 4 16" xfId="4180"/>
    <cellStyle name="Calculation 2 3 4 17" xfId="4432"/>
    <cellStyle name="Calculation 2 3 4 18" xfId="4684"/>
    <cellStyle name="Calculation 2 3 4 2" xfId="666"/>
    <cellStyle name="Calculation 2 3 4 3" xfId="918"/>
    <cellStyle name="Calculation 2 3 4 4" xfId="1169"/>
    <cellStyle name="Calculation 2 3 4 5" xfId="1419"/>
    <cellStyle name="Calculation 2 3 4 6" xfId="1669"/>
    <cellStyle name="Calculation 2 3 4 7" xfId="1919"/>
    <cellStyle name="Calculation 2 3 4 8" xfId="2169"/>
    <cellStyle name="Calculation 2 3 4 9" xfId="2421"/>
    <cellStyle name="Calculation 2 3 5" xfId="310"/>
    <cellStyle name="Calculation 2 3 6" xfId="564"/>
    <cellStyle name="Calculation 2 3 7" xfId="816"/>
    <cellStyle name="Calculation 2 3 8" xfId="298"/>
    <cellStyle name="Calculation 2 3 9" xfId="302"/>
    <cellStyle name="Calculation 2 4" xfId="305"/>
    <cellStyle name="Check Cell" xfId="149" builtinId="23" customBuiltin="1"/>
    <cellStyle name="Check Cell 2" xfId="27"/>
    <cellStyle name="Comma" xfId="123" builtinId="3"/>
    <cellStyle name="Comma 19" xfId="28"/>
    <cellStyle name="Comma 2" xfId="29"/>
    <cellStyle name="Comma 2 10" xfId="30"/>
    <cellStyle name="Comma 2 11" xfId="31"/>
    <cellStyle name="Comma 2 12" xfId="32"/>
    <cellStyle name="Comma 2 13" xfId="33"/>
    <cellStyle name="Comma 2 14" xfId="34"/>
    <cellStyle name="Comma 2 15" xfId="35"/>
    <cellStyle name="Comma 2 16" xfId="36"/>
    <cellStyle name="Comma 2 17" xfId="182"/>
    <cellStyle name="Comma 2 2" xfId="37"/>
    <cellStyle name="Comma 2 2 2" xfId="195"/>
    <cellStyle name="Comma 2 2 3" xfId="197"/>
    <cellStyle name="Comma 2 2 4" xfId="199"/>
    <cellStyle name="Comma 2 2 5" xfId="187"/>
    <cellStyle name="Comma 2 3" xfId="38"/>
    <cellStyle name="Comma 2 3 2" xfId="207"/>
    <cellStyle name="Comma 2 4" xfId="39"/>
    <cellStyle name="Comma 2 5" xfId="40"/>
    <cellStyle name="Comma 2 6" xfId="41"/>
    <cellStyle name="Comma 2 7" xfId="42"/>
    <cellStyle name="Comma 2 8" xfId="43"/>
    <cellStyle name="Comma 2 9" xfId="44"/>
    <cellStyle name="Comma 3" xfId="45"/>
    <cellStyle name="Comma 3 2" xfId="205"/>
    <cellStyle name="Comma 4" xfId="46"/>
    <cellStyle name="Comma 4 2" xfId="180"/>
    <cellStyle name="Currency" xfId="47" builtinId="4"/>
    <cellStyle name="Currency 2" xfId="48"/>
    <cellStyle name="Currency 2 2" xfId="49"/>
    <cellStyle name="Currency 2 3" xfId="202"/>
    <cellStyle name="Currency 3" xfId="50"/>
    <cellStyle name="Currency 4" xfId="125"/>
    <cellStyle name="Explanatory Text" xfId="151" builtinId="53" customBuiltin="1"/>
    <cellStyle name="Explanatory Text 2" xfId="51"/>
    <cellStyle name="Good" xfId="142" builtinId="26" customBuiltin="1"/>
    <cellStyle name="Good 2" xfId="52"/>
    <cellStyle name="Heading 1" xfId="138" builtinId="16" customBuiltin="1"/>
    <cellStyle name="Heading 1 2" xfId="53"/>
    <cellStyle name="Heading 2" xfId="139" builtinId="17" customBuiltin="1"/>
    <cellStyle name="Heading 2 2" xfId="54"/>
    <cellStyle name="Heading 3" xfId="140" builtinId="18" customBuiltin="1"/>
    <cellStyle name="Heading 3 2" xfId="55"/>
    <cellStyle name="Heading 4" xfId="141" builtinId="19" customBuiltin="1"/>
    <cellStyle name="Heading 4 2" xfId="56"/>
    <cellStyle name="Hyperlink" xfId="136" builtinId="8"/>
    <cellStyle name="Hyperlink 2" xfId="57"/>
    <cellStyle name="Input" xfId="145" builtinId="20" customBuiltin="1"/>
    <cellStyle name="Input 2" xfId="58"/>
    <cellStyle name="Input 2 2" xfId="228"/>
    <cellStyle name="Input 2 2 10" xfId="411"/>
    <cellStyle name="Input 2 2 10 10" xfId="2670"/>
    <cellStyle name="Input 2 2 10 11" xfId="2924"/>
    <cellStyle name="Input 2 2 10 12" xfId="3176"/>
    <cellStyle name="Input 2 2 10 13" xfId="3426"/>
    <cellStyle name="Input 2 2 10 14" xfId="3676"/>
    <cellStyle name="Input 2 2 10 15" xfId="3928"/>
    <cellStyle name="Input 2 2 10 16" xfId="4178"/>
    <cellStyle name="Input 2 2 10 17" xfId="4430"/>
    <cellStyle name="Input 2 2 10 18" xfId="4682"/>
    <cellStyle name="Input 2 2 10 2" xfId="664"/>
    <cellStyle name="Input 2 2 10 3" xfId="916"/>
    <cellStyle name="Input 2 2 10 4" xfId="1167"/>
    <cellStyle name="Input 2 2 10 5" xfId="1417"/>
    <cellStyle name="Input 2 2 10 6" xfId="1667"/>
    <cellStyle name="Input 2 2 10 7" xfId="1917"/>
    <cellStyle name="Input 2 2 10 8" xfId="2167"/>
    <cellStyle name="Input 2 2 10 9" xfId="2419"/>
    <cellStyle name="Input 2 2 11" xfId="291"/>
    <cellStyle name="Input 2 2 2" xfId="247"/>
    <cellStyle name="Input 2 2 2 10" xfId="1583"/>
    <cellStyle name="Input 2 2 2 11" xfId="1833"/>
    <cellStyle name="Input 2 2 2 12" xfId="2083"/>
    <cellStyle name="Input 2 2 2 13" xfId="2335"/>
    <cellStyle name="Input 2 2 2 14" xfId="2585"/>
    <cellStyle name="Input 2 2 2 15" xfId="2839"/>
    <cellStyle name="Input 2 2 2 16" xfId="3092"/>
    <cellStyle name="Input 2 2 2 17" xfId="3342"/>
    <cellStyle name="Input 2 2 2 18" xfId="3592"/>
    <cellStyle name="Input 2 2 2 19" xfId="3844"/>
    <cellStyle name="Input 2 2 2 2" xfId="375"/>
    <cellStyle name="Input 2 2 2 2 10" xfId="2383"/>
    <cellStyle name="Input 2 2 2 2 11" xfId="2634"/>
    <cellStyle name="Input 2 2 2 2 12" xfId="2888"/>
    <cellStyle name="Input 2 2 2 2 13" xfId="3140"/>
    <cellStyle name="Input 2 2 2 2 14" xfId="3390"/>
    <cellStyle name="Input 2 2 2 2 15" xfId="3640"/>
    <cellStyle name="Input 2 2 2 2 16" xfId="3892"/>
    <cellStyle name="Input 2 2 2 2 17" xfId="4142"/>
    <cellStyle name="Input 2 2 2 2 18" xfId="4394"/>
    <cellStyle name="Input 2 2 2 2 19" xfId="4646"/>
    <cellStyle name="Input 2 2 2 2 2" xfId="483"/>
    <cellStyle name="Input 2 2 2 2 2 10" xfId="2742"/>
    <cellStyle name="Input 2 2 2 2 2 11" xfId="2996"/>
    <cellStyle name="Input 2 2 2 2 2 12" xfId="3248"/>
    <cellStyle name="Input 2 2 2 2 2 13" xfId="3498"/>
    <cellStyle name="Input 2 2 2 2 2 14" xfId="3748"/>
    <cellStyle name="Input 2 2 2 2 2 15" xfId="4000"/>
    <cellStyle name="Input 2 2 2 2 2 16" xfId="4250"/>
    <cellStyle name="Input 2 2 2 2 2 17" xfId="4502"/>
    <cellStyle name="Input 2 2 2 2 2 18" xfId="4754"/>
    <cellStyle name="Input 2 2 2 2 2 2" xfId="736"/>
    <cellStyle name="Input 2 2 2 2 2 3" xfId="988"/>
    <cellStyle name="Input 2 2 2 2 2 4" xfId="1239"/>
    <cellStyle name="Input 2 2 2 2 2 5" xfId="1489"/>
    <cellStyle name="Input 2 2 2 2 2 6" xfId="1739"/>
    <cellStyle name="Input 2 2 2 2 2 7" xfId="1989"/>
    <cellStyle name="Input 2 2 2 2 2 8" xfId="2239"/>
    <cellStyle name="Input 2 2 2 2 2 9" xfId="2491"/>
    <cellStyle name="Input 2 2 2 2 3" xfId="628"/>
    <cellStyle name="Input 2 2 2 2 4" xfId="880"/>
    <cellStyle name="Input 2 2 2 2 5" xfId="1131"/>
    <cellStyle name="Input 2 2 2 2 6" xfId="1381"/>
    <cellStyle name="Input 2 2 2 2 7" xfId="1631"/>
    <cellStyle name="Input 2 2 2 2 8" xfId="1881"/>
    <cellStyle name="Input 2 2 2 2 9" xfId="2131"/>
    <cellStyle name="Input 2 2 2 20" xfId="4094"/>
    <cellStyle name="Input 2 2 2 21" xfId="4346"/>
    <cellStyle name="Input 2 2 2 22" xfId="4598"/>
    <cellStyle name="Input 2 2 2 3" xfId="531"/>
    <cellStyle name="Input 2 2 2 3 10" xfId="2790"/>
    <cellStyle name="Input 2 2 2 3 11" xfId="3044"/>
    <cellStyle name="Input 2 2 2 3 12" xfId="3296"/>
    <cellStyle name="Input 2 2 2 3 13" xfId="3546"/>
    <cellStyle name="Input 2 2 2 3 14" xfId="3796"/>
    <cellStyle name="Input 2 2 2 3 15" xfId="4048"/>
    <cellStyle name="Input 2 2 2 3 16" xfId="4298"/>
    <cellStyle name="Input 2 2 2 3 17" xfId="4550"/>
    <cellStyle name="Input 2 2 2 3 18" xfId="4802"/>
    <cellStyle name="Input 2 2 2 3 2" xfId="784"/>
    <cellStyle name="Input 2 2 2 3 3" xfId="1036"/>
    <cellStyle name="Input 2 2 2 3 4" xfId="1287"/>
    <cellStyle name="Input 2 2 2 3 5" xfId="1537"/>
    <cellStyle name="Input 2 2 2 3 6" xfId="1787"/>
    <cellStyle name="Input 2 2 2 3 7" xfId="2037"/>
    <cellStyle name="Input 2 2 2 3 8" xfId="2287"/>
    <cellStyle name="Input 2 2 2 3 9" xfId="2539"/>
    <cellStyle name="Input 2 2 2 4" xfId="429"/>
    <cellStyle name="Input 2 2 2 4 10" xfId="2688"/>
    <cellStyle name="Input 2 2 2 4 11" xfId="2942"/>
    <cellStyle name="Input 2 2 2 4 12" xfId="3194"/>
    <cellStyle name="Input 2 2 2 4 13" xfId="3444"/>
    <cellStyle name="Input 2 2 2 4 14" xfId="3694"/>
    <cellStyle name="Input 2 2 2 4 15" xfId="3946"/>
    <cellStyle name="Input 2 2 2 4 16" xfId="4196"/>
    <cellStyle name="Input 2 2 2 4 17" xfId="4448"/>
    <cellStyle name="Input 2 2 2 4 18" xfId="4700"/>
    <cellStyle name="Input 2 2 2 4 2" xfId="682"/>
    <cellStyle name="Input 2 2 2 4 3" xfId="934"/>
    <cellStyle name="Input 2 2 2 4 4" xfId="1185"/>
    <cellStyle name="Input 2 2 2 4 5" xfId="1435"/>
    <cellStyle name="Input 2 2 2 4 6" xfId="1685"/>
    <cellStyle name="Input 2 2 2 4 7" xfId="1935"/>
    <cellStyle name="Input 2 2 2 4 8" xfId="2185"/>
    <cellStyle name="Input 2 2 2 4 9" xfId="2437"/>
    <cellStyle name="Input 2 2 2 5" xfId="326"/>
    <cellStyle name="Input 2 2 2 6" xfId="580"/>
    <cellStyle name="Input 2 2 2 7" xfId="832"/>
    <cellStyle name="Input 2 2 2 8" xfId="1083"/>
    <cellStyle name="Input 2 2 2 9" xfId="1333"/>
    <cellStyle name="Input 2 2 3" xfId="270"/>
    <cellStyle name="Input 2 2 3 10" xfId="1606"/>
    <cellStyle name="Input 2 2 3 11" xfId="1856"/>
    <cellStyle name="Input 2 2 3 12" xfId="2106"/>
    <cellStyle name="Input 2 2 3 13" xfId="2358"/>
    <cellStyle name="Input 2 2 3 14" xfId="2608"/>
    <cellStyle name="Input 2 2 3 15" xfId="2862"/>
    <cellStyle name="Input 2 2 3 16" xfId="3115"/>
    <cellStyle name="Input 2 2 3 17" xfId="3365"/>
    <cellStyle name="Input 2 2 3 18" xfId="3615"/>
    <cellStyle name="Input 2 2 3 19" xfId="3867"/>
    <cellStyle name="Input 2 2 3 2" xfId="398"/>
    <cellStyle name="Input 2 2 3 2 10" xfId="2406"/>
    <cellStyle name="Input 2 2 3 2 11" xfId="2657"/>
    <cellStyle name="Input 2 2 3 2 12" xfId="2911"/>
    <cellStyle name="Input 2 2 3 2 13" xfId="3163"/>
    <cellStyle name="Input 2 2 3 2 14" xfId="3413"/>
    <cellStyle name="Input 2 2 3 2 15" xfId="3663"/>
    <cellStyle name="Input 2 2 3 2 16" xfId="3915"/>
    <cellStyle name="Input 2 2 3 2 17" xfId="4165"/>
    <cellStyle name="Input 2 2 3 2 18" xfId="4417"/>
    <cellStyle name="Input 2 2 3 2 19" xfId="4669"/>
    <cellStyle name="Input 2 2 3 2 2" xfId="506"/>
    <cellStyle name="Input 2 2 3 2 2 10" xfId="2765"/>
    <cellStyle name="Input 2 2 3 2 2 11" xfId="3019"/>
    <cellStyle name="Input 2 2 3 2 2 12" xfId="3271"/>
    <cellStyle name="Input 2 2 3 2 2 13" xfId="3521"/>
    <cellStyle name="Input 2 2 3 2 2 14" xfId="3771"/>
    <cellStyle name="Input 2 2 3 2 2 15" xfId="4023"/>
    <cellStyle name="Input 2 2 3 2 2 16" xfId="4273"/>
    <cellStyle name="Input 2 2 3 2 2 17" xfId="4525"/>
    <cellStyle name="Input 2 2 3 2 2 18" xfId="4777"/>
    <cellStyle name="Input 2 2 3 2 2 2" xfId="759"/>
    <cellStyle name="Input 2 2 3 2 2 3" xfId="1011"/>
    <cellStyle name="Input 2 2 3 2 2 4" xfId="1262"/>
    <cellStyle name="Input 2 2 3 2 2 5" xfId="1512"/>
    <cellStyle name="Input 2 2 3 2 2 6" xfId="1762"/>
    <cellStyle name="Input 2 2 3 2 2 7" xfId="2012"/>
    <cellStyle name="Input 2 2 3 2 2 8" xfId="2262"/>
    <cellStyle name="Input 2 2 3 2 2 9" xfId="2514"/>
    <cellStyle name="Input 2 2 3 2 3" xfId="651"/>
    <cellStyle name="Input 2 2 3 2 4" xfId="903"/>
    <cellStyle name="Input 2 2 3 2 5" xfId="1154"/>
    <cellStyle name="Input 2 2 3 2 6" xfId="1404"/>
    <cellStyle name="Input 2 2 3 2 7" xfId="1654"/>
    <cellStyle name="Input 2 2 3 2 8" xfId="1904"/>
    <cellStyle name="Input 2 2 3 2 9" xfId="2154"/>
    <cellStyle name="Input 2 2 3 20" xfId="4117"/>
    <cellStyle name="Input 2 2 3 21" xfId="4369"/>
    <cellStyle name="Input 2 2 3 22" xfId="4621"/>
    <cellStyle name="Input 2 2 3 3" xfId="554"/>
    <cellStyle name="Input 2 2 3 3 10" xfId="2813"/>
    <cellStyle name="Input 2 2 3 3 11" xfId="3067"/>
    <cellStyle name="Input 2 2 3 3 12" xfId="3319"/>
    <cellStyle name="Input 2 2 3 3 13" xfId="3569"/>
    <cellStyle name="Input 2 2 3 3 14" xfId="3819"/>
    <cellStyle name="Input 2 2 3 3 15" xfId="4071"/>
    <cellStyle name="Input 2 2 3 3 16" xfId="4321"/>
    <cellStyle name="Input 2 2 3 3 17" xfId="4573"/>
    <cellStyle name="Input 2 2 3 3 18" xfId="4825"/>
    <cellStyle name="Input 2 2 3 3 2" xfId="807"/>
    <cellStyle name="Input 2 2 3 3 3" xfId="1059"/>
    <cellStyle name="Input 2 2 3 3 4" xfId="1310"/>
    <cellStyle name="Input 2 2 3 3 5" xfId="1560"/>
    <cellStyle name="Input 2 2 3 3 6" xfId="1810"/>
    <cellStyle name="Input 2 2 3 3 7" xfId="2060"/>
    <cellStyle name="Input 2 2 3 3 8" xfId="2310"/>
    <cellStyle name="Input 2 2 3 3 9" xfId="2562"/>
    <cellStyle name="Input 2 2 3 4" xfId="452"/>
    <cellStyle name="Input 2 2 3 4 10" xfId="2711"/>
    <cellStyle name="Input 2 2 3 4 11" xfId="2965"/>
    <cellStyle name="Input 2 2 3 4 12" xfId="3217"/>
    <cellStyle name="Input 2 2 3 4 13" xfId="3467"/>
    <cellStyle name="Input 2 2 3 4 14" xfId="3717"/>
    <cellStyle name="Input 2 2 3 4 15" xfId="3969"/>
    <cellStyle name="Input 2 2 3 4 16" xfId="4219"/>
    <cellStyle name="Input 2 2 3 4 17" xfId="4471"/>
    <cellStyle name="Input 2 2 3 4 18" xfId="4723"/>
    <cellStyle name="Input 2 2 3 4 2" xfId="705"/>
    <cellStyle name="Input 2 2 3 4 3" xfId="957"/>
    <cellStyle name="Input 2 2 3 4 4" xfId="1208"/>
    <cellStyle name="Input 2 2 3 4 5" xfId="1458"/>
    <cellStyle name="Input 2 2 3 4 6" xfId="1708"/>
    <cellStyle name="Input 2 2 3 4 7" xfId="1958"/>
    <cellStyle name="Input 2 2 3 4 8" xfId="2208"/>
    <cellStyle name="Input 2 2 3 4 9" xfId="2460"/>
    <cellStyle name="Input 2 2 3 5" xfId="349"/>
    <cellStyle name="Input 2 2 3 6" xfId="603"/>
    <cellStyle name="Input 2 2 3 7" xfId="855"/>
    <cellStyle name="Input 2 2 3 8" xfId="1106"/>
    <cellStyle name="Input 2 2 3 9" xfId="1356"/>
    <cellStyle name="Input 2 2 4" xfId="271"/>
    <cellStyle name="Input 2 2 4 10" xfId="1607"/>
    <cellStyle name="Input 2 2 4 11" xfId="1857"/>
    <cellStyle name="Input 2 2 4 12" xfId="2107"/>
    <cellStyle name="Input 2 2 4 13" xfId="2359"/>
    <cellStyle name="Input 2 2 4 14" xfId="2609"/>
    <cellStyle name="Input 2 2 4 15" xfId="2863"/>
    <cellStyle name="Input 2 2 4 16" xfId="3116"/>
    <cellStyle name="Input 2 2 4 17" xfId="3366"/>
    <cellStyle name="Input 2 2 4 18" xfId="3616"/>
    <cellStyle name="Input 2 2 4 19" xfId="3868"/>
    <cellStyle name="Input 2 2 4 2" xfId="399"/>
    <cellStyle name="Input 2 2 4 2 10" xfId="2407"/>
    <cellStyle name="Input 2 2 4 2 11" xfId="2658"/>
    <cellStyle name="Input 2 2 4 2 12" xfId="2912"/>
    <cellStyle name="Input 2 2 4 2 13" xfId="3164"/>
    <cellStyle name="Input 2 2 4 2 14" xfId="3414"/>
    <cellStyle name="Input 2 2 4 2 15" xfId="3664"/>
    <cellStyle name="Input 2 2 4 2 16" xfId="3916"/>
    <cellStyle name="Input 2 2 4 2 17" xfId="4166"/>
    <cellStyle name="Input 2 2 4 2 18" xfId="4418"/>
    <cellStyle name="Input 2 2 4 2 19" xfId="4670"/>
    <cellStyle name="Input 2 2 4 2 2" xfId="507"/>
    <cellStyle name="Input 2 2 4 2 2 10" xfId="2766"/>
    <cellStyle name="Input 2 2 4 2 2 11" xfId="3020"/>
    <cellStyle name="Input 2 2 4 2 2 12" xfId="3272"/>
    <cellStyle name="Input 2 2 4 2 2 13" xfId="3522"/>
    <cellStyle name="Input 2 2 4 2 2 14" xfId="3772"/>
    <cellStyle name="Input 2 2 4 2 2 15" xfId="4024"/>
    <cellStyle name="Input 2 2 4 2 2 16" xfId="4274"/>
    <cellStyle name="Input 2 2 4 2 2 17" xfId="4526"/>
    <cellStyle name="Input 2 2 4 2 2 18" xfId="4778"/>
    <cellStyle name="Input 2 2 4 2 2 2" xfId="760"/>
    <cellStyle name="Input 2 2 4 2 2 3" xfId="1012"/>
    <cellStyle name="Input 2 2 4 2 2 4" xfId="1263"/>
    <cellStyle name="Input 2 2 4 2 2 5" xfId="1513"/>
    <cellStyle name="Input 2 2 4 2 2 6" xfId="1763"/>
    <cellStyle name="Input 2 2 4 2 2 7" xfId="2013"/>
    <cellStyle name="Input 2 2 4 2 2 8" xfId="2263"/>
    <cellStyle name="Input 2 2 4 2 2 9" xfId="2515"/>
    <cellStyle name="Input 2 2 4 2 3" xfId="652"/>
    <cellStyle name="Input 2 2 4 2 4" xfId="904"/>
    <cellStyle name="Input 2 2 4 2 5" xfId="1155"/>
    <cellStyle name="Input 2 2 4 2 6" xfId="1405"/>
    <cellStyle name="Input 2 2 4 2 7" xfId="1655"/>
    <cellStyle name="Input 2 2 4 2 8" xfId="1905"/>
    <cellStyle name="Input 2 2 4 2 9" xfId="2155"/>
    <cellStyle name="Input 2 2 4 20" xfId="4118"/>
    <cellStyle name="Input 2 2 4 21" xfId="4370"/>
    <cellStyle name="Input 2 2 4 22" xfId="4622"/>
    <cellStyle name="Input 2 2 4 3" xfId="555"/>
    <cellStyle name="Input 2 2 4 3 10" xfId="2814"/>
    <cellStyle name="Input 2 2 4 3 11" xfId="3068"/>
    <cellStyle name="Input 2 2 4 3 12" xfId="3320"/>
    <cellStyle name="Input 2 2 4 3 13" xfId="3570"/>
    <cellStyle name="Input 2 2 4 3 14" xfId="3820"/>
    <cellStyle name="Input 2 2 4 3 15" xfId="4072"/>
    <cellStyle name="Input 2 2 4 3 16" xfId="4322"/>
    <cellStyle name="Input 2 2 4 3 17" xfId="4574"/>
    <cellStyle name="Input 2 2 4 3 18" xfId="4826"/>
    <cellStyle name="Input 2 2 4 3 2" xfId="808"/>
    <cellStyle name="Input 2 2 4 3 3" xfId="1060"/>
    <cellStyle name="Input 2 2 4 3 4" xfId="1311"/>
    <cellStyle name="Input 2 2 4 3 5" xfId="1561"/>
    <cellStyle name="Input 2 2 4 3 6" xfId="1811"/>
    <cellStyle name="Input 2 2 4 3 7" xfId="2061"/>
    <cellStyle name="Input 2 2 4 3 8" xfId="2311"/>
    <cellStyle name="Input 2 2 4 3 9" xfId="2563"/>
    <cellStyle name="Input 2 2 4 4" xfId="453"/>
    <cellStyle name="Input 2 2 4 4 10" xfId="2712"/>
    <cellStyle name="Input 2 2 4 4 11" xfId="2966"/>
    <cellStyle name="Input 2 2 4 4 12" xfId="3218"/>
    <cellStyle name="Input 2 2 4 4 13" xfId="3468"/>
    <cellStyle name="Input 2 2 4 4 14" xfId="3718"/>
    <cellStyle name="Input 2 2 4 4 15" xfId="3970"/>
    <cellStyle name="Input 2 2 4 4 16" xfId="4220"/>
    <cellStyle name="Input 2 2 4 4 17" xfId="4472"/>
    <cellStyle name="Input 2 2 4 4 18" xfId="4724"/>
    <cellStyle name="Input 2 2 4 4 2" xfId="706"/>
    <cellStyle name="Input 2 2 4 4 3" xfId="958"/>
    <cellStyle name="Input 2 2 4 4 4" xfId="1209"/>
    <cellStyle name="Input 2 2 4 4 5" xfId="1459"/>
    <cellStyle name="Input 2 2 4 4 6" xfId="1709"/>
    <cellStyle name="Input 2 2 4 4 7" xfId="1959"/>
    <cellStyle name="Input 2 2 4 4 8" xfId="2209"/>
    <cellStyle name="Input 2 2 4 4 9" xfId="2461"/>
    <cellStyle name="Input 2 2 4 5" xfId="350"/>
    <cellStyle name="Input 2 2 4 6" xfId="604"/>
    <cellStyle name="Input 2 2 4 7" xfId="856"/>
    <cellStyle name="Input 2 2 4 8" xfId="1107"/>
    <cellStyle name="Input 2 2 4 9" xfId="1357"/>
    <cellStyle name="Input 2 2 5" xfId="265"/>
    <cellStyle name="Input 2 2 5 10" xfId="1601"/>
    <cellStyle name="Input 2 2 5 11" xfId="1851"/>
    <cellStyle name="Input 2 2 5 12" xfId="2101"/>
    <cellStyle name="Input 2 2 5 13" xfId="2353"/>
    <cellStyle name="Input 2 2 5 14" xfId="2603"/>
    <cellStyle name="Input 2 2 5 15" xfId="2857"/>
    <cellStyle name="Input 2 2 5 16" xfId="3110"/>
    <cellStyle name="Input 2 2 5 17" xfId="3360"/>
    <cellStyle name="Input 2 2 5 18" xfId="3610"/>
    <cellStyle name="Input 2 2 5 19" xfId="3862"/>
    <cellStyle name="Input 2 2 5 2" xfId="393"/>
    <cellStyle name="Input 2 2 5 2 10" xfId="2401"/>
    <cellStyle name="Input 2 2 5 2 11" xfId="2652"/>
    <cellStyle name="Input 2 2 5 2 12" xfId="2906"/>
    <cellStyle name="Input 2 2 5 2 13" xfId="3158"/>
    <cellStyle name="Input 2 2 5 2 14" xfId="3408"/>
    <cellStyle name="Input 2 2 5 2 15" xfId="3658"/>
    <cellStyle name="Input 2 2 5 2 16" xfId="3910"/>
    <cellStyle name="Input 2 2 5 2 17" xfId="4160"/>
    <cellStyle name="Input 2 2 5 2 18" xfId="4412"/>
    <cellStyle name="Input 2 2 5 2 19" xfId="4664"/>
    <cellStyle name="Input 2 2 5 2 2" xfId="501"/>
    <cellStyle name="Input 2 2 5 2 2 10" xfId="2760"/>
    <cellStyle name="Input 2 2 5 2 2 11" xfId="3014"/>
    <cellStyle name="Input 2 2 5 2 2 12" xfId="3266"/>
    <cellStyle name="Input 2 2 5 2 2 13" xfId="3516"/>
    <cellStyle name="Input 2 2 5 2 2 14" xfId="3766"/>
    <cellStyle name="Input 2 2 5 2 2 15" xfId="4018"/>
    <cellStyle name="Input 2 2 5 2 2 16" xfId="4268"/>
    <cellStyle name="Input 2 2 5 2 2 17" xfId="4520"/>
    <cellStyle name="Input 2 2 5 2 2 18" xfId="4772"/>
    <cellStyle name="Input 2 2 5 2 2 2" xfId="754"/>
    <cellStyle name="Input 2 2 5 2 2 3" xfId="1006"/>
    <cellStyle name="Input 2 2 5 2 2 4" xfId="1257"/>
    <cellStyle name="Input 2 2 5 2 2 5" xfId="1507"/>
    <cellStyle name="Input 2 2 5 2 2 6" xfId="1757"/>
    <cellStyle name="Input 2 2 5 2 2 7" xfId="2007"/>
    <cellStyle name="Input 2 2 5 2 2 8" xfId="2257"/>
    <cellStyle name="Input 2 2 5 2 2 9" xfId="2509"/>
    <cellStyle name="Input 2 2 5 2 3" xfId="646"/>
    <cellStyle name="Input 2 2 5 2 4" xfId="898"/>
    <cellStyle name="Input 2 2 5 2 5" xfId="1149"/>
    <cellStyle name="Input 2 2 5 2 6" xfId="1399"/>
    <cellStyle name="Input 2 2 5 2 7" xfId="1649"/>
    <cellStyle name="Input 2 2 5 2 8" xfId="1899"/>
    <cellStyle name="Input 2 2 5 2 9" xfId="2149"/>
    <cellStyle name="Input 2 2 5 20" xfId="4112"/>
    <cellStyle name="Input 2 2 5 21" xfId="4364"/>
    <cellStyle name="Input 2 2 5 22" xfId="4616"/>
    <cellStyle name="Input 2 2 5 3" xfId="549"/>
    <cellStyle name="Input 2 2 5 3 10" xfId="2808"/>
    <cellStyle name="Input 2 2 5 3 11" xfId="3062"/>
    <cellStyle name="Input 2 2 5 3 12" xfId="3314"/>
    <cellStyle name="Input 2 2 5 3 13" xfId="3564"/>
    <cellStyle name="Input 2 2 5 3 14" xfId="3814"/>
    <cellStyle name="Input 2 2 5 3 15" xfId="4066"/>
    <cellStyle name="Input 2 2 5 3 16" xfId="4316"/>
    <cellStyle name="Input 2 2 5 3 17" xfId="4568"/>
    <cellStyle name="Input 2 2 5 3 18" xfId="4820"/>
    <cellStyle name="Input 2 2 5 3 2" xfId="802"/>
    <cellStyle name="Input 2 2 5 3 3" xfId="1054"/>
    <cellStyle name="Input 2 2 5 3 4" xfId="1305"/>
    <cellStyle name="Input 2 2 5 3 5" xfId="1555"/>
    <cellStyle name="Input 2 2 5 3 6" xfId="1805"/>
    <cellStyle name="Input 2 2 5 3 7" xfId="2055"/>
    <cellStyle name="Input 2 2 5 3 8" xfId="2305"/>
    <cellStyle name="Input 2 2 5 3 9" xfId="2557"/>
    <cellStyle name="Input 2 2 5 4" xfId="447"/>
    <cellStyle name="Input 2 2 5 4 10" xfId="2706"/>
    <cellStyle name="Input 2 2 5 4 11" xfId="2960"/>
    <cellStyle name="Input 2 2 5 4 12" xfId="3212"/>
    <cellStyle name="Input 2 2 5 4 13" xfId="3462"/>
    <cellStyle name="Input 2 2 5 4 14" xfId="3712"/>
    <cellStyle name="Input 2 2 5 4 15" xfId="3964"/>
    <cellStyle name="Input 2 2 5 4 16" xfId="4214"/>
    <cellStyle name="Input 2 2 5 4 17" xfId="4466"/>
    <cellStyle name="Input 2 2 5 4 18" xfId="4718"/>
    <cellStyle name="Input 2 2 5 4 2" xfId="700"/>
    <cellStyle name="Input 2 2 5 4 3" xfId="952"/>
    <cellStyle name="Input 2 2 5 4 4" xfId="1203"/>
    <cellStyle name="Input 2 2 5 4 5" xfId="1453"/>
    <cellStyle name="Input 2 2 5 4 6" xfId="1703"/>
    <cellStyle name="Input 2 2 5 4 7" xfId="1953"/>
    <cellStyle name="Input 2 2 5 4 8" xfId="2203"/>
    <cellStyle name="Input 2 2 5 4 9" xfId="2455"/>
    <cellStyle name="Input 2 2 5 5" xfId="344"/>
    <cellStyle name="Input 2 2 5 6" xfId="598"/>
    <cellStyle name="Input 2 2 5 7" xfId="850"/>
    <cellStyle name="Input 2 2 5 8" xfId="1101"/>
    <cellStyle name="Input 2 2 5 9" xfId="1351"/>
    <cellStyle name="Input 2 2 6" xfId="277"/>
    <cellStyle name="Input 2 2 6 10" xfId="1613"/>
    <cellStyle name="Input 2 2 6 11" xfId="1863"/>
    <cellStyle name="Input 2 2 6 12" xfId="2113"/>
    <cellStyle name="Input 2 2 6 13" xfId="2365"/>
    <cellStyle name="Input 2 2 6 14" xfId="2615"/>
    <cellStyle name="Input 2 2 6 15" xfId="2869"/>
    <cellStyle name="Input 2 2 6 16" xfId="3122"/>
    <cellStyle name="Input 2 2 6 17" xfId="3372"/>
    <cellStyle name="Input 2 2 6 18" xfId="3622"/>
    <cellStyle name="Input 2 2 6 19" xfId="3874"/>
    <cellStyle name="Input 2 2 6 2" xfId="405"/>
    <cellStyle name="Input 2 2 6 2 10" xfId="2413"/>
    <cellStyle name="Input 2 2 6 2 11" xfId="2664"/>
    <cellStyle name="Input 2 2 6 2 12" xfId="2918"/>
    <cellStyle name="Input 2 2 6 2 13" xfId="3170"/>
    <cellStyle name="Input 2 2 6 2 14" xfId="3420"/>
    <cellStyle name="Input 2 2 6 2 15" xfId="3670"/>
    <cellStyle name="Input 2 2 6 2 16" xfId="3922"/>
    <cellStyle name="Input 2 2 6 2 17" xfId="4172"/>
    <cellStyle name="Input 2 2 6 2 18" xfId="4424"/>
    <cellStyle name="Input 2 2 6 2 19" xfId="4676"/>
    <cellStyle name="Input 2 2 6 2 2" xfId="513"/>
    <cellStyle name="Input 2 2 6 2 2 10" xfId="2772"/>
    <cellStyle name="Input 2 2 6 2 2 11" xfId="3026"/>
    <cellStyle name="Input 2 2 6 2 2 12" xfId="3278"/>
    <cellStyle name="Input 2 2 6 2 2 13" xfId="3528"/>
    <cellStyle name="Input 2 2 6 2 2 14" xfId="3778"/>
    <cellStyle name="Input 2 2 6 2 2 15" xfId="4030"/>
    <cellStyle name="Input 2 2 6 2 2 16" xfId="4280"/>
    <cellStyle name="Input 2 2 6 2 2 17" xfId="4532"/>
    <cellStyle name="Input 2 2 6 2 2 18" xfId="4784"/>
    <cellStyle name="Input 2 2 6 2 2 2" xfId="766"/>
    <cellStyle name="Input 2 2 6 2 2 3" xfId="1018"/>
    <cellStyle name="Input 2 2 6 2 2 4" xfId="1269"/>
    <cellStyle name="Input 2 2 6 2 2 5" xfId="1519"/>
    <cellStyle name="Input 2 2 6 2 2 6" xfId="1769"/>
    <cellStyle name="Input 2 2 6 2 2 7" xfId="2019"/>
    <cellStyle name="Input 2 2 6 2 2 8" xfId="2269"/>
    <cellStyle name="Input 2 2 6 2 2 9" xfId="2521"/>
    <cellStyle name="Input 2 2 6 2 3" xfId="658"/>
    <cellStyle name="Input 2 2 6 2 4" xfId="910"/>
    <cellStyle name="Input 2 2 6 2 5" xfId="1161"/>
    <cellStyle name="Input 2 2 6 2 6" xfId="1411"/>
    <cellStyle name="Input 2 2 6 2 7" xfId="1661"/>
    <cellStyle name="Input 2 2 6 2 8" xfId="1911"/>
    <cellStyle name="Input 2 2 6 2 9" xfId="2161"/>
    <cellStyle name="Input 2 2 6 20" xfId="4124"/>
    <cellStyle name="Input 2 2 6 21" xfId="4376"/>
    <cellStyle name="Input 2 2 6 22" xfId="4628"/>
    <cellStyle name="Input 2 2 6 3" xfId="561"/>
    <cellStyle name="Input 2 2 6 3 10" xfId="2820"/>
    <cellStyle name="Input 2 2 6 3 11" xfId="3074"/>
    <cellStyle name="Input 2 2 6 3 12" xfId="3326"/>
    <cellStyle name="Input 2 2 6 3 13" xfId="3576"/>
    <cellStyle name="Input 2 2 6 3 14" xfId="3826"/>
    <cellStyle name="Input 2 2 6 3 15" xfId="4078"/>
    <cellStyle name="Input 2 2 6 3 16" xfId="4328"/>
    <cellStyle name="Input 2 2 6 3 17" xfId="4580"/>
    <cellStyle name="Input 2 2 6 3 18" xfId="4832"/>
    <cellStyle name="Input 2 2 6 3 2" xfId="814"/>
    <cellStyle name="Input 2 2 6 3 3" xfId="1066"/>
    <cellStyle name="Input 2 2 6 3 4" xfId="1317"/>
    <cellStyle name="Input 2 2 6 3 5" xfId="1567"/>
    <cellStyle name="Input 2 2 6 3 6" xfId="1817"/>
    <cellStyle name="Input 2 2 6 3 7" xfId="2067"/>
    <cellStyle name="Input 2 2 6 3 8" xfId="2317"/>
    <cellStyle name="Input 2 2 6 3 9" xfId="2569"/>
    <cellStyle name="Input 2 2 6 4" xfId="459"/>
    <cellStyle name="Input 2 2 6 4 10" xfId="2718"/>
    <cellStyle name="Input 2 2 6 4 11" xfId="2972"/>
    <cellStyle name="Input 2 2 6 4 12" xfId="3224"/>
    <cellStyle name="Input 2 2 6 4 13" xfId="3474"/>
    <cellStyle name="Input 2 2 6 4 14" xfId="3724"/>
    <cellStyle name="Input 2 2 6 4 15" xfId="3976"/>
    <cellStyle name="Input 2 2 6 4 16" xfId="4226"/>
    <cellStyle name="Input 2 2 6 4 17" xfId="4478"/>
    <cellStyle name="Input 2 2 6 4 18" xfId="4730"/>
    <cellStyle name="Input 2 2 6 4 2" xfId="712"/>
    <cellStyle name="Input 2 2 6 4 3" xfId="964"/>
    <cellStyle name="Input 2 2 6 4 4" xfId="1215"/>
    <cellStyle name="Input 2 2 6 4 5" xfId="1465"/>
    <cellStyle name="Input 2 2 6 4 6" xfId="1715"/>
    <cellStyle name="Input 2 2 6 4 7" xfId="1965"/>
    <cellStyle name="Input 2 2 6 4 8" xfId="2215"/>
    <cellStyle name="Input 2 2 6 4 9" xfId="2467"/>
    <cellStyle name="Input 2 2 6 5" xfId="356"/>
    <cellStyle name="Input 2 2 6 6" xfId="610"/>
    <cellStyle name="Input 2 2 6 7" xfId="862"/>
    <cellStyle name="Input 2 2 6 8" xfId="1113"/>
    <cellStyle name="Input 2 2 6 9" xfId="1363"/>
    <cellStyle name="Input 2 2 7" xfId="245"/>
    <cellStyle name="Input 2 2 7 10" xfId="1581"/>
    <cellStyle name="Input 2 2 7 11" xfId="1831"/>
    <cellStyle name="Input 2 2 7 12" xfId="2081"/>
    <cellStyle name="Input 2 2 7 13" xfId="2333"/>
    <cellStyle name="Input 2 2 7 14" xfId="2583"/>
    <cellStyle name="Input 2 2 7 15" xfId="2837"/>
    <cellStyle name="Input 2 2 7 16" xfId="3090"/>
    <cellStyle name="Input 2 2 7 17" xfId="3340"/>
    <cellStyle name="Input 2 2 7 18" xfId="3590"/>
    <cellStyle name="Input 2 2 7 19" xfId="3842"/>
    <cellStyle name="Input 2 2 7 2" xfId="373"/>
    <cellStyle name="Input 2 2 7 2 10" xfId="2381"/>
    <cellStyle name="Input 2 2 7 2 11" xfId="2632"/>
    <cellStyle name="Input 2 2 7 2 12" xfId="2886"/>
    <cellStyle name="Input 2 2 7 2 13" xfId="3138"/>
    <cellStyle name="Input 2 2 7 2 14" xfId="3388"/>
    <cellStyle name="Input 2 2 7 2 15" xfId="3638"/>
    <cellStyle name="Input 2 2 7 2 16" xfId="3890"/>
    <cellStyle name="Input 2 2 7 2 17" xfId="4140"/>
    <cellStyle name="Input 2 2 7 2 18" xfId="4392"/>
    <cellStyle name="Input 2 2 7 2 19" xfId="4644"/>
    <cellStyle name="Input 2 2 7 2 2" xfId="481"/>
    <cellStyle name="Input 2 2 7 2 2 10" xfId="2740"/>
    <cellStyle name="Input 2 2 7 2 2 11" xfId="2994"/>
    <cellStyle name="Input 2 2 7 2 2 12" xfId="3246"/>
    <cellStyle name="Input 2 2 7 2 2 13" xfId="3496"/>
    <cellStyle name="Input 2 2 7 2 2 14" xfId="3746"/>
    <cellStyle name="Input 2 2 7 2 2 15" xfId="3998"/>
    <cellStyle name="Input 2 2 7 2 2 16" xfId="4248"/>
    <cellStyle name="Input 2 2 7 2 2 17" xfId="4500"/>
    <cellStyle name="Input 2 2 7 2 2 18" xfId="4752"/>
    <cellStyle name="Input 2 2 7 2 2 2" xfId="734"/>
    <cellStyle name="Input 2 2 7 2 2 3" xfId="986"/>
    <cellStyle name="Input 2 2 7 2 2 4" xfId="1237"/>
    <cellStyle name="Input 2 2 7 2 2 5" xfId="1487"/>
    <cellStyle name="Input 2 2 7 2 2 6" xfId="1737"/>
    <cellStyle name="Input 2 2 7 2 2 7" xfId="1987"/>
    <cellStyle name="Input 2 2 7 2 2 8" xfId="2237"/>
    <cellStyle name="Input 2 2 7 2 2 9" xfId="2489"/>
    <cellStyle name="Input 2 2 7 2 3" xfId="626"/>
    <cellStyle name="Input 2 2 7 2 4" xfId="878"/>
    <cellStyle name="Input 2 2 7 2 5" xfId="1129"/>
    <cellStyle name="Input 2 2 7 2 6" xfId="1379"/>
    <cellStyle name="Input 2 2 7 2 7" xfId="1629"/>
    <cellStyle name="Input 2 2 7 2 8" xfId="1879"/>
    <cellStyle name="Input 2 2 7 2 9" xfId="2129"/>
    <cellStyle name="Input 2 2 7 20" xfId="4092"/>
    <cellStyle name="Input 2 2 7 21" xfId="4344"/>
    <cellStyle name="Input 2 2 7 22" xfId="4596"/>
    <cellStyle name="Input 2 2 7 3" xfId="529"/>
    <cellStyle name="Input 2 2 7 3 10" xfId="2788"/>
    <cellStyle name="Input 2 2 7 3 11" xfId="3042"/>
    <cellStyle name="Input 2 2 7 3 12" xfId="3294"/>
    <cellStyle name="Input 2 2 7 3 13" xfId="3544"/>
    <cellStyle name="Input 2 2 7 3 14" xfId="3794"/>
    <cellStyle name="Input 2 2 7 3 15" xfId="4046"/>
    <cellStyle name="Input 2 2 7 3 16" xfId="4296"/>
    <cellStyle name="Input 2 2 7 3 17" xfId="4548"/>
    <cellStyle name="Input 2 2 7 3 18" xfId="4800"/>
    <cellStyle name="Input 2 2 7 3 2" xfId="782"/>
    <cellStyle name="Input 2 2 7 3 3" xfId="1034"/>
    <cellStyle name="Input 2 2 7 3 4" xfId="1285"/>
    <cellStyle name="Input 2 2 7 3 5" xfId="1535"/>
    <cellStyle name="Input 2 2 7 3 6" xfId="1785"/>
    <cellStyle name="Input 2 2 7 3 7" xfId="2035"/>
    <cellStyle name="Input 2 2 7 3 8" xfId="2285"/>
    <cellStyle name="Input 2 2 7 3 9" xfId="2537"/>
    <cellStyle name="Input 2 2 7 4" xfId="427"/>
    <cellStyle name="Input 2 2 7 4 10" xfId="2686"/>
    <cellStyle name="Input 2 2 7 4 11" xfId="2940"/>
    <cellStyle name="Input 2 2 7 4 12" xfId="3192"/>
    <cellStyle name="Input 2 2 7 4 13" xfId="3442"/>
    <cellStyle name="Input 2 2 7 4 14" xfId="3692"/>
    <cellStyle name="Input 2 2 7 4 15" xfId="3944"/>
    <cellStyle name="Input 2 2 7 4 16" xfId="4194"/>
    <cellStyle name="Input 2 2 7 4 17" xfId="4446"/>
    <cellStyle name="Input 2 2 7 4 18" xfId="4698"/>
    <cellStyle name="Input 2 2 7 4 2" xfId="680"/>
    <cellStyle name="Input 2 2 7 4 3" xfId="932"/>
    <cellStyle name="Input 2 2 7 4 4" xfId="1183"/>
    <cellStyle name="Input 2 2 7 4 5" xfId="1433"/>
    <cellStyle name="Input 2 2 7 4 6" xfId="1683"/>
    <cellStyle name="Input 2 2 7 4 7" xfId="1933"/>
    <cellStyle name="Input 2 2 7 4 8" xfId="2183"/>
    <cellStyle name="Input 2 2 7 4 9" xfId="2435"/>
    <cellStyle name="Input 2 2 7 5" xfId="324"/>
    <cellStyle name="Input 2 2 7 6" xfId="578"/>
    <cellStyle name="Input 2 2 7 7" xfId="830"/>
    <cellStyle name="Input 2 2 7 8" xfId="1081"/>
    <cellStyle name="Input 2 2 7 9" xfId="1331"/>
    <cellStyle name="Input 2 2 8" xfId="240"/>
    <cellStyle name="Input 2 2 8 10" xfId="1576"/>
    <cellStyle name="Input 2 2 8 11" xfId="1826"/>
    <cellStyle name="Input 2 2 8 12" xfId="2076"/>
    <cellStyle name="Input 2 2 8 13" xfId="2328"/>
    <cellStyle name="Input 2 2 8 14" xfId="2578"/>
    <cellStyle name="Input 2 2 8 15" xfId="2832"/>
    <cellStyle name="Input 2 2 8 16" xfId="3085"/>
    <cellStyle name="Input 2 2 8 17" xfId="3335"/>
    <cellStyle name="Input 2 2 8 18" xfId="3585"/>
    <cellStyle name="Input 2 2 8 19" xfId="3837"/>
    <cellStyle name="Input 2 2 8 2" xfId="368"/>
    <cellStyle name="Input 2 2 8 2 10" xfId="2376"/>
    <cellStyle name="Input 2 2 8 2 11" xfId="2627"/>
    <cellStyle name="Input 2 2 8 2 12" xfId="2881"/>
    <cellStyle name="Input 2 2 8 2 13" xfId="3133"/>
    <cellStyle name="Input 2 2 8 2 14" xfId="3383"/>
    <cellStyle name="Input 2 2 8 2 15" xfId="3633"/>
    <cellStyle name="Input 2 2 8 2 16" xfId="3885"/>
    <cellStyle name="Input 2 2 8 2 17" xfId="4135"/>
    <cellStyle name="Input 2 2 8 2 18" xfId="4387"/>
    <cellStyle name="Input 2 2 8 2 19" xfId="4639"/>
    <cellStyle name="Input 2 2 8 2 2" xfId="476"/>
    <cellStyle name="Input 2 2 8 2 2 10" xfId="2735"/>
    <cellStyle name="Input 2 2 8 2 2 11" xfId="2989"/>
    <cellStyle name="Input 2 2 8 2 2 12" xfId="3241"/>
    <cellStyle name="Input 2 2 8 2 2 13" xfId="3491"/>
    <cellStyle name="Input 2 2 8 2 2 14" xfId="3741"/>
    <cellStyle name="Input 2 2 8 2 2 15" xfId="3993"/>
    <cellStyle name="Input 2 2 8 2 2 16" xfId="4243"/>
    <cellStyle name="Input 2 2 8 2 2 17" xfId="4495"/>
    <cellStyle name="Input 2 2 8 2 2 18" xfId="4747"/>
    <cellStyle name="Input 2 2 8 2 2 2" xfId="729"/>
    <cellStyle name="Input 2 2 8 2 2 3" xfId="981"/>
    <cellStyle name="Input 2 2 8 2 2 4" xfId="1232"/>
    <cellStyle name="Input 2 2 8 2 2 5" xfId="1482"/>
    <cellStyle name="Input 2 2 8 2 2 6" xfId="1732"/>
    <cellStyle name="Input 2 2 8 2 2 7" xfId="1982"/>
    <cellStyle name="Input 2 2 8 2 2 8" xfId="2232"/>
    <cellStyle name="Input 2 2 8 2 2 9" xfId="2484"/>
    <cellStyle name="Input 2 2 8 2 3" xfId="621"/>
    <cellStyle name="Input 2 2 8 2 4" xfId="873"/>
    <cellStyle name="Input 2 2 8 2 5" xfId="1124"/>
    <cellStyle name="Input 2 2 8 2 6" xfId="1374"/>
    <cellStyle name="Input 2 2 8 2 7" xfId="1624"/>
    <cellStyle name="Input 2 2 8 2 8" xfId="1874"/>
    <cellStyle name="Input 2 2 8 2 9" xfId="2124"/>
    <cellStyle name="Input 2 2 8 20" xfId="4087"/>
    <cellStyle name="Input 2 2 8 21" xfId="4339"/>
    <cellStyle name="Input 2 2 8 22" xfId="4591"/>
    <cellStyle name="Input 2 2 8 3" xfId="524"/>
    <cellStyle name="Input 2 2 8 3 10" xfId="2783"/>
    <cellStyle name="Input 2 2 8 3 11" xfId="3037"/>
    <cellStyle name="Input 2 2 8 3 12" xfId="3289"/>
    <cellStyle name="Input 2 2 8 3 13" xfId="3539"/>
    <cellStyle name="Input 2 2 8 3 14" xfId="3789"/>
    <cellStyle name="Input 2 2 8 3 15" xfId="4041"/>
    <cellStyle name="Input 2 2 8 3 16" xfId="4291"/>
    <cellStyle name="Input 2 2 8 3 17" xfId="4543"/>
    <cellStyle name="Input 2 2 8 3 18" xfId="4795"/>
    <cellStyle name="Input 2 2 8 3 2" xfId="777"/>
    <cellStyle name="Input 2 2 8 3 3" xfId="1029"/>
    <cellStyle name="Input 2 2 8 3 4" xfId="1280"/>
    <cellStyle name="Input 2 2 8 3 5" xfId="1530"/>
    <cellStyle name="Input 2 2 8 3 6" xfId="1780"/>
    <cellStyle name="Input 2 2 8 3 7" xfId="2030"/>
    <cellStyle name="Input 2 2 8 3 8" xfId="2280"/>
    <cellStyle name="Input 2 2 8 3 9" xfId="2532"/>
    <cellStyle name="Input 2 2 8 4" xfId="422"/>
    <cellStyle name="Input 2 2 8 4 10" xfId="2681"/>
    <cellStyle name="Input 2 2 8 4 11" xfId="2935"/>
    <cellStyle name="Input 2 2 8 4 12" xfId="3187"/>
    <cellStyle name="Input 2 2 8 4 13" xfId="3437"/>
    <cellStyle name="Input 2 2 8 4 14" xfId="3687"/>
    <cellStyle name="Input 2 2 8 4 15" xfId="3939"/>
    <cellStyle name="Input 2 2 8 4 16" xfId="4189"/>
    <cellStyle name="Input 2 2 8 4 17" xfId="4441"/>
    <cellStyle name="Input 2 2 8 4 18" xfId="4693"/>
    <cellStyle name="Input 2 2 8 4 2" xfId="675"/>
    <cellStyle name="Input 2 2 8 4 3" xfId="927"/>
    <cellStyle name="Input 2 2 8 4 4" xfId="1178"/>
    <cellStyle name="Input 2 2 8 4 5" xfId="1428"/>
    <cellStyle name="Input 2 2 8 4 6" xfId="1678"/>
    <cellStyle name="Input 2 2 8 4 7" xfId="1928"/>
    <cellStyle name="Input 2 2 8 4 8" xfId="2178"/>
    <cellStyle name="Input 2 2 8 4 9" xfId="2430"/>
    <cellStyle name="Input 2 2 8 5" xfId="319"/>
    <cellStyle name="Input 2 2 8 6" xfId="573"/>
    <cellStyle name="Input 2 2 8 7" xfId="825"/>
    <cellStyle name="Input 2 2 8 8" xfId="1076"/>
    <cellStyle name="Input 2 2 8 9" xfId="1326"/>
    <cellStyle name="Input 2 2 9" xfId="465"/>
    <cellStyle name="Input 2 2 9 10" xfId="2724"/>
    <cellStyle name="Input 2 2 9 11" xfId="2978"/>
    <cellStyle name="Input 2 2 9 12" xfId="3230"/>
    <cellStyle name="Input 2 2 9 13" xfId="3480"/>
    <cellStyle name="Input 2 2 9 14" xfId="3730"/>
    <cellStyle name="Input 2 2 9 15" xfId="3982"/>
    <cellStyle name="Input 2 2 9 16" xfId="4232"/>
    <cellStyle name="Input 2 2 9 17" xfId="4484"/>
    <cellStyle name="Input 2 2 9 18" xfId="4736"/>
    <cellStyle name="Input 2 2 9 2" xfId="718"/>
    <cellStyle name="Input 2 2 9 3" xfId="970"/>
    <cellStyle name="Input 2 2 9 4" xfId="1221"/>
    <cellStyle name="Input 2 2 9 5" xfId="1471"/>
    <cellStyle name="Input 2 2 9 6" xfId="1721"/>
    <cellStyle name="Input 2 2 9 7" xfId="1971"/>
    <cellStyle name="Input 2 2 9 8" xfId="2221"/>
    <cellStyle name="Input 2 2 9 9" xfId="2473"/>
    <cellStyle name="Input 2 3" xfId="231"/>
    <cellStyle name="Input 2 3 10" xfId="306"/>
    <cellStyle name="Input 2 3 11" xfId="283"/>
    <cellStyle name="Input 2 3 12" xfId="297"/>
    <cellStyle name="Input 2 3 13" xfId="2320"/>
    <cellStyle name="Input 2 3 14" xfId="309"/>
    <cellStyle name="Input 2 3 15" xfId="2824"/>
    <cellStyle name="Input 2 3 16" xfId="3077"/>
    <cellStyle name="Input 2 3 17" xfId="292"/>
    <cellStyle name="Input 2 3 18" xfId="295"/>
    <cellStyle name="Input 2 3 19" xfId="3829"/>
    <cellStyle name="Input 2 3 2" xfId="360"/>
    <cellStyle name="Input 2 3 2 10" xfId="2368"/>
    <cellStyle name="Input 2 3 2 11" xfId="2619"/>
    <cellStyle name="Input 2 3 2 12" xfId="2873"/>
    <cellStyle name="Input 2 3 2 13" xfId="3125"/>
    <cellStyle name="Input 2 3 2 14" xfId="3375"/>
    <cellStyle name="Input 2 3 2 15" xfId="3625"/>
    <cellStyle name="Input 2 3 2 16" xfId="3877"/>
    <cellStyle name="Input 2 3 2 17" xfId="4127"/>
    <cellStyle name="Input 2 3 2 18" xfId="4379"/>
    <cellStyle name="Input 2 3 2 19" xfId="4631"/>
    <cellStyle name="Input 2 3 2 2" xfId="468"/>
    <cellStyle name="Input 2 3 2 2 10" xfId="2727"/>
    <cellStyle name="Input 2 3 2 2 11" xfId="2981"/>
    <cellStyle name="Input 2 3 2 2 12" xfId="3233"/>
    <cellStyle name="Input 2 3 2 2 13" xfId="3483"/>
    <cellStyle name="Input 2 3 2 2 14" xfId="3733"/>
    <cellStyle name="Input 2 3 2 2 15" xfId="3985"/>
    <cellStyle name="Input 2 3 2 2 16" xfId="4235"/>
    <cellStyle name="Input 2 3 2 2 17" xfId="4487"/>
    <cellStyle name="Input 2 3 2 2 18" xfId="4739"/>
    <cellStyle name="Input 2 3 2 2 2" xfId="721"/>
    <cellStyle name="Input 2 3 2 2 3" xfId="973"/>
    <cellStyle name="Input 2 3 2 2 4" xfId="1224"/>
    <cellStyle name="Input 2 3 2 2 5" xfId="1474"/>
    <cellStyle name="Input 2 3 2 2 6" xfId="1724"/>
    <cellStyle name="Input 2 3 2 2 7" xfId="1974"/>
    <cellStyle name="Input 2 3 2 2 8" xfId="2224"/>
    <cellStyle name="Input 2 3 2 2 9" xfId="2476"/>
    <cellStyle name="Input 2 3 2 3" xfId="613"/>
    <cellStyle name="Input 2 3 2 4" xfId="865"/>
    <cellStyle name="Input 2 3 2 5" xfId="1116"/>
    <cellStyle name="Input 2 3 2 6" xfId="1366"/>
    <cellStyle name="Input 2 3 2 7" xfId="1616"/>
    <cellStyle name="Input 2 3 2 8" xfId="1866"/>
    <cellStyle name="Input 2 3 2 9" xfId="2116"/>
    <cellStyle name="Input 2 3 20" xfId="563"/>
    <cellStyle name="Input 2 3 21" xfId="4331"/>
    <cellStyle name="Input 2 3 22" xfId="4583"/>
    <cellStyle name="Input 2 3 3" xfId="516"/>
    <cellStyle name="Input 2 3 3 10" xfId="2775"/>
    <cellStyle name="Input 2 3 3 11" xfId="3029"/>
    <cellStyle name="Input 2 3 3 12" xfId="3281"/>
    <cellStyle name="Input 2 3 3 13" xfId="3531"/>
    <cellStyle name="Input 2 3 3 14" xfId="3781"/>
    <cellStyle name="Input 2 3 3 15" xfId="4033"/>
    <cellStyle name="Input 2 3 3 16" xfId="4283"/>
    <cellStyle name="Input 2 3 3 17" xfId="4535"/>
    <cellStyle name="Input 2 3 3 18" xfId="4787"/>
    <cellStyle name="Input 2 3 3 2" xfId="769"/>
    <cellStyle name="Input 2 3 3 3" xfId="1021"/>
    <cellStyle name="Input 2 3 3 4" xfId="1272"/>
    <cellStyle name="Input 2 3 3 5" xfId="1522"/>
    <cellStyle name="Input 2 3 3 6" xfId="1772"/>
    <cellStyle name="Input 2 3 3 7" xfId="2022"/>
    <cellStyle name="Input 2 3 3 8" xfId="2272"/>
    <cellStyle name="Input 2 3 3 9" xfId="2524"/>
    <cellStyle name="Input 2 3 4" xfId="414"/>
    <cellStyle name="Input 2 3 4 10" xfId="2673"/>
    <cellStyle name="Input 2 3 4 11" xfId="2927"/>
    <cellStyle name="Input 2 3 4 12" xfId="3179"/>
    <cellStyle name="Input 2 3 4 13" xfId="3429"/>
    <cellStyle name="Input 2 3 4 14" xfId="3679"/>
    <cellStyle name="Input 2 3 4 15" xfId="3931"/>
    <cellStyle name="Input 2 3 4 16" xfId="4181"/>
    <cellStyle name="Input 2 3 4 17" xfId="4433"/>
    <cellStyle name="Input 2 3 4 18" xfId="4685"/>
    <cellStyle name="Input 2 3 4 2" xfId="667"/>
    <cellStyle name="Input 2 3 4 3" xfId="919"/>
    <cellStyle name="Input 2 3 4 4" xfId="1170"/>
    <cellStyle name="Input 2 3 4 5" xfId="1420"/>
    <cellStyle name="Input 2 3 4 6" xfId="1670"/>
    <cellStyle name="Input 2 3 4 7" xfId="1920"/>
    <cellStyle name="Input 2 3 4 8" xfId="2170"/>
    <cellStyle name="Input 2 3 4 9" xfId="2422"/>
    <cellStyle name="Input 2 3 5" xfId="311"/>
    <cellStyle name="Input 2 3 6" xfId="565"/>
    <cellStyle name="Input 2 3 7" xfId="817"/>
    <cellStyle name="Input 2 3 8" xfId="290"/>
    <cellStyle name="Input 2 3 9" xfId="294"/>
    <cellStyle name="Input 2 4" xfId="2617"/>
    <cellStyle name="Linked Cell" xfId="148" builtinId="24" customBuiltin="1"/>
    <cellStyle name="Linked Cell 2" xfId="59"/>
    <cellStyle name="Neutral" xfId="144" builtinId="28" customBuiltin="1"/>
    <cellStyle name="Neutral 2" xfId="60"/>
    <cellStyle name="Normal" xfId="0" builtinId="0"/>
    <cellStyle name="Normal 10" xfId="224"/>
    <cellStyle name="Normal 11" xfId="178"/>
    <cellStyle name="Normal 12" xfId="4839"/>
    <cellStyle name="Normal 2" xfId="61"/>
    <cellStyle name="Normal 2 10" xfId="62"/>
    <cellStyle name="Normal 2 10 2" xfId="194"/>
    <cellStyle name="Normal 2 11" xfId="63"/>
    <cellStyle name="Normal 2 11 2" xfId="196"/>
    <cellStyle name="Normal 2 12" xfId="64"/>
    <cellStyle name="Normal 2 12 2" xfId="65"/>
    <cellStyle name="Normal 2 12 3" xfId="66"/>
    <cellStyle name="Normal 2 12 4" xfId="67"/>
    <cellStyle name="Normal 2 12 5" xfId="68"/>
    <cellStyle name="Normal 2 12 6" xfId="69"/>
    <cellStyle name="Normal 2 12 7" xfId="70"/>
    <cellStyle name="Normal 2 12 8" xfId="198"/>
    <cellStyle name="Normal 2 13" xfId="71"/>
    <cellStyle name="Normal 2 13 2" xfId="200"/>
    <cellStyle name="Normal 2 14" xfId="72"/>
    <cellStyle name="Normal 2 14 2" xfId="203"/>
    <cellStyle name="Normal 2 15" xfId="73"/>
    <cellStyle name="Normal 2 15 2" xfId="181"/>
    <cellStyle name="Normal 2 16" xfId="74"/>
    <cellStyle name="Normal 2 17" xfId="75"/>
    <cellStyle name="Normal 2 18" xfId="76"/>
    <cellStyle name="Normal 2 2" xfId="77"/>
    <cellStyle name="Normal 2 2 10" xfId="183"/>
    <cellStyle name="Normal 2 2 2" xfId="78"/>
    <cellStyle name="Normal 2 2 2 2" xfId="79"/>
    <cellStyle name="Normal 2 2 2 3" xfId="80"/>
    <cellStyle name="Normal 2 2 2 4" xfId="81"/>
    <cellStyle name="Normal 2 2 2 5" xfId="82"/>
    <cellStyle name="Normal 2 2 2 6" xfId="83"/>
    <cellStyle name="Normal 2 2 2 7" xfId="84"/>
    <cellStyle name="Normal 2 2 3" xfId="85"/>
    <cellStyle name="Normal 2 2 4" xfId="86"/>
    <cellStyle name="Normal 2 2 5" xfId="87"/>
    <cellStyle name="Normal 2 2 6" xfId="88"/>
    <cellStyle name="Normal 2 2 7" xfId="89"/>
    <cellStyle name="Normal 2 2 8" xfId="90"/>
    <cellStyle name="Normal 2 2 9" xfId="91"/>
    <cellStyle name="Normal 2 3" xfId="92"/>
    <cellStyle name="Normal 2 3 2" xfId="93"/>
    <cellStyle name="Normal 2 3 3" xfId="186"/>
    <cellStyle name="Normal 2 4" xfId="94"/>
    <cellStyle name="Normal 2 4 2" xfId="95"/>
    <cellStyle name="Normal 2 4 3" xfId="188"/>
    <cellStyle name="Normal 2 5" xfId="96"/>
    <cellStyle name="Normal 2 5 2" xfId="97"/>
    <cellStyle name="Normal 2 5 3" xfId="189"/>
    <cellStyle name="Normal 2 6" xfId="98"/>
    <cellStyle name="Normal 2 6 2" xfId="191"/>
    <cellStyle name="Normal 2 7" xfId="99"/>
    <cellStyle name="Normal 2 7 2" xfId="190"/>
    <cellStyle name="Normal 2 8" xfId="100"/>
    <cellStyle name="Normal 2 8 2" xfId="192"/>
    <cellStyle name="Normal 2 9" xfId="101"/>
    <cellStyle name="Normal 2 9 2" xfId="193"/>
    <cellStyle name="Normal 3" xfId="102"/>
    <cellStyle name="Normal 3 2" xfId="134"/>
    <cellStyle name="Normal 3 2 2" xfId="206"/>
    <cellStyle name="Normal 3 3" xfId="184"/>
    <cellStyle name="Normal 34" xfId="4834"/>
    <cellStyle name="Normal 35" xfId="4835"/>
    <cellStyle name="Normal 36" xfId="4836"/>
    <cellStyle name="Normal 39" xfId="4837"/>
    <cellStyle name="Normal 4" xfId="103"/>
    <cellStyle name="Normal 4 2" xfId="104"/>
    <cellStyle name="Normal 4 3" xfId="185"/>
    <cellStyle name="Normal 40" xfId="4838"/>
    <cellStyle name="Normal 5" xfId="105"/>
    <cellStyle name="Normal 5 2" xfId="201"/>
    <cellStyle name="Normal 6" xfId="106"/>
    <cellStyle name="Normal 6 2" xfId="208"/>
    <cellStyle name="Normal 7" xfId="107"/>
    <cellStyle name="Normal 7 2" xfId="108"/>
    <cellStyle name="Normal 8" xfId="135"/>
    <cellStyle name="Normal 8 2" xfId="210"/>
    <cellStyle name="Normal 9" xfId="179"/>
    <cellStyle name="Normal_2005-06 Checklist" xfId="109"/>
    <cellStyle name="Normal_2006-07 GASB Draft" xfId="110"/>
    <cellStyle name="Normal_2006-07 GASB Draft_2007-08 Financial  Statements and Adjmt Form" xfId="111"/>
    <cellStyle name="Normal_2006-07 GASB Draft_Central FL CC 2007-08 Financial  Statements and Adjmt Form doe" xfId="112"/>
    <cellStyle name="Normal_2006-07 GASB Draft_Daytona State College 2007-08 Financial  Statements and Adjmt Form doe" xfId="113"/>
    <cellStyle name="Normal_2006-07 GASB Draft_Lake Sumter CC 2007-08 Financial  Statements and Adjmt Form doe" xfId="114"/>
    <cellStyle name="Normal_2006-07 GASB Draft_NW Fl St College-Okaloosa Walton 2007-08 Financial  Statements Final doe" xfId="115"/>
    <cellStyle name="Normal_2006-07 GASB Draft_UPDATED 2008-09 Statement of Cash Flows 11-17-08" xfId="116"/>
    <cellStyle name="Normal_2006-07 Schedule 5 Draft" xfId="117"/>
    <cellStyle name="Normal_2008 Blank CU Adjustment Form" xfId="128"/>
    <cellStyle name="Normal_Check Sheet" xfId="133"/>
    <cellStyle name="Normal_CU Notes Sched" xfId="130"/>
    <cellStyle name="Normal_CU Notes Sched_1" xfId="131"/>
    <cellStyle name="Normal_FCS Notes Sched Cap Assets_1" xfId="129"/>
    <cellStyle name="Normal_FCS Notes Sched LTD 2" xfId="235"/>
    <cellStyle name="Normal_pyaje" xfId="124"/>
    <cellStyle name="Normal_PYCollegeSNA" xfId="127"/>
    <cellStyle name="Normal_SNP" xfId="132"/>
    <cellStyle name="Normal_Table GL Code" xfId="4841"/>
    <cellStyle name="Normal_Table GL Code_1" xfId="4840"/>
    <cellStyle name="Note 2" xfId="118"/>
    <cellStyle name="Note 2 2" xfId="209"/>
    <cellStyle name="Note 2 3" xfId="177"/>
    <cellStyle name="Note 2 3 10" xfId="358"/>
    <cellStyle name="Note 2 3 10 2" xfId="461"/>
    <cellStyle name="Note 2 3 10 2 10" xfId="2720"/>
    <cellStyle name="Note 2 3 10 2 11" xfId="2974"/>
    <cellStyle name="Note 2 3 10 2 12" xfId="3226"/>
    <cellStyle name="Note 2 3 10 2 13" xfId="3476"/>
    <cellStyle name="Note 2 3 10 2 14" xfId="3726"/>
    <cellStyle name="Note 2 3 10 2 15" xfId="3978"/>
    <cellStyle name="Note 2 3 10 2 16" xfId="4228"/>
    <cellStyle name="Note 2 3 10 2 17" xfId="4480"/>
    <cellStyle name="Note 2 3 10 2 18" xfId="4732"/>
    <cellStyle name="Note 2 3 10 2 2" xfId="714"/>
    <cellStyle name="Note 2 3 10 2 3" xfId="966"/>
    <cellStyle name="Note 2 3 10 2 4" xfId="1217"/>
    <cellStyle name="Note 2 3 10 2 5" xfId="1467"/>
    <cellStyle name="Note 2 3 10 2 6" xfId="1717"/>
    <cellStyle name="Note 2 3 10 2 7" xfId="1967"/>
    <cellStyle name="Note 2 3 10 2 8" xfId="2217"/>
    <cellStyle name="Note 2 3 10 2 9" xfId="2469"/>
    <cellStyle name="Note 2 3 10 3" xfId="2871"/>
    <cellStyle name="Note 2 3 11" xfId="407"/>
    <cellStyle name="Note 2 3 11 10" xfId="2666"/>
    <cellStyle name="Note 2 3 11 11" xfId="2920"/>
    <cellStyle name="Note 2 3 11 12" xfId="3172"/>
    <cellStyle name="Note 2 3 11 13" xfId="3422"/>
    <cellStyle name="Note 2 3 11 14" xfId="3672"/>
    <cellStyle name="Note 2 3 11 15" xfId="3924"/>
    <cellStyle name="Note 2 3 11 16" xfId="4174"/>
    <cellStyle name="Note 2 3 11 17" xfId="4426"/>
    <cellStyle name="Note 2 3 11 18" xfId="4678"/>
    <cellStyle name="Note 2 3 11 2" xfId="660"/>
    <cellStyle name="Note 2 3 11 3" xfId="912"/>
    <cellStyle name="Note 2 3 11 4" xfId="1163"/>
    <cellStyle name="Note 2 3 11 5" xfId="1413"/>
    <cellStyle name="Note 2 3 11 6" xfId="1663"/>
    <cellStyle name="Note 2 3 11 7" xfId="1913"/>
    <cellStyle name="Note 2 3 11 8" xfId="2163"/>
    <cellStyle name="Note 2 3 11 9" xfId="2415"/>
    <cellStyle name="Note 2 3 12" xfId="303"/>
    <cellStyle name="Note 2 3 13" xfId="293"/>
    <cellStyle name="Note 2 3 2" xfId="260"/>
    <cellStyle name="Note 2 3 2 10" xfId="1596"/>
    <cellStyle name="Note 2 3 2 11" xfId="1846"/>
    <cellStyle name="Note 2 3 2 12" xfId="2096"/>
    <cellStyle name="Note 2 3 2 13" xfId="2348"/>
    <cellStyle name="Note 2 3 2 14" xfId="2598"/>
    <cellStyle name="Note 2 3 2 15" xfId="2852"/>
    <cellStyle name="Note 2 3 2 16" xfId="3105"/>
    <cellStyle name="Note 2 3 2 17" xfId="3355"/>
    <cellStyle name="Note 2 3 2 18" xfId="3605"/>
    <cellStyle name="Note 2 3 2 19" xfId="3857"/>
    <cellStyle name="Note 2 3 2 2" xfId="388"/>
    <cellStyle name="Note 2 3 2 2 10" xfId="2396"/>
    <cellStyle name="Note 2 3 2 2 11" xfId="2647"/>
    <cellStyle name="Note 2 3 2 2 12" xfId="2901"/>
    <cellStyle name="Note 2 3 2 2 13" xfId="3153"/>
    <cellStyle name="Note 2 3 2 2 14" xfId="3403"/>
    <cellStyle name="Note 2 3 2 2 15" xfId="3653"/>
    <cellStyle name="Note 2 3 2 2 16" xfId="3905"/>
    <cellStyle name="Note 2 3 2 2 17" xfId="4155"/>
    <cellStyle name="Note 2 3 2 2 18" xfId="4407"/>
    <cellStyle name="Note 2 3 2 2 19" xfId="4659"/>
    <cellStyle name="Note 2 3 2 2 2" xfId="496"/>
    <cellStyle name="Note 2 3 2 2 2 10" xfId="2755"/>
    <cellStyle name="Note 2 3 2 2 2 11" xfId="3009"/>
    <cellStyle name="Note 2 3 2 2 2 12" xfId="3261"/>
    <cellStyle name="Note 2 3 2 2 2 13" xfId="3511"/>
    <cellStyle name="Note 2 3 2 2 2 14" xfId="3761"/>
    <cellStyle name="Note 2 3 2 2 2 15" xfId="4013"/>
    <cellStyle name="Note 2 3 2 2 2 16" xfId="4263"/>
    <cellStyle name="Note 2 3 2 2 2 17" xfId="4515"/>
    <cellStyle name="Note 2 3 2 2 2 18" xfId="4767"/>
    <cellStyle name="Note 2 3 2 2 2 2" xfId="749"/>
    <cellStyle name="Note 2 3 2 2 2 3" xfId="1001"/>
    <cellStyle name="Note 2 3 2 2 2 4" xfId="1252"/>
    <cellStyle name="Note 2 3 2 2 2 5" xfId="1502"/>
    <cellStyle name="Note 2 3 2 2 2 6" xfId="1752"/>
    <cellStyle name="Note 2 3 2 2 2 7" xfId="2002"/>
    <cellStyle name="Note 2 3 2 2 2 8" xfId="2252"/>
    <cellStyle name="Note 2 3 2 2 2 9" xfId="2504"/>
    <cellStyle name="Note 2 3 2 2 3" xfId="641"/>
    <cellStyle name="Note 2 3 2 2 4" xfId="893"/>
    <cellStyle name="Note 2 3 2 2 5" xfId="1144"/>
    <cellStyle name="Note 2 3 2 2 6" xfId="1394"/>
    <cellStyle name="Note 2 3 2 2 7" xfId="1644"/>
    <cellStyle name="Note 2 3 2 2 8" xfId="1894"/>
    <cellStyle name="Note 2 3 2 2 9" xfId="2144"/>
    <cellStyle name="Note 2 3 2 20" xfId="4107"/>
    <cellStyle name="Note 2 3 2 21" xfId="4359"/>
    <cellStyle name="Note 2 3 2 22" xfId="4611"/>
    <cellStyle name="Note 2 3 2 3" xfId="544"/>
    <cellStyle name="Note 2 3 2 3 10" xfId="2803"/>
    <cellStyle name="Note 2 3 2 3 11" xfId="3057"/>
    <cellStyle name="Note 2 3 2 3 12" xfId="3309"/>
    <cellStyle name="Note 2 3 2 3 13" xfId="3559"/>
    <cellStyle name="Note 2 3 2 3 14" xfId="3809"/>
    <cellStyle name="Note 2 3 2 3 15" xfId="4061"/>
    <cellStyle name="Note 2 3 2 3 16" xfId="4311"/>
    <cellStyle name="Note 2 3 2 3 17" xfId="4563"/>
    <cellStyle name="Note 2 3 2 3 18" xfId="4815"/>
    <cellStyle name="Note 2 3 2 3 2" xfId="797"/>
    <cellStyle name="Note 2 3 2 3 3" xfId="1049"/>
    <cellStyle name="Note 2 3 2 3 4" xfId="1300"/>
    <cellStyle name="Note 2 3 2 3 5" xfId="1550"/>
    <cellStyle name="Note 2 3 2 3 6" xfId="1800"/>
    <cellStyle name="Note 2 3 2 3 7" xfId="2050"/>
    <cellStyle name="Note 2 3 2 3 8" xfId="2300"/>
    <cellStyle name="Note 2 3 2 3 9" xfId="2552"/>
    <cellStyle name="Note 2 3 2 4" xfId="442"/>
    <cellStyle name="Note 2 3 2 4 10" xfId="2701"/>
    <cellStyle name="Note 2 3 2 4 11" xfId="2955"/>
    <cellStyle name="Note 2 3 2 4 12" xfId="3207"/>
    <cellStyle name="Note 2 3 2 4 13" xfId="3457"/>
    <cellStyle name="Note 2 3 2 4 14" xfId="3707"/>
    <cellStyle name="Note 2 3 2 4 15" xfId="3959"/>
    <cellStyle name="Note 2 3 2 4 16" xfId="4209"/>
    <cellStyle name="Note 2 3 2 4 17" xfId="4461"/>
    <cellStyle name="Note 2 3 2 4 18" xfId="4713"/>
    <cellStyle name="Note 2 3 2 4 2" xfId="695"/>
    <cellStyle name="Note 2 3 2 4 3" xfId="947"/>
    <cellStyle name="Note 2 3 2 4 4" xfId="1198"/>
    <cellStyle name="Note 2 3 2 4 5" xfId="1448"/>
    <cellStyle name="Note 2 3 2 4 6" xfId="1698"/>
    <cellStyle name="Note 2 3 2 4 7" xfId="1948"/>
    <cellStyle name="Note 2 3 2 4 8" xfId="2198"/>
    <cellStyle name="Note 2 3 2 4 9" xfId="2450"/>
    <cellStyle name="Note 2 3 2 5" xfId="339"/>
    <cellStyle name="Note 2 3 2 6" xfId="593"/>
    <cellStyle name="Note 2 3 2 7" xfId="845"/>
    <cellStyle name="Note 2 3 2 8" xfId="1096"/>
    <cellStyle name="Note 2 3 2 9" xfId="1346"/>
    <cellStyle name="Note 2 3 3" xfId="252"/>
    <cellStyle name="Note 2 3 3 10" xfId="1588"/>
    <cellStyle name="Note 2 3 3 11" xfId="1838"/>
    <cellStyle name="Note 2 3 3 12" xfId="2088"/>
    <cellStyle name="Note 2 3 3 13" xfId="2340"/>
    <cellStyle name="Note 2 3 3 14" xfId="2590"/>
    <cellStyle name="Note 2 3 3 15" xfId="2844"/>
    <cellStyle name="Note 2 3 3 16" xfId="3097"/>
    <cellStyle name="Note 2 3 3 17" xfId="3347"/>
    <cellStyle name="Note 2 3 3 18" xfId="3597"/>
    <cellStyle name="Note 2 3 3 19" xfId="3849"/>
    <cellStyle name="Note 2 3 3 2" xfId="380"/>
    <cellStyle name="Note 2 3 3 2 10" xfId="2388"/>
    <cellStyle name="Note 2 3 3 2 11" xfId="2639"/>
    <cellStyle name="Note 2 3 3 2 12" xfId="2893"/>
    <cellStyle name="Note 2 3 3 2 13" xfId="3145"/>
    <cellStyle name="Note 2 3 3 2 14" xfId="3395"/>
    <cellStyle name="Note 2 3 3 2 15" xfId="3645"/>
    <cellStyle name="Note 2 3 3 2 16" xfId="3897"/>
    <cellStyle name="Note 2 3 3 2 17" xfId="4147"/>
    <cellStyle name="Note 2 3 3 2 18" xfId="4399"/>
    <cellStyle name="Note 2 3 3 2 19" xfId="4651"/>
    <cellStyle name="Note 2 3 3 2 2" xfId="488"/>
    <cellStyle name="Note 2 3 3 2 2 10" xfId="2747"/>
    <cellStyle name="Note 2 3 3 2 2 11" xfId="3001"/>
    <cellStyle name="Note 2 3 3 2 2 12" xfId="3253"/>
    <cellStyle name="Note 2 3 3 2 2 13" xfId="3503"/>
    <cellStyle name="Note 2 3 3 2 2 14" xfId="3753"/>
    <cellStyle name="Note 2 3 3 2 2 15" xfId="4005"/>
    <cellStyle name="Note 2 3 3 2 2 16" xfId="4255"/>
    <cellStyle name="Note 2 3 3 2 2 17" xfId="4507"/>
    <cellStyle name="Note 2 3 3 2 2 18" xfId="4759"/>
    <cellStyle name="Note 2 3 3 2 2 2" xfId="741"/>
    <cellStyle name="Note 2 3 3 2 2 3" xfId="993"/>
    <cellStyle name="Note 2 3 3 2 2 4" xfId="1244"/>
    <cellStyle name="Note 2 3 3 2 2 5" xfId="1494"/>
    <cellStyle name="Note 2 3 3 2 2 6" xfId="1744"/>
    <cellStyle name="Note 2 3 3 2 2 7" xfId="1994"/>
    <cellStyle name="Note 2 3 3 2 2 8" xfId="2244"/>
    <cellStyle name="Note 2 3 3 2 2 9" xfId="2496"/>
    <cellStyle name="Note 2 3 3 2 3" xfId="633"/>
    <cellStyle name="Note 2 3 3 2 4" xfId="885"/>
    <cellStyle name="Note 2 3 3 2 5" xfId="1136"/>
    <cellStyle name="Note 2 3 3 2 6" xfId="1386"/>
    <cellStyle name="Note 2 3 3 2 7" xfId="1636"/>
    <cellStyle name="Note 2 3 3 2 8" xfId="1886"/>
    <cellStyle name="Note 2 3 3 2 9" xfId="2136"/>
    <cellStyle name="Note 2 3 3 20" xfId="4099"/>
    <cellStyle name="Note 2 3 3 21" xfId="4351"/>
    <cellStyle name="Note 2 3 3 22" xfId="4603"/>
    <cellStyle name="Note 2 3 3 3" xfId="536"/>
    <cellStyle name="Note 2 3 3 3 10" xfId="2795"/>
    <cellStyle name="Note 2 3 3 3 11" xfId="3049"/>
    <cellStyle name="Note 2 3 3 3 12" xfId="3301"/>
    <cellStyle name="Note 2 3 3 3 13" xfId="3551"/>
    <cellStyle name="Note 2 3 3 3 14" xfId="3801"/>
    <cellStyle name="Note 2 3 3 3 15" xfId="4053"/>
    <cellStyle name="Note 2 3 3 3 16" xfId="4303"/>
    <cellStyle name="Note 2 3 3 3 17" xfId="4555"/>
    <cellStyle name="Note 2 3 3 3 18" xfId="4807"/>
    <cellStyle name="Note 2 3 3 3 2" xfId="789"/>
    <cellStyle name="Note 2 3 3 3 3" xfId="1041"/>
    <cellStyle name="Note 2 3 3 3 4" xfId="1292"/>
    <cellStyle name="Note 2 3 3 3 5" xfId="1542"/>
    <cellStyle name="Note 2 3 3 3 6" xfId="1792"/>
    <cellStyle name="Note 2 3 3 3 7" xfId="2042"/>
    <cellStyle name="Note 2 3 3 3 8" xfId="2292"/>
    <cellStyle name="Note 2 3 3 3 9" xfId="2544"/>
    <cellStyle name="Note 2 3 3 4" xfId="434"/>
    <cellStyle name="Note 2 3 3 4 10" xfId="2693"/>
    <cellStyle name="Note 2 3 3 4 11" xfId="2947"/>
    <cellStyle name="Note 2 3 3 4 12" xfId="3199"/>
    <cellStyle name="Note 2 3 3 4 13" xfId="3449"/>
    <cellStyle name="Note 2 3 3 4 14" xfId="3699"/>
    <cellStyle name="Note 2 3 3 4 15" xfId="3951"/>
    <cellStyle name="Note 2 3 3 4 16" xfId="4201"/>
    <cellStyle name="Note 2 3 3 4 17" xfId="4453"/>
    <cellStyle name="Note 2 3 3 4 18" xfId="4705"/>
    <cellStyle name="Note 2 3 3 4 2" xfId="687"/>
    <cellStyle name="Note 2 3 3 4 3" xfId="939"/>
    <cellStyle name="Note 2 3 3 4 4" xfId="1190"/>
    <cellStyle name="Note 2 3 3 4 5" xfId="1440"/>
    <cellStyle name="Note 2 3 3 4 6" xfId="1690"/>
    <cellStyle name="Note 2 3 3 4 7" xfId="1940"/>
    <cellStyle name="Note 2 3 3 4 8" xfId="2190"/>
    <cellStyle name="Note 2 3 3 4 9" xfId="2442"/>
    <cellStyle name="Note 2 3 3 5" xfId="331"/>
    <cellStyle name="Note 2 3 3 6" xfId="585"/>
    <cellStyle name="Note 2 3 3 7" xfId="837"/>
    <cellStyle name="Note 2 3 3 8" xfId="1088"/>
    <cellStyle name="Note 2 3 3 9" xfId="1338"/>
    <cellStyle name="Note 2 3 4" xfId="251"/>
    <cellStyle name="Note 2 3 4 10" xfId="1587"/>
    <cellStyle name="Note 2 3 4 11" xfId="1837"/>
    <cellStyle name="Note 2 3 4 12" xfId="2087"/>
    <cellStyle name="Note 2 3 4 13" xfId="2339"/>
    <cellStyle name="Note 2 3 4 14" xfId="2589"/>
    <cellStyle name="Note 2 3 4 15" xfId="2843"/>
    <cellStyle name="Note 2 3 4 16" xfId="3096"/>
    <cellStyle name="Note 2 3 4 17" xfId="3346"/>
    <cellStyle name="Note 2 3 4 18" xfId="3596"/>
    <cellStyle name="Note 2 3 4 19" xfId="3848"/>
    <cellStyle name="Note 2 3 4 2" xfId="379"/>
    <cellStyle name="Note 2 3 4 2 10" xfId="2387"/>
    <cellStyle name="Note 2 3 4 2 11" xfId="2638"/>
    <cellStyle name="Note 2 3 4 2 12" xfId="2892"/>
    <cellStyle name="Note 2 3 4 2 13" xfId="3144"/>
    <cellStyle name="Note 2 3 4 2 14" xfId="3394"/>
    <cellStyle name="Note 2 3 4 2 15" xfId="3644"/>
    <cellStyle name="Note 2 3 4 2 16" xfId="3896"/>
    <cellStyle name="Note 2 3 4 2 17" xfId="4146"/>
    <cellStyle name="Note 2 3 4 2 18" xfId="4398"/>
    <cellStyle name="Note 2 3 4 2 19" xfId="4650"/>
    <cellStyle name="Note 2 3 4 2 2" xfId="487"/>
    <cellStyle name="Note 2 3 4 2 2 10" xfId="2746"/>
    <cellStyle name="Note 2 3 4 2 2 11" xfId="3000"/>
    <cellStyle name="Note 2 3 4 2 2 12" xfId="3252"/>
    <cellStyle name="Note 2 3 4 2 2 13" xfId="3502"/>
    <cellStyle name="Note 2 3 4 2 2 14" xfId="3752"/>
    <cellStyle name="Note 2 3 4 2 2 15" xfId="4004"/>
    <cellStyle name="Note 2 3 4 2 2 16" xfId="4254"/>
    <cellStyle name="Note 2 3 4 2 2 17" xfId="4506"/>
    <cellStyle name="Note 2 3 4 2 2 18" xfId="4758"/>
    <cellStyle name="Note 2 3 4 2 2 2" xfId="740"/>
    <cellStyle name="Note 2 3 4 2 2 3" xfId="992"/>
    <cellStyle name="Note 2 3 4 2 2 4" xfId="1243"/>
    <cellStyle name="Note 2 3 4 2 2 5" xfId="1493"/>
    <cellStyle name="Note 2 3 4 2 2 6" xfId="1743"/>
    <cellStyle name="Note 2 3 4 2 2 7" xfId="1993"/>
    <cellStyle name="Note 2 3 4 2 2 8" xfId="2243"/>
    <cellStyle name="Note 2 3 4 2 2 9" xfId="2495"/>
    <cellStyle name="Note 2 3 4 2 3" xfId="632"/>
    <cellStyle name="Note 2 3 4 2 4" xfId="884"/>
    <cellStyle name="Note 2 3 4 2 5" xfId="1135"/>
    <cellStyle name="Note 2 3 4 2 6" xfId="1385"/>
    <cellStyle name="Note 2 3 4 2 7" xfId="1635"/>
    <cellStyle name="Note 2 3 4 2 8" xfId="1885"/>
    <cellStyle name="Note 2 3 4 2 9" xfId="2135"/>
    <cellStyle name="Note 2 3 4 20" xfId="4098"/>
    <cellStyle name="Note 2 3 4 21" xfId="4350"/>
    <cellStyle name="Note 2 3 4 22" xfId="4602"/>
    <cellStyle name="Note 2 3 4 3" xfId="535"/>
    <cellStyle name="Note 2 3 4 3 10" xfId="2794"/>
    <cellStyle name="Note 2 3 4 3 11" xfId="3048"/>
    <cellStyle name="Note 2 3 4 3 12" xfId="3300"/>
    <cellStyle name="Note 2 3 4 3 13" xfId="3550"/>
    <cellStyle name="Note 2 3 4 3 14" xfId="3800"/>
    <cellStyle name="Note 2 3 4 3 15" xfId="4052"/>
    <cellStyle name="Note 2 3 4 3 16" xfId="4302"/>
    <cellStyle name="Note 2 3 4 3 17" xfId="4554"/>
    <cellStyle name="Note 2 3 4 3 18" xfId="4806"/>
    <cellStyle name="Note 2 3 4 3 2" xfId="788"/>
    <cellStyle name="Note 2 3 4 3 3" xfId="1040"/>
    <cellStyle name="Note 2 3 4 3 4" xfId="1291"/>
    <cellStyle name="Note 2 3 4 3 5" xfId="1541"/>
    <cellStyle name="Note 2 3 4 3 6" xfId="1791"/>
    <cellStyle name="Note 2 3 4 3 7" xfId="2041"/>
    <cellStyle name="Note 2 3 4 3 8" xfId="2291"/>
    <cellStyle name="Note 2 3 4 3 9" xfId="2543"/>
    <cellStyle name="Note 2 3 4 4" xfId="433"/>
    <cellStyle name="Note 2 3 4 4 10" xfId="2692"/>
    <cellStyle name="Note 2 3 4 4 11" xfId="2946"/>
    <cellStyle name="Note 2 3 4 4 12" xfId="3198"/>
    <cellStyle name="Note 2 3 4 4 13" xfId="3448"/>
    <cellStyle name="Note 2 3 4 4 14" xfId="3698"/>
    <cellStyle name="Note 2 3 4 4 15" xfId="3950"/>
    <cellStyle name="Note 2 3 4 4 16" xfId="4200"/>
    <cellStyle name="Note 2 3 4 4 17" xfId="4452"/>
    <cellStyle name="Note 2 3 4 4 18" xfId="4704"/>
    <cellStyle name="Note 2 3 4 4 2" xfId="686"/>
    <cellStyle name="Note 2 3 4 4 3" xfId="938"/>
    <cellStyle name="Note 2 3 4 4 4" xfId="1189"/>
    <cellStyle name="Note 2 3 4 4 5" xfId="1439"/>
    <cellStyle name="Note 2 3 4 4 6" xfId="1689"/>
    <cellStyle name="Note 2 3 4 4 7" xfId="1939"/>
    <cellStyle name="Note 2 3 4 4 8" xfId="2189"/>
    <cellStyle name="Note 2 3 4 4 9" xfId="2441"/>
    <cellStyle name="Note 2 3 4 5" xfId="330"/>
    <cellStyle name="Note 2 3 4 6" xfId="584"/>
    <cellStyle name="Note 2 3 4 7" xfId="836"/>
    <cellStyle name="Note 2 3 4 8" xfId="1087"/>
    <cellStyle name="Note 2 3 4 9" xfId="1337"/>
    <cellStyle name="Note 2 3 5" xfId="256"/>
    <cellStyle name="Note 2 3 5 10" xfId="1592"/>
    <cellStyle name="Note 2 3 5 11" xfId="1842"/>
    <cellStyle name="Note 2 3 5 12" xfId="2092"/>
    <cellStyle name="Note 2 3 5 13" xfId="2344"/>
    <cellStyle name="Note 2 3 5 14" xfId="2594"/>
    <cellStyle name="Note 2 3 5 15" xfId="2848"/>
    <cellStyle name="Note 2 3 5 16" xfId="3101"/>
    <cellStyle name="Note 2 3 5 17" xfId="3351"/>
    <cellStyle name="Note 2 3 5 18" xfId="3601"/>
    <cellStyle name="Note 2 3 5 19" xfId="3853"/>
    <cellStyle name="Note 2 3 5 2" xfId="384"/>
    <cellStyle name="Note 2 3 5 2 10" xfId="2392"/>
    <cellStyle name="Note 2 3 5 2 11" xfId="2643"/>
    <cellStyle name="Note 2 3 5 2 12" xfId="2897"/>
    <cellStyle name="Note 2 3 5 2 13" xfId="3149"/>
    <cellStyle name="Note 2 3 5 2 14" xfId="3399"/>
    <cellStyle name="Note 2 3 5 2 15" xfId="3649"/>
    <cellStyle name="Note 2 3 5 2 16" xfId="3901"/>
    <cellStyle name="Note 2 3 5 2 17" xfId="4151"/>
    <cellStyle name="Note 2 3 5 2 18" xfId="4403"/>
    <cellStyle name="Note 2 3 5 2 19" xfId="4655"/>
    <cellStyle name="Note 2 3 5 2 2" xfId="492"/>
    <cellStyle name="Note 2 3 5 2 2 10" xfId="2751"/>
    <cellStyle name="Note 2 3 5 2 2 11" xfId="3005"/>
    <cellStyle name="Note 2 3 5 2 2 12" xfId="3257"/>
    <cellStyle name="Note 2 3 5 2 2 13" xfId="3507"/>
    <cellStyle name="Note 2 3 5 2 2 14" xfId="3757"/>
    <cellStyle name="Note 2 3 5 2 2 15" xfId="4009"/>
    <cellStyle name="Note 2 3 5 2 2 16" xfId="4259"/>
    <cellStyle name="Note 2 3 5 2 2 17" xfId="4511"/>
    <cellStyle name="Note 2 3 5 2 2 18" xfId="4763"/>
    <cellStyle name="Note 2 3 5 2 2 2" xfId="745"/>
    <cellStyle name="Note 2 3 5 2 2 3" xfId="997"/>
    <cellStyle name="Note 2 3 5 2 2 4" xfId="1248"/>
    <cellStyle name="Note 2 3 5 2 2 5" xfId="1498"/>
    <cellStyle name="Note 2 3 5 2 2 6" xfId="1748"/>
    <cellStyle name="Note 2 3 5 2 2 7" xfId="1998"/>
    <cellStyle name="Note 2 3 5 2 2 8" xfId="2248"/>
    <cellStyle name="Note 2 3 5 2 2 9" xfId="2500"/>
    <cellStyle name="Note 2 3 5 2 3" xfId="637"/>
    <cellStyle name="Note 2 3 5 2 4" xfId="889"/>
    <cellStyle name="Note 2 3 5 2 5" xfId="1140"/>
    <cellStyle name="Note 2 3 5 2 6" xfId="1390"/>
    <cellStyle name="Note 2 3 5 2 7" xfId="1640"/>
    <cellStyle name="Note 2 3 5 2 8" xfId="1890"/>
    <cellStyle name="Note 2 3 5 2 9" xfId="2140"/>
    <cellStyle name="Note 2 3 5 20" xfId="4103"/>
    <cellStyle name="Note 2 3 5 21" xfId="4355"/>
    <cellStyle name="Note 2 3 5 22" xfId="4607"/>
    <cellStyle name="Note 2 3 5 3" xfId="540"/>
    <cellStyle name="Note 2 3 5 3 10" xfId="2799"/>
    <cellStyle name="Note 2 3 5 3 11" xfId="3053"/>
    <cellStyle name="Note 2 3 5 3 12" xfId="3305"/>
    <cellStyle name="Note 2 3 5 3 13" xfId="3555"/>
    <cellStyle name="Note 2 3 5 3 14" xfId="3805"/>
    <cellStyle name="Note 2 3 5 3 15" xfId="4057"/>
    <cellStyle name="Note 2 3 5 3 16" xfId="4307"/>
    <cellStyle name="Note 2 3 5 3 17" xfId="4559"/>
    <cellStyle name="Note 2 3 5 3 18" xfId="4811"/>
    <cellStyle name="Note 2 3 5 3 2" xfId="793"/>
    <cellStyle name="Note 2 3 5 3 3" xfId="1045"/>
    <cellStyle name="Note 2 3 5 3 4" xfId="1296"/>
    <cellStyle name="Note 2 3 5 3 5" xfId="1546"/>
    <cellStyle name="Note 2 3 5 3 6" xfId="1796"/>
    <cellStyle name="Note 2 3 5 3 7" xfId="2046"/>
    <cellStyle name="Note 2 3 5 3 8" xfId="2296"/>
    <cellStyle name="Note 2 3 5 3 9" xfId="2548"/>
    <cellStyle name="Note 2 3 5 4" xfId="438"/>
    <cellStyle name="Note 2 3 5 4 10" xfId="2697"/>
    <cellStyle name="Note 2 3 5 4 11" xfId="2951"/>
    <cellStyle name="Note 2 3 5 4 12" xfId="3203"/>
    <cellStyle name="Note 2 3 5 4 13" xfId="3453"/>
    <cellStyle name="Note 2 3 5 4 14" xfId="3703"/>
    <cellStyle name="Note 2 3 5 4 15" xfId="3955"/>
    <cellStyle name="Note 2 3 5 4 16" xfId="4205"/>
    <cellStyle name="Note 2 3 5 4 17" xfId="4457"/>
    <cellStyle name="Note 2 3 5 4 18" xfId="4709"/>
    <cellStyle name="Note 2 3 5 4 2" xfId="691"/>
    <cellStyle name="Note 2 3 5 4 3" xfId="943"/>
    <cellStyle name="Note 2 3 5 4 4" xfId="1194"/>
    <cellStyle name="Note 2 3 5 4 5" xfId="1444"/>
    <cellStyle name="Note 2 3 5 4 6" xfId="1694"/>
    <cellStyle name="Note 2 3 5 4 7" xfId="1944"/>
    <cellStyle name="Note 2 3 5 4 8" xfId="2194"/>
    <cellStyle name="Note 2 3 5 4 9" xfId="2446"/>
    <cellStyle name="Note 2 3 5 5" xfId="335"/>
    <cellStyle name="Note 2 3 5 6" xfId="589"/>
    <cellStyle name="Note 2 3 5 7" xfId="841"/>
    <cellStyle name="Note 2 3 5 8" xfId="1092"/>
    <cellStyle name="Note 2 3 5 9" xfId="1342"/>
    <cellStyle name="Note 2 3 6" xfId="255"/>
    <cellStyle name="Note 2 3 6 10" xfId="1591"/>
    <cellStyle name="Note 2 3 6 11" xfId="1841"/>
    <cellStyle name="Note 2 3 6 12" xfId="2091"/>
    <cellStyle name="Note 2 3 6 13" xfId="2343"/>
    <cellStyle name="Note 2 3 6 14" xfId="2593"/>
    <cellStyle name="Note 2 3 6 15" xfId="2847"/>
    <cellStyle name="Note 2 3 6 16" xfId="3100"/>
    <cellStyle name="Note 2 3 6 17" xfId="3350"/>
    <cellStyle name="Note 2 3 6 18" xfId="3600"/>
    <cellStyle name="Note 2 3 6 19" xfId="3852"/>
    <cellStyle name="Note 2 3 6 2" xfId="383"/>
    <cellStyle name="Note 2 3 6 2 10" xfId="2391"/>
    <cellStyle name="Note 2 3 6 2 11" xfId="2642"/>
    <cellStyle name="Note 2 3 6 2 12" xfId="2896"/>
    <cellStyle name="Note 2 3 6 2 13" xfId="3148"/>
    <cellStyle name="Note 2 3 6 2 14" xfId="3398"/>
    <cellStyle name="Note 2 3 6 2 15" xfId="3648"/>
    <cellStyle name="Note 2 3 6 2 16" xfId="3900"/>
    <cellStyle name="Note 2 3 6 2 17" xfId="4150"/>
    <cellStyle name="Note 2 3 6 2 18" xfId="4402"/>
    <cellStyle name="Note 2 3 6 2 19" xfId="4654"/>
    <cellStyle name="Note 2 3 6 2 2" xfId="491"/>
    <cellStyle name="Note 2 3 6 2 2 10" xfId="2750"/>
    <cellStyle name="Note 2 3 6 2 2 11" xfId="3004"/>
    <cellStyle name="Note 2 3 6 2 2 12" xfId="3256"/>
    <cellStyle name="Note 2 3 6 2 2 13" xfId="3506"/>
    <cellStyle name="Note 2 3 6 2 2 14" xfId="3756"/>
    <cellStyle name="Note 2 3 6 2 2 15" xfId="4008"/>
    <cellStyle name="Note 2 3 6 2 2 16" xfId="4258"/>
    <cellStyle name="Note 2 3 6 2 2 17" xfId="4510"/>
    <cellStyle name="Note 2 3 6 2 2 18" xfId="4762"/>
    <cellStyle name="Note 2 3 6 2 2 2" xfId="744"/>
    <cellStyle name="Note 2 3 6 2 2 3" xfId="996"/>
    <cellStyle name="Note 2 3 6 2 2 4" xfId="1247"/>
    <cellStyle name="Note 2 3 6 2 2 5" xfId="1497"/>
    <cellStyle name="Note 2 3 6 2 2 6" xfId="1747"/>
    <cellStyle name="Note 2 3 6 2 2 7" xfId="1997"/>
    <cellStyle name="Note 2 3 6 2 2 8" xfId="2247"/>
    <cellStyle name="Note 2 3 6 2 2 9" xfId="2499"/>
    <cellStyle name="Note 2 3 6 2 3" xfId="636"/>
    <cellStyle name="Note 2 3 6 2 4" xfId="888"/>
    <cellStyle name="Note 2 3 6 2 5" xfId="1139"/>
    <cellStyle name="Note 2 3 6 2 6" xfId="1389"/>
    <cellStyle name="Note 2 3 6 2 7" xfId="1639"/>
    <cellStyle name="Note 2 3 6 2 8" xfId="1889"/>
    <cellStyle name="Note 2 3 6 2 9" xfId="2139"/>
    <cellStyle name="Note 2 3 6 20" xfId="4102"/>
    <cellStyle name="Note 2 3 6 21" xfId="4354"/>
    <cellStyle name="Note 2 3 6 22" xfId="4606"/>
    <cellStyle name="Note 2 3 6 3" xfId="539"/>
    <cellStyle name="Note 2 3 6 3 10" xfId="2798"/>
    <cellStyle name="Note 2 3 6 3 11" xfId="3052"/>
    <cellStyle name="Note 2 3 6 3 12" xfId="3304"/>
    <cellStyle name="Note 2 3 6 3 13" xfId="3554"/>
    <cellStyle name="Note 2 3 6 3 14" xfId="3804"/>
    <cellStyle name="Note 2 3 6 3 15" xfId="4056"/>
    <cellStyle name="Note 2 3 6 3 16" xfId="4306"/>
    <cellStyle name="Note 2 3 6 3 17" xfId="4558"/>
    <cellStyle name="Note 2 3 6 3 18" xfId="4810"/>
    <cellStyle name="Note 2 3 6 3 2" xfId="792"/>
    <cellStyle name="Note 2 3 6 3 3" xfId="1044"/>
    <cellStyle name="Note 2 3 6 3 4" xfId="1295"/>
    <cellStyle name="Note 2 3 6 3 5" xfId="1545"/>
    <cellStyle name="Note 2 3 6 3 6" xfId="1795"/>
    <cellStyle name="Note 2 3 6 3 7" xfId="2045"/>
    <cellStyle name="Note 2 3 6 3 8" xfId="2295"/>
    <cellStyle name="Note 2 3 6 3 9" xfId="2547"/>
    <cellStyle name="Note 2 3 6 4" xfId="437"/>
    <cellStyle name="Note 2 3 6 4 10" xfId="2696"/>
    <cellStyle name="Note 2 3 6 4 11" xfId="2950"/>
    <cellStyle name="Note 2 3 6 4 12" xfId="3202"/>
    <cellStyle name="Note 2 3 6 4 13" xfId="3452"/>
    <cellStyle name="Note 2 3 6 4 14" xfId="3702"/>
    <cellStyle name="Note 2 3 6 4 15" xfId="3954"/>
    <cellStyle name="Note 2 3 6 4 16" xfId="4204"/>
    <cellStyle name="Note 2 3 6 4 17" xfId="4456"/>
    <cellStyle name="Note 2 3 6 4 18" xfId="4708"/>
    <cellStyle name="Note 2 3 6 4 2" xfId="690"/>
    <cellStyle name="Note 2 3 6 4 3" xfId="942"/>
    <cellStyle name="Note 2 3 6 4 4" xfId="1193"/>
    <cellStyle name="Note 2 3 6 4 5" xfId="1443"/>
    <cellStyle name="Note 2 3 6 4 6" xfId="1693"/>
    <cellStyle name="Note 2 3 6 4 7" xfId="1943"/>
    <cellStyle name="Note 2 3 6 4 8" xfId="2193"/>
    <cellStyle name="Note 2 3 6 4 9" xfId="2445"/>
    <cellStyle name="Note 2 3 6 5" xfId="334"/>
    <cellStyle name="Note 2 3 6 6" xfId="588"/>
    <cellStyle name="Note 2 3 6 7" xfId="840"/>
    <cellStyle name="Note 2 3 6 8" xfId="1091"/>
    <cellStyle name="Note 2 3 6 9" xfId="1341"/>
    <cellStyle name="Note 2 3 7" xfId="243"/>
    <cellStyle name="Note 2 3 7 10" xfId="1579"/>
    <cellStyle name="Note 2 3 7 11" xfId="1829"/>
    <cellStyle name="Note 2 3 7 12" xfId="2079"/>
    <cellStyle name="Note 2 3 7 13" xfId="2331"/>
    <cellStyle name="Note 2 3 7 14" xfId="2581"/>
    <cellStyle name="Note 2 3 7 15" xfId="2835"/>
    <cellStyle name="Note 2 3 7 16" xfId="3088"/>
    <cellStyle name="Note 2 3 7 17" xfId="3338"/>
    <cellStyle name="Note 2 3 7 18" xfId="3588"/>
    <cellStyle name="Note 2 3 7 19" xfId="3840"/>
    <cellStyle name="Note 2 3 7 2" xfId="371"/>
    <cellStyle name="Note 2 3 7 2 10" xfId="2379"/>
    <cellStyle name="Note 2 3 7 2 11" xfId="2630"/>
    <cellStyle name="Note 2 3 7 2 12" xfId="2884"/>
    <cellStyle name="Note 2 3 7 2 13" xfId="3136"/>
    <cellStyle name="Note 2 3 7 2 14" xfId="3386"/>
    <cellStyle name="Note 2 3 7 2 15" xfId="3636"/>
    <cellStyle name="Note 2 3 7 2 16" xfId="3888"/>
    <cellStyle name="Note 2 3 7 2 17" xfId="4138"/>
    <cellStyle name="Note 2 3 7 2 18" xfId="4390"/>
    <cellStyle name="Note 2 3 7 2 19" xfId="4642"/>
    <cellStyle name="Note 2 3 7 2 2" xfId="479"/>
    <cellStyle name="Note 2 3 7 2 2 10" xfId="2738"/>
    <cellStyle name="Note 2 3 7 2 2 11" xfId="2992"/>
    <cellStyle name="Note 2 3 7 2 2 12" xfId="3244"/>
    <cellStyle name="Note 2 3 7 2 2 13" xfId="3494"/>
    <cellStyle name="Note 2 3 7 2 2 14" xfId="3744"/>
    <cellStyle name="Note 2 3 7 2 2 15" xfId="3996"/>
    <cellStyle name="Note 2 3 7 2 2 16" xfId="4246"/>
    <cellStyle name="Note 2 3 7 2 2 17" xfId="4498"/>
    <cellStyle name="Note 2 3 7 2 2 18" xfId="4750"/>
    <cellStyle name="Note 2 3 7 2 2 2" xfId="732"/>
    <cellStyle name="Note 2 3 7 2 2 3" xfId="984"/>
    <cellStyle name="Note 2 3 7 2 2 4" xfId="1235"/>
    <cellStyle name="Note 2 3 7 2 2 5" xfId="1485"/>
    <cellStyle name="Note 2 3 7 2 2 6" xfId="1735"/>
    <cellStyle name="Note 2 3 7 2 2 7" xfId="1985"/>
    <cellStyle name="Note 2 3 7 2 2 8" xfId="2235"/>
    <cellStyle name="Note 2 3 7 2 2 9" xfId="2487"/>
    <cellStyle name="Note 2 3 7 2 3" xfId="624"/>
    <cellStyle name="Note 2 3 7 2 4" xfId="876"/>
    <cellStyle name="Note 2 3 7 2 5" xfId="1127"/>
    <cellStyle name="Note 2 3 7 2 6" xfId="1377"/>
    <cellStyle name="Note 2 3 7 2 7" xfId="1627"/>
    <cellStyle name="Note 2 3 7 2 8" xfId="1877"/>
    <cellStyle name="Note 2 3 7 2 9" xfId="2127"/>
    <cellStyle name="Note 2 3 7 20" xfId="4090"/>
    <cellStyle name="Note 2 3 7 21" xfId="4342"/>
    <cellStyle name="Note 2 3 7 22" xfId="4594"/>
    <cellStyle name="Note 2 3 7 3" xfId="527"/>
    <cellStyle name="Note 2 3 7 3 10" xfId="2786"/>
    <cellStyle name="Note 2 3 7 3 11" xfId="3040"/>
    <cellStyle name="Note 2 3 7 3 12" xfId="3292"/>
    <cellStyle name="Note 2 3 7 3 13" xfId="3542"/>
    <cellStyle name="Note 2 3 7 3 14" xfId="3792"/>
    <cellStyle name="Note 2 3 7 3 15" xfId="4044"/>
    <cellStyle name="Note 2 3 7 3 16" xfId="4294"/>
    <cellStyle name="Note 2 3 7 3 17" xfId="4546"/>
    <cellStyle name="Note 2 3 7 3 18" xfId="4798"/>
    <cellStyle name="Note 2 3 7 3 2" xfId="780"/>
    <cellStyle name="Note 2 3 7 3 3" xfId="1032"/>
    <cellStyle name="Note 2 3 7 3 4" xfId="1283"/>
    <cellStyle name="Note 2 3 7 3 5" xfId="1533"/>
    <cellStyle name="Note 2 3 7 3 6" xfId="1783"/>
    <cellStyle name="Note 2 3 7 3 7" xfId="2033"/>
    <cellStyle name="Note 2 3 7 3 8" xfId="2283"/>
    <cellStyle name="Note 2 3 7 3 9" xfId="2535"/>
    <cellStyle name="Note 2 3 7 4" xfId="425"/>
    <cellStyle name="Note 2 3 7 4 10" xfId="2684"/>
    <cellStyle name="Note 2 3 7 4 11" xfId="2938"/>
    <cellStyle name="Note 2 3 7 4 12" xfId="3190"/>
    <cellStyle name="Note 2 3 7 4 13" xfId="3440"/>
    <cellStyle name="Note 2 3 7 4 14" xfId="3690"/>
    <cellStyle name="Note 2 3 7 4 15" xfId="3942"/>
    <cellStyle name="Note 2 3 7 4 16" xfId="4192"/>
    <cellStyle name="Note 2 3 7 4 17" xfId="4444"/>
    <cellStyle name="Note 2 3 7 4 18" xfId="4696"/>
    <cellStyle name="Note 2 3 7 4 2" xfId="678"/>
    <cellStyle name="Note 2 3 7 4 3" xfId="930"/>
    <cellStyle name="Note 2 3 7 4 4" xfId="1181"/>
    <cellStyle name="Note 2 3 7 4 5" xfId="1431"/>
    <cellStyle name="Note 2 3 7 4 6" xfId="1681"/>
    <cellStyle name="Note 2 3 7 4 7" xfId="1931"/>
    <cellStyle name="Note 2 3 7 4 8" xfId="2181"/>
    <cellStyle name="Note 2 3 7 4 9" xfId="2433"/>
    <cellStyle name="Note 2 3 7 5" xfId="322"/>
    <cellStyle name="Note 2 3 7 6" xfId="576"/>
    <cellStyle name="Note 2 3 7 7" xfId="828"/>
    <cellStyle name="Note 2 3 7 8" xfId="1079"/>
    <cellStyle name="Note 2 3 7 9" xfId="1329"/>
    <cellStyle name="Note 2 3 8" xfId="262"/>
    <cellStyle name="Note 2 3 8 10" xfId="1598"/>
    <cellStyle name="Note 2 3 8 11" xfId="1848"/>
    <cellStyle name="Note 2 3 8 12" xfId="2098"/>
    <cellStyle name="Note 2 3 8 13" xfId="2350"/>
    <cellStyle name="Note 2 3 8 14" xfId="2600"/>
    <cellStyle name="Note 2 3 8 15" xfId="2854"/>
    <cellStyle name="Note 2 3 8 16" xfId="3107"/>
    <cellStyle name="Note 2 3 8 17" xfId="3357"/>
    <cellStyle name="Note 2 3 8 18" xfId="3607"/>
    <cellStyle name="Note 2 3 8 19" xfId="3859"/>
    <cellStyle name="Note 2 3 8 2" xfId="390"/>
    <cellStyle name="Note 2 3 8 2 10" xfId="2398"/>
    <cellStyle name="Note 2 3 8 2 11" xfId="2649"/>
    <cellStyle name="Note 2 3 8 2 12" xfId="2903"/>
    <cellStyle name="Note 2 3 8 2 13" xfId="3155"/>
    <cellStyle name="Note 2 3 8 2 14" xfId="3405"/>
    <cellStyle name="Note 2 3 8 2 15" xfId="3655"/>
    <cellStyle name="Note 2 3 8 2 16" xfId="3907"/>
    <cellStyle name="Note 2 3 8 2 17" xfId="4157"/>
    <cellStyle name="Note 2 3 8 2 18" xfId="4409"/>
    <cellStyle name="Note 2 3 8 2 19" xfId="4661"/>
    <cellStyle name="Note 2 3 8 2 2" xfId="498"/>
    <cellStyle name="Note 2 3 8 2 2 10" xfId="2757"/>
    <cellStyle name="Note 2 3 8 2 2 11" xfId="3011"/>
    <cellStyle name="Note 2 3 8 2 2 12" xfId="3263"/>
    <cellStyle name="Note 2 3 8 2 2 13" xfId="3513"/>
    <cellStyle name="Note 2 3 8 2 2 14" xfId="3763"/>
    <cellStyle name="Note 2 3 8 2 2 15" xfId="4015"/>
    <cellStyle name="Note 2 3 8 2 2 16" xfId="4265"/>
    <cellStyle name="Note 2 3 8 2 2 17" xfId="4517"/>
    <cellStyle name="Note 2 3 8 2 2 18" xfId="4769"/>
    <cellStyle name="Note 2 3 8 2 2 2" xfId="751"/>
    <cellStyle name="Note 2 3 8 2 2 3" xfId="1003"/>
    <cellStyle name="Note 2 3 8 2 2 4" xfId="1254"/>
    <cellStyle name="Note 2 3 8 2 2 5" xfId="1504"/>
    <cellStyle name="Note 2 3 8 2 2 6" xfId="1754"/>
    <cellStyle name="Note 2 3 8 2 2 7" xfId="2004"/>
    <cellStyle name="Note 2 3 8 2 2 8" xfId="2254"/>
    <cellStyle name="Note 2 3 8 2 2 9" xfId="2506"/>
    <cellStyle name="Note 2 3 8 2 3" xfId="643"/>
    <cellStyle name="Note 2 3 8 2 4" xfId="895"/>
    <cellStyle name="Note 2 3 8 2 5" xfId="1146"/>
    <cellStyle name="Note 2 3 8 2 6" xfId="1396"/>
    <cellStyle name="Note 2 3 8 2 7" xfId="1646"/>
    <cellStyle name="Note 2 3 8 2 8" xfId="1896"/>
    <cellStyle name="Note 2 3 8 2 9" xfId="2146"/>
    <cellStyle name="Note 2 3 8 20" xfId="4109"/>
    <cellStyle name="Note 2 3 8 21" xfId="4361"/>
    <cellStyle name="Note 2 3 8 22" xfId="4613"/>
    <cellStyle name="Note 2 3 8 3" xfId="546"/>
    <cellStyle name="Note 2 3 8 3 10" xfId="2805"/>
    <cellStyle name="Note 2 3 8 3 11" xfId="3059"/>
    <cellStyle name="Note 2 3 8 3 12" xfId="3311"/>
    <cellStyle name="Note 2 3 8 3 13" xfId="3561"/>
    <cellStyle name="Note 2 3 8 3 14" xfId="3811"/>
    <cellStyle name="Note 2 3 8 3 15" xfId="4063"/>
    <cellStyle name="Note 2 3 8 3 16" xfId="4313"/>
    <cellStyle name="Note 2 3 8 3 17" xfId="4565"/>
    <cellStyle name="Note 2 3 8 3 18" xfId="4817"/>
    <cellStyle name="Note 2 3 8 3 2" xfId="799"/>
    <cellStyle name="Note 2 3 8 3 3" xfId="1051"/>
    <cellStyle name="Note 2 3 8 3 4" xfId="1302"/>
    <cellStyle name="Note 2 3 8 3 5" xfId="1552"/>
    <cellStyle name="Note 2 3 8 3 6" xfId="1802"/>
    <cellStyle name="Note 2 3 8 3 7" xfId="2052"/>
    <cellStyle name="Note 2 3 8 3 8" xfId="2302"/>
    <cellStyle name="Note 2 3 8 3 9" xfId="2554"/>
    <cellStyle name="Note 2 3 8 4" xfId="444"/>
    <cellStyle name="Note 2 3 8 4 10" xfId="2703"/>
    <cellStyle name="Note 2 3 8 4 11" xfId="2957"/>
    <cellStyle name="Note 2 3 8 4 12" xfId="3209"/>
    <cellStyle name="Note 2 3 8 4 13" xfId="3459"/>
    <cellStyle name="Note 2 3 8 4 14" xfId="3709"/>
    <cellStyle name="Note 2 3 8 4 15" xfId="3961"/>
    <cellStyle name="Note 2 3 8 4 16" xfId="4211"/>
    <cellStyle name="Note 2 3 8 4 17" xfId="4463"/>
    <cellStyle name="Note 2 3 8 4 18" xfId="4715"/>
    <cellStyle name="Note 2 3 8 4 2" xfId="697"/>
    <cellStyle name="Note 2 3 8 4 3" xfId="949"/>
    <cellStyle name="Note 2 3 8 4 4" xfId="1200"/>
    <cellStyle name="Note 2 3 8 4 5" xfId="1450"/>
    <cellStyle name="Note 2 3 8 4 6" xfId="1700"/>
    <cellStyle name="Note 2 3 8 4 7" xfId="1950"/>
    <cellStyle name="Note 2 3 8 4 8" xfId="2200"/>
    <cellStyle name="Note 2 3 8 4 9" xfId="2452"/>
    <cellStyle name="Note 2 3 8 5" xfId="341"/>
    <cellStyle name="Note 2 3 8 6" xfId="595"/>
    <cellStyle name="Note 2 3 8 7" xfId="847"/>
    <cellStyle name="Note 2 3 8 8" xfId="1098"/>
    <cellStyle name="Note 2 3 8 9" xfId="1348"/>
    <cellStyle name="Note 2 3 9" xfId="236"/>
    <cellStyle name="Note 2 3 9 10" xfId="1572"/>
    <cellStyle name="Note 2 3 9 11" xfId="1822"/>
    <cellStyle name="Note 2 3 9 12" xfId="2072"/>
    <cellStyle name="Note 2 3 9 13" xfId="2324"/>
    <cellStyle name="Note 2 3 9 14" xfId="2574"/>
    <cellStyle name="Note 2 3 9 15" xfId="2828"/>
    <cellStyle name="Note 2 3 9 16" xfId="3081"/>
    <cellStyle name="Note 2 3 9 17" xfId="3331"/>
    <cellStyle name="Note 2 3 9 18" xfId="3581"/>
    <cellStyle name="Note 2 3 9 19" xfId="3833"/>
    <cellStyle name="Note 2 3 9 2" xfId="364"/>
    <cellStyle name="Note 2 3 9 2 10" xfId="2372"/>
    <cellStyle name="Note 2 3 9 2 11" xfId="2623"/>
    <cellStyle name="Note 2 3 9 2 12" xfId="2877"/>
    <cellStyle name="Note 2 3 9 2 13" xfId="3129"/>
    <cellStyle name="Note 2 3 9 2 14" xfId="3379"/>
    <cellStyle name="Note 2 3 9 2 15" xfId="3629"/>
    <cellStyle name="Note 2 3 9 2 16" xfId="3881"/>
    <cellStyle name="Note 2 3 9 2 17" xfId="4131"/>
    <cellStyle name="Note 2 3 9 2 18" xfId="4383"/>
    <cellStyle name="Note 2 3 9 2 19" xfId="4635"/>
    <cellStyle name="Note 2 3 9 2 2" xfId="472"/>
    <cellStyle name="Note 2 3 9 2 2 10" xfId="2731"/>
    <cellStyle name="Note 2 3 9 2 2 11" xfId="2985"/>
    <cellStyle name="Note 2 3 9 2 2 12" xfId="3237"/>
    <cellStyle name="Note 2 3 9 2 2 13" xfId="3487"/>
    <cellStyle name="Note 2 3 9 2 2 14" xfId="3737"/>
    <cellStyle name="Note 2 3 9 2 2 15" xfId="3989"/>
    <cellStyle name="Note 2 3 9 2 2 16" xfId="4239"/>
    <cellStyle name="Note 2 3 9 2 2 17" xfId="4491"/>
    <cellStyle name="Note 2 3 9 2 2 18" xfId="4743"/>
    <cellStyle name="Note 2 3 9 2 2 2" xfId="725"/>
    <cellStyle name="Note 2 3 9 2 2 3" xfId="977"/>
    <cellStyle name="Note 2 3 9 2 2 4" xfId="1228"/>
    <cellStyle name="Note 2 3 9 2 2 5" xfId="1478"/>
    <cellStyle name="Note 2 3 9 2 2 6" xfId="1728"/>
    <cellStyle name="Note 2 3 9 2 2 7" xfId="1978"/>
    <cellStyle name="Note 2 3 9 2 2 8" xfId="2228"/>
    <cellStyle name="Note 2 3 9 2 2 9" xfId="2480"/>
    <cellStyle name="Note 2 3 9 2 3" xfId="617"/>
    <cellStyle name="Note 2 3 9 2 4" xfId="869"/>
    <cellStyle name="Note 2 3 9 2 5" xfId="1120"/>
    <cellStyle name="Note 2 3 9 2 6" xfId="1370"/>
    <cellStyle name="Note 2 3 9 2 7" xfId="1620"/>
    <cellStyle name="Note 2 3 9 2 8" xfId="1870"/>
    <cellStyle name="Note 2 3 9 2 9" xfId="2120"/>
    <cellStyle name="Note 2 3 9 20" xfId="4083"/>
    <cellStyle name="Note 2 3 9 21" xfId="4335"/>
    <cellStyle name="Note 2 3 9 22" xfId="4587"/>
    <cellStyle name="Note 2 3 9 3" xfId="520"/>
    <cellStyle name="Note 2 3 9 3 10" xfId="2779"/>
    <cellStyle name="Note 2 3 9 3 11" xfId="3033"/>
    <cellStyle name="Note 2 3 9 3 12" xfId="3285"/>
    <cellStyle name="Note 2 3 9 3 13" xfId="3535"/>
    <cellStyle name="Note 2 3 9 3 14" xfId="3785"/>
    <cellStyle name="Note 2 3 9 3 15" xfId="4037"/>
    <cellStyle name="Note 2 3 9 3 16" xfId="4287"/>
    <cellStyle name="Note 2 3 9 3 17" xfId="4539"/>
    <cellStyle name="Note 2 3 9 3 18" xfId="4791"/>
    <cellStyle name="Note 2 3 9 3 2" xfId="773"/>
    <cellStyle name="Note 2 3 9 3 3" xfId="1025"/>
    <cellStyle name="Note 2 3 9 3 4" xfId="1276"/>
    <cellStyle name="Note 2 3 9 3 5" xfId="1526"/>
    <cellStyle name="Note 2 3 9 3 6" xfId="1776"/>
    <cellStyle name="Note 2 3 9 3 7" xfId="2026"/>
    <cellStyle name="Note 2 3 9 3 8" xfId="2276"/>
    <cellStyle name="Note 2 3 9 3 9" xfId="2528"/>
    <cellStyle name="Note 2 3 9 4" xfId="418"/>
    <cellStyle name="Note 2 3 9 4 10" xfId="2677"/>
    <cellStyle name="Note 2 3 9 4 11" xfId="2931"/>
    <cellStyle name="Note 2 3 9 4 12" xfId="3183"/>
    <cellStyle name="Note 2 3 9 4 13" xfId="3433"/>
    <cellStyle name="Note 2 3 9 4 14" xfId="3683"/>
    <cellStyle name="Note 2 3 9 4 15" xfId="3935"/>
    <cellStyle name="Note 2 3 9 4 16" xfId="4185"/>
    <cellStyle name="Note 2 3 9 4 17" xfId="4437"/>
    <cellStyle name="Note 2 3 9 4 18" xfId="4689"/>
    <cellStyle name="Note 2 3 9 4 2" xfId="671"/>
    <cellStyle name="Note 2 3 9 4 3" xfId="923"/>
    <cellStyle name="Note 2 3 9 4 4" xfId="1174"/>
    <cellStyle name="Note 2 3 9 4 5" xfId="1424"/>
    <cellStyle name="Note 2 3 9 4 6" xfId="1674"/>
    <cellStyle name="Note 2 3 9 4 7" xfId="1924"/>
    <cellStyle name="Note 2 3 9 4 8" xfId="2174"/>
    <cellStyle name="Note 2 3 9 4 9" xfId="2426"/>
    <cellStyle name="Note 2 3 9 5" xfId="315"/>
    <cellStyle name="Note 2 3 9 6" xfId="569"/>
    <cellStyle name="Note 2 3 9 7" xfId="821"/>
    <cellStyle name="Note 2 3 9 8" xfId="1072"/>
    <cellStyle name="Note 2 3 9 9" xfId="1322"/>
    <cellStyle name="Note 2 4" xfId="227"/>
    <cellStyle name="Note 2 4 10" xfId="410"/>
    <cellStyle name="Note 2 4 10 10" xfId="2669"/>
    <cellStyle name="Note 2 4 10 11" xfId="2923"/>
    <cellStyle name="Note 2 4 10 12" xfId="3175"/>
    <cellStyle name="Note 2 4 10 13" xfId="3425"/>
    <cellStyle name="Note 2 4 10 14" xfId="3675"/>
    <cellStyle name="Note 2 4 10 15" xfId="3927"/>
    <cellStyle name="Note 2 4 10 16" xfId="4177"/>
    <cellStyle name="Note 2 4 10 17" xfId="4429"/>
    <cellStyle name="Note 2 4 10 18" xfId="4681"/>
    <cellStyle name="Note 2 4 10 2" xfId="663"/>
    <cellStyle name="Note 2 4 10 3" xfId="915"/>
    <cellStyle name="Note 2 4 10 4" xfId="1166"/>
    <cellStyle name="Note 2 4 10 5" xfId="1416"/>
    <cellStyle name="Note 2 4 10 6" xfId="1666"/>
    <cellStyle name="Note 2 4 10 7" xfId="1916"/>
    <cellStyle name="Note 2 4 10 8" xfId="2166"/>
    <cellStyle name="Note 2 4 10 9" xfId="2418"/>
    <cellStyle name="Note 2 4 11" xfId="2822"/>
    <cellStyle name="Note 2 4 2" xfId="242"/>
    <cellStyle name="Note 2 4 2 10" xfId="1578"/>
    <cellStyle name="Note 2 4 2 11" xfId="1828"/>
    <cellStyle name="Note 2 4 2 12" xfId="2078"/>
    <cellStyle name="Note 2 4 2 13" xfId="2330"/>
    <cellStyle name="Note 2 4 2 14" xfId="2580"/>
    <cellStyle name="Note 2 4 2 15" xfId="2834"/>
    <cellStyle name="Note 2 4 2 16" xfId="3087"/>
    <cellStyle name="Note 2 4 2 17" xfId="3337"/>
    <cellStyle name="Note 2 4 2 18" xfId="3587"/>
    <cellStyle name="Note 2 4 2 19" xfId="3839"/>
    <cellStyle name="Note 2 4 2 2" xfId="370"/>
    <cellStyle name="Note 2 4 2 2 10" xfId="2378"/>
    <cellStyle name="Note 2 4 2 2 11" xfId="2629"/>
    <cellStyle name="Note 2 4 2 2 12" xfId="2883"/>
    <cellStyle name="Note 2 4 2 2 13" xfId="3135"/>
    <cellStyle name="Note 2 4 2 2 14" xfId="3385"/>
    <cellStyle name="Note 2 4 2 2 15" xfId="3635"/>
    <cellStyle name="Note 2 4 2 2 16" xfId="3887"/>
    <cellStyle name="Note 2 4 2 2 17" xfId="4137"/>
    <cellStyle name="Note 2 4 2 2 18" xfId="4389"/>
    <cellStyle name="Note 2 4 2 2 19" xfId="4641"/>
    <cellStyle name="Note 2 4 2 2 2" xfId="478"/>
    <cellStyle name="Note 2 4 2 2 2 10" xfId="2737"/>
    <cellStyle name="Note 2 4 2 2 2 11" xfId="2991"/>
    <cellStyle name="Note 2 4 2 2 2 12" xfId="3243"/>
    <cellStyle name="Note 2 4 2 2 2 13" xfId="3493"/>
    <cellStyle name="Note 2 4 2 2 2 14" xfId="3743"/>
    <cellStyle name="Note 2 4 2 2 2 15" xfId="3995"/>
    <cellStyle name="Note 2 4 2 2 2 16" xfId="4245"/>
    <cellStyle name="Note 2 4 2 2 2 17" xfId="4497"/>
    <cellStyle name="Note 2 4 2 2 2 18" xfId="4749"/>
    <cellStyle name="Note 2 4 2 2 2 2" xfId="731"/>
    <cellStyle name="Note 2 4 2 2 2 3" xfId="983"/>
    <cellStyle name="Note 2 4 2 2 2 4" xfId="1234"/>
    <cellStyle name="Note 2 4 2 2 2 5" xfId="1484"/>
    <cellStyle name="Note 2 4 2 2 2 6" xfId="1734"/>
    <cellStyle name="Note 2 4 2 2 2 7" xfId="1984"/>
    <cellStyle name="Note 2 4 2 2 2 8" xfId="2234"/>
    <cellStyle name="Note 2 4 2 2 2 9" xfId="2486"/>
    <cellStyle name="Note 2 4 2 2 3" xfId="623"/>
    <cellStyle name="Note 2 4 2 2 4" xfId="875"/>
    <cellStyle name="Note 2 4 2 2 5" xfId="1126"/>
    <cellStyle name="Note 2 4 2 2 6" xfId="1376"/>
    <cellStyle name="Note 2 4 2 2 7" xfId="1626"/>
    <cellStyle name="Note 2 4 2 2 8" xfId="1876"/>
    <cellStyle name="Note 2 4 2 2 9" xfId="2126"/>
    <cellStyle name="Note 2 4 2 20" xfId="4089"/>
    <cellStyle name="Note 2 4 2 21" xfId="4341"/>
    <cellStyle name="Note 2 4 2 22" xfId="4593"/>
    <cellStyle name="Note 2 4 2 3" xfId="526"/>
    <cellStyle name="Note 2 4 2 3 10" xfId="2785"/>
    <cellStyle name="Note 2 4 2 3 11" xfId="3039"/>
    <cellStyle name="Note 2 4 2 3 12" xfId="3291"/>
    <cellStyle name="Note 2 4 2 3 13" xfId="3541"/>
    <cellStyle name="Note 2 4 2 3 14" xfId="3791"/>
    <cellStyle name="Note 2 4 2 3 15" xfId="4043"/>
    <cellStyle name="Note 2 4 2 3 16" xfId="4293"/>
    <cellStyle name="Note 2 4 2 3 17" xfId="4545"/>
    <cellStyle name="Note 2 4 2 3 18" xfId="4797"/>
    <cellStyle name="Note 2 4 2 3 2" xfId="779"/>
    <cellStyle name="Note 2 4 2 3 3" xfId="1031"/>
    <cellStyle name="Note 2 4 2 3 4" xfId="1282"/>
    <cellStyle name="Note 2 4 2 3 5" xfId="1532"/>
    <cellStyle name="Note 2 4 2 3 6" xfId="1782"/>
    <cellStyle name="Note 2 4 2 3 7" xfId="2032"/>
    <cellStyle name="Note 2 4 2 3 8" xfId="2282"/>
    <cellStyle name="Note 2 4 2 3 9" xfId="2534"/>
    <cellStyle name="Note 2 4 2 4" xfId="424"/>
    <cellStyle name="Note 2 4 2 4 10" xfId="2683"/>
    <cellStyle name="Note 2 4 2 4 11" xfId="2937"/>
    <cellStyle name="Note 2 4 2 4 12" xfId="3189"/>
    <cellStyle name="Note 2 4 2 4 13" xfId="3439"/>
    <cellStyle name="Note 2 4 2 4 14" xfId="3689"/>
    <cellStyle name="Note 2 4 2 4 15" xfId="3941"/>
    <cellStyle name="Note 2 4 2 4 16" xfId="4191"/>
    <cellStyle name="Note 2 4 2 4 17" xfId="4443"/>
    <cellStyle name="Note 2 4 2 4 18" xfId="4695"/>
    <cellStyle name="Note 2 4 2 4 2" xfId="677"/>
    <cellStyle name="Note 2 4 2 4 3" xfId="929"/>
    <cellStyle name="Note 2 4 2 4 4" xfId="1180"/>
    <cellStyle name="Note 2 4 2 4 5" xfId="1430"/>
    <cellStyle name="Note 2 4 2 4 6" xfId="1680"/>
    <cellStyle name="Note 2 4 2 4 7" xfId="1930"/>
    <cellStyle name="Note 2 4 2 4 8" xfId="2180"/>
    <cellStyle name="Note 2 4 2 4 9" xfId="2432"/>
    <cellStyle name="Note 2 4 2 5" xfId="321"/>
    <cellStyle name="Note 2 4 2 6" xfId="575"/>
    <cellStyle name="Note 2 4 2 7" xfId="827"/>
    <cellStyle name="Note 2 4 2 8" xfId="1078"/>
    <cellStyle name="Note 2 4 2 9" xfId="1328"/>
    <cellStyle name="Note 2 4 3" xfId="249"/>
    <cellStyle name="Note 2 4 3 10" xfId="1585"/>
    <cellStyle name="Note 2 4 3 11" xfId="1835"/>
    <cellStyle name="Note 2 4 3 12" xfId="2085"/>
    <cellStyle name="Note 2 4 3 13" xfId="2337"/>
    <cellStyle name="Note 2 4 3 14" xfId="2587"/>
    <cellStyle name="Note 2 4 3 15" xfId="2841"/>
    <cellStyle name="Note 2 4 3 16" xfId="3094"/>
    <cellStyle name="Note 2 4 3 17" xfId="3344"/>
    <cellStyle name="Note 2 4 3 18" xfId="3594"/>
    <cellStyle name="Note 2 4 3 19" xfId="3846"/>
    <cellStyle name="Note 2 4 3 2" xfId="377"/>
    <cellStyle name="Note 2 4 3 2 10" xfId="2385"/>
    <cellStyle name="Note 2 4 3 2 11" xfId="2636"/>
    <cellStyle name="Note 2 4 3 2 12" xfId="2890"/>
    <cellStyle name="Note 2 4 3 2 13" xfId="3142"/>
    <cellStyle name="Note 2 4 3 2 14" xfId="3392"/>
    <cellStyle name="Note 2 4 3 2 15" xfId="3642"/>
    <cellStyle name="Note 2 4 3 2 16" xfId="3894"/>
    <cellStyle name="Note 2 4 3 2 17" xfId="4144"/>
    <cellStyle name="Note 2 4 3 2 18" xfId="4396"/>
    <cellStyle name="Note 2 4 3 2 19" xfId="4648"/>
    <cellStyle name="Note 2 4 3 2 2" xfId="485"/>
    <cellStyle name="Note 2 4 3 2 2 10" xfId="2744"/>
    <cellStyle name="Note 2 4 3 2 2 11" xfId="2998"/>
    <cellStyle name="Note 2 4 3 2 2 12" xfId="3250"/>
    <cellStyle name="Note 2 4 3 2 2 13" xfId="3500"/>
    <cellStyle name="Note 2 4 3 2 2 14" xfId="3750"/>
    <cellStyle name="Note 2 4 3 2 2 15" xfId="4002"/>
    <cellStyle name="Note 2 4 3 2 2 16" xfId="4252"/>
    <cellStyle name="Note 2 4 3 2 2 17" xfId="4504"/>
    <cellStyle name="Note 2 4 3 2 2 18" xfId="4756"/>
    <cellStyle name="Note 2 4 3 2 2 2" xfId="738"/>
    <cellStyle name="Note 2 4 3 2 2 3" xfId="990"/>
    <cellStyle name="Note 2 4 3 2 2 4" xfId="1241"/>
    <cellStyle name="Note 2 4 3 2 2 5" xfId="1491"/>
    <cellStyle name="Note 2 4 3 2 2 6" xfId="1741"/>
    <cellStyle name="Note 2 4 3 2 2 7" xfId="1991"/>
    <cellStyle name="Note 2 4 3 2 2 8" xfId="2241"/>
    <cellStyle name="Note 2 4 3 2 2 9" xfId="2493"/>
    <cellStyle name="Note 2 4 3 2 3" xfId="630"/>
    <cellStyle name="Note 2 4 3 2 4" xfId="882"/>
    <cellStyle name="Note 2 4 3 2 5" xfId="1133"/>
    <cellStyle name="Note 2 4 3 2 6" xfId="1383"/>
    <cellStyle name="Note 2 4 3 2 7" xfId="1633"/>
    <cellStyle name="Note 2 4 3 2 8" xfId="1883"/>
    <cellStyle name="Note 2 4 3 2 9" xfId="2133"/>
    <cellStyle name="Note 2 4 3 20" xfId="4096"/>
    <cellStyle name="Note 2 4 3 21" xfId="4348"/>
    <cellStyle name="Note 2 4 3 22" xfId="4600"/>
    <cellStyle name="Note 2 4 3 3" xfId="533"/>
    <cellStyle name="Note 2 4 3 3 10" xfId="2792"/>
    <cellStyle name="Note 2 4 3 3 11" xfId="3046"/>
    <cellStyle name="Note 2 4 3 3 12" xfId="3298"/>
    <cellStyle name="Note 2 4 3 3 13" xfId="3548"/>
    <cellStyle name="Note 2 4 3 3 14" xfId="3798"/>
    <cellStyle name="Note 2 4 3 3 15" xfId="4050"/>
    <cellStyle name="Note 2 4 3 3 16" xfId="4300"/>
    <cellStyle name="Note 2 4 3 3 17" xfId="4552"/>
    <cellStyle name="Note 2 4 3 3 18" xfId="4804"/>
    <cellStyle name="Note 2 4 3 3 2" xfId="786"/>
    <cellStyle name="Note 2 4 3 3 3" xfId="1038"/>
    <cellStyle name="Note 2 4 3 3 4" xfId="1289"/>
    <cellStyle name="Note 2 4 3 3 5" xfId="1539"/>
    <cellStyle name="Note 2 4 3 3 6" xfId="1789"/>
    <cellStyle name="Note 2 4 3 3 7" xfId="2039"/>
    <cellStyle name="Note 2 4 3 3 8" xfId="2289"/>
    <cellStyle name="Note 2 4 3 3 9" xfId="2541"/>
    <cellStyle name="Note 2 4 3 4" xfId="431"/>
    <cellStyle name="Note 2 4 3 4 10" xfId="2690"/>
    <cellStyle name="Note 2 4 3 4 11" xfId="2944"/>
    <cellStyle name="Note 2 4 3 4 12" xfId="3196"/>
    <cellStyle name="Note 2 4 3 4 13" xfId="3446"/>
    <cellStyle name="Note 2 4 3 4 14" xfId="3696"/>
    <cellStyle name="Note 2 4 3 4 15" xfId="3948"/>
    <cellStyle name="Note 2 4 3 4 16" xfId="4198"/>
    <cellStyle name="Note 2 4 3 4 17" xfId="4450"/>
    <cellStyle name="Note 2 4 3 4 18" xfId="4702"/>
    <cellStyle name="Note 2 4 3 4 2" xfId="684"/>
    <cellStyle name="Note 2 4 3 4 3" xfId="936"/>
    <cellStyle name="Note 2 4 3 4 4" xfId="1187"/>
    <cellStyle name="Note 2 4 3 4 5" xfId="1437"/>
    <cellStyle name="Note 2 4 3 4 6" xfId="1687"/>
    <cellStyle name="Note 2 4 3 4 7" xfId="1937"/>
    <cellStyle name="Note 2 4 3 4 8" xfId="2187"/>
    <cellStyle name="Note 2 4 3 4 9" xfId="2439"/>
    <cellStyle name="Note 2 4 3 5" xfId="328"/>
    <cellStyle name="Note 2 4 3 6" xfId="582"/>
    <cellStyle name="Note 2 4 3 7" xfId="834"/>
    <cellStyle name="Note 2 4 3 8" xfId="1085"/>
    <cellStyle name="Note 2 4 3 9" xfId="1335"/>
    <cellStyle name="Note 2 4 4" xfId="244"/>
    <cellStyle name="Note 2 4 4 10" xfId="1580"/>
    <cellStyle name="Note 2 4 4 11" xfId="1830"/>
    <cellStyle name="Note 2 4 4 12" xfId="2080"/>
    <cellStyle name="Note 2 4 4 13" xfId="2332"/>
    <cellStyle name="Note 2 4 4 14" xfId="2582"/>
    <cellStyle name="Note 2 4 4 15" xfId="2836"/>
    <cellStyle name="Note 2 4 4 16" xfId="3089"/>
    <cellStyle name="Note 2 4 4 17" xfId="3339"/>
    <cellStyle name="Note 2 4 4 18" xfId="3589"/>
    <cellStyle name="Note 2 4 4 19" xfId="3841"/>
    <cellStyle name="Note 2 4 4 2" xfId="372"/>
    <cellStyle name="Note 2 4 4 2 10" xfId="2380"/>
    <cellStyle name="Note 2 4 4 2 11" xfId="2631"/>
    <cellStyle name="Note 2 4 4 2 12" xfId="2885"/>
    <cellStyle name="Note 2 4 4 2 13" xfId="3137"/>
    <cellStyle name="Note 2 4 4 2 14" xfId="3387"/>
    <cellStyle name="Note 2 4 4 2 15" xfId="3637"/>
    <cellStyle name="Note 2 4 4 2 16" xfId="3889"/>
    <cellStyle name="Note 2 4 4 2 17" xfId="4139"/>
    <cellStyle name="Note 2 4 4 2 18" xfId="4391"/>
    <cellStyle name="Note 2 4 4 2 19" xfId="4643"/>
    <cellStyle name="Note 2 4 4 2 2" xfId="480"/>
    <cellStyle name="Note 2 4 4 2 2 10" xfId="2739"/>
    <cellStyle name="Note 2 4 4 2 2 11" xfId="2993"/>
    <cellStyle name="Note 2 4 4 2 2 12" xfId="3245"/>
    <cellStyle name="Note 2 4 4 2 2 13" xfId="3495"/>
    <cellStyle name="Note 2 4 4 2 2 14" xfId="3745"/>
    <cellStyle name="Note 2 4 4 2 2 15" xfId="3997"/>
    <cellStyle name="Note 2 4 4 2 2 16" xfId="4247"/>
    <cellStyle name="Note 2 4 4 2 2 17" xfId="4499"/>
    <cellStyle name="Note 2 4 4 2 2 18" xfId="4751"/>
    <cellStyle name="Note 2 4 4 2 2 2" xfId="733"/>
    <cellStyle name="Note 2 4 4 2 2 3" xfId="985"/>
    <cellStyle name="Note 2 4 4 2 2 4" xfId="1236"/>
    <cellStyle name="Note 2 4 4 2 2 5" xfId="1486"/>
    <cellStyle name="Note 2 4 4 2 2 6" xfId="1736"/>
    <cellStyle name="Note 2 4 4 2 2 7" xfId="1986"/>
    <cellStyle name="Note 2 4 4 2 2 8" xfId="2236"/>
    <cellStyle name="Note 2 4 4 2 2 9" xfId="2488"/>
    <cellStyle name="Note 2 4 4 2 3" xfId="625"/>
    <cellStyle name="Note 2 4 4 2 4" xfId="877"/>
    <cellStyle name="Note 2 4 4 2 5" xfId="1128"/>
    <cellStyle name="Note 2 4 4 2 6" xfId="1378"/>
    <cellStyle name="Note 2 4 4 2 7" xfId="1628"/>
    <cellStyle name="Note 2 4 4 2 8" xfId="1878"/>
    <cellStyle name="Note 2 4 4 2 9" xfId="2128"/>
    <cellStyle name="Note 2 4 4 20" xfId="4091"/>
    <cellStyle name="Note 2 4 4 21" xfId="4343"/>
    <cellStyle name="Note 2 4 4 22" xfId="4595"/>
    <cellStyle name="Note 2 4 4 3" xfId="528"/>
    <cellStyle name="Note 2 4 4 3 10" xfId="2787"/>
    <cellStyle name="Note 2 4 4 3 11" xfId="3041"/>
    <cellStyle name="Note 2 4 4 3 12" xfId="3293"/>
    <cellStyle name="Note 2 4 4 3 13" xfId="3543"/>
    <cellStyle name="Note 2 4 4 3 14" xfId="3793"/>
    <cellStyle name="Note 2 4 4 3 15" xfId="4045"/>
    <cellStyle name="Note 2 4 4 3 16" xfId="4295"/>
    <cellStyle name="Note 2 4 4 3 17" xfId="4547"/>
    <cellStyle name="Note 2 4 4 3 18" xfId="4799"/>
    <cellStyle name="Note 2 4 4 3 2" xfId="781"/>
    <cellStyle name="Note 2 4 4 3 3" xfId="1033"/>
    <cellStyle name="Note 2 4 4 3 4" xfId="1284"/>
    <cellStyle name="Note 2 4 4 3 5" xfId="1534"/>
    <cellStyle name="Note 2 4 4 3 6" xfId="1784"/>
    <cellStyle name="Note 2 4 4 3 7" xfId="2034"/>
    <cellStyle name="Note 2 4 4 3 8" xfId="2284"/>
    <cellStyle name="Note 2 4 4 3 9" xfId="2536"/>
    <cellStyle name="Note 2 4 4 4" xfId="426"/>
    <cellStyle name="Note 2 4 4 4 10" xfId="2685"/>
    <cellStyle name="Note 2 4 4 4 11" xfId="2939"/>
    <cellStyle name="Note 2 4 4 4 12" xfId="3191"/>
    <cellStyle name="Note 2 4 4 4 13" xfId="3441"/>
    <cellStyle name="Note 2 4 4 4 14" xfId="3691"/>
    <cellStyle name="Note 2 4 4 4 15" xfId="3943"/>
    <cellStyle name="Note 2 4 4 4 16" xfId="4193"/>
    <cellStyle name="Note 2 4 4 4 17" xfId="4445"/>
    <cellStyle name="Note 2 4 4 4 18" xfId="4697"/>
    <cellStyle name="Note 2 4 4 4 2" xfId="679"/>
    <cellStyle name="Note 2 4 4 4 3" xfId="931"/>
    <cellStyle name="Note 2 4 4 4 4" xfId="1182"/>
    <cellStyle name="Note 2 4 4 4 5" xfId="1432"/>
    <cellStyle name="Note 2 4 4 4 6" xfId="1682"/>
    <cellStyle name="Note 2 4 4 4 7" xfId="1932"/>
    <cellStyle name="Note 2 4 4 4 8" xfId="2182"/>
    <cellStyle name="Note 2 4 4 4 9" xfId="2434"/>
    <cellStyle name="Note 2 4 4 5" xfId="323"/>
    <cellStyle name="Note 2 4 4 6" xfId="577"/>
    <cellStyle name="Note 2 4 4 7" xfId="829"/>
    <cellStyle name="Note 2 4 4 8" xfId="1080"/>
    <cellStyle name="Note 2 4 4 9" xfId="1330"/>
    <cellStyle name="Note 2 4 5" xfId="259"/>
    <cellStyle name="Note 2 4 5 10" xfId="1595"/>
    <cellStyle name="Note 2 4 5 11" xfId="1845"/>
    <cellStyle name="Note 2 4 5 12" xfId="2095"/>
    <cellStyle name="Note 2 4 5 13" xfId="2347"/>
    <cellStyle name="Note 2 4 5 14" xfId="2597"/>
    <cellStyle name="Note 2 4 5 15" xfId="2851"/>
    <cellStyle name="Note 2 4 5 16" xfId="3104"/>
    <cellStyle name="Note 2 4 5 17" xfId="3354"/>
    <cellStyle name="Note 2 4 5 18" xfId="3604"/>
    <cellStyle name="Note 2 4 5 19" xfId="3856"/>
    <cellStyle name="Note 2 4 5 2" xfId="387"/>
    <cellStyle name="Note 2 4 5 2 10" xfId="2395"/>
    <cellStyle name="Note 2 4 5 2 11" xfId="2646"/>
    <cellStyle name="Note 2 4 5 2 12" xfId="2900"/>
    <cellStyle name="Note 2 4 5 2 13" xfId="3152"/>
    <cellStyle name="Note 2 4 5 2 14" xfId="3402"/>
    <cellStyle name="Note 2 4 5 2 15" xfId="3652"/>
    <cellStyle name="Note 2 4 5 2 16" xfId="3904"/>
    <cellStyle name="Note 2 4 5 2 17" xfId="4154"/>
    <cellStyle name="Note 2 4 5 2 18" xfId="4406"/>
    <cellStyle name="Note 2 4 5 2 19" xfId="4658"/>
    <cellStyle name="Note 2 4 5 2 2" xfId="495"/>
    <cellStyle name="Note 2 4 5 2 2 10" xfId="2754"/>
    <cellStyle name="Note 2 4 5 2 2 11" xfId="3008"/>
    <cellStyle name="Note 2 4 5 2 2 12" xfId="3260"/>
    <cellStyle name="Note 2 4 5 2 2 13" xfId="3510"/>
    <cellStyle name="Note 2 4 5 2 2 14" xfId="3760"/>
    <cellStyle name="Note 2 4 5 2 2 15" xfId="4012"/>
    <cellStyle name="Note 2 4 5 2 2 16" xfId="4262"/>
    <cellStyle name="Note 2 4 5 2 2 17" xfId="4514"/>
    <cellStyle name="Note 2 4 5 2 2 18" xfId="4766"/>
    <cellStyle name="Note 2 4 5 2 2 2" xfId="748"/>
    <cellStyle name="Note 2 4 5 2 2 3" xfId="1000"/>
    <cellStyle name="Note 2 4 5 2 2 4" xfId="1251"/>
    <cellStyle name="Note 2 4 5 2 2 5" xfId="1501"/>
    <cellStyle name="Note 2 4 5 2 2 6" xfId="1751"/>
    <cellStyle name="Note 2 4 5 2 2 7" xfId="2001"/>
    <cellStyle name="Note 2 4 5 2 2 8" xfId="2251"/>
    <cellStyle name="Note 2 4 5 2 2 9" xfId="2503"/>
    <cellStyle name="Note 2 4 5 2 3" xfId="640"/>
    <cellStyle name="Note 2 4 5 2 4" xfId="892"/>
    <cellStyle name="Note 2 4 5 2 5" xfId="1143"/>
    <cellStyle name="Note 2 4 5 2 6" xfId="1393"/>
    <cellStyle name="Note 2 4 5 2 7" xfId="1643"/>
    <cellStyle name="Note 2 4 5 2 8" xfId="1893"/>
    <cellStyle name="Note 2 4 5 2 9" xfId="2143"/>
    <cellStyle name="Note 2 4 5 20" xfId="4106"/>
    <cellStyle name="Note 2 4 5 21" xfId="4358"/>
    <cellStyle name="Note 2 4 5 22" xfId="4610"/>
    <cellStyle name="Note 2 4 5 3" xfId="543"/>
    <cellStyle name="Note 2 4 5 3 10" xfId="2802"/>
    <cellStyle name="Note 2 4 5 3 11" xfId="3056"/>
    <cellStyle name="Note 2 4 5 3 12" xfId="3308"/>
    <cellStyle name="Note 2 4 5 3 13" xfId="3558"/>
    <cellStyle name="Note 2 4 5 3 14" xfId="3808"/>
    <cellStyle name="Note 2 4 5 3 15" xfId="4060"/>
    <cellStyle name="Note 2 4 5 3 16" xfId="4310"/>
    <cellStyle name="Note 2 4 5 3 17" xfId="4562"/>
    <cellStyle name="Note 2 4 5 3 18" xfId="4814"/>
    <cellStyle name="Note 2 4 5 3 2" xfId="796"/>
    <cellStyle name="Note 2 4 5 3 3" xfId="1048"/>
    <cellStyle name="Note 2 4 5 3 4" xfId="1299"/>
    <cellStyle name="Note 2 4 5 3 5" xfId="1549"/>
    <cellStyle name="Note 2 4 5 3 6" xfId="1799"/>
    <cellStyle name="Note 2 4 5 3 7" xfId="2049"/>
    <cellStyle name="Note 2 4 5 3 8" xfId="2299"/>
    <cellStyle name="Note 2 4 5 3 9" xfId="2551"/>
    <cellStyle name="Note 2 4 5 4" xfId="441"/>
    <cellStyle name="Note 2 4 5 4 10" xfId="2700"/>
    <cellStyle name="Note 2 4 5 4 11" xfId="2954"/>
    <cellStyle name="Note 2 4 5 4 12" xfId="3206"/>
    <cellStyle name="Note 2 4 5 4 13" xfId="3456"/>
    <cellStyle name="Note 2 4 5 4 14" xfId="3706"/>
    <cellStyle name="Note 2 4 5 4 15" xfId="3958"/>
    <cellStyle name="Note 2 4 5 4 16" xfId="4208"/>
    <cellStyle name="Note 2 4 5 4 17" xfId="4460"/>
    <cellStyle name="Note 2 4 5 4 18" xfId="4712"/>
    <cellStyle name="Note 2 4 5 4 2" xfId="694"/>
    <cellStyle name="Note 2 4 5 4 3" xfId="946"/>
    <cellStyle name="Note 2 4 5 4 4" xfId="1197"/>
    <cellStyle name="Note 2 4 5 4 5" xfId="1447"/>
    <cellStyle name="Note 2 4 5 4 6" xfId="1697"/>
    <cellStyle name="Note 2 4 5 4 7" xfId="1947"/>
    <cellStyle name="Note 2 4 5 4 8" xfId="2197"/>
    <cellStyle name="Note 2 4 5 4 9" xfId="2449"/>
    <cellStyle name="Note 2 4 5 5" xfId="338"/>
    <cellStyle name="Note 2 4 5 6" xfId="592"/>
    <cellStyle name="Note 2 4 5 7" xfId="844"/>
    <cellStyle name="Note 2 4 5 8" xfId="1095"/>
    <cellStyle name="Note 2 4 5 9" xfId="1345"/>
    <cellStyle name="Note 2 4 6" xfId="276"/>
    <cellStyle name="Note 2 4 6 10" xfId="1612"/>
    <cellStyle name="Note 2 4 6 11" xfId="1862"/>
    <cellStyle name="Note 2 4 6 12" xfId="2112"/>
    <cellStyle name="Note 2 4 6 13" xfId="2364"/>
    <cellStyle name="Note 2 4 6 14" xfId="2614"/>
    <cellStyle name="Note 2 4 6 15" xfId="2868"/>
    <cellStyle name="Note 2 4 6 16" xfId="3121"/>
    <cellStyle name="Note 2 4 6 17" xfId="3371"/>
    <cellStyle name="Note 2 4 6 18" xfId="3621"/>
    <cellStyle name="Note 2 4 6 19" xfId="3873"/>
    <cellStyle name="Note 2 4 6 2" xfId="404"/>
    <cellStyle name="Note 2 4 6 2 10" xfId="2412"/>
    <cellStyle name="Note 2 4 6 2 11" xfId="2663"/>
    <cellStyle name="Note 2 4 6 2 12" xfId="2917"/>
    <cellStyle name="Note 2 4 6 2 13" xfId="3169"/>
    <cellStyle name="Note 2 4 6 2 14" xfId="3419"/>
    <cellStyle name="Note 2 4 6 2 15" xfId="3669"/>
    <cellStyle name="Note 2 4 6 2 16" xfId="3921"/>
    <cellStyle name="Note 2 4 6 2 17" xfId="4171"/>
    <cellStyle name="Note 2 4 6 2 18" xfId="4423"/>
    <cellStyle name="Note 2 4 6 2 19" xfId="4675"/>
    <cellStyle name="Note 2 4 6 2 2" xfId="512"/>
    <cellStyle name="Note 2 4 6 2 2 10" xfId="2771"/>
    <cellStyle name="Note 2 4 6 2 2 11" xfId="3025"/>
    <cellStyle name="Note 2 4 6 2 2 12" xfId="3277"/>
    <cellStyle name="Note 2 4 6 2 2 13" xfId="3527"/>
    <cellStyle name="Note 2 4 6 2 2 14" xfId="3777"/>
    <cellStyle name="Note 2 4 6 2 2 15" xfId="4029"/>
    <cellStyle name="Note 2 4 6 2 2 16" xfId="4279"/>
    <cellStyle name="Note 2 4 6 2 2 17" xfId="4531"/>
    <cellStyle name="Note 2 4 6 2 2 18" xfId="4783"/>
    <cellStyle name="Note 2 4 6 2 2 2" xfId="765"/>
    <cellStyle name="Note 2 4 6 2 2 3" xfId="1017"/>
    <cellStyle name="Note 2 4 6 2 2 4" xfId="1268"/>
    <cellStyle name="Note 2 4 6 2 2 5" xfId="1518"/>
    <cellStyle name="Note 2 4 6 2 2 6" xfId="1768"/>
    <cellStyle name="Note 2 4 6 2 2 7" xfId="2018"/>
    <cellStyle name="Note 2 4 6 2 2 8" xfId="2268"/>
    <cellStyle name="Note 2 4 6 2 2 9" xfId="2520"/>
    <cellStyle name="Note 2 4 6 2 3" xfId="657"/>
    <cellStyle name="Note 2 4 6 2 4" xfId="909"/>
    <cellStyle name="Note 2 4 6 2 5" xfId="1160"/>
    <cellStyle name="Note 2 4 6 2 6" xfId="1410"/>
    <cellStyle name="Note 2 4 6 2 7" xfId="1660"/>
    <cellStyle name="Note 2 4 6 2 8" xfId="1910"/>
    <cellStyle name="Note 2 4 6 2 9" xfId="2160"/>
    <cellStyle name="Note 2 4 6 20" xfId="4123"/>
    <cellStyle name="Note 2 4 6 21" xfId="4375"/>
    <cellStyle name="Note 2 4 6 22" xfId="4627"/>
    <cellStyle name="Note 2 4 6 3" xfId="560"/>
    <cellStyle name="Note 2 4 6 3 10" xfId="2819"/>
    <cellStyle name="Note 2 4 6 3 11" xfId="3073"/>
    <cellStyle name="Note 2 4 6 3 12" xfId="3325"/>
    <cellStyle name="Note 2 4 6 3 13" xfId="3575"/>
    <cellStyle name="Note 2 4 6 3 14" xfId="3825"/>
    <cellStyle name="Note 2 4 6 3 15" xfId="4077"/>
    <cellStyle name="Note 2 4 6 3 16" xfId="4327"/>
    <cellStyle name="Note 2 4 6 3 17" xfId="4579"/>
    <cellStyle name="Note 2 4 6 3 18" xfId="4831"/>
    <cellStyle name="Note 2 4 6 3 2" xfId="813"/>
    <cellStyle name="Note 2 4 6 3 3" xfId="1065"/>
    <cellStyle name="Note 2 4 6 3 4" xfId="1316"/>
    <cellStyle name="Note 2 4 6 3 5" xfId="1566"/>
    <cellStyle name="Note 2 4 6 3 6" xfId="1816"/>
    <cellStyle name="Note 2 4 6 3 7" xfId="2066"/>
    <cellStyle name="Note 2 4 6 3 8" xfId="2316"/>
    <cellStyle name="Note 2 4 6 3 9" xfId="2568"/>
    <cellStyle name="Note 2 4 6 4" xfId="458"/>
    <cellStyle name="Note 2 4 6 4 10" xfId="2717"/>
    <cellStyle name="Note 2 4 6 4 11" xfId="2971"/>
    <cellStyle name="Note 2 4 6 4 12" xfId="3223"/>
    <cellStyle name="Note 2 4 6 4 13" xfId="3473"/>
    <cellStyle name="Note 2 4 6 4 14" xfId="3723"/>
    <cellStyle name="Note 2 4 6 4 15" xfId="3975"/>
    <cellStyle name="Note 2 4 6 4 16" xfId="4225"/>
    <cellStyle name="Note 2 4 6 4 17" xfId="4477"/>
    <cellStyle name="Note 2 4 6 4 18" xfId="4729"/>
    <cellStyle name="Note 2 4 6 4 2" xfId="711"/>
    <cellStyle name="Note 2 4 6 4 3" xfId="963"/>
    <cellStyle name="Note 2 4 6 4 4" xfId="1214"/>
    <cellStyle name="Note 2 4 6 4 5" xfId="1464"/>
    <cellStyle name="Note 2 4 6 4 6" xfId="1714"/>
    <cellStyle name="Note 2 4 6 4 7" xfId="1964"/>
    <cellStyle name="Note 2 4 6 4 8" xfId="2214"/>
    <cellStyle name="Note 2 4 6 4 9" xfId="2466"/>
    <cellStyle name="Note 2 4 6 5" xfId="355"/>
    <cellStyle name="Note 2 4 6 6" xfId="609"/>
    <cellStyle name="Note 2 4 6 7" xfId="861"/>
    <cellStyle name="Note 2 4 6 8" xfId="1112"/>
    <cellStyle name="Note 2 4 6 9" xfId="1362"/>
    <cellStyle name="Note 2 4 7" xfId="253"/>
    <cellStyle name="Note 2 4 7 10" xfId="1589"/>
    <cellStyle name="Note 2 4 7 11" xfId="1839"/>
    <cellStyle name="Note 2 4 7 12" xfId="2089"/>
    <cellStyle name="Note 2 4 7 13" xfId="2341"/>
    <cellStyle name="Note 2 4 7 14" xfId="2591"/>
    <cellStyle name="Note 2 4 7 15" xfId="2845"/>
    <cellStyle name="Note 2 4 7 16" xfId="3098"/>
    <cellStyle name="Note 2 4 7 17" xfId="3348"/>
    <cellStyle name="Note 2 4 7 18" xfId="3598"/>
    <cellStyle name="Note 2 4 7 19" xfId="3850"/>
    <cellStyle name="Note 2 4 7 2" xfId="381"/>
    <cellStyle name="Note 2 4 7 2 10" xfId="2389"/>
    <cellStyle name="Note 2 4 7 2 11" xfId="2640"/>
    <cellStyle name="Note 2 4 7 2 12" xfId="2894"/>
    <cellStyle name="Note 2 4 7 2 13" xfId="3146"/>
    <cellStyle name="Note 2 4 7 2 14" xfId="3396"/>
    <cellStyle name="Note 2 4 7 2 15" xfId="3646"/>
    <cellStyle name="Note 2 4 7 2 16" xfId="3898"/>
    <cellStyle name="Note 2 4 7 2 17" xfId="4148"/>
    <cellStyle name="Note 2 4 7 2 18" xfId="4400"/>
    <cellStyle name="Note 2 4 7 2 19" xfId="4652"/>
    <cellStyle name="Note 2 4 7 2 2" xfId="489"/>
    <cellStyle name="Note 2 4 7 2 2 10" xfId="2748"/>
    <cellStyle name="Note 2 4 7 2 2 11" xfId="3002"/>
    <cellStyle name="Note 2 4 7 2 2 12" xfId="3254"/>
    <cellStyle name="Note 2 4 7 2 2 13" xfId="3504"/>
    <cellStyle name="Note 2 4 7 2 2 14" xfId="3754"/>
    <cellStyle name="Note 2 4 7 2 2 15" xfId="4006"/>
    <cellStyle name="Note 2 4 7 2 2 16" xfId="4256"/>
    <cellStyle name="Note 2 4 7 2 2 17" xfId="4508"/>
    <cellStyle name="Note 2 4 7 2 2 18" xfId="4760"/>
    <cellStyle name="Note 2 4 7 2 2 2" xfId="742"/>
    <cellStyle name="Note 2 4 7 2 2 3" xfId="994"/>
    <cellStyle name="Note 2 4 7 2 2 4" xfId="1245"/>
    <cellStyle name="Note 2 4 7 2 2 5" xfId="1495"/>
    <cellStyle name="Note 2 4 7 2 2 6" xfId="1745"/>
    <cellStyle name="Note 2 4 7 2 2 7" xfId="1995"/>
    <cellStyle name="Note 2 4 7 2 2 8" xfId="2245"/>
    <cellStyle name="Note 2 4 7 2 2 9" xfId="2497"/>
    <cellStyle name="Note 2 4 7 2 3" xfId="634"/>
    <cellStyle name="Note 2 4 7 2 4" xfId="886"/>
    <cellStyle name="Note 2 4 7 2 5" xfId="1137"/>
    <cellStyle name="Note 2 4 7 2 6" xfId="1387"/>
    <cellStyle name="Note 2 4 7 2 7" xfId="1637"/>
    <cellStyle name="Note 2 4 7 2 8" xfId="1887"/>
    <cellStyle name="Note 2 4 7 2 9" xfId="2137"/>
    <cellStyle name="Note 2 4 7 20" xfId="4100"/>
    <cellStyle name="Note 2 4 7 21" xfId="4352"/>
    <cellStyle name="Note 2 4 7 22" xfId="4604"/>
    <cellStyle name="Note 2 4 7 3" xfId="537"/>
    <cellStyle name="Note 2 4 7 3 10" xfId="2796"/>
    <cellStyle name="Note 2 4 7 3 11" xfId="3050"/>
    <cellStyle name="Note 2 4 7 3 12" xfId="3302"/>
    <cellStyle name="Note 2 4 7 3 13" xfId="3552"/>
    <cellStyle name="Note 2 4 7 3 14" xfId="3802"/>
    <cellStyle name="Note 2 4 7 3 15" xfId="4054"/>
    <cellStyle name="Note 2 4 7 3 16" xfId="4304"/>
    <cellStyle name="Note 2 4 7 3 17" xfId="4556"/>
    <cellStyle name="Note 2 4 7 3 18" xfId="4808"/>
    <cellStyle name="Note 2 4 7 3 2" xfId="790"/>
    <cellStyle name="Note 2 4 7 3 3" xfId="1042"/>
    <cellStyle name="Note 2 4 7 3 4" xfId="1293"/>
    <cellStyle name="Note 2 4 7 3 5" xfId="1543"/>
    <cellStyle name="Note 2 4 7 3 6" xfId="1793"/>
    <cellStyle name="Note 2 4 7 3 7" xfId="2043"/>
    <cellStyle name="Note 2 4 7 3 8" xfId="2293"/>
    <cellStyle name="Note 2 4 7 3 9" xfId="2545"/>
    <cellStyle name="Note 2 4 7 4" xfId="435"/>
    <cellStyle name="Note 2 4 7 4 10" xfId="2694"/>
    <cellStyle name="Note 2 4 7 4 11" xfId="2948"/>
    <cellStyle name="Note 2 4 7 4 12" xfId="3200"/>
    <cellStyle name="Note 2 4 7 4 13" xfId="3450"/>
    <cellStyle name="Note 2 4 7 4 14" xfId="3700"/>
    <cellStyle name="Note 2 4 7 4 15" xfId="3952"/>
    <cellStyle name="Note 2 4 7 4 16" xfId="4202"/>
    <cellStyle name="Note 2 4 7 4 17" xfId="4454"/>
    <cellStyle name="Note 2 4 7 4 18" xfId="4706"/>
    <cellStyle name="Note 2 4 7 4 2" xfId="688"/>
    <cellStyle name="Note 2 4 7 4 3" xfId="940"/>
    <cellStyle name="Note 2 4 7 4 4" xfId="1191"/>
    <cellStyle name="Note 2 4 7 4 5" xfId="1441"/>
    <cellStyle name="Note 2 4 7 4 6" xfId="1691"/>
    <cellStyle name="Note 2 4 7 4 7" xfId="1941"/>
    <cellStyle name="Note 2 4 7 4 8" xfId="2191"/>
    <cellStyle name="Note 2 4 7 4 9" xfId="2443"/>
    <cellStyle name="Note 2 4 7 5" xfId="332"/>
    <cellStyle name="Note 2 4 7 6" xfId="586"/>
    <cellStyle name="Note 2 4 7 7" xfId="838"/>
    <cellStyle name="Note 2 4 7 8" xfId="1089"/>
    <cellStyle name="Note 2 4 7 9" xfId="1339"/>
    <cellStyle name="Note 2 4 8" xfId="239"/>
    <cellStyle name="Note 2 4 8 10" xfId="1575"/>
    <cellStyle name="Note 2 4 8 11" xfId="1825"/>
    <cellStyle name="Note 2 4 8 12" xfId="2075"/>
    <cellStyle name="Note 2 4 8 13" xfId="2327"/>
    <cellStyle name="Note 2 4 8 14" xfId="2577"/>
    <cellStyle name="Note 2 4 8 15" xfId="2831"/>
    <cellStyle name="Note 2 4 8 16" xfId="3084"/>
    <cellStyle name="Note 2 4 8 17" xfId="3334"/>
    <cellStyle name="Note 2 4 8 18" xfId="3584"/>
    <cellStyle name="Note 2 4 8 19" xfId="3836"/>
    <cellStyle name="Note 2 4 8 2" xfId="367"/>
    <cellStyle name="Note 2 4 8 2 10" xfId="2375"/>
    <cellStyle name="Note 2 4 8 2 11" xfId="2626"/>
    <cellStyle name="Note 2 4 8 2 12" xfId="2880"/>
    <cellStyle name="Note 2 4 8 2 13" xfId="3132"/>
    <cellStyle name="Note 2 4 8 2 14" xfId="3382"/>
    <cellStyle name="Note 2 4 8 2 15" xfId="3632"/>
    <cellStyle name="Note 2 4 8 2 16" xfId="3884"/>
    <cellStyle name="Note 2 4 8 2 17" xfId="4134"/>
    <cellStyle name="Note 2 4 8 2 18" xfId="4386"/>
    <cellStyle name="Note 2 4 8 2 19" xfId="4638"/>
    <cellStyle name="Note 2 4 8 2 2" xfId="475"/>
    <cellStyle name="Note 2 4 8 2 2 10" xfId="2734"/>
    <cellStyle name="Note 2 4 8 2 2 11" xfId="2988"/>
    <cellStyle name="Note 2 4 8 2 2 12" xfId="3240"/>
    <cellStyle name="Note 2 4 8 2 2 13" xfId="3490"/>
    <cellStyle name="Note 2 4 8 2 2 14" xfId="3740"/>
    <cellStyle name="Note 2 4 8 2 2 15" xfId="3992"/>
    <cellStyle name="Note 2 4 8 2 2 16" xfId="4242"/>
    <cellStyle name="Note 2 4 8 2 2 17" xfId="4494"/>
    <cellStyle name="Note 2 4 8 2 2 18" xfId="4746"/>
    <cellStyle name="Note 2 4 8 2 2 2" xfId="728"/>
    <cellStyle name="Note 2 4 8 2 2 3" xfId="980"/>
    <cellStyle name="Note 2 4 8 2 2 4" xfId="1231"/>
    <cellStyle name="Note 2 4 8 2 2 5" xfId="1481"/>
    <cellStyle name="Note 2 4 8 2 2 6" xfId="1731"/>
    <cellStyle name="Note 2 4 8 2 2 7" xfId="1981"/>
    <cellStyle name="Note 2 4 8 2 2 8" xfId="2231"/>
    <cellStyle name="Note 2 4 8 2 2 9" xfId="2483"/>
    <cellStyle name="Note 2 4 8 2 3" xfId="620"/>
    <cellStyle name="Note 2 4 8 2 4" xfId="872"/>
    <cellStyle name="Note 2 4 8 2 5" xfId="1123"/>
    <cellStyle name="Note 2 4 8 2 6" xfId="1373"/>
    <cellStyle name="Note 2 4 8 2 7" xfId="1623"/>
    <cellStyle name="Note 2 4 8 2 8" xfId="1873"/>
    <cellStyle name="Note 2 4 8 2 9" xfId="2123"/>
    <cellStyle name="Note 2 4 8 20" xfId="4086"/>
    <cellStyle name="Note 2 4 8 21" xfId="4338"/>
    <cellStyle name="Note 2 4 8 22" xfId="4590"/>
    <cellStyle name="Note 2 4 8 3" xfId="523"/>
    <cellStyle name="Note 2 4 8 3 10" xfId="2782"/>
    <cellStyle name="Note 2 4 8 3 11" xfId="3036"/>
    <cellStyle name="Note 2 4 8 3 12" xfId="3288"/>
    <cellStyle name="Note 2 4 8 3 13" xfId="3538"/>
    <cellStyle name="Note 2 4 8 3 14" xfId="3788"/>
    <cellStyle name="Note 2 4 8 3 15" xfId="4040"/>
    <cellStyle name="Note 2 4 8 3 16" xfId="4290"/>
    <cellStyle name="Note 2 4 8 3 17" xfId="4542"/>
    <cellStyle name="Note 2 4 8 3 18" xfId="4794"/>
    <cellStyle name="Note 2 4 8 3 2" xfId="776"/>
    <cellStyle name="Note 2 4 8 3 3" xfId="1028"/>
    <cellStyle name="Note 2 4 8 3 4" xfId="1279"/>
    <cellStyle name="Note 2 4 8 3 5" xfId="1529"/>
    <cellStyle name="Note 2 4 8 3 6" xfId="1779"/>
    <cellStyle name="Note 2 4 8 3 7" xfId="2029"/>
    <cellStyle name="Note 2 4 8 3 8" xfId="2279"/>
    <cellStyle name="Note 2 4 8 3 9" xfId="2531"/>
    <cellStyle name="Note 2 4 8 4" xfId="421"/>
    <cellStyle name="Note 2 4 8 4 10" xfId="2680"/>
    <cellStyle name="Note 2 4 8 4 11" xfId="2934"/>
    <cellStyle name="Note 2 4 8 4 12" xfId="3186"/>
    <cellStyle name="Note 2 4 8 4 13" xfId="3436"/>
    <cellStyle name="Note 2 4 8 4 14" xfId="3686"/>
    <cellStyle name="Note 2 4 8 4 15" xfId="3938"/>
    <cellStyle name="Note 2 4 8 4 16" xfId="4188"/>
    <cellStyle name="Note 2 4 8 4 17" xfId="4440"/>
    <cellStyle name="Note 2 4 8 4 18" xfId="4692"/>
    <cellStyle name="Note 2 4 8 4 2" xfId="674"/>
    <cellStyle name="Note 2 4 8 4 3" xfId="926"/>
    <cellStyle name="Note 2 4 8 4 4" xfId="1177"/>
    <cellStyle name="Note 2 4 8 4 5" xfId="1427"/>
    <cellStyle name="Note 2 4 8 4 6" xfId="1677"/>
    <cellStyle name="Note 2 4 8 4 7" xfId="1927"/>
    <cellStyle name="Note 2 4 8 4 8" xfId="2177"/>
    <cellStyle name="Note 2 4 8 4 9" xfId="2429"/>
    <cellStyle name="Note 2 4 8 5" xfId="318"/>
    <cellStyle name="Note 2 4 8 6" xfId="572"/>
    <cellStyle name="Note 2 4 8 7" xfId="824"/>
    <cellStyle name="Note 2 4 8 8" xfId="1075"/>
    <cellStyle name="Note 2 4 8 9" xfId="1325"/>
    <cellStyle name="Note 2 4 9" xfId="464"/>
    <cellStyle name="Note 2 4 9 10" xfId="2723"/>
    <cellStyle name="Note 2 4 9 11" xfId="2977"/>
    <cellStyle name="Note 2 4 9 12" xfId="3229"/>
    <cellStyle name="Note 2 4 9 13" xfId="3479"/>
    <cellStyle name="Note 2 4 9 14" xfId="3729"/>
    <cellStyle name="Note 2 4 9 15" xfId="3981"/>
    <cellStyle name="Note 2 4 9 16" xfId="4231"/>
    <cellStyle name="Note 2 4 9 17" xfId="4483"/>
    <cellStyle name="Note 2 4 9 18" xfId="4735"/>
    <cellStyle name="Note 2 4 9 2" xfId="717"/>
    <cellStyle name="Note 2 4 9 3" xfId="969"/>
    <cellStyle name="Note 2 4 9 4" xfId="1220"/>
    <cellStyle name="Note 2 4 9 5" xfId="1470"/>
    <cellStyle name="Note 2 4 9 6" xfId="1720"/>
    <cellStyle name="Note 2 4 9 7" xfId="1970"/>
    <cellStyle name="Note 2 4 9 8" xfId="2220"/>
    <cellStyle name="Note 2 4 9 9" xfId="2472"/>
    <cellStyle name="Note 2 5" xfId="232"/>
    <cellStyle name="Note 2 5 10" xfId="1569"/>
    <cellStyle name="Note 2 5 11" xfId="1819"/>
    <cellStyle name="Note 2 5 12" xfId="2069"/>
    <cellStyle name="Note 2 5 13" xfId="2321"/>
    <cellStyle name="Note 2 5 14" xfId="2571"/>
    <cellStyle name="Note 2 5 15" xfId="2825"/>
    <cellStyle name="Note 2 5 16" xfId="3078"/>
    <cellStyle name="Note 2 5 17" xfId="3328"/>
    <cellStyle name="Note 2 5 18" xfId="3578"/>
    <cellStyle name="Note 2 5 19" xfId="3830"/>
    <cellStyle name="Note 2 5 2" xfId="361"/>
    <cellStyle name="Note 2 5 2 10" xfId="2369"/>
    <cellStyle name="Note 2 5 2 11" xfId="2620"/>
    <cellStyle name="Note 2 5 2 12" xfId="2874"/>
    <cellStyle name="Note 2 5 2 13" xfId="3126"/>
    <cellStyle name="Note 2 5 2 14" xfId="3376"/>
    <cellStyle name="Note 2 5 2 15" xfId="3626"/>
    <cellStyle name="Note 2 5 2 16" xfId="3878"/>
    <cellStyle name="Note 2 5 2 17" xfId="4128"/>
    <cellStyle name="Note 2 5 2 18" xfId="4380"/>
    <cellStyle name="Note 2 5 2 19" xfId="4632"/>
    <cellStyle name="Note 2 5 2 2" xfId="469"/>
    <cellStyle name="Note 2 5 2 2 10" xfId="2728"/>
    <cellStyle name="Note 2 5 2 2 11" xfId="2982"/>
    <cellStyle name="Note 2 5 2 2 12" xfId="3234"/>
    <cellStyle name="Note 2 5 2 2 13" xfId="3484"/>
    <cellStyle name="Note 2 5 2 2 14" xfId="3734"/>
    <cellStyle name="Note 2 5 2 2 15" xfId="3986"/>
    <cellStyle name="Note 2 5 2 2 16" xfId="4236"/>
    <cellStyle name="Note 2 5 2 2 17" xfId="4488"/>
    <cellStyle name="Note 2 5 2 2 18" xfId="4740"/>
    <cellStyle name="Note 2 5 2 2 2" xfId="722"/>
    <cellStyle name="Note 2 5 2 2 3" xfId="974"/>
    <cellStyle name="Note 2 5 2 2 4" xfId="1225"/>
    <cellStyle name="Note 2 5 2 2 5" xfId="1475"/>
    <cellStyle name="Note 2 5 2 2 6" xfId="1725"/>
    <cellStyle name="Note 2 5 2 2 7" xfId="1975"/>
    <cellStyle name="Note 2 5 2 2 8" xfId="2225"/>
    <cellStyle name="Note 2 5 2 2 9" xfId="2477"/>
    <cellStyle name="Note 2 5 2 3" xfId="614"/>
    <cellStyle name="Note 2 5 2 4" xfId="866"/>
    <cellStyle name="Note 2 5 2 5" xfId="1117"/>
    <cellStyle name="Note 2 5 2 6" xfId="1367"/>
    <cellStyle name="Note 2 5 2 7" xfId="1617"/>
    <cellStyle name="Note 2 5 2 8" xfId="1867"/>
    <cellStyle name="Note 2 5 2 9" xfId="2117"/>
    <cellStyle name="Note 2 5 20" xfId="4080"/>
    <cellStyle name="Note 2 5 21" xfId="4332"/>
    <cellStyle name="Note 2 5 22" xfId="4584"/>
    <cellStyle name="Note 2 5 3" xfId="517"/>
    <cellStyle name="Note 2 5 3 10" xfId="2776"/>
    <cellStyle name="Note 2 5 3 11" xfId="3030"/>
    <cellStyle name="Note 2 5 3 12" xfId="3282"/>
    <cellStyle name="Note 2 5 3 13" xfId="3532"/>
    <cellStyle name="Note 2 5 3 14" xfId="3782"/>
    <cellStyle name="Note 2 5 3 15" xfId="4034"/>
    <cellStyle name="Note 2 5 3 16" xfId="4284"/>
    <cellStyle name="Note 2 5 3 17" xfId="4536"/>
    <cellStyle name="Note 2 5 3 18" xfId="4788"/>
    <cellStyle name="Note 2 5 3 2" xfId="770"/>
    <cellStyle name="Note 2 5 3 3" xfId="1022"/>
    <cellStyle name="Note 2 5 3 4" xfId="1273"/>
    <cellStyle name="Note 2 5 3 5" xfId="1523"/>
    <cellStyle name="Note 2 5 3 6" xfId="1773"/>
    <cellStyle name="Note 2 5 3 7" xfId="2023"/>
    <cellStyle name="Note 2 5 3 8" xfId="2273"/>
    <cellStyle name="Note 2 5 3 9" xfId="2525"/>
    <cellStyle name="Note 2 5 4" xfId="415"/>
    <cellStyle name="Note 2 5 4 10" xfId="2674"/>
    <cellStyle name="Note 2 5 4 11" xfId="2928"/>
    <cellStyle name="Note 2 5 4 12" xfId="3180"/>
    <cellStyle name="Note 2 5 4 13" xfId="3430"/>
    <cellStyle name="Note 2 5 4 14" xfId="3680"/>
    <cellStyle name="Note 2 5 4 15" xfId="3932"/>
    <cellStyle name="Note 2 5 4 16" xfId="4182"/>
    <cellStyle name="Note 2 5 4 17" xfId="4434"/>
    <cellStyle name="Note 2 5 4 18" xfId="4686"/>
    <cellStyle name="Note 2 5 4 2" xfId="668"/>
    <cellStyle name="Note 2 5 4 3" xfId="920"/>
    <cellStyle name="Note 2 5 4 4" xfId="1171"/>
    <cellStyle name="Note 2 5 4 5" xfId="1421"/>
    <cellStyle name="Note 2 5 4 6" xfId="1671"/>
    <cellStyle name="Note 2 5 4 7" xfId="1921"/>
    <cellStyle name="Note 2 5 4 8" xfId="2171"/>
    <cellStyle name="Note 2 5 4 9" xfId="2423"/>
    <cellStyle name="Note 2 5 5" xfId="312"/>
    <cellStyle name="Note 2 5 6" xfId="566"/>
    <cellStyle name="Note 2 5 7" xfId="818"/>
    <cellStyle name="Note 2 5 8" xfId="1068"/>
    <cellStyle name="Note 2 5 9" xfId="1319"/>
    <cellStyle name="Note 2 6" xfId="308"/>
    <cellStyle name="Note 2 7" xfId="280"/>
    <cellStyle name="Note 3" xfId="211"/>
    <cellStyle name="Output" xfId="146" builtinId="21" customBuiltin="1"/>
    <cellStyle name="Output 2" xfId="119"/>
    <cellStyle name="Output 2 2" xfId="226"/>
    <cellStyle name="Output 2 2 10" xfId="409"/>
    <cellStyle name="Output 2 2 10 10" xfId="2668"/>
    <cellStyle name="Output 2 2 10 11" xfId="2922"/>
    <cellStyle name="Output 2 2 10 12" xfId="3174"/>
    <cellStyle name="Output 2 2 10 13" xfId="3424"/>
    <cellStyle name="Output 2 2 10 14" xfId="3674"/>
    <cellStyle name="Output 2 2 10 15" xfId="3926"/>
    <cellStyle name="Output 2 2 10 16" xfId="4176"/>
    <cellStyle name="Output 2 2 10 17" xfId="4428"/>
    <cellStyle name="Output 2 2 10 18" xfId="4680"/>
    <cellStyle name="Output 2 2 10 2" xfId="662"/>
    <cellStyle name="Output 2 2 10 3" xfId="914"/>
    <cellStyle name="Output 2 2 10 4" xfId="1165"/>
    <cellStyle name="Output 2 2 10 5" xfId="1415"/>
    <cellStyle name="Output 2 2 10 6" xfId="1665"/>
    <cellStyle name="Output 2 2 10 7" xfId="1915"/>
    <cellStyle name="Output 2 2 10 8" xfId="2165"/>
    <cellStyle name="Output 2 2 10 9" xfId="2417"/>
    <cellStyle name="Output 2 2 11" xfId="281"/>
    <cellStyle name="Output 2 2 2" xfId="267"/>
    <cellStyle name="Output 2 2 2 10" xfId="1603"/>
    <cellStyle name="Output 2 2 2 11" xfId="1853"/>
    <cellStyle name="Output 2 2 2 12" xfId="2103"/>
    <cellStyle name="Output 2 2 2 13" xfId="2355"/>
    <cellStyle name="Output 2 2 2 14" xfId="2605"/>
    <cellStyle name="Output 2 2 2 15" xfId="2859"/>
    <cellStyle name="Output 2 2 2 16" xfId="3112"/>
    <cellStyle name="Output 2 2 2 17" xfId="3362"/>
    <cellStyle name="Output 2 2 2 18" xfId="3612"/>
    <cellStyle name="Output 2 2 2 19" xfId="3864"/>
    <cellStyle name="Output 2 2 2 2" xfId="395"/>
    <cellStyle name="Output 2 2 2 2 10" xfId="2403"/>
    <cellStyle name="Output 2 2 2 2 11" xfId="2654"/>
    <cellStyle name="Output 2 2 2 2 12" xfId="2908"/>
    <cellStyle name="Output 2 2 2 2 13" xfId="3160"/>
    <cellStyle name="Output 2 2 2 2 14" xfId="3410"/>
    <cellStyle name="Output 2 2 2 2 15" xfId="3660"/>
    <cellStyle name="Output 2 2 2 2 16" xfId="3912"/>
    <cellStyle name="Output 2 2 2 2 17" xfId="4162"/>
    <cellStyle name="Output 2 2 2 2 18" xfId="4414"/>
    <cellStyle name="Output 2 2 2 2 19" xfId="4666"/>
    <cellStyle name="Output 2 2 2 2 2" xfId="503"/>
    <cellStyle name="Output 2 2 2 2 2 10" xfId="2762"/>
    <cellStyle name="Output 2 2 2 2 2 11" xfId="3016"/>
    <cellStyle name="Output 2 2 2 2 2 12" xfId="3268"/>
    <cellStyle name="Output 2 2 2 2 2 13" xfId="3518"/>
    <cellStyle name="Output 2 2 2 2 2 14" xfId="3768"/>
    <cellStyle name="Output 2 2 2 2 2 15" xfId="4020"/>
    <cellStyle name="Output 2 2 2 2 2 16" xfId="4270"/>
    <cellStyle name="Output 2 2 2 2 2 17" xfId="4522"/>
    <cellStyle name="Output 2 2 2 2 2 18" xfId="4774"/>
    <cellStyle name="Output 2 2 2 2 2 2" xfId="756"/>
    <cellStyle name="Output 2 2 2 2 2 3" xfId="1008"/>
    <cellStyle name="Output 2 2 2 2 2 4" xfId="1259"/>
    <cellStyle name="Output 2 2 2 2 2 5" xfId="1509"/>
    <cellStyle name="Output 2 2 2 2 2 6" xfId="1759"/>
    <cellStyle name="Output 2 2 2 2 2 7" xfId="2009"/>
    <cellStyle name="Output 2 2 2 2 2 8" xfId="2259"/>
    <cellStyle name="Output 2 2 2 2 2 9" xfId="2511"/>
    <cellStyle name="Output 2 2 2 2 3" xfId="648"/>
    <cellStyle name="Output 2 2 2 2 4" xfId="900"/>
    <cellStyle name="Output 2 2 2 2 5" xfId="1151"/>
    <cellStyle name="Output 2 2 2 2 6" xfId="1401"/>
    <cellStyle name="Output 2 2 2 2 7" xfId="1651"/>
    <cellStyle name="Output 2 2 2 2 8" xfId="1901"/>
    <cellStyle name="Output 2 2 2 2 9" xfId="2151"/>
    <cellStyle name="Output 2 2 2 20" xfId="4114"/>
    <cellStyle name="Output 2 2 2 21" xfId="4366"/>
    <cellStyle name="Output 2 2 2 22" xfId="4618"/>
    <cellStyle name="Output 2 2 2 3" xfId="551"/>
    <cellStyle name="Output 2 2 2 3 10" xfId="2810"/>
    <cellStyle name="Output 2 2 2 3 11" xfId="3064"/>
    <cellStyle name="Output 2 2 2 3 12" xfId="3316"/>
    <cellStyle name="Output 2 2 2 3 13" xfId="3566"/>
    <cellStyle name="Output 2 2 2 3 14" xfId="3816"/>
    <cellStyle name="Output 2 2 2 3 15" xfId="4068"/>
    <cellStyle name="Output 2 2 2 3 16" xfId="4318"/>
    <cellStyle name="Output 2 2 2 3 17" xfId="4570"/>
    <cellStyle name="Output 2 2 2 3 18" xfId="4822"/>
    <cellStyle name="Output 2 2 2 3 2" xfId="804"/>
    <cellStyle name="Output 2 2 2 3 3" xfId="1056"/>
    <cellStyle name="Output 2 2 2 3 4" xfId="1307"/>
    <cellStyle name="Output 2 2 2 3 5" xfId="1557"/>
    <cellStyle name="Output 2 2 2 3 6" xfId="1807"/>
    <cellStyle name="Output 2 2 2 3 7" xfId="2057"/>
    <cellStyle name="Output 2 2 2 3 8" xfId="2307"/>
    <cellStyle name="Output 2 2 2 3 9" xfId="2559"/>
    <cellStyle name="Output 2 2 2 4" xfId="449"/>
    <cellStyle name="Output 2 2 2 4 10" xfId="2708"/>
    <cellStyle name="Output 2 2 2 4 11" xfId="2962"/>
    <cellStyle name="Output 2 2 2 4 12" xfId="3214"/>
    <cellStyle name="Output 2 2 2 4 13" xfId="3464"/>
    <cellStyle name="Output 2 2 2 4 14" xfId="3714"/>
    <cellStyle name="Output 2 2 2 4 15" xfId="3966"/>
    <cellStyle name="Output 2 2 2 4 16" xfId="4216"/>
    <cellStyle name="Output 2 2 2 4 17" xfId="4468"/>
    <cellStyle name="Output 2 2 2 4 18" xfId="4720"/>
    <cellStyle name="Output 2 2 2 4 2" xfId="702"/>
    <cellStyle name="Output 2 2 2 4 3" xfId="954"/>
    <cellStyle name="Output 2 2 2 4 4" xfId="1205"/>
    <cellStyle name="Output 2 2 2 4 5" xfId="1455"/>
    <cellStyle name="Output 2 2 2 4 6" xfId="1705"/>
    <cellStyle name="Output 2 2 2 4 7" xfId="1955"/>
    <cellStyle name="Output 2 2 2 4 8" xfId="2205"/>
    <cellStyle name="Output 2 2 2 4 9" xfId="2457"/>
    <cellStyle name="Output 2 2 2 5" xfId="346"/>
    <cellStyle name="Output 2 2 2 6" xfId="600"/>
    <cellStyle name="Output 2 2 2 7" xfId="852"/>
    <cellStyle name="Output 2 2 2 8" xfId="1103"/>
    <cellStyle name="Output 2 2 2 9" xfId="1353"/>
    <cellStyle name="Output 2 2 3" xfId="254"/>
    <cellStyle name="Output 2 2 3 10" xfId="1590"/>
    <cellStyle name="Output 2 2 3 11" xfId="1840"/>
    <cellStyle name="Output 2 2 3 12" xfId="2090"/>
    <cellStyle name="Output 2 2 3 13" xfId="2342"/>
    <cellStyle name="Output 2 2 3 14" xfId="2592"/>
    <cellStyle name="Output 2 2 3 15" xfId="2846"/>
    <cellStyle name="Output 2 2 3 16" xfId="3099"/>
    <cellStyle name="Output 2 2 3 17" xfId="3349"/>
    <cellStyle name="Output 2 2 3 18" xfId="3599"/>
    <cellStyle name="Output 2 2 3 19" xfId="3851"/>
    <cellStyle name="Output 2 2 3 2" xfId="382"/>
    <cellStyle name="Output 2 2 3 2 10" xfId="2390"/>
    <cellStyle name="Output 2 2 3 2 11" xfId="2641"/>
    <cellStyle name="Output 2 2 3 2 12" xfId="2895"/>
    <cellStyle name="Output 2 2 3 2 13" xfId="3147"/>
    <cellStyle name="Output 2 2 3 2 14" xfId="3397"/>
    <cellStyle name="Output 2 2 3 2 15" xfId="3647"/>
    <cellStyle name="Output 2 2 3 2 16" xfId="3899"/>
    <cellStyle name="Output 2 2 3 2 17" xfId="4149"/>
    <cellStyle name="Output 2 2 3 2 18" xfId="4401"/>
    <cellStyle name="Output 2 2 3 2 19" xfId="4653"/>
    <cellStyle name="Output 2 2 3 2 2" xfId="490"/>
    <cellStyle name="Output 2 2 3 2 2 10" xfId="2749"/>
    <cellStyle name="Output 2 2 3 2 2 11" xfId="3003"/>
    <cellStyle name="Output 2 2 3 2 2 12" xfId="3255"/>
    <cellStyle name="Output 2 2 3 2 2 13" xfId="3505"/>
    <cellStyle name="Output 2 2 3 2 2 14" xfId="3755"/>
    <cellStyle name="Output 2 2 3 2 2 15" xfId="4007"/>
    <cellStyle name="Output 2 2 3 2 2 16" xfId="4257"/>
    <cellStyle name="Output 2 2 3 2 2 17" xfId="4509"/>
    <cellStyle name="Output 2 2 3 2 2 18" xfId="4761"/>
    <cellStyle name="Output 2 2 3 2 2 2" xfId="743"/>
    <cellStyle name="Output 2 2 3 2 2 3" xfId="995"/>
    <cellStyle name="Output 2 2 3 2 2 4" xfId="1246"/>
    <cellStyle name="Output 2 2 3 2 2 5" xfId="1496"/>
    <cellStyle name="Output 2 2 3 2 2 6" xfId="1746"/>
    <cellStyle name="Output 2 2 3 2 2 7" xfId="1996"/>
    <cellStyle name="Output 2 2 3 2 2 8" xfId="2246"/>
    <cellStyle name="Output 2 2 3 2 2 9" xfId="2498"/>
    <cellStyle name="Output 2 2 3 2 3" xfId="635"/>
    <cellStyle name="Output 2 2 3 2 4" xfId="887"/>
    <cellStyle name="Output 2 2 3 2 5" xfId="1138"/>
    <cellStyle name="Output 2 2 3 2 6" xfId="1388"/>
    <cellStyle name="Output 2 2 3 2 7" xfId="1638"/>
    <cellStyle name="Output 2 2 3 2 8" xfId="1888"/>
    <cellStyle name="Output 2 2 3 2 9" xfId="2138"/>
    <cellStyle name="Output 2 2 3 20" xfId="4101"/>
    <cellStyle name="Output 2 2 3 21" xfId="4353"/>
    <cellStyle name="Output 2 2 3 22" xfId="4605"/>
    <cellStyle name="Output 2 2 3 3" xfId="538"/>
    <cellStyle name="Output 2 2 3 3 10" xfId="2797"/>
    <cellStyle name="Output 2 2 3 3 11" xfId="3051"/>
    <cellStyle name="Output 2 2 3 3 12" xfId="3303"/>
    <cellStyle name="Output 2 2 3 3 13" xfId="3553"/>
    <cellStyle name="Output 2 2 3 3 14" xfId="3803"/>
    <cellStyle name="Output 2 2 3 3 15" xfId="4055"/>
    <cellStyle name="Output 2 2 3 3 16" xfId="4305"/>
    <cellStyle name="Output 2 2 3 3 17" xfId="4557"/>
    <cellStyle name="Output 2 2 3 3 18" xfId="4809"/>
    <cellStyle name="Output 2 2 3 3 2" xfId="791"/>
    <cellStyle name="Output 2 2 3 3 3" xfId="1043"/>
    <cellStyle name="Output 2 2 3 3 4" xfId="1294"/>
    <cellStyle name="Output 2 2 3 3 5" xfId="1544"/>
    <cellStyle name="Output 2 2 3 3 6" xfId="1794"/>
    <cellStyle name="Output 2 2 3 3 7" xfId="2044"/>
    <cellStyle name="Output 2 2 3 3 8" xfId="2294"/>
    <cellStyle name="Output 2 2 3 3 9" xfId="2546"/>
    <cellStyle name="Output 2 2 3 4" xfId="436"/>
    <cellStyle name="Output 2 2 3 4 10" xfId="2695"/>
    <cellStyle name="Output 2 2 3 4 11" xfId="2949"/>
    <cellStyle name="Output 2 2 3 4 12" xfId="3201"/>
    <cellStyle name="Output 2 2 3 4 13" xfId="3451"/>
    <cellStyle name="Output 2 2 3 4 14" xfId="3701"/>
    <cellStyle name="Output 2 2 3 4 15" xfId="3953"/>
    <cellStyle name="Output 2 2 3 4 16" xfId="4203"/>
    <cellStyle name="Output 2 2 3 4 17" xfId="4455"/>
    <cellStyle name="Output 2 2 3 4 18" xfId="4707"/>
    <cellStyle name="Output 2 2 3 4 2" xfId="689"/>
    <cellStyle name="Output 2 2 3 4 3" xfId="941"/>
    <cellStyle name="Output 2 2 3 4 4" xfId="1192"/>
    <cellStyle name="Output 2 2 3 4 5" xfId="1442"/>
    <cellStyle name="Output 2 2 3 4 6" xfId="1692"/>
    <cellStyle name="Output 2 2 3 4 7" xfId="1942"/>
    <cellStyle name="Output 2 2 3 4 8" xfId="2192"/>
    <cellStyle name="Output 2 2 3 4 9" xfId="2444"/>
    <cellStyle name="Output 2 2 3 5" xfId="333"/>
    <cellStyle name="Output 2 2 3 6" xfId="587"/>
    <cellStyle name="Output 2 2 3 7" xfId="839"/>
    <cellStyle name="Output 2 2 3 8" xfId="1090"/>
    <cellStyle name="Output 2 2 3 9" xfId="1340"/>
    <cellStyle name="Output 2 2 4" xfId="248"/>
    <cellStyle name="Output 2 2 4 10" xfId="1584"/>
    <cellStyle name="Output 2 2 4 11" xfId="1834"/>
    <cellStyle name="Output 2 2 4 12" xfId="2084"/>
    <cellStyle name="Output 2 2 4 13" xfId="2336"/>
    <cellStyle name="Output 2 2 4 14" xfId="2586"/>
    <cellStyle name="Output 2 2 4 15" xfId="2840"/>
    <cellStyle name="Output 2 2 4 16" xfId="3093"/>
    <cellStyle name="Output 2 2 4 17" xfId="3343"/>
    <cellStyle name="Output 2 2 4 18" xfId="3593"/>
    <cellStyle name="Output 2 2 4 19" xfId="3845"/>
    <cellStyle name="Output 2 2 4 2" xfId="376"/>
    <cellStyle name="Output 2 2 4 2 10" xfId="2384"/>
    <cellStyle name="Output 2 2 4 2 11" xfId="2635"/>
    <cellStyle name="Output 2 2 4 2 12" xfId="2889"/>
    <cellStyle name="Output 2 2 4 2 13" xfId="3141"/>
    <cellStyle name="Output 2 2 4 2 14" xfId="3391"/>
    <cellStyle name="Output 2 2 4 2 15" xfId="3641"/>
    <cellStyle name="Output 2 2 4 2 16" xfId="3893"/>
    <cellStyle name="Output 2 2 4 2 17" xfId="4143"/>
    <cellStyle name="Output 2 2 4 2 18" xfId="4395"/>
    <cellStyle name="Output 2 2 4 2 19" xfId="4647"/>
    <cellStyle name="Output 2 2 4 2 2" xfId="484"/>
    <cellStyle name="Output 2 2 4 2 2 10" xfId="2743"/>
    <cellStyle name="Output 2 2 4 2 2 11" xfId="2997"/>
    <cellStyle name="Output 2 2 4 2 2 12" xfId="3249"/>
    <cellStyle name="Output 2 2 4 2 2 13" xfId="3499"/>
    <cellStyle name="Output 2 2 4 2 2 14" xfId="3749"/>
    <cellStyle name="Output 2 2 4 2 2 15" xfId="4001"/>
    <cellStyle name="Output 2 2 4 2 2 16" xfId="4251"/>
    <cellStyle name="Output 2 2 4 2 2 17" xfId="4503"/>
    <cellStyle name="Output 2 2 4 2 2 18" xfId="4755"/>
    <cellStyle name="Output 2 2 4 2 2 2" xfId="737"/>
    <cellStyle name="Output 2 2 4 2 2 3" xfId="989"/>
    <cellStyle name="Output 2 2 4 2 2 4" xfId="1240"/>
    <cellStyle name="Output 2 2 4 2 2 5" xfId="1490"/>
    <cellStyle name="Output 2 2 4 2 2 6" xfId="1740"/>
    <cellStyle name="Output 2 2 4 2 2 7" xfId="1990"/>
    <cellStyle name="Output 2 2 4 2 2 8" xfId="2240"/>
    <cellStyle name="Output 2 2 4 2 2 9" xfId="2492"/>
    <cellStyle name="Output 2 2 4 2 3" xfId="629"/>
    <cellStyle name="Output 2 2 4 2 4" xfId="881"/>
    <cellStyle name="Output 2 2 4 2 5" xfId="1132"/>
    <cellStyle name="Output 2 2 4 2 6" xfId="1382"/>
    <cellStyle name="Output 2 2 4 2 7" xfId="1632"/>
    <cellStyle name="Output 2 2 4 2 8" xfId="1882"/>
    <cellStyle name="Output 2 2 4 2 9" xfId="2132"/>
    <cellStyle name="Output 2 2 4 20" xfId="4095"/>
    <cellStyle name="Output 2 2 4 21" xfId="4347"/>
    <cellStyle name="Output 2 2 4 22" xfId="4599"/>
    <cellStyle name="Output 2 2 4 3" xfId="532"/>
    <cellStyle name="Output 2 2 4 3 10" xfId="2791"/>
    <cellStyle name="Output 2 2 4 3 11" xfId="3045"/>
    <cellStyle name="Output 2 2 4 3 12" xfId="3297"/>
    <cellStyle name="Output 2 2 4 3 13" xfId="3547"/>
    <cellStyle name="Output 2 2 4 3 14" xfId="3797"/>
    <cellStyle name="Output 2 2 4 3 15" xfId="4049"/>
    <cellStyle name="Output 2 2 4 3 16" xfId="4299"/>
    <cellStyle name="Output 2 2 4 3 17" xfId="4551"/>
    <cellStyle name="Output 2 2 4 3 18" xfId="4803"/>
    <cellStyle name="Output 2 2 4 3 2" xfId="785"/>
    <cellStyle name="Output 2 2 4 3 3" xfId="1037"/>
    <cellStyle name="Output 2 2 4 3 4" xfId="1288"/>
    <cellStyle name="Output 2 2 4 3 5" xfId="1538"/>
    <cellStyle name="Output 2 2 4 3 6" xfId="1788"/>
    <cellStyle name="Output 2 2 4 3 7" xfId="2038"/>
    <cellStyle name="Output 2 2 4 3 8" xfId="2288"/>
    <cellStyle name="Output 2 2 4 3 9" xfId="2540"/>
    <cellStyle name="Output 2 2 4 4" xfId="430"/>
    <cellStyle name="Output 2 2 4 4 10" xfId="2689"/>
    <cellStyle name="Output 2 2 4 4 11" xfId="2943"/>
    <cellStyle name="Output 2 2 4 4 12" xfId="3195"/>
    <cellStyle name="Output 2 2 4 4 13" xfId="3445"/>
    <cellStyle name="Output 2 2 4 4 14" xfId="3695"/>
    <cellStyle name="Output 2 2 4 4 15" xfId="3947"/>
    <cellStyle name="Output 2 2 4 4 16" xfId="4197"/>
    <cellStyle name="Output 2 2 4 4 17" xfId="4449"/>
    <cellStyle name="Output 2 2 4 4 18" xfId="4701"/>
    <cellStyle name="Output 2 2 4 4 2" xfId="683"/>
    <cellStyle name="Output 2 2 4 4 3" xfId="935"/>
    <cellStyle name="Output 2 2 4 4 4" xfId="1186"/>
    <cellStyle name="Output 2 2 4 4 5" xfId="1436"/>
    <cellStyle name="Output 2 2 4 4 6" xfId="1686"/>
    <cellStyle name="Output 2 2 4 4 7" xfId="1936"/>
    <cellStyle name="Output 2 2 4 4 8" xfId="2186"/>
    <cellStyle name="Output 2 2 4 4 9" xfId="2438"/>
    <cellStyle name="Output 2 2 4 5" xfId="327"/>
    <cellStyle name="Output 2 2 4 6" xfId="581"/>
    <cellStyle name="Output 2 2 4 7" xfId="833"/>
    <cellStyle name="Output 2 2 4 8" xfId="1084"/>
    <cellStyle name="Output 2 2 4 9" xfId="1334"/>
    <cellStyle name="Output 2 2 5" xfId="264"/>
    <cellStyle name="Output 2 2 5 10" xfId="1600"/>
    <cellStyle name="Output 2 2 5 11" xfId="1850"/>
    <cellStyle name="Output 2 2 5 12" xfId="2100"/>
    <cellStyle name="Output 2 2 5 13" xfId="2352"/>
    <cellStyle name="Output 2 2 5 14" xfId="2602"/>
    <cellStyle name="Output 2 2 5 15" xfId="2856"/>
    <cellStyle name="Output 2 2 5 16" xfId="3109"/>
    <cellStyle name="Output 2 2 5 17" xfId="3359"/>
    <cellStyle name="Output 2 2 5 18" xfId="3609"/>
    <cellStyle name="Output 2 2 5 19" xfId="3861"/>
    <cellStyle name="Output 2 2 5 2" xfId="392"/>
    <cellStyle name="Output 2 2 5 2 10" xfId="2400"/>
    <cellStyle name="Output 2 2 5 2 11" xfId="2651"/>
    <cellStyle name="Output 2 2 5 2 12" xfId="2905"/>
    <cellStyle name="Output 2 2 5 2 13" xfId="3157"/>
    <cellStyle name="Output 2 2 5 2 14" xfId="3407"/>
    <cellStyle name="Output 2 2 5 2 15" xfId="3657"/>
    <cellStyle name="Output 2 2 5 2 16" xfId="3909"/>
    <cellStyle name="Output 2 2 5 2 17" xfId="4159"/>
    <cellStyle name="Output 2 2 5 2 18" xfId="4411"/>
    <cellStyle name="Output 2 2 5 2 19" xfId="4663"/>
    <cellStyle name="Output 2 2 5 2 2" xfId="500"/>
    <cellStyle name="Output 2 2 5 2 2 10" xfId="2759"/>
    <cellStyle name="Output 2 2 5 2 2 11" xfId="3013"/>
    <cellStyle name="Output 2 2 5 2 2 12" xfId="3265"/>
    <cellStyle name="Output 2 2 5 2 2 13" xfId="3515"/>
    <cellStyle name="Output 2 2 5 2 2 14" xfId="3765"/>
    <cellStyle name="Output 2 2 5 2 2 15" xfId="4017"/>
    <cellStyle name="Output 2 2 5 2 2 16" xfId="4267"/>
    <cellStyle name="Output 2 2 5 2 2 17" xfId="4519"/>
    <cellStyle name="Output 2 2 5 2 2 18" xfId="4771"/>
    <cellStyle name="Output 2 2 5 2 2 2" xfId="753"/>
    <cellStyle name="Output 2 2 5 2 2 3" xfId="1005"/>
    <cellStyle name="Output 2 2 5 2 2 4" xfId="1256"/>
    <cellStyle name="Output 2 2 5 2 2 5" xfId="1506"/>
    <cellStyle name="Output 2 2 5 2 2 6" xfId="1756"/>
    <cellStyle name="Output 2 2 5 2 2 7" xfId="2006"/>
    <cellStyle name="Output 2 2 5 2 2 8" xfId="2256"/>
    <cellStyle name="Output 2 2 5 2 2 9" xfId="2508"/>
    <cellStyle name="Output 2 2 5 2 3" xfId="645"/>
    <cellStyle name="Output 2 2 5 2 4" xfId="897"/>
    <cellStyle name="Output 2 2 5 2 5" xfId="1148"/>
    <cellStyle name="Output 2 2 5 2 6" xfId="1398"/>
    <cellStyle name="Output 2 2 5 2 7" xfId="1648"/>
    <cellStyle name="Output 2 2 5 2 8" xfId="1898"/>
    <cellStyle name="Output 2 2 5 2 9" xfId="2148"/>
    <cellStyle name="Output 2 2 5 20" xfId="4111"/>
    <cellStyle name="Output 2 2 5 21" xfId="4363"/>
    <cellStyle name="Output 2 2 5 22" xfId="4615"/>
    <cellStyle name="Output 2 2 5 3" xfId="548"/>
    <cellStyle name="Output 2 2 5 3 10" xfId="2807"/>
    <cellStyle name="Output 2 2 5 3 11" xfId="3061"/>
    <cellStyle name="Output 2 2 5 3 12" xfId="3313"/>
    <cellStyle name="Output 2 2 5 3 13" xfId="3563"/>
    <cellStyle name="Output 2 2 5 3 14" xfId="3813"/>
    <cellStyle name="Output 2 2 5 3 15" xfId="4065"/>
    <cellStyle name="Output 2 2 5 3 16" xfId="4315"/>
    <cellStyle name="Output 2 2 5 3 17" xfId="4567"/>
    <cellStyle name="Output 2 2 5 3 18" xfId="4819"/>
    <cellStyle name="Output 2 2 5 3 2" xfId="801"/>
    <cellStyle name="Output 2 2 5 3 3" xfId="1053"/>
    <cellStyle name="Output 2 2 5 3 4" xfId="1304"/>
    <cellStyle name="Output 2 2 5 3 5" xfId="1554"/>
    <cellStyle name="Output 2 2 5 3 6" xfId="1804"/>
    <cellStyle name="Output 2 2 5 3 7" xfId="2054"/>
    <cellStyle name="Output 2 2 5 3 8" xfId="2304"/>
    <cellStyle name="Output 2 2 5 3 9" xfId="2556"/>
    <cellStyle name="Output 2 2 5 4" xfId="446"/>
    <cellStyle name="Output 2 2 5 4 10" xfId="2705"/>
    <cellStyle name="Output 2 2 5 4 11" xfId="2959"/>
    <cellStyle name="Output 2 2 5 4 12" xfId="3211"/>
    <cellStyle name="Output 2 2 5 4 13" xfId="3461"/>
    <cellStyle name="Output 2 2 5 4 14" xfId="3711"/>
    <cellStyle name="Output 2 2 5 4 15" xfId="3963"/>
    <cellStyle name="Output 2 2 5 4 16" xfId="4213"/>
    <cellStyle name="Output 2 2 5 4 17" xfId="4465"/>
    <cellStyle name="Output 2 2 5 4 18" xfId="4717"/>
    <cellStyle name="Output 2 2 5 4 2" xfId="699"/>
    <cellStyle name="Output 2 2 5 4 3" xfId="951"/>
    <cellStyle name="Output 2 2 5 4 4" xfId="1202"/>
    <cellStyle name="Output 2 2 5 4 5" xfId="1452"/>
    <cellStyle name="Output 2 2 5 4 6" xfId="1702"/>
    <cellStyle name="Output 2 2 5 4 7" xfId="1952"/>
    <cellStyle name="Output 2 2 5 4 8" xfId="2202"/>
    <cellStyle name="Output 2 2 5 4 9" xfId="2454"/>
    <cellStyle name="Output 2 2 5 5" xfId="343"/>
    <cellStyle name="Output 2 2 5 6" xfId="597"/>
    <cellStyle name="Output 2 2 5 7" xfId="849"/>
    <cellStyle name="Output 2 2 5 8" xfId="1100"/>
    <cellStyle name="Output 2 2 5 9" xfId="1350"/>
    <cellStyle name="Output 2 2 6" xfId="275"/>
    <cellStyle name="Output 2 2 6 10" xfId="1611"/>
    <cellStyle name="Output 2 2 6 11" xfId="1861"/>
    <cellStyle name="Output 2 2 6 12" xfId="2111"/>
    <cellStyle name="Output 2 2 6 13" xfId="2363"/>
    <cellStyle name="Output 2 2 6 14" xfId="2613"/>
    <cellStyle name="Output 2 2 6 15" xfId="2867"/>
    <cellStyle name="Output 2 2 6 16" xfId="3120"/>
    <cellStyle name="Output 2 2 6 17" xfId="3370"/>
    <cellStyle name="Output 2 2 6 18" xfId="3620"/>
    <cellStyle name="Output 2 2 6 19" xfId="3872"/>
    <cellStyle name="Output 2 2 6 2" xfId="403"/>
    <cellStyle name="Output 2 2 6 2 10" xfId="2411"/>
    <cellStyle name="Output 2 2 6 2 11" xfId="2662"/>
    <cellStyle name="Output 2 2 6 2 12" xfId="2916"/>
    <cellStyle name="Output 2 2 6 2 13" xfId="3168"/>
    <cellStyle name="Output 2 2 6 2 14" xfId="3418"/>
    <cellStyle name="Output 2 2 6 2 15" xfId="3668"/>
    <cellStyle name="Output 2 2 6 2 16" xfId="3920"/>
    <cellStyle name="Output 2 2 6 2 17" xfId="4170"/>
    <cellStyle name="Output 2 2 6 2 18" xfId="4422"/>
    <cellStyle name="Output 2 2 6 2 19" xfId="4674"/>
    <cellStyle name="Output 2 2 6 2 2" xfId="511"/>
    <cellStyle name="Output 2 2 6 2 2 10" xfId="2770"/>
    <cellStyle name="Output 2 2 6 2 2 11" xfId="3024"/>
    <cellStyle name="Output 2 2 6 2 2 12" xfId="3276"/>
    <cellStyle name="Output 2 2 6 2 2 13" xfId="3526"/>
    <cellStyle name="Output 2 2 6 2 2 14" xfId="3776"/>
    <cellStyle name="Output 2 2 6 2 2 15" xfId="4028"/>
    <cellStyle name="Output 2 2 6 2 2 16" xfId="4278"/>
    <cellStyle name="Output 2 2 6 2 2 17" xfId="4530"/>
    <cellStyle name="Output 2 2 6 2 2 18" xfId="4782"/>
    <cellStyle name="Output 2 2 6 2 2 2" xfId="764"/>
    <cellStyle name="Output 2 2 6 2 2 3" xfId="1016"/>
    <cellStyle name="Output 2 2 6 2 2 4" xfId="1267"/>
    <cellStyle name="Output 2 2 6 2 2 5" xfId="1517"/>
    <cellStyle name="Output 2 2 6 2 2 6" xfId="1767"/>
    <cellStyle name="Output 2 2 6 2 2 7" xfId="2017"/>
    <cellStyle name="Output 2 2 6 2 2 8" xfId="2267"/>
    <cellStyle name="Output 2 2 6 2 2 9" xfId="2519"/>
    <cellStyle name="Output 2 2 6 2 3" xfId="656"/>
    <cellStyle name="Output 2 2 6 2 4" xfId="908"/>
    <cellStyle name="Output 2 2 6 2 5" xfId="1159"/>
    <cellStyle name="Output 2 2 6 2 6" xfId="1409"/>
    <cellStyle name="Output 2 2 6 2 7" xfId="1659"/>
    <cellStyle name="Output 2 2 6 2 8" xfId="1909"/>
    <cellStyle name="Output 2 2 6 2 9" xfId="2159"/>
    <cellStyle name="Output 2 2 6 20" xfId="4122"/>
    <cellStyle name="Output 2 2 6 21" xfId="4374"/>
    <cellStyle name="Output 2 2 6 22" xfId="4626"/>
    <cellStyle name="Output 2 2 6 3" xfId="559"/>
    <cellStyle name="Output 2 2 6 3 10" xfId="2818"/>
    <cellStyle name="Output 2 2 6 3 11" xfId="3072"/>
    <cellStyle name="Output 2 2 6 3 12" xfId="3324"/>
    <cellStyle name="Output 2 2 6 3 13" xfId="3574"/>
    <cellStyle name="Output 2 2 6 3 14" xfId="3824"/>
    <cellStyle name="Output 2 2 6 3 15" xfId="4076"/>
    <cellStyle name="Output 2 2 6 3 16" xfId="4326"/>
    <cellStyle name="Output 2 2 6 3 17" xfId="4578"/>
    <cellStyle name="Output 2 2 6 3 18" xfId="4830"/>
    <cellStyle name="Output 2 2 6 3 2" xfId="812"/>
    <cellStyle name="Output 2 2 6 3 3" xfId="1064"/>
    <cellStyle name="Output 2 2 6 3 4" xfId="1315"/>
    <cellStyle name="Output 2 2 6 3 5" xfId="1565"/>
    <cellStyle name="Output 2 2 6 3 6" xfId="1815"/>
    <cellStyle name="Output 2 2 6 3 7" xfId="2065"/>
    <cellStyle name="Output 2 2 6 3 8" xfId="2315"/>
    <cellStyle name="Output 2 2 6 3 9" xfId="2567"/>
    <cellStyle name="Output 2 2 6 4" xfId="457"/>
    <cellStyle name="Output 2 2 6 4 10" xfId="2716"/>
    <cellStyle name="Output 2 2 6 4 11" xfId="2970"/>
    <cellStyle name="Output 2 2 6 4 12" xfId="3222"/>
    <cellStyle name="Output 2 2 6 4 13" xfId="3472"/>
    <cellStyle name="Output 2 2 6 4 14" xfId="3722"/>
    <cellStyle name="Output 2 2 6 4 15" xfId="3974"/>
    <cellStyle name="Output 2 2 6 4 16" xfId="4224"/>
    <cellStyle name="Output 2 2 6 4 17" xfId="4476"/>
    <cellStyle name="Output 2 2 6 4 18" xfId="4728"/>
    <cellStyle name="Output 2 2 6 4 2" xfId="710"/>
    <cellStyle name="Output 2 2 6 4 3" xfId="962"/>
    <cellStyle name="Output 2 2 6 4 4" xfId="1213"/>
    <cellStyle name="Output 2 2 6 4 5" xfId="1463"/>
    <cellStyle name="Output 2 2 6 4 6" xfId="1713"/>
    <cellStyle name="Output 2 2 6 4 7" xfId="1963"/>
    <cellStyle name="Output 2 2 6 4 8" xfId="2213"/>
    <cellStyle name="Output 2 2 6 4 9" xfId="2465"/>
    <cellStyle name="Output 2 2 6 5" xfId="354"/>
    <cellStyle name="Output 2 2 6 6" xfId="608"/>
    <cellStyle name="Output 2 2 6 7" xfId="860"/>
    <cellStyle name="Output 2 2 6 8" xfId="1111"/>
    <cellStyle name="Output 2 2 6 9" xfId="1361"/>
    <cellStyle name="Output 2 2 7" xfId="258"/>
    <cellStyle name="Output 2 2 7 10" xfId="1594"/>
    <cellStyle name="Output 2 2 7 11" xfId="1844"/>
    <cellStyle name="Output 2 2 7 12" xfId="2094"/>
    <cellStyle name="Output 2 2 7 13" xfId="2346"/>
    <cellStyle name="Output 2 2 7 14" xfId="2596"/>
    <cellStyle name="Output 2 2 7 15" xfId="2850"/>
    <cellStyle name="Output 2 2 7 16" xfId="3103"/>
    <cellStyle name="Output 2 2 7 17" xfId="3353"/>
    <cellStyle name="Output 2 2 7 18" xfId="3603"/>
    <cellStyle name="Output 2 2 7 19" xfId="3855"/>
    <cellStyle name="Output 2 2 7 2" xfId="386"/>
    <cellStyle name="Output 2 2 7 2 10" xfId="2394"/>
    <cellStyle name="Output 2 2 7 2 11" xfId="2645"/>
    <cellStyle name="Output 2 2 7 2 12" xfId="2899"/>
    <cellStyle name="Output 2 2 7 2 13" xfId="3151"/>
    <cellStyle name="Output 2 2 7 2 14" xfId="3401"/>
    <cellStyle name="Output 2 2 7 2 15" xfId="3651"/>
    <cellStyle name="Output 2 2 7 2 16" xfId="3903"/>
    <cellStyle name="Output 2 2 7 2 17" xfId="4153"/>
    <cellStyle name="Output 2 2 7 2 18" xfId="4405"/>
    <cellStyle name="Output 2 2 7 2 19" xfId="4657"/>
    <cellStyle name="Output 2 2 7 2 2" xfId="494"/>
    <cellStyle name="Output 2 2 7 2 2 10" xfId="2753"/>
    <cellStyle name="Output 2 2 7 2 2 11" xfId="3007"/>
    <cellStyle name="Output 2 2 7 2 2 12" xfId="3259"/>
    <cellStyle name="Output 2 2 7 2 2 13" xfId="3509"/>
    <cellStyle name="Output 2 2 7 2 2 14" xfId="3759"/>
    <cellStyle name="Output 2 2 7 2 2 15" xfId="4011"/>
    <cellStyle name="Output 2 2 7 2 2 16" xfId="4261"/>
    <cellStyle name="Output 2 2 7 2 2 17" xfId="4513"/>
    <cellStyle name="Output 2 2 7 2 2 18" xfId="4765"/>
    <cellStyle name="Output 2 2 7 2 2 2" xfId="747"/>
    <cellStyle name="Output 2 2 7 2 2 3" xfId="999"/>
    <cellStyle name="Output 2 2 7 2 2 4" xfId="1250"/>
    <cellStyle name="Output 2 2 7 2 2 5" xfId="1500"/>
    <cellStyle name="Output 2 2 7 2 2 6" xfId="1750"/>
    <cellStyle name="Output 2 2 7 2 2 7" xfId="2000"/>
    <cellStyle name="Output 2 2 7 2 2 8" xfId="2250"/>
    <cellStyle name="Output 2 2 7 2 2 9" xfId="2502"/>
    <cellStyle name="Output 2 2 7 2 3" xfId="639"/>
    <cellStyle name="Output 2 2 7 2 4" xfId="891"/>
    <cellStyle name="Output 2 2 7 2 5" xfId="1142"/>
    <cellStyle name="Output 2 2 7 2 6" xfId="1392"/>
    <cellStyle name="Output 2 2 7 2 7" xfId="1642"/>
    <cellStyle name="Output 2 2 7 2 8" xfId="1892"/>
    <cellStyle name="Output 2 2 7 2 9" xfId="2142"/>
    <cellStyle name="Output 2 2 7 20" xfId="4105"/>
    <cellStyle name="Output 2 2 7 21" xfId="4357"/>
    <cellStyle name="Output 2 2 7 22" xfId="4609"/>
    <cellStyle name="Output 2 2 7 3" xfId="542"/>
    <cellStyle name="Output 2 2 7 3 10" xfId="2801"/>
    <cellStyle name="Output 2 2 7 3 11" xfId="3055"/>
    <cellStyle name="Output 2 2 7 3 12" xfId="3307"/>
    <cellStyle name="Output 2 2 7 3 13" xfId="3557"/>
    <cellStyle name="Output 2 2 7 3 14" xfId="3807"/>
    <cellStyle name="Output 2 2 7 3 15" xfId="4059"/>
    <cellStyle name="Output 2 2 7 3 16" xfId="4309"/>
    <cellStyle name="Output 2 2 7 3 17" xfId="4561"/>
    <cellStyle name="Output 2 2 7 3 18" xfId="4813"/>
    <cellStyle name="Output 2 2 7 3 2" xfId="795"/>
    <cellStyle name="Output 2 2 7 3 3" xfId="1047"/>
    <cellStyle name="Output 2 2 7 3 4" xfId="1298"/>
    <cellStyle name="Output 2 2 7 3 5" xfId="1548"/>
    <cellStyle name="Output 2 2 7 3 6" xfId="1798"/>
    <cellStyle name="Output 2 2 7 3 7" xfId="2048"/>
    <cellStyle name="Output 2 2 7 3 8" xfId="2298"/>
    <cellStyle name="Output 2 2 7 3 9" xfId="2550"/>
    <cellStyle name="Output 2 2 7 4" xfId="440"/>
    <cellStyle name="Output 2 2 7 4 10" xfId="2699"/>
    <cellStyle name="Output 2 2 7 4 11" xfId="2953"/>
    <cellStyle name="Output 2 2 7 4 12" xfId="3205"/>
    <cellStyle name="Output 2 2 7 4 13" xfId="3455"/>
    <cellStyle name="Output 2 2 7 4 14" xfId="3705"/>
    <cellStyle name="Output 2 2 7 4 15" xfId="3957"/>
    <cellStyle name="Output 2 2 7 4 16" xfId="4207"/>
    <cellStyle name="Output 2 2 7 4 17" xfId="4459"/>
    <cellStyle name="Output 2 2 7 4 18" xfId="4711"/>
    <cellStyle name="Output 2 2 7 4 2" xfId="693"/>
    <cellStyle name="Output 2 2 7 4 3" xfId="945"/>
    <cellStyle name="Output 2 2 7 4 4" xfId="1196"/>
    <cellStyle name="Output 2 2 7 4 5" xfId="1446"/>
    <cellStyle name="Output 2 2 7 4 6" xfId="1696"/>
    <cellStyle name="Output 2 2 7 4 7" xfId="1946"/>
    <cellStyle name="Output 2 2 7 4 8" xfId="2196"/>
    <cellStyle name="Output 2 2 7 4 9" xfId="2448"/>
    <cellStyle name="Output 2 2 7 5" xfId="337"/>
    <cellStyle name="Output 2 2 7 6" xfId="591"/>
    <cellStyle name="Output 2 2 7 7" xfId="843"/>
    <cellStyle name="Output 2 2 7 8" xfId="1094"/>
    <cellStyle name="Output 2 2 7 9" xfId="1344"/>
    <cellStyle name="Output 2 2 8" xfId="238"/>
    <cellStyle name="Output 2 2 8 10" xfId="1574"/>
    <cellStyle name="Output 2 2 8 11" xfId="1824"/>
    <cellStyle name="Output 2 2 8 12" xfId="2074"/>
    <cellStyle name="Output 2 2 8 13" xfId="2326"/>
    <cellStyle name="Output 2 2 8 14" xfId="2576"/>
    <cellStyle name="Output 2 2 8 15" xfId="2830"/>
    <cellStyle name="Output 2 2 8 16" xfId="3083"/>
    <cellStyle name="Output 2 2 8 17" xfId="3333"/>
    <cellStyle name="Output 2 2 8 18" xfId="3583"/>
    <cellStyle name="Output 2 2 8 19" xfId="3835"/>
    <cellStyle name="Output 2 2 8 2" xfId="366"/>
    <cellStyle name="Output 2 2 8 2 10" xfId="2374"/>
    <cellStyle name="Output 2 2 8 2 11" xfId="2625"/>
    <cellStyle name="Output 2 2 8 2 12" xfId="2879"/>
    <cellStyle name="Output 2 2 8 2 13" xfId="3131"/>
    <cellStyle name="Output 2 2 8 2 14" xfId="3381"/>
    <cellStyle name="Output 2 2 8 2 15" xfId="3631"/>
    <cellStyle name="Output 2 2 8 2 16" xfId="3883"/>
    <cellStyle name="Output 2 2 8 2 17" xfId="4133"/>
    <cellStyle name="Output 2 2 8 2 18" xfId="4385"/>
    <cellStyle name="Output 2 2 8 2 19" xfId="4637"/>
    <cellStyle name="Output 2 2 8 2 2" xfId="474"/>
    <cellStyle name="Output 2 2 8 2 2 10" xfId="2733"/>
    <cellStyle name="Output 2 2 8 2 2 11" xfId="2987"/>
    <cellStyle name="Output 2 2 8 2 2 12" xfId="3239"/>
    <cellStyle name="Output 2 2 8 2 2 13" xfId="3489"/>
    <cellStyle name="Output 2 2 8 2 2 14" xfId="3739"/>
    <cellStyle name="Output 2 2 8 2 2 15" xfId="3991"/>
    <cellStyle name="Output 2 2 8 2 2 16" xfId="4241"/>
    <cellStyle name="Output 2 2 8 2 2 17" xfId="4493"/>
    <cellStyle name="Output 2 2 8 2 2 18" xfId="4745"/>
    <cellStyle name="Output 2 2 8 2 2 2" xfId="727"/>
    <cellStyle name="Output 2 2 8 2 2 3" xfId="979"/>
    <cellStyle name="Output 2 2 8 2 2 4" xfId="1230"/>
    <cellStyle name="Output 2 2 8 2 2 5" xfId="1480"/>
    <cellStyle name="Output 2 2 8 2 2 6" xfId="1730"/>
    <cellStyle name="Output 2 2 8 2 2 7" xfId="1980"/>
    <cellStyle name="Output 2 2 8 2 2 8" xfId="2230"/>
    <cellStyle name="Output 2 2 8 2 2 9" xfId="2482"/>
    <cellStyle name="Output 2 2 8 2 3" xfId="619"/>
    <cellStyle name="Output 2 2 8 2 4" xfId="871"/>
    <cellStyle name="Output 2 2 8 2 5" xfId="1122"/>
    <cellStyle name="Output 2 2 8 2 6" xfId="1372"/>
    <cellStyle name="Output 2 2 8 2 7" xfId="1622"/>
    <cellStyle name="Output 2 2 8 2 8" xfId="1872"/>
    <cellStyle name="Output 2 2 8 2 9" xfId="2122"/>
    <cellStyle name="Output 2 2 8 20" xfId="4085"/>
    <cellStyle name="Output 2 2 8 21" xfId="4337"/>
    <cellStyle name="Output 2 2 8 22" xfId="4589"/>
    <cellStyle name="Output 2 2 8 3" xfId="522"/>
    <cellStyle name="Output 2 2 8 3 10" xfId="2781"/>
    <cellStyle name="Output 2 2 8 3 11" xfId="3035"/>
    <cellStyle name="Output 2 2 8 3 12" xfId="3287"/>
    <cellStyle name="Output 2 2 8 3 13" xfId="3537"/>
    <cellStyle name="Output 2 2 8 3 14" xfId="3787"/>
    <cellStyle name="Output 2 2 8 3 15" xfId="4039"/>
    <cellStyle name="Output 2 2 8 3 16" xfId="4289"/>
    <cellStyle name="Output 2 2 8 3 17" xfId="4541"/>
    <cellStyle name="Output 2 2 8 3 18" xfId="4793"/>
    <cellStyle name="Output 2 2 8 3 2" xfId="775"/>
    <cellStyle name="Output 2 2 8 3 3" xfId="1027"/>
    <cellStyle name="Output 2 2 8 3 4" xfId="1278"/>
    <cellStyle name="Output 2 2 8 3 5" xfId="1528"/>
    <cellStyle name="Output 2 2 8 3 6" xfId="1778"/>
    <cellStyle name="Output 2 2 8 3 7" xfId="2028"/>
    <cellStyle name="Output 2 2 8 3 8" xfId="2278"/>
    <cellStyle name="Output 2 2 8 3 9" xfId="2530"/>
    <cellStyle name="Output 2 2 8 4" xfId="420"/>
    <cellStyle name="Output 2 2 8 4 10" xfId="2679"/>
    <cellStyle name="Output 2 2 8 4 11" xfId="2933"/>
    <cellStyle name="Output 2 2 8 4 12" xfId="3185"/>
    <cellStyle name="Output 2 2 8 4 13" xfId="3435"/>
    <cellStyle name="Output 2 2 8 4 14" xfId="3685"/>
    <cellStyle name="Output 2 2 8 4 15" xfId="3937"/>
    <cellStyle name="Output 2 2 8 4 16" xfId="4187"/>
    <cellStyle name="Output 2 2 8 4 17" xfId="4439"/>
    <cellStyle name="Output 2 2 8 4 18" xfId="4691"/>
    <cellStyle name="Output 2 2 8 4 2" xfId="673"/>
    <cellStyle name="Output 2 2 8 4 3" xfId="925"/>
    <cellStyle name="Output 2 2 8 4 4" xfId="1176"/>
    <cellStyle name="Output 2 2 8 4 5" xfId="1426"/>
    <cellStyle name="Output 2 2 8 4 6" xfId="1676"/>
    <cellStyle name="Output 2 2 8 4 7" xfId="1926"/>
    <cellStyle name="Output 2 2 8 4 8" xfId="2176"/>
    <cellStyle name="Output 2 2 8 4 9" xfId="2428"/>
    <cellStyle name="Output 2 2 8 5" xfId="317"/>
    <cellStyle name="Output 2 2 8 6" xfId="571"/>
    <cellStyle name="Output 2 2 8 7" xfId="823"/>
    <cellStyle name="Output 2 2 8 8" xfId="1074"/>
    <cellStyle name="Output 2 2 8 9" xfId="1324"/>
    <cellStyle name="Output 2 2 9" xfId="463"/>
    <cellStyle name="Output 2 2 9 10" xfId="2722"/>
    <cellStyle name="Output 2 2 9 11" xfId="2976"/>
    <cellStyle name="Output 2 2 9 12" xfId="3228"/>
    <cellStyle name="Output 2 2 9 13" xfId="3478"/>
    <cellStyle name="Output 2 2 9 14" xfId="3728"/>
    <cellStyle name="Output 2 2 9 15" xfId="3980"/>
    <cellStyle name="Output 2 2 9 16" xfId="4230"/>
    <cellStyle name="Output 2 2 9 17" xfId="4482"/>
    <cellStyle name="Output 2 2 9 18" xfId="4734"/>
    <cellStyle name="Output 2 2 9 2" xfId="716"/>
    <cellStyle name="Output 2 2 9 3" xfId="968"/>
    <cellStyle name="Output 2 2 9 4" xfId="1219"/>
    <cellStyle name="Output 2 2 9 5" xfId="1469"/>
    <cellStyle name="Output 2 2 9 6" xfId="1719"/>
    <cellStyle name="Output 2 2 9 7" xfId="1969"/>
    <cellStyle name="Output 2 2 9 8" xfId="2219"/>
    <cellStyle name="Output 2 2 9 9" xfId="2471"/>
    <cellStyle name="Output 2 3" xfId="233"/>
    <cellStyle name="Output 2 3 10" xfId="1570"/>
    <cellStyle name="Output 2 3 11" xfId="1820"/>
    <cellStyle name="Output 2 3 12" xfId="2070"/>
    <cellStyle name="Output 2 3 13" xfId="2322"/>
    <cellStyle name="Output 2 3 14" xfId="2572"/>
    <cellStyle name="Output 2 3 15" xfId="2826"/>
    <cellStyle name="Output 2 3 16" xfId="3079"/>
    <cellStyle name="Output 2 3 17" xfId="3329"/>
    <cellStyle name="Output 2 3 18" xfId="3579"/>
    <cellStyle name="Output 2 3 19" xfId="3831"/>
    <cellStyle name="Output 2 3 2" xfId="362"/>
    <cellStyle name="Output 2 3 2 10" xfId="2370"/>
    <cellStyle name="Output 2 3 2 11" xfId="2621"/>
    <cellStyle name="Output 2 3 2 12" xfId="2875"/>
    <cellStyle name="Output 2 3 2 13" xfId="3127"/>
    <cellStyle name="Output 2 3 2 14" xfId="3377"/>
    <cellStyle name="Output 2 3 2 15" xfId="3627"/>
    <cellStyle name="Output 2 3 2 16" xfId="3879"/>
    <cellStyle name="Output 2 3 2 17" xfId="4129"/>
    <cellStyle name="Output 2 3 2 18" xfId="4381"/>
    <cellStyle name="Output 2 3 2 19" xfId="4633"/>
    <cellStyle name="Output 2 3 2 2" xfId="470"/>
    <cellStyle name="Output 2 3 2 2 10" xfId="2729"/>
    <cellStyle name="Output 2 3 2 2 11" xfId="2983"/>
    <cellStyle name="Output 2 3 2 2 12" xfId="3235"/>
    <cellStyle name="Output 2 3 2 2 13" xfId="3485"/>
    <cellStyle name="Output 2 3 2 2 14" xfId="3735"/>
    <cellStyle name="Output 2 3 2 2 15" xfId="3987"/>
    <cellStyle name="Output 2 3 2 2 16" xfId="4237"/>
    <cellStyle name="Output 2 3 2 2 17" xfId="4489"/>
    <cellStyle name="Output 2 3 2 2 18" xfId="4741"/>
    <cellStyle name="Output 2 3 2 2 2" xfId="723"/>
    <cellStyle name="Output 2 3 2 2 3" xfId="975"/>
    <cellStyle name="Output 2 3 2 2 4" xfId="1226"/>
    <cellStyle name="Output 2 3 2 2 5" xfId="1476"/>
    <cellStyle name="Output 2 3 2 2 6" xfId="1726"/>
    <cellStyle name="Output 2 3 2 2 7" xfId="1976"/>
    <cellStyle name="Output 2 3 2 2 8" xfId="2226"/>
    <cellStyle name="Output 2 3 2 2 9" xfId="2478"/>
    <cellStyle name="Output 2 3 2 3" xfId="615"/>
    <cellStyle name="Output 2 3 2 4" xfId="867"/>
    <cellStyle name="Output 2 3 2 5" xfId="1118"/>
    <cellStyle name="Output 2 3 2 6" xfId="1368"/>
    <cellStyle name="Output 2 3 2 7" xfId="1618"/>
    <cellStyle name="Output 2 3 2 8" xfId="1868"/>
    <cellStyle name="Output 2 3 2 9" xfId="2118"/>
    <cellStyle name="Output 2 3 20" xfId="4081"/>
    <cellStyle name="Output 2 3 21" xfId="4333"/>
    <cellStyle name="Output 2 3 22" xfId="4585"/>
    <cellStyle name="Output 2 3 3" xfId="518"/>
    <cellStyle name="Output 2 3 3 10" xfId="2777"/>
    <cellStyle name="Output 2 3 3 11" xfId="3031"/>
    <cellStyle name="Output 2 3 3 12" xfId="3283"/>
    <cellStyle name="Output 2 3 3 13" xfId="3533"/>
    <cellStyle name="Output 2 3 3 14" xfId="3783"/>
    <cellStyle name="Output 2 3 3 15" xfId="4035"/>
    <cellStyle name="Output 2 3 3 16" xfId="4285"/>
    <cellStyle name="Output 2 3 3 17" xfId="4537"/>
    <cellStyle name="Output 2 3 3 18" xfId="4789"/>
    <cellStyle name="Output 2 3 3 2" xfId="771"/>
    <cellStyle name="Output 2 3 3 3" xfId="1023"/>
    <cellStyle name="Output 2 3 3 4" xfId="1274"/>
    <cellStyle name="Output 2 3 3 5" xfId="1524"/>
    <cellStyle name="Output 2 3 3 6" xfId="1774"/>
    <cellStyle name="Output 2 3 3 7" xfId="2024"/>
    <cellStyle name="Output 2 3 3 8" xfId="2274"/>
    <cellStyle name="Output 2 3 3 9" xfId="2526"/>
    <cellStyle name="Output 2 3 4" xfId="416"/>
    <cellStyle name="Output 2 3 4 10" xfId="2675"/>
    <cellStyle name="Output 2 3 4 11" xfId="2929"/>
    <cellStyle name="Output 2 3 4 12" xfId="3181"/>
    <cellStyle name="Output 2 3 4 13" xfId="3431"/>
    <cellStyle name="Output 2 3 4 14" xfId="3681"/>
    <cellStyle name="Output 2 3 4 15" xfId="3933"/>
    <cellStyle name="Output 2 3 4 16" xfId="4183"/>
    <cellStyle name="Output 2 3 4 17" xfId="4435"/>
    <cellStyle name="Output 2 3 4 18" xfId="4687"/>
    <cellStyle name="Output 2 3 4 2" xfId="669"/>
    <cellStyle name="Output 2 3 4 3" xfId="921"/>
    <cellStyle name="Output 2 3 4 4" xfId="1172"/>
    <cellStyle name="Output 2 3 4 5" xfId="1422"/>
    <cellStyle name="Output 2 3 4 6" xfId="1672"/>
    <cellStyle name="Output 2 3 4 7" xfId="1922"/>
    <cellStyle name="Output 2 3 4 8" xfId="2172"/>
    <cellStyle name="Output 2 3 4 9" xfId="2424"/>
    <cellStyle name="Output 2 3 5" xfId="313"/>
    <cellStyle name="Output 2 3 6" xfId="567"/>
    <cellStyle name="Output 2 3 7" xfId="819"/>
    <cellStyle name="Output 2 3 8" xfId="1069"/>
    <cellStyle name="Output 2 3 9" xfId="1320"/>
    <cellStyle name="Output 2 4" xfId="289"/>
    <cellStyle name="Output 2 5" xfId="1071"/>
    <cellStyle name="Output 2 6" xfId="286"/>
    <cellStyle name="Percent" xfId="126" builtinId="5"/>
    <cellStyle name="Percent 2" xfId="204"/>
    <cellStyle name="Title" xfId="137" builtinId="15" customBuiltin="1"/>
    <cellStyle name="Title 2" xfId="120"/>
    <cellStyle name="Total" xfId="152" builtinId="25" customBuiltin="1"/>
    <cellStyle name="Total 2" xfId="121"/>
    <cellStyle name="Total 2 2" xfId="225"/>
    <cellStyle name="Total 2 2 10" xfId="408"/>
    <cellStyle name="Total 2 2 10 10" xfId="2667"/>
    <cellStyle name="Total 2 2 10 11" xfId="2921"/>
    <cellStyle name="Total 2 2 10 12" xfId="3173"/>
    <cellStyle name="Total 2 2 10 13" xfId="3423"/>
    <cellStyle name="Total 2 2 10 14" xfId="3673"/>
    <cellStyle name="Total 2 2 10 15" xfId="3925"/>
    <cellStyle name="Total 2 2 10 16" xfId="4175"/>
    <cellStyle name="Total 2 2 10 17" xfId="4427"/>
    <cellStyle name="Total 2 2 10 18" xfId="4679"/>
    <cellStyle name="Total 2 2 10 2" xfId="661"/>
    <cellStyle name="Total 2 2 10 3" xfId="913"/>
    <cellStyle name="Total 2 2 10 4" xfId="1164"/>
    <cellStyle name="Total 2 2 10 5" xfId="1414"/>
    <cellStyle name="Total 2 2 10 6" xfId="1664"/>
    <cellStyle name="Total 2 2 10 7" xfId="1914"/>
    <cellStyle name="Total 2 2 10 8" xfId="2164"/>
    <cellStyle name="Total 2 2 10 9" xfId="2416"/>
    <cellStyle name="Total 2 2 11" xfId="299"/>
    <cellStyle name="Total 2 2 2" xfId="269"/>
    <cellStyle name="Total 2 2 2 10" xfId="1605"/>
    <cellStyle name="Total 2 2 2 11" xfId="1855"/>
    <cellStyle name="Total 2 2 2 12" xfId="2105"/>
    <cellStyle name="Total 2 2 2 13" xfId="2357"/>
    <cellStyle name="Total 2 2 2 14" xfId="2607"/>
    <cellStyle name="Total 2 2 2 15" xfId="2861"/>
    <cellStyle name="Total 2 2 2 16" xfId="3114"/>
    <cellStyle name="Total 2 2 2 17" xfId="3364"/>
    <cellStyle name="Total 2 2 2 18" xfId="3614"/>
    <cellStyle name="Total 2 2 2 19" xfId="3866"/>
    <cellStyle name="Total 2 2 2 2" xfId="397"/>
    <cellStyle name="Total 2 2 2 2 10" xfId="2405"/>
    <cellStyle name="Total 2 2 2 2 11" xfId="2656"/>
    <cellStyle name="Total 2 2 2 2 12" xfId="2910"/>
    <cellStyle name="Total 2 2 2 2 13" xfId="3162"/>
    <cellStyle name="Total 2 2 2 2 14" xfId="3412"/>
    <cellStyle name="Total 2 2 2 2 15" xfId="3662"/>
    <cellStyle name="Total 2 2 2 2 16" xfId="3914"/>
    <cellStyle name="Total 2 2 2 2 17" xfId="4164"/>
    <cellStyle name="Total 2 2 2 2 18" xfId="4416"/>
    <cellStyle name="Total 2 2 2 2 19" xfId="4668"/>
    <cellStyle name="Total 2 2 2 2 2" xfId="505"/>
    <cellStyle name="Total 2 2 2 2 2 10" xfId="2764"/>
    <cellStyle name="Total 2 2 2 2 2 11" xfId="3018"/>
    <cellStyle name="Total 2 2 2 2 2 12" xfId="3270"/>
    <cellStyle name="Total 2 2 2 2 2 13" xfId="3520"/>
    <cellStyle name="Total 2 2 2 2 2 14" xfId="3770"/>
    <cellStyle name="Total 2 2 2 2 2 15" xfId="4022"/>
    <cellStyle name="Total 2 2 2 2 2 16" xfId="4272"/>
    <cellStyle name="Total 2 2 2 2 2 17" xfId="4524"/>
    <cellStyle name="Total 2 2 2 2 2 18" xfId="4776"/>
    <cellStyle name="Total 2 2 2 2 2 2" xfId="758"/>
    <cellStyle name="Total 2 2 2 2 2 3" xfId="1010"/>
    <cellStyle name="Total 2 2 2 2 2 4" xfId="1261"/>
    <cellStyle name="Total 2 2 2 2 2 5" xfId="1511"/>
    <cellStyle name="Total 2 2 2 2 2 6" xfId="1761"/>
    <cellStyle name="Total 2 2 2 2 2 7" xfId="2011"/>
    <cellStyle name="Total 2 2 2 2 2 8" xfId="2261"/>
    <cellStyle name="Total 2 2 2 2 2 9" xfId="2513"/>
    <cellStyle name="Total 2 2 2 2 3" xfId="650"/>
    <cellStyle name="Total 2 2 2 2 4" xfId="902"/>
    <cellStyle name="Total 2 2 2 2 5" xfId="1153"/>
    <cellStyle name="Total 2 2 2 2 6" xfId="1403"/>
    <cellStyle name="Total 2 2 2 2 7" xfId="1653"/>
    <cellStyle name="Total 2 2 2 2 8" xfId="1903"/>
    <cellStyle name="Total 2 2 2 2 9" xfId="2153"/>
    <cellStyle name="Total 2 2 2 20" xfId="4116"/>
    <cellStyle name="Total 2 2 2 21" xfId="4368"/>
    <cellStyle name="Total 2 2 2 22" xfId="4620"/>
    <cellStyle name="Total 2 2 2 3" xfId="553"/>
    <cellStyle name="Total 2 2 2 3 10" xfId="2812"/>
    <cellStyle name="Total 2 2 2 3 11" xfId="3066"/>
    <cellStyle name="Total 2 2 2 3 12" xfId="3318"/>
    <cellStyle name="Total 2 2 2 3 13" xfId="3568"/>
    <cellStyle name="Total 2 2 2 3 14" xfId="3818"/>
    <cellStyle name="Total 2 2 2 3 15" xfId="4070"/>
    <cellStyle name="Total 2 2 2 3 16" xfId="4320"/>
    <cellStyle name="Total 2 2 2 3 17" xfId="4572"/>
    <cellStyle name="Total 2 2 2 3 18" xfId="4824"/>
    <cellStyle name="Total 2 2 2 3 2" xfId="806"/>
    <cellStyle name="Total 2 2 2 3 3" xfId="1058"/>
    <cellStyle name="Total 2 2 2 3 4" xfId="1309"/>
    <cellStyle name="Total 2 2 2 3 5" xfId="1559"/>
    <cellStyle name="Total 2 2 2 3 6" xfId="1809"/>
    <cellStyle name="Total 2 2 2 3 7" xfId="2059"/>
    <cellStyle name="Total 2 2 2 3 8" xfId="2309"/>
    <cellStyle name="Total 2 2 2 3 9" xfId="2561"/>
    <cellStyle name="Total 2 2 2 4" xfId="451"/>
    <cellStyle name="Total 2 2 2 4 10" xfId="2710"/>
    <cellStyle name="Total 2 2 2 4 11" xfId="2964"/>
    <cellStyle name="Total 2 2 2 4 12" xfId="3216"/>
    <cellStyle name="Total 2 2 2 4 13" xfId="3466"/>
    <cellStyle name="Total 2 2 2 4 14" xfId="3716"/>
    <cellStyle name="Total 2 2 2 4 15" xfId="3968"/>
    <cellStyle name="Total 2 2 2 4 16" xfId="4218"/>
    <cellStyle name="Total 2 2 2 4 17" xfId="4470"/>
    <cellStyle name="Total 2 2 2 4 18" xfId="4722"/>
    <cellStyle name="Total 2 2 2 4 2" xfId="704"/>
    <cellStyle name="Total 2 2 2 4 3" xfId="956"/>
    <cellStyle name="Total 2 2 2 4 4" xfId="1207"/>
    <cellStyle name="Total 2 2 2 4 5" xfId="1457"/>
    <cellStyle name="Total 2 2 2 4 6" xfId="1707"/>
    <cellStyle name="Total 2 2 2 4 7" xfId="1957"/>
    <cellStyle name="Total 2 2 2 4 8" xfId="2207"/>
    <cellStyle name="Total 2 2 2 4 9" xfId="2459"/>
    <cellStyle name="Total 2 2 2 5" xfId="348"/>
    <cellStyle name="Total 2 2 2 6" xfId="602"/>
    <cellStyle name="Total 2 2 2 7" xfId="854"/>
    <cellStyle name="Total 2 2 2 8" xfId="1105"/>
    <cellStyle name="Total 2 2 2 9" xfId="1355"/>
    <cellStyle name="Total 2 2 3" xfId="263"/>
    <cellStyle name="Total 2 2 3 10" xfId="1599"/>
    <cellStyle name="Total 2 2 3 11" xfId="1849"/>
    <cellStyle name="Total 2 2 3 12" xfId="2099"/>
    <cellStyle name="Total 2 2 3 13" xfId="2351"/>
    <cellStyle name="Total 2 2 3 14" xfId="2601"/>
    <cellStyle name="Total 2 2 3 15" xfId="2855"/>
    <cellStyle name="Total 2 2 3 16" xfId="3108"/>
    <cellStyle name="Total 2 2 3 17" xfId="3358"/>
    <cellStyle name="Total 2 2 3 18" xfId="3608"/>
    <cellStyle name="Total 2 2 3 19" xfId="3860"/>
    <cellStyle name="Total 2 2 3 2" xfId="391"/>
    <cellStyle name="Total 2 2 3 2 10" xfId="2399"/>
    <cellStyle name="Total 2 2 3 2 11" xfId="2650"/>
    <cellStyle name="Total 2 2 3 2 12" xfId="2904"/>
    <cellStyle name="Total 2 2 3 2 13" xfId="3156"/>
    <cellStyle name="Total 2 2 3 2 14" xfId="3406"/>
    <cellStyle name="Total 2 2 3 2 15" xfId="3656"/>
    <cellStyle name="Total 2 2 3 2 16" xfId="3908"/>
    <cellStyle name="Total 2 2 3 2 17" xfId="4158"/>
    <cellStyle name="Total 2 2 3 2 18" xfId="4410"/>
    <cellStyle name="Total 2 2 3 2 19" xfId="4662"/>
    <cellStyle name="Total 2 2 3 2 2" xfId="499"/>
    <cellStyle name="Total 2 2 3 2 2 10" xfId="2758"/>
    <cellStyle name="Total 2 2 3 2 2 11" xfId="3012"/>
    <cellStyle name="Total 2 2 3 2 2 12" xfId="3264"/>
    <cellStyle name="Total 2 2 3 2 2 13" xfId="3514"/>
    <cellStyle name="Total 2 2 3 2 2 14" xfId="3764"/>
    <cellStyle name="Total 2 2 3 2 2 15" xfId="4016"/>
    <cellStyle name="Total 2 2 3 2 2 16" xfId="4266"/>
    <cellStyle name="Total 2 2 3 2 2 17" xfId="4518"/>
    <cellStyle name="Total 2 2 3 2 2 18" xfId="4770"/>
    <cellStyle name="Total 2 2 3 2 2 2" xfId="752"/>
    <cellStyle name="Total 2 2 3 2 2 3" xfId="1004"/>
    <cellStyle name="Total 2 2 3 2 2 4" xfId="1255"/>
    <cellStyle name="Total 2 2 3 2 2 5" xfId="1505"/>
    <cellStyle name="Total 2 2 3 2 2 6" xfId="1755"/>
    <cellStyle name="Total 2 2 3 2 2 7" xfId="2005"/>
    <cellStyle name="Total 2 2 3 2 2 8" xfId="2255"/>
    <cellStyle name="Total 2 2 3 2 2 9" xfId="2507"/>
    <cellStyle name="Total 2 2 3 2 3" xfId="644"/>
    <cellStyle name="Total 2 2 3 2 4" xfId="896"/>
    <cellStyle name="Total 2 2 3 2 5" xfId="1147"/>
    <cellStyle name="Total 2 2 3 2 6" xfId="1397"/>
    <cellStyle name="Total 2 2 3 2 7" xfId="1647"/>
    <cellStyle name="Total 2 2 3 2 8" xfId="1897"/>
    <cellStyle name="Total 2 2 3 2 9" xfId="2147"/>
    <cellStyle name="Total 2 2 3 20" xfId="4110"/>
    <cellStyle name="Total 2 2 3 21" xfId="4362"/>
    <cellStyle name="Total 2 2 3 22" xfId="4614"/>
    <cellStyle name="Total 2 2 3 3" xfId="547"/>
    <cellStyle name="Total 2 2 3 3 10" xfId="2806"/>
    <cellStyle name="Total 2 2 3 3 11" xfId="3060"/>
    <cellStyle name="Total 2 2 3 3 12" xfId="3312"/>
    <cellStyle name="Total 2 2 3 3 13" xfId="3562"/>
    <cellStyle name="Total 2 2 3 3 14" xfId="3812"/>
    <cellStyle name="Total 2 2 3 3 15" xfId="4064"/>
    <cellStyle name="Total 2 2 3 3 16" xfId="4314"/>
    <cellStyle name="Total 2 2 3 3 17" xfId="4566"/>
    <cellStyle name="Total 2 2 3 3 18" xfId="4818"/>
    <cellStyle name="Total 2 2 3 3 2" xfId="800"/>
    <cellStyle name="Total 2 2 3 3 3" xfId="1052"/>
    <cellStyle name="Total 2 2 3 3 4" xfId="1303"/>
    <cellStyle name="Total 2 2 3 3 5" xfId="1553"/>
    <cellStyle name="Total 2 2 3 3 6" xfId="1803"/>
    <cellStyle name="Total 2 2 3 3 7" xfId="2053"/>
    <cellStyle name="Total 2 2 3 3 8" xfId="2303"/>
    <cellStyle name="Total 2 2 3 3 9" xfId="2555"/>
    <cellStyle name="Total 2 2 3 4" xfId="445"/>
    <cellStyle name="Total 2 2 3 4 10" xfId="2704"/>
    <cellStyle name="Total 2 2 3 4 11" xfId="2958"/>
    <cellStyle name="Total 2 2 3 4 12" xfId="3210"/>
    <cellStyle name="Total 2 2 3 4 13" xfId="3460"/>
    <cellStyle name="Total 2 2 3 4 14" xfId="3710"/>
    <cellStyle name="Total 2 2 3 4 15" xfId="3962"/>
    <cellStyle name="Total 2 2 3 4 16" xfId="4212"/>
    <cellStyle name="Total 2 2 3 4 17" xfId="4464"/>
    <cellStyle name="Total 2 2 3 4 18" xfId="4716"/>
    <cellStyle name="Total 2 2 3 4 2" xfId="698"/>
    <cellStyle name="Total 2 2 3 4 3" xfId="950"/>
    <cellStyle name="Total 2 2 3 4 4" xfId="1201"/>
    <cellStyle name="Total 2 2 3 4 5" xfId="1451"/>
    <cellStyle name="Total 2 2 3 4 6" xfId="1701"/>
    <cellStyle name="Total 2 2 3 4 7" xfId="1951"/>
    <cellStyle name="Total 2 2 3 4 8" xfId="2201"/>
    <cellStyle name="Total 2 2 3 4 9" xfId="2453"/>
    <cellStyle name="Total 2 2 3 5" xfId="342"/>
    <cellStyle name="Total 2 2 3 6" xfId="596"/>
    <cellStyle name="Total 2 2 3 7" xfId="848"/>
    <cellStyle name="Total 2 2 3 8" xfId="1099"/>
    <cellStyle name="Total 2 2 3 9" xfId="1349"/>
    <cellStyle name="Total 2 2 4" xfId="272"/>
    <cellStyle name="Total 2 2 4 10" xfId="1608"/>
    <cellStyle name="Total 2 2 4 11" xfId="1858"/>
    <cellStyle name="Total 2 2 4 12" xfId="2108"/>
    <cellStyle name="Total 2 2 4 13" xfId="2360"/>
    <cellStyle name="Total 2 2 4 14" xfId="2610"/>
    <cellStyle name="Total 2 2 4 15" xfId="2864"/>
    <cellStyle name="Total 2 2 4 16" xfId="3117"/>
    <cellStyle name="Total 2 2 4 17" xfId="3367"/>
    <cellStyle name="Total 2 2 4 18" xfId="3617"/>
    <cellStyle name="Total 2 2 4 19" xfId="3869"/>
    <cellStyle name="Total 2 2 4 2" xfId="400"/>
    <cellStyle name="Total 2 2 4 2 10" xfId="2408"/>
    <cellStyle name="Total 2 2 4 2 11" xfId="2659"/>
    <cellStyle name="Total 2 2 4 2 12" xfId="2913"/>
    <cellStyle name="Total 2 2 4 2 13" xfId="3165"/>
    <cellStyle name="Total 2 2 4 2 14" xfId="3415"/>
    <cellStyle name="Total 2 2 4 2 15" xfId="3665"/>
    <cellStyle name="Total 2 2 4 2 16" xfId="3917"/>
    <cellStyle name="Total 2 2 4 2 17" xfId="4167"/>
    <cellStyle name="Total 2 2 4 2 18" xfId="4419"/>
    <cellStyle name="Total 2 2 4 2 19" xfId="4671"/>
    <cellStyle name="Total 2 2 4 2 2" xfId="508"/>
    <cellStyle name="Total 2 2 4 2 2 10" xfId="2767"/>
    <cellStyle name="Total 2 2 4 2 2 11" xfId="3021"/>
    <cellStyle name="Total 2 2 4 2 2 12" xfId="3273"/>
    <cellStyle name="Total 2 2 4 2 2 13" xfId="3523"/>
    <cellStyle name="Total 2 2 4 2 2 14" xfId="3773"/>
    <cellStyle name="Total 2 2 4 2 2 15" xfId="4025"/>
    <cellStyle name="Total 2 2 4 2 2 16" xfId="4275"/>
    <cellStyle name="Total 2 2 4 2 2 17" xfId="4527"/>
    <cellStyle name="Total 2 2 4 2 2 18" xfId="4779"/>
    <cellStyle name="Total 2 2 4 2 2 2" xfId="761"/>
    <cellStyle name="Total 2 2 4 2 2 3" xfId="1013"/>
    <cellStyle name="Total 2 2 4 2 2 4" xfId="1264"/>
    <cellStyle name="Total 2 2 4 2 2 5" xfId="1514"/>
    <cellStyle name="Total 2 2 4 2 2 6" xfId="1764"/>
    <cellStyle name="Total 2 2 4 2 2 7" xfId="2014"/>
    <cellStyle name="Total 2 2 4 2 2 8" xfId="2264"/>
    <cellStyle name="Total 2 2 4 2 2 9" xfId="2516"/>
    <cellStyle name="Total 2 2 4 2 3" xfId="653"/>
    <cellStyle name="Total 2 2 4 2 4" xfId="905"/>
    <cellStyle name="Total 2 2 4 2 5" xfId="1156"/>
    <cellStyle name="Total 2 2 4 2 6" xfId="1406"/>
    <cellStyle name="Total 2 2 4 2 7" xfId="1656"/>
    <cellStyle name="Total 2 2 4 2 8" xfId="1906"/>
    <cellStyle name="Total 2 2 4 2 9" xfId="2156"/>
    <cellStyle name="Total 2 2 4 20" xfId="4119"/>
    <cellStyle name="Total 2 2 4 21" xfId="4371"/>
    <cellStyle name="Total 2 2 4 22" xfId="4623"/>
    <cellStyle name="Total 2 2 4 3" xfId="556"/>
    <cellStyle name="Total 2 2 4 3 10" xfId="2815"/>
    <cellStyle name="Total 2 2 4 3 11" xfId="3069"/>
    <cellStyle name="Total 2 2 4 3 12" xfId="3321"/>
    <cellStyle name="Total 2 2 4 3 13" xfId="3571"/>
    <cellStyle name="Total 2 2 4 3 14" xfId="3821"/>
    <cellStyle name="Total 2 2 4 3 15" xfId="4073"/>
    <cellStyle name="Total 2 2 4 3 16" xfId="4323"/>
    <cellStyle name="Total 2 2 4 3 17" xfId="4575"/>
    <cellStyle name="Total 2 2 4 3 18" xfId="4827"/>
    <cellStyle name="Total 2 2 4 3 2" xfId="809"/>
    <cellStyle name="Total 2 2 4 3 3" xfId="1061"/>
    <cellStyle name="Total 2 2 4 3 4" xfId="1312"/>
    <cellStyle name="Total 2 2 4 3 5" xfId="1562"/>
    <cellStyle name="Total 2 2 4 3 6" xfId="1812"/>
    <cellStyle name="Total 2 2 4 3 7" xfId="2062"/>
    <cellStyle name="Total 2 2 4 3 8" xfId="2312"/>
    <cellStyle name="Total 2 2 4 3 9" xfId="2564"/>
    <cellStyle name="Total 2 2 4 4" xfId="454"/>
    <cellStyle name="Total 2 2 4 4 10" xfId="2713"/>
    <cellStyle name="Total 2 2 4 4 11" xfId="2967"/>
    <cellStyle name="Total 2 2 4 4 12" xfId="3219"/>
    <cellStyle name="Total 2 2 4 4 13" xfId="3469"/>
    <cellStyle name="Total 2 2 4 4 14" xfId="3719"/>
    <cellStyle name="Total 2 2 4 4 15" xfId="3971"/>
    <cellStyle name="Total 2 2 4 4 16" xfId="4221"/>
    <cellStyle name="Total 2 2 4 4 17" xfId="4473"/>
    <cellStyle name="Total 2 2 4 4 18" xfId="4725"/>
    <cellStyle name="Total 2 2 4 4 2" xfId="707"/>
    <cellStyle name="Total 2 2 4 4 3" xfId="959"/>
    <cellStyle name="Total 2 2 4 4 4" xfId="1210"/>
    <cellStyle name="Total 2 2 4 4 5" xfId="1460"/>
    <cellStyle name="Total 2 2 4 4 6" xfId="1710"/>
    <cellStyle name="Total 2 2 4 4 7" xfId="1960"/>
    <cellStyle name="Total 2 2 4 4 8" xfId="2210"/>
    <cellStyle name="Total 2 2 4 4 9" xfId="2462"/>
    <cellStyle name="Total 2 2 4 5" xfId="351"/>
    <cellStyle name="Total 2 2 4 6" xfId="605"/>
    <cellStyle name="Total 2 2 4 7" xfId="857"/>
    <cellStyle name="Total 2 2 4 8" xfId="1108"/>
    <cellStyle name="Total 2 2 4 9" xfId="1358"/>
    <cellStyle name="Total 2 2 5" xfId="246"/>
    <cellStyle name="Total 2 2 5 10" xfId="1582"/>
    <cellStyle name="Total 2 2 5 11" xfId="1832"/>
    <cellStyle name="Total 2 2 5 12" xfId="2082"/>
    <cellStyle name="Total 2 2 5 13" xfId="2334"/>
    <cellStyle name="Total 2 2 5 14" xfId="2584"/>
    <cellStyle name="Total 2 2 5 15" xfId="2838"/>
    <cellStyle name="Total 2 2 5 16" xfId="3091"/>
    <cellStyle name="Total 2 2 5 17" xfId="3341"/>
    <cellStyle name="Total 2 2 5 18" xfId="3591"/>
    <cellStyle name="Total 2 2 5 19" xfId="3843"/>
    <cellStyle name="Total 2 2 5 2" xfId="374"/>
    <cellStyle name="Total 2 2 5 2 10" xfId="2382"/>
    <cellStyle name="Total 2 2 5 2 11" xfId="2633"/>
    <cellStyle name="Total 2 2 5 2 12" xfId="2887"/>
    <cellStyle name="Total 2 2 5 2 13" xfId="3139"/>
    <cellStyle name="Total 2 2 5 2 14" xfId="3389"/>
    <cellStyle name="Total 2 2 5 2 15" xfId="3639"/>
    <cellStyle name="Total 2 2 5 2 16" xfId="3891"/>
    <cellStyle name="Total 2 2 5 2 17" xfId="4141"/>
    <cellStyle name="Total 2 2 5 2 18" xfId="4393"/>
    <cellStyle name="Total 2 2 5 2 19" xfId="4645"/>
    <cellStyle name="Total 2 2 5 2 2" xfId="482"/>
    <cellStyle name="Total 2 2 5 2 2 10" xfId="2741"/>
    <cellStyle name="Total 2 2 5 2 2 11" xfId="2995"/>
    <cellStyle name="Total 2 2 5 2 2 12" xfId="3247"/>
    <cellStyle name="Total 2 2 5 2 2 13" xfId="3497"/>
    <cellStyle name="Total 2 2 5 2 2 14" xfId="3747"/>
    <cellStyle name="Total 2 2 5 2 2 15" xfId="3999"/>
    <cellStyle name="Total 2 2 5 2 2 16" xfId="4249"/>
    <cellStyle name="Total 2 2 5 2 2 17" xfId="4501"/>
    <cellStyle name="Total 2 2 5 2 2 18" xfId="4753"/>
    <cellStyle name="Total 2 2 5 2 2 2" xfId="735"/>
    <cellStyle name="Total 2 2 5 2 2 3" xfId="987"/>
    <cellStyle name="Total 2 2 5 2 2 4" xfId="1238"/>
    <cellStyle name="Total 2 2 5 2 2 5" xfId="1488"/>
    <cellStyle name="Total 2 2 5 2 2 6" xfId="1738"/>
    <cellStyle name="Total 2 2 5 2 2 7" xfId="1988"/>
    <cellStyle name="Total 2 2 5 2 2 8" xfId="2238"/>
    <cellStyle name="Total 2 2 5 2 2 9" xfId="2490"/>
    <cellStyle name="Total 2 2 5 2 3" xfId="627"/>
    <cellStyle name="Total 2 2 5 2 4" xfId="879"/>
    <cellStyle name="Total 2 2 5 2 5" xfId="1130"/>
    <cellStyle name="Total 2 2 5 2 6" xfId="1380"/>
    <cellStyle name="Total 2 2 5 2 7" xfId="1630"/>
    <cellStyle name="Total 2 2 5 2 8" xfId="1880"/>
    <cellStyle name="Total 2 2 5 2 9" xfId="2130"/>
    <cellStyle name="Total 2 2 5 20" xfId="4093"/>
    <cellStyle name="Total 2 2 5 21" xfId="4345"/>
    <cellStyle name="Total 2 2 5 22" xfId="4597"/>
    <cellStyle name="Total 2 2 5 3" xfId="530"/>
    <cellStyle name="Total 2 2 5 3 10" xfId="2789"/>
    <cellStyle name="Total 2 2 5 3 11" xfId="3043"/>
    <cellStyle name="Total 2 2 5 3 12" xfId="3295"/>
    <cellStyle name="Total 2 2 5 3 13" xfId="3545"/>
    <cellStyle name="Total 2 2 5 3 14" xfId="3795"/>
    <cellStyle name="Total 2 2 5 3 15" xfId="4047"/>
    <cellStyle name="Total 2 2 5 3 16" xfId="4297"/>
    <cellStyle name="Total 2 2 5 3 17" xfId="4549"/>
    <cellStyle name="Total 2 2 5 3 18" xfId="4801"/>
    <cellStyle name="Total 2 2 5 3 2" xfId="783"/>
    <cellStyle name="Total 2 2 5 3 3" xfId="1035"/>
    <cellStyle name="Total 2 2 5 3 4" xfId="1286"/>
    <cellStyle name="Total 2 2 5 3 5" xfId="1536"/>
    <cellStyle name="Total 2 2 5 3 6" xfId="1786"/>
    <cellStyle name="Total 2 2 5 3 7" xfId="2036"/>
    <cellStyle name="Total 2 2 5 3 8" xfId="2286"/>
    <cellStyle name="Total 2 2 5 3 9" xfId="2538"/>
    <cellStyle name="Total 2 2 5 4" xfId="428"/>
    <cellStyle name="Total 2 2 5 4 10" xfId="2687"/>
    <cellStyle name="Total 2 2 5 4 11" xfId="2941"/>
    <cellStyle name="Total 2 2 5 4 12" xfId="3193"/>
    <cellStyle name="Total 2 2 5 4 13" xfId="3443"/>
    <cellStyle name="Total 2 2 5 4 14" xfId="3693"/>
    <cellStyle name="Total 2 2 5 4 15" xfId="3945"/>
    <cellStyle name="Total 2 2 5 4 16" xfId="4195"/>
    <cellStyle name="Total 2 2 5 4 17" xfId="4447"/>
    <cellStyle name="Total 2 2 5 4 18" xfId="4699"/>
    <cellStyle name="Total 2 2 5 4 2" xfId="681"/>
    <cellStyle name="Total 2 2 5 4 3" xfId="933"/>
    <cellStyle name="Total 2 2 5 4 4" xfId="1184"/>
    <cellStyle name="Total 2 2 5 4 5" xfId="1434"/>
    <cellStyle name="Total 2 2 5 4 6" xfId="1684"/>
    <cellStyle name="Total 2 2 5 4 7" xfId="1934"/>
    <cellStyle name="Total 2 2 5 4 8" xfId="2184"/>
    <cellStyle name="Total 2 2 5 4 9" xfId="2436"/>
    <cellStyle name="Total 2 2 5 5" xfId="325"/>
    <cellStyle name="Total 2 2 5 6" xfId="579"/>
    <cellStyle name="Total 2 2 5 7" xfId="831"/>
    <cellStyle name="Total 2 2 5 8" xfId="1082"/>
    <cellStyle name="Total 2 2 5 9" xfId="1332"/>
    <cellStyle name="Total 2 2 6" xfId="274"/>
    <cellStyle name="Total 2 2 6 10" xfId="1610"/>
    <cellStyle name="Total 2 2 6 11" xfId="1860"/>
    <cellStyle name="Total 2 2 6 12" xfId="2110"/>
    <cellStyle name="Total 2 2 6 13" xfId="2362"/>
    <cellStyle name="Total 2 2 6 14" xfId="2612"/>
    <cellStyle name="Total 2 2 6 15" xfId="2866"/>
    <cellStyle name="Total 2 2 6 16" xfId="3119"/>
    <cellStyle name="Total 2 2 6 17" xfId="3369"/>
    <cellStyle name="Total 2 2 6 18" xfId="3619"/>
    <cellStyle name="Total 2 2 6 19" xfId="3871"/>
    <cellStyle name="Total 2 2 6 2" xfId="402"/>
    <cellStyle name="Total 2 2 6 2 10" xfId="2410"/>
    <cellStyle name="Total 2 2 6 2 11" xfId="2661"/>
    <cellStyle name="Total 2 2 6 2 12" xfId="2915"/>
    <cellStyle name="Total 2 2 6 2 13" xfId="3167"/>
    <cellStyle name="Total 2 2 6 2 14" xfId="3417"/>
    <cellStyle name="Total 2 2 6 2 15" xfId="3667"/>
    <cellStyle name="Total 2 2 6 2 16" xfId="3919"/>
    <cellStyle name="Total 2 2 6 2 17" xfId="4169"/>
    <cellStyle name="Total 2 2 6 2 18" xfId="4421"/>
    <cellStyle name="Total 2 2 6 2 19" xfId="4673"/>
    <cellStyle name="Total 2 2 6 2 2" xfId="510"/>
    <cellStyle name="Total 2 2 6 2 2 10" xfId="2769"/>
    <cellStyle name="Total 2 2 6 2 2 11" xfId="3023"/>
    <cellStyle name="Total 2 2 6 2 2 12" xfId="3275"/>
    <cellStyle name="Total 2 2 6 2 2 13" xfId="3525"/>
    <cellStyle name="Total 2 2 6 2 2 14" xfId="3775"/>
    <cellStyle name="Total 2 2 6 2 2 15" xfId="4027"/>
    <cellStyle name="Total 2 2 6 2 2 16" xfId="4277"/>
    <cellStyle name="Total 2 2 6 2 2 17" xfId="4529"/>
    <cellStyle name="Total 2 2 6 2 2 18" xfId="4781"/>
    <cellStyle name="Total 2 2 6 2 2 2" xfId="763"/>
    <cellStyle name="Total 2 2 6 2 2 3" xfId="1015"/>
    <cellStyle name="Total 2 2 6 2 2 4" xfId="1266"/>
    <cellStyle name="Total 2 2 6 2 2 5" xfId="1516"/>
    <cellStyle name="Total 2 2 6 2 2 6" xfId="1766"/>
    <cellStyle name="Total 2 2 6 2 2 7" xfId="2016"/>
    <cellStyle name="Total 2 2 6 2 2 8" xfId="2266"/>
    <cellStyle name="Total 2 2 6 2 2 9" xfId="2518"/>
    <cellStyle name="Total 2 2 6 2 3" xfId="655"/>
    <cellStyle name="Total 2 2 6 2 4" xfId="907"/>
    <cellStyle name="Total 2 2 6 2 5" xfId="1158"/>
    <cellStyle name="Total 2 2 6 2 6" xfId="1408"/>
    <cellStyle name="Total 2 2 6 2 7" xfId="1658"/>
    <cellStyle name="Total 2 2 6 2 8" xfId="1908"/>
    <cellStyle name="Total 2 2 6 2 9" xfId="2158"/>
    <cellStyle name="Total 2 2 6 20" xfId="4121"/>
    <cellStyle name="Total 2 2 6 21" xfId="4373"/>
    <cellStyle name="Total 2 2 6 22" xfId="4625"/>
    <cellStyle name="Total 2 2 6 3" xfId="558"/>
    <cellStyle name="Total 2 2 6 3 10" xfId="2817"/>
    <cellStyle name="Total 2 2 6 3 11" xfId="3071"/>
    <cellStyle name="Total 2 2 6 3 12" xfId="3323"/>
    <cellStyle name="Total 2 2 6 3 13" xfId="3573"/>
    <cellStyle name="Total 2 2 6 3 14" xfId="3823"/>
    <cellStyle name="Total 2 2 6 3 15" xfId="4075"/>
    <cellStyle name="Total 2 2 6 3 16" xfId="4325"/>
    <cellStyle name="Total 2 2 6 3 17" xfId="4577"/>
    <cellStyle name="Total 2 2 6 3 18" xfId="4829"/>
    <cellStyle name="Total 2 2 6 3 2" xfId="811"/>
    <cellStyle name="Total 2 2 6 3 3" xfId="1063"/>
    <cellStyle name="Total 2 2 6 3 4" xfId="1314"/>
    <cellStyle name="Total 2 2 6 3 5" xfId="1564"/>
    <cellStyle name="Total 2 2 6 3 6" xfId="1814"/>
    <cellStyle name="Total 2 2 6 3 7" xfId="2064"/>
    <cellStyle name="Total 2 2 6 3 8" xfId="2314"/>
    <cellStyle name="Total 2 2 6 3 9" xfId="2566"/>
    <cellStyle name="Total 2 2 6 4" xfId="456"/>
    <cellStyle name="Total 2 2 6 4 10" xfId="2715"/>
    <cellStyle name="Total 2 2 6 4 11" xfId="2969"/>
    <cellStyle name="Total 2 2 6 4 12" xfId="3221"/>
    <cellStyle name="Total 2 2 6 4 13" xfId="3471"/>
    <cellStyle name="Total 2 2 6 4 14" xfId="3721"/>
    <cellStyle name="Total 2 2 6 4 15" xfId="3973"/>
    <cellStyle name="Total 2 2 6 4 16" xfId="4223"/>
    <cellStyle name="Total 2 2 6 4 17" xfId="4475"/>
    <cellStyle name="Total 2 2 6 4 18" xfId="4727"/>
    <cellStyle name="Total 2 2 6 4 2" xfId="709"/>
    <cellStyle name="Total 2 2 6 4 3" xfId="961"/>
    <cellStyle name="Total 2 2 6 4 4" xfId="1212"/>
    <cellStyle name="Total 2 2 6 4 5" xfId="1462"/>
    <cellStyle name="Total 2 2 6 4 6" xfId="1712"/>
    <cellStyle name="Total 2 2 6 4 7" xfId="1962"/>
    <cellStyle name="Total 2 2 6 4 8" xfId="2212"/>
    <cellStyle name="Total 2 2 6 4 9" xfId="2464"/>
    <cellStyle name="Total 2 2 6 5" xfId="353"/>
    <cellStyle name="Total 2 2 6 6" xfId="607"/>
    <cellStyle name="Total 2 2 6 7" xfId="859"/>
    <cellStyle name="Total 2 2 6 8" xfId="1110"/>
    <cellStyle name="Total 2 2 6 9" xfId="1360"/>
    <cellStyle name="Total 2 2 7" xfId="268"/>
    <cellStyle name="Total 2 2 7 10" xfId="1604"/>
    <cellStyle name="Total 2 2 7 11" xfId="1854"/>
    <cellStyle name="Total 2 2 7 12" xfId="2104"/>
    <cellStyle name="Total 2 2 7 13" xfId="2356"/>
    <cellStyle name="Total 2 2 7 14" xfId="2606"/>
    <cellStyle name="Total 2 2 7 15" xfId="2860"/>
    <cellStyle name="Total 2 2 7 16" xfId="3113"/>
    <cellStyle name="Total 2 2 7 17" xfId="3363"/>
    <cellStyle name="Total 2 2 7 18" xfId="3613"/>
    <cellStyle name="Total 2 2 7 19" xfId="3865"/>
    <cellStyle name="Total 2 2 7 2" xfId="396"/>
    <cellStyle name="Total 2 2 7 2 10" xfId="2404"/>
    <cellStyle name="Total 2 2 7 2 11" xfId="2655"/>
    <cellStyle name="Total 2 2 7 2 12" xfId="2909"/>
    <cellStyle name="Total 2 2 7 2 13" xfId="3161"/>
    <cellStyle name="Total 2 2 7 2 14" xfId="3411"/>
    <cellStyle name="Total 2 2 7 2 15" xfId="3661"/>
    <cellStyle name="Total 2 2 7 2 16" xfId="3913"/>
    <cellStyle name="Total 2 2 7 2 17" xfId="4163"/>
    <cellStyle name="Total 2 2 7 2 18" xfId="4415"/>
    <cellStyle name="Total 2 2 7 2 19" xfId="4667"/>
    <cellStyle name="Total 2 2 7 2 2" xfId="504"/>
    <cellStyle name="Total 2 2 7 2 2 10" xfId="2763"/>
    <cellStyle name="Total 2 2 7 2 2 11" xfId="3017"/>
    <cellStyle name="Total 2 2 7 2 2 12" xfId="3269"/>
    <cellStyle name="Total 2 2 7 2 2 13" xfId="3519"/>
    <cellStyle name="Total 2 2 7 2 2 14" xfId="3769"/>
    <cellStyle name="Total 2 2 7 2 2 15" xfId="4021"/>
    <cellStyle name="Total 2 2 7 2 2 16" xfId="4271"/>
    <cellStyle name="Total 2 2 7 2 2 17" xfId="4523"/>
    <cellStyle name="Total 2 2 7 2 2 18" xfId="4775"/>
    <cellStyle name="Total 2 2 7 2 2 2" xfId="757"/>
    <cellStyle name="Total 2 2 7 2 2 3" xfId="1009"/>
    <cellStyle name="Total 2 2 7 2 2 4" xfId="1260"/>
    <cellStyle name="Total 2 2 7 2 2 5" xfId="1510"/>
    <cellStyle name="Total 2 2 7 2 2 6" xfId="1760"/>
    <cellStyle name="Total 2 2 7 2 2 7" xfId="2010"/>
    <cellStyle name="Total 2 2 7 2 2 8" xfId="2260"/>
    <cellStyle name="Total 2 2 7 2 2 9" xfId="2512"/>
    <cellStyle name="Total 2 2 7 2 3" xfId="649"/>
    <cellStyle name="Total 2 2 7 2 4" xfId="901"/>
    <cellStyle name="Total 2 2 7 2 5" xfId="1152"/>
    <cellStyle name="Total 2 2 7 2 6" xfId="1402"/>
    <cellStyle name="Total 2 2 7 2 7" xfId="1652"/>
    <cellStyle name="Total 2 2 7 2 8" xfId="1902"/>
    <cellStyle name="Total 2 2 7 2 9" xfId="2152"/>
    <cellStyle name="Total 2 2 7 20" xfId="4115"/>
    <cellStyle name="Total 2 2 7 21" xfId="4367"/>
    <cellStyle name="Total 2 2 7 22" xfId="4619"/>
    <cellStyle name="Total 2 2 7 3" xfId="552"/>
    <cellStyle name="Total 2 2 7 3 10" xfId="2811"/>
    <cellStyle name="Total 2 2 7 3 11" xfId="3065"/>
    <cellStyle name="Total 2 2 7 3 12" xfId="3317"/>
    <cellStyle name="Total 2 2 7 3 13" xfId="3567"/>
    <cellStyle name="Total 2 2 7 3 14" xfId="3817"/>
    <cellStyle name="Total 2 2 7 3 15" xfId="4069"/>
    <cellStyle name="Total 2 2 7 3 16" xfId="4319"/>
    <cellStyle name="Total 2 2 7 3 17" xfId="4571"/>
    <cellStyle name="Total 2 2 7 3 18" xfId="4823"/>
    <cellStyle name="Total 2 2 7 3 2" xfId="805"/>
    <cellStyle name="Total 2 2 7 3 3" xfId="1057"/>
    <cellStyle name="Total 2 2 7 3 4" xfId="1308"/>
    <cellStyle name="Total 2 2 7 3 5" xfId="1558"/>
    <cellStyle name="Total 2 2 7 3 6" xfId="1808"/>
    <cellStyle name="Total 2 2 7 3 7" xfId="2058"/>
    <cellStyle name="Total 2 2 7 3 8" xfId="2308"/>
    <cellStyle name="Total 2 2 7 3 9" xfId="2560"/>
    <cellStyle name="Total 2 2 7 4" xfId="450"/>
    <cellStyle name="Total 2 2 7 4 10" xfId="2709"/>
    <cellStyle name="Total 2 2 7 4 11" xfId="2963"/>
    <cellStyle name="Total 2 2 7 4 12" xfId="3215"/>
    <cellStyle name="Total 2 2 7 4 13" xfId="3465"/>
    <cellStyle name="Total 2 2 7 4 14" xfId="3715"/>
    <cellStyle name="Total 2 2 7 4 15" xfId="3967"/>
    <cellStyle name="Total 2 2 7 4 16" xfId="4217"/>
    <cellStyle name="Total 2 2 7 4 17" xfId="4469"/>
    <cellStyle name="Total 2 2 7 4 18" xfId="4721"/>
    <cellStyle name="Total 2 2 7 4 2" xfId="703"/>
    <cellStyle name="Total 2 2 7 4 3" xfId="955"/>
    <cellStyle name="Total 2 2 7 4 4" xfId="1206"/>
    <cellStyle name="Total 2 2 7 4 5" xfId="1456"/>
    <cellStyle name="Total 2 2 7 4 6" xfId="1706"/>
    <cellStyle name="Total 2 2 7 4 7" xfId="1956"/>
    <cellStyle name="Total 2 2 7 4 8" xfId="2206"/>
    <cellStyle name="Total 2 2 7 4 9" xfId="2458"/>
    <cellStyle name="Total 2 2 7 5" xfId="347"/>
    <cellStyle name="Total 2 2 7 6" xfId="601"/>
    <cellStyle name="Total 2 2 7 7" xfId="853"/>
    <cellStyle name="Total 2 2 7 8" xfId="1104"/>
    <cellStyle name="Total 2 2 7 9" xfId="1354"/>
    <cellStyle name="Total 2 2 8" xfId="237"/>
    <cellStyle name="Total 2 2 8 10" xfId="1573"/>
    <cellStyle name="Total 2 2 8 11" xfId="1823"/>
    <cellStyle name="Total 2 2 8 12" xfId="2073"/>
    <cellStyle name="Total 2 2 8 13" xfId="2325"/>
    <cellStyle name="Total 2 2 8 14" xfId="2575"/>
    <cellStyle name="Total 2 2 8 15" xfId="2829"/>
    <cellStyle name="Total 2 2 8 16" xfId="3082"/>
    <cellStyle name="Total 2 2 8 17" xfId="3332"/>
    <cellStyle name="Total 2 2 8 18" xfId="3582"/>
    <cellStyle name="Total 2 2 8 19" xfId="3834"/>
    <cellStyle name="Total 2 2 8 2" xfId="365"/>
    <cellStyle name="Total 2 2 8 2 10" xfId="2373"/>
    <cellStyle name="Total 2 2 8 2 11" xfId="2624"/>
    <cellStyle name="Total 2 2 8 2 12" xfId="2878"/>
    <cellStyle name="Total 2 2 8 2 13" xfId="3130"/>
    <cellStyle name="Total 2 2 8 2 14" xfId="3380"/>
    <cellStyle name="Total 2 2 8 2 15" xfId="3630"/>
    <cellStyle name="Total 2 2 8 2 16" xfId="3882"/>
    <cellStyle name="Total 2 2 8 2 17" xfId="4132"/>
    <cellStyle name="Total 2 2 8 2 18" xfId="4384"/>
    <cellStyle name="Total 2 2 8 2 19" xfId="4636"/>
    <cellStyle name="Total 2 2 8 2 2" xfId="473"/>
    <cellStyle name="Total 2 2 8 2 2 10" xfId="2732"/>
    <cellStyle name="Total 2 2 8 2 2 11" xfId="2986"/>
    <cellStyle name="Total 2 2 8 2 2 12" xfId="3238"/>
    <cellStyle name="Total 2 2 8 2 2 13" xfId="3488"/>
    <cellStyle name="Total 2 2 8 2 2 14" xfId="3738"/>
    <cellStyle name="Total 2 2 8 2 2 15" xfId="3990"/>
    <cellStyle name="Total 2 2 8 2 2 16" xfId="4240"/>
    <cellStyle name="Total 2 2 8 2 2 17" xfId="4492"/>
    <cellStyle name="Total 2 2 8 2 2 18" xfId="4744"/>
    <cellStyle name="Total 2 2 8 2 2 2" xfId="726"/>
    <cellStyle name="Total 2 2 8 2 2 3" xfId="978"/>
    <cellStyle name="Total 2 2 8 2 2 4" xfId="1229"/>
    <cellStyle name="Total 2 2 8 2 2 5" xfId="1479"/>
    <cellStyle name="Total 2 2 8 2 2 6" xfId="1729"/>
    <cellStyle name="Total 2 2 8 2 2 7" xfId="1979"/>
    <cellStyle name="Total 2 2 8 2 2 8" xfId="2229"/>
    <cellStyle name="Total 2 2 8 2 2 9" xfId="2481"/>
    <cellStyle name="Total 2 2 8 2 3" xfId="618"/>
    <cellStyle name="Total 2 2 8 2 4" xfId="870"/>
    <cellStyle name="Total 2 2 8 2 5" xfId="1121"/>
    <cellStyle name="Total 2 2 8 2 6" xfId="1371"/>
    <cellStyle name="Total 2 2 8 2 7" xfId="1621"/>
    <cellStyle name="Total 2 2 8 2 8" xfId="1871"/>
    <cellStyle name="Total 2 2 8 2 9" xfId="2121"/>
    <cellStyle name="Total 2 2 8 20" xfId="4084"/>
    <cellStyle name="Total 2 2 8 21" xfId="4336"/>
    <cellStyle name="Total 2 2 8 22" xfId="4588"/>
    <cellStyle name="Total 2 2 8 3" xfId="521"/>
    <cellStyle name="Total 2 2 8 3 10" xfId="2780"/>
    <cellStyle name="Total 2 2 8 3 11" xfId="3034"/>
    <cellStyle name="Total 2 2 8 3 12" xfId="3286"/>
    <cellStyle name="Total 2 2 8 3 13" xfId="3536"/>
    <cellStyle name="Total 2 2 8 3 14" xfId="3786"/>
    <cellStyle name="Total 2 2 8 3 15" xfId="4038"/>
    <cellStyle name="Total 2 2 8 3 16" xfId="4288"/>
    <cellStyle name="Total 2 2 8 3 17" xfId="4540"/>
    <cellStyle name="Total 2 2 8 3 18" xfId="4792"/>
    <cellStyle name="Total 2 2 8 3 2" xfId="774"/>
    <cellStyle name="Total 2 2 8 3 3" xfId="1026"/>
    <cellStyle name="Total 2 2 8 3 4" xfId="1277"/>
    <cellStyle name="Total 2 2 8 3 5" xfId="1527"/>
    <cellStyle name="Total 2 2 8 3 6" xfId="1777"/>
    <cellStyle name="Total 2 2 8 3 7" xfId="2027"/>
    <cellStyle name="Total 2 2 8 3 8" xfId="2277"/>
    <cellStyle name="Total 2 2 8 3 9" xfId="2529"/>
    <cellStyle name="Total 2 2 8 4" xfId="419"/>
    <cellStyle name="Total 2 2 8 4 10" xfId="2678"/>
    <cellStyle name="Total 2 2 8 4 11" xfId="2932"/>
    <cellStyle name="Total 2 2 8 4 12" xfId="3184"/>
    <cellStyle name="Total 2 2 8 4 13" xfId="3434"/>
    <cellStyle name="Total 2 2 8 4 14" xfId="3684"/>
    <cellStyle name="Total 2 2 8 4 15" xfId="3936"/>
    <cellStyle name="Total 2 2 8 4 16" xfId="4186"/>
    <cellStyle name="Total 2 2 8 4 17" xfId="4438"/>
    <cellStyle name="Total 2 2 8 4 18" xfId="4690"/>
    <cellStyle name="Total 2 2 8 4 2" xfId="672"/>
    <cellStyle name="Total 2 2 8 4 3" xfId="924"/>
    <cellStyle name="Total 2 2 8 4 4" xfId="1175"/>
    <cellStyle name="Total 2 2 8 4 5" xfId="1425"/>
    <cellStyle name="Total 2 2 8 4 6" xfId="1675"/>
    <cellStyle name="Total 2 2 8 4 7" xfId="1925"/>
    <cellStyle name="Total 2 2 8 4 8" xfId="2175"/>
    <cellStyle name="Total 2 2 8 4 9" xfId="2427"/>
    <cellStyle name="Total 2 2 8 5" xfId="316"/>
    <cellStyle name="Total 2 2 8 6" xfId="570"/>
    <cellStyle name="Total 2 2 8 7" xfId="822"/>
    <cellStyle name="Total 2 2 8 8" xfId="1073"/>
    <cellStyle name="Total 2 2 8 9" xfId="1323"/>
    <cellStyle name="Total 2 2 9" xfId="462"/>
    <cellStyle name="Total 2 2 9 10" xfId="2721"/>
    <cellStyle name="Total 2 2 9 11" xfId="2975"/>
    <cellStyle name="Total 2 2 9 12" xfId="3227"/>
    <cellStyle name="Total 2 2 9 13" xfId="3477"/>
    <cellStyle name="Total 2 2 9 14" xfId="3727"/>
    <cellStyle name="Total 2 2 9 15" xfId="3979"/>
    <cellStyle name="Total 2 2 9 16" xfId="4229"/>
    <cellStyle name="Total 2 2 9 17" xfId="4481"/>
    <cellStyle name="Total 2 2 9 18" xfId="4733"/>
    <cellStyle name="Total 2 2 9 2" xfId="715"/>
    <cellStyle name="Total 2 2 9 3" xfId="967"/>
    <cellStyle name="Total 2 2 9 4" xfId="1218"/>
    <cellStyle name="Total 2 2 9 5" xfId="1468"/>
    <cellStyle name="Total 2 2 9 6" xfId="1718"/>
    <cellStyle name="Total 2 2 9 7" xfId="1968"/>
    <cellStyle name="Total 2 2 9 8" xfId="2218"/>
    <cellStyle name="Total 2 2 9 9" xfId="2470"/>
    <cellStyle name="Total 2 3" xfId="234"/>
    <cellStyle name="Total 2 3 10" xfId="1571"/>
    <cellStyle name="Total 2 3 11" xfId="1821"/>
    <cellStyle name="Total 2 3 12" xfId="2071"/>
    <cellStyle name="Total 2 3 13" xfId="2323"/>
    <cellStyle name="Total 2 3 14" xfId="2573"/>
    <cellStyle name="Total 2 3 15" xfId="2827"/>
    <cellStyle name="Total 2 3 16" xfId="3080"/>
    <cellStyle name="Total 2 3 17" xfId="3330"/>
    <cellStyle name="Total 2 3 18" xfId="3580"/>
    <cellStyle name="Total 2 3 19" xfId="3832"/>
    <cellStyle name="Total 2 3 2" xfId="363"/>
    <cellStyle name="Total 2 3 2 10" xfId="2371"/>
    <cellStyle name="Total 2 3 2 11" xfId="2622"/>
    <cellStyle name="Total 2 3 2 12" xfId="2876"/>
    <cellStyle name="Total 2 3 2 13" xfId="3128"/>
    <cellStyle name="Total 2 3 2 14" xfId="3378"/>
    <cellStyle name="Total 2 3 2 15" xfId="3628"/>
    <cellStyle name="Total 2 3 2 16" xfId="3880"/>
    <cellStyle name="Total 2 3 2 17" xfId="4130"/>
    <cellStyle name="Total 2 3 2 18" xfId="4382"/>
    <cellStyle name="Total 2 3 2 19" xfId="4634"/>
    <cellStyle name="Total 2 3 2 2" xfId="471"/>
    <cellStyle name="Total 2 3 2 2 10" xfId="2730"/>
    <cellStyle name="Total 2 3 2 2 11" xfId="2984"/>
    <cellStyle name="Total 2 3 2 2 12" xfId="3236"/>
    <cellStyle name="Total 2 3 2 2 13" xfId="3486"/>
    <cellStyle name="Total 2 3 2 2 14" xfId="3736"/>
    <cellStyle name="Total 2 3 2 2 15" xfId="3988"/>
    <cellStyle name="Total 2 3 2 2 16" xfId="4238"/>
    <cellStyle name="Total 2 3 2 2 17" xfId="4490"/>
    <cellStyle name="Total 2 3 2 2 18" xfId="4742"/>
    <cellStyle name="Total 2 3 2 2 2" xfId="724"/>
    <cellStyle name="Total 2 3 2 2 3" xfId="976"/>
    <cellStyle name="Total 2 3 2 2 4" xfId="1227"/>
    <cellStyle name="Total 2 3 2 2 5" xfId="1477"/>
    <cellStyle name="Total 2 3 2 2 6" xfId="1727"/>
    <cellStyle name="Total 2 3 2 2 7" xfId="1977"/>
    <cellStyle name="Total 2 3 2 2 8" xfId="2227"/>
    <cellStyle name="Total 2 3 2 2 9" xfId="2479"/>
    <cellStyle name="Total 2 3 2 3" xfId="616"/>
    <cellStyle name="Total 2 3 2 4" xfId="868"/>
    <cellStyle name="Total 2 3 2 5" xfId="1119"/>
    <cellStyle name="Total 2 3 2 6" xfId="1369"/>
    <cellStyle name="Total 2 3 2 7" xfId="1619"/>
    <cellStyle name="Total 2 3 2 8" xfId="1869"/>
    <cellStyle name="Total 2 3 2 9" xfId="2119"/>
    <cellStyle name="Total 2 3 20" xfId="4082"/>
    <cellStyle name="Total 2 3 21" xfId="4334"/>
    <cellStyle name="Total 2 3 22" xfId="4586"/>
    <cellStyle name="Total 2 3 3" xfId="519"/>
    <cellStyle name="Total 2 3 3 10" xfId="2778"/>
    <cellStyle name="Total 2 3 3 11" xfId="3032"/>
    <cellStyle name="Total 2 3 3 12" xfId="3284"/>
    <cellStyle name="Total 2 3 3 13" xfId="3534"/>
    <cellStyle name="Total 2 3 3 14" xfId="3784"/>
    <cellStyle name="Total 2 3 3 15" xfId="4036"/>
    <cellStyle name="Total 2 3 3 16" xfId="4286"/>
    <cellStyle name="Total 2 3 3 17" xfId="4538"/>
    <cellStyle name="Total 2 3 3 18" xfId="4790"/>
    <cellStyle name="Total 2 3 3 2" xfId="772"/>
    <cellStyle name="Total 2 3 3 3" xfId="1024"/>
    <cellStyle name="Total 2 3 3 4" xfId="1275"/>
    <cellStyle name="Total 2 3 3 5" xfId="1525"/>
    <cellStyle name="Total 2 3 3 6" xfId="1775"/>
    <cellStyle name="Total 2 3 3 7" xfId="2025"/>
    <cellStyle name="Total 2 3 3 8" xfId="2275"/>
    <cellStyle name="Total 2 3 3 9" xfId="2527"/>
    <cellStyle name="Total 2 3 4" xfId="417"/>
    <cellStyle name="Total 2 3 4 10" xfId="2676"/>
    <cellStyle name="Total 2 3 4 11" xfId="2930"/>
    <cellStyle name="Total 2 3 4 12" xfId="3182"/>
    <cellStyle name="Total 2 3 4 13" xfId="3432"/>
    <cellStyle name="Total 2 3 4 14" xfId="3682"/>
    <cellStyle name="Total 2 3 4 15" xfId="3934"/>
    <cellStyle name="Total 2 3 4 16" xfId="4184"/>
    <cellStyle name="Total 2 3 4 17" xfId="4436"/>
    <cellStyle name="Total 2 3 4 18" xfId="4688"/>
    <cellStyle name="Total 2 3 4 2" xfId="670"/>
    <cellStyle name="Total 2 3 4 3" xfId="922"/>
    <cellStyle name="Total 2 3 4 4" xfId="1173"/>
    <cellStyle name="Total 2 3 4 5" xfId="1423"/>
    <cellStyle name="Total 2 3 4 6" xfId="1673"/>
    <cellStyle name="Total 2 3 4 7" xfId="1923"/>
    <cellStyle name="Total 2 3 4 8" xfId="2173"/>
    <cellStyle name="Total 2 3 4 9" xfId="2425"/>
    <cellStyle name="Total 2 3 5" xfId="314"/>
    <cellStyle name="Total 2 3 6" xfId="568"/>
    <cellStyle name="Total 2 3 7" xfId="820"/>
    <cellStyle name="Total 2 3 8" xfId="1070"/>
    <cellStyle name="Total 2 3 9" xfId="1321"/>
    <cellStyle name="Total 2 4" xfId="304"/>
    <cellStyle name="Total 2 5" xfId="296"/>
    <cellStyle name="Total 2 6" xfId="279"/>
    <cellStyle name="Warning Text" xfId="150" builtinId="11" customBuiltin="1"/>
    <cellStyle name="Warning Text 2" xfId="122"/>
  </cellStyles>
  <dxfs count="463">
    <dxf>
      <font>
        <condense val="0"/>
        <extend val="0"/>
        <color rgb="FF006100"/>
      </font>
      <fill>
        <patternFill>
          <bgColor rgb="FFC6EFCE"/>
        </patternFill>
      </fill>
    </dxf>
    <dxf>
      <font>
        <color theme="5" tint="-0.499984740745262"/>
      </font>
      <fill>
        <patternFill>
          <bgColor theme="5" tint="0.59996337778862885"/>
        </patternFill>
      </fill>
    </dxf>
    <dxf>
      <font>
        <condense val="0"/>
        <extend val="0"/>
        <color rgb="FF006100"/>
      </font>
      <fill>
        <patternFill>
          <bgColor rgb="FFC6EFCE"/>
        </patternFill>
      </fill>
    </dxf>
    <dxf>
      <font>
        <color theme="5" tint="-0.499984740745262"/>
      </font>
      <fill>
        <patternFill>
          <bgColor theme="5" tint="0.59996337778862885"/>
        </patternFill>
      </fill>
    </dxf>
    <dxf>
      <font>
        <condense val="0"/>
        <extend val="0"/>
        <color rgb="FF006100"/>
      </font>
      <fill>
        <patternFill>
          <bgColor rgb="FFC6EFCE"/>
        </patternFill>
      </fill>
    </dxf>
    <dxf>
      <font>
        <color theme="5" tint="-0.499984740745262"/>
      </font>
      <fill>
        <patternFill>
          <bgColor theme="5" tint="0.59996337778862885"/>
        </patternFill>
      </fill>
    </dxf>
    <dxf>
      <font>
        <condense val="0"/>
        <extend val="0"/>
        <color rgb="FF006100"/>
      </font>
      <fill>
        <patternFill>
          <bgColor rgb="FFC6EFCE"/>
        </patternFill>
      </fill>
    </dxf>
    <dxf>
      <font>
        <color theme="5" tint="-0.499984740745262"/>
      </font>
      <fill>
        <patternFill>
          <bgColor theme="5" tint="0.59996337778862885"/>
        </patternFill>
      </fill>
    </dxf>
    <dxf>
      <font>
        <condense val="0"/>
        <extend val="0"/>
        <color rgb="FF006100"/>
      </font>
      <fill>
        <patternFill>
          <bgColor rgb="FFC6EFCE"/>
        </patternFill>
      </fill>
    </dxf>
    <dxf>
      <font>
        <color theme="5" tint="-0.499984740745262"/>
      </font>
      <fill>
        <patternFill>
          <bgColor theme="5" tint="0.59996337778862885"/>
        </patternFill>
      </fill>
    </dxf>
    <dxf>
      <font>
        <condense val="0"/>
        <extend val="0"/>
        <color rgb="FF006100"/>
      </font>
      <fill>
        <patternFill>
          <bgColor rgb="FFC6EFCE"/>
        </patternFill>
      </fill>
    </dxf>
    <dxf>
      <font>
        <color theme="5" tint="-0.499984740745262"/>
      </font>
      <fill>
        <patternFill>
          <bgColor theme="5"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theme="5" tint="-0.499984740745262"/>
      </font>
      <fill>
        <patternFill>
          <bgColor theme="5" tint="0.79998168889431442"/>
        </patternFill>
      </fill>
    </dxf>
    <dxf>
      <font>
        <condense val="0"/>
        <extend val="0"/>
        <color rgb="FF006100"/>
      </font>
      <fill>
        <patternFill>
          <bgColor rgb="FFC6EFCE"/>
        </patternFill>
      </fill>
    </dxf>
    <dxf>
      <font>
        <color theme="5" tint="-0.499984740745262"/>
      </font>
      <fill>
        <patternFill>
          <bgColor theme="5" tint="0.59996337778862885"/>
        </patternFill>
      </fill>
    </dxf>
    <dxf>
      <font>
        <condense val="0"/>
        <extend val="0"/>
        <color rgb="FF006100"/>
      </font>
      <fill>
        <patternFill>
          <bgColor rgb="FFC6EFCE"/>
        </patternFill>
      </fill>
    </dxf>
    <dxf>
      <font>
        <color theme="5" tint="-0.499984740745262"/>
      </font>
      <fill>
        <patternFill>
          <bgColor theme="5" tint="0.59996337778862885"/>
        </patternFill>
      </fill>
    </dxf>
    <dxf>
      <font>
        <condense val="0"/>
        <extend val="0"/>
        <color rgb="FF006100"/>
      </font>
      <fill>
        <patternFill>
          <bgColor rgb="FFC6EFCE"/>
        </patternFill>
      </fill>
    </dxf>
    <dxf>
      <font>
        <color theme="5" tint="-0.499984740745262"/>
      </font>
      <fill>
        <patternFill>
          <bgColor theme="5" tint="0.79998168889431442"/>
        </patternFill>
      </fill>
    </dxf>
    <dxf>
      <font>
        <condense val="0"/>
        <extend val="0"/>
        <color rgb="FF006100"/>
      </font>
      <fill>
        <patternFill>
          <bgColor rgb="FFC6EFCE"/>
        </patternFill>
      </fill>
    </dxf>
    <dxf>
      <font>
        <color theme="5" tint="-0.499984740745262"/>
      </font>
      <fill>
        <patternFill>
          <bgColor theme="5" tint="0.79998168889431442"/>
        </patternFill>
      </fill>
    </dxf>
    <dxf>
      <font>
        <condense val="0"/>
        <extend val="0"/>
        <color rgb="FF006100"/>
      </font>
      <fill>
        <patternFill>
          <bgColor rgb="FFC6EFCE"/>
        </patternFill>
      </fill>
    </dxf>
    <dxf>
      <font>
        <color theme="5" tint="-0.499984740745262"/>
      </font>
      <fill>
        <patternFill>
          <bgColor theme="5" tint="0.79998168889431442"/>
        </patternFill>
      </fill>
    </dxf>
    <dxf>
      <font>
        <condense val="0"/>
        <extend val="0"/>
        <color rgb="FF006100"/>
      </font>
      <fill>
        <patternFill>
          <bgColor rgb="FFC6EFCE"/>
        </patternFill>
      </fill>
    </dxf>
    <dxf>
      <font>
        <color theme="5" tint="-0.499984740745262"/>
      </font>
      <fill>
        <patternFill>
          <bgColor theme="5" tint="0.59996337778862885"/>
        </patternFill>
      </fill>
    </dxf>
    <dxf>
      <font>
        <condense val="0"/>
        <extend val="0"/>
        <color rgb="FF006100"/>
      </font>
      <fill>
        <patternFill>
          <bgColor rgb="FFC6EFCE"/>
        </patternFill>
      </fill>
    </dxf>
    <dxf>
      <font>
        <color theme="5" tint="-0.499984740745262"/>
      </font>
      <fill>
        <patternFill>
          <bgColor theme="5" tint="0.59996337778862885"/>
        </patternFill>
      </fill>
    </dxf>
    <dxf>
      <font>
        <condense val="0"/>
        <extend val="0"/>
        <color rgb="FF006100"/>
      </font>
      <fill>
        <patternFill>
          <bgColor rgb="FFC6EFCE"/>
        </patternFill>
      </fill>
    </dxf>
    <dxf>
      <font>
        <color theme="5" tint="-0.499984740745262"/>
      </font>
      <fill>
        <patternFill>
          <bgColor theme="5"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theme="5" tint="-0.499984740745262"/>
      </font>
      <fill>
        <patternFill>
          <bgColor theme="5" tint="0.59996337778862885"/>
        </patternFill>
      </fill>
    </dxf>
    <dxf>
      <font>
        <condense val="0"/>
        <extend val="0"/>
        <color rgb="FF006100"/>
      </font>
      <fill>
        <patternFill>
          <bgColor rgb="FFC6EFCE"/>
        </patternFill>
      </fill>
    </dxf>
    <dxf>
      <font>
        <color theme="5" tint="-0.499984740745262"/>
      </font>
      <fill>
        <patternFill>
          <bgColor theme="5" tint="0.59996337778862885"/>
        </patternFill>
      </fill>
    </dxf>
    <dxf>
      <font>
        <condense val="0"/>
        <extend val="0"/>
        <color rgb="FF006100"/>
      </font>
      <fill>
        <patternFill>
          <bgColor rgb="FFC6EFCE"/>
        </patternFill>
      </fill>
    </dxf>
    <dxf>
      <font>
        <color theme="5" tint="-0.499984740745262"/>
      </font>
      <fill>
        <patternFill>
          <bgColor theme="5" tint="0.59996337778862885"/>
        </patternFill>
      </fill>
    </dxf>
    <dxf>
      <font>
        <condense val="0"/>
        <extend val="0"/>
        <color rgb="FF006100"/>
      </font>
      <fill>
        <patternFill>
          <bgColor rgb="FFC6EFCE"/>
        </patternFill>
      </fill>
    </dxf>
    <dxf>
      <font>
        <color theme="5" tint="-0.499984740745262"/>
      </font>
      <fill>
        <patternFill>
          <bgColor theme="5" tint="0.79998168889431442"/>
        </patternFill>
      </fill>
    </dxf>
    <dxf>
      <font>
        <condense val="0"/>
        <extend val="0"/>
        <color rgb="FF006100"/>
      </font>
      <fill>
        <patternFill>
          <bgColor rgb="FFC6EFCE"/>
        </patternFill>
      </fill>
    </dxf>
    <dxf>
      <font>
        <color theme="5" tint="-0.499984740745262"/>
      </font>
      <fill>
        <patternFill>
          <bgColor theme="5" tint="0.59996337778862885"/>
        </patternFill>
      </fill>
    </dxf>
    <dxf>
      <font>
        <condense val="0"/>
        <extend val="0"/>
        <color rgb="FF006100"/>
      </font>
      <fill>
        <patternFill>
          <bgColor rgb="FFC6EFCE"/>
        </patternFill>
      </fill>
    </dxf>
    <dxf>
      <font>
        <color theme="5" tint="-0.499984740745262"/>
      </font>
      <fill>
        <patternFill>
          <bgColor theme="5"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lor theme="5" tint="-0.499984740745262"/>
      </font>
      <fill>
        <patternFill>
          <bgColor theme="5" tint="0.59996337778862885"/>
        </patternFill>
      </fill>
    </dxf>
    <dxf>
      <font>
        <condense val="0"/>
        <extend val="0"/>
        <color rgb="FF006100"/>
      </font>
      <fill>
        <patternFill>
          <bgColor rgb="FFC6EFCE"/>
        </patternFill>
      </fill>
    </dxf>
    <dxf>
      <font>
        <color theme="5" tint="-0.499984740745262"/>
      </font>
      <fill>
        <patternFill>
          <bgColor theme="5"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lor theme="5" tint="-0.499984740745262"/>
      </font>
      <fill>
        <patternFill>
          <bgColor theme="5"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theme="5" tint="-0.499984740745262"/>
      </font>
      <fill>
        <patternFill>
          <bgColor theme="5" tint="0.59996337778862885"/>
        </patternFill>
      </fill>
    </dxf>
    <dxf>
      <font>
        <color rgb="FF00B050"/>
      </font>
      <fill>
        <patternFill>
          <bgColor theme="6" tint="0.39994506668294322"/>
        </patternFill>
      </fill>
    </dxf>
    <dxf>
      <font>
        <color rgb="FF00B050"/>
      </font>
      <fill>
        <patternFill>
          <bgColor theme="6" tint="0.39994506668294322"/>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ndense val="0"/>
        <extend val="0"/>
        <color rgb="FF006100"/>
      </font>
      <fill>
        <patternFill>
          <bgColor rgb="FFC6EFCE"/>
        </patternFill>
      </fill>
    </dxf>
    <dxf>
      <font>
        <color rgb="FF7030A0"/>
      </font>
      <fill>
        <patternFill>
          <bgColor theme="7" tint="0.59996337778862885"/>
        </patternFill>
      </fill>
    </dxf>
    <dxf>
      <font>
        <color rgb="FFC00000"/>
      </font>
      <fill>
        <patternFill>
          <bgColor theme="5"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lor rgb="FF7030A0"/>
      </font>
      <fill>
        <patternFill>
          <bgColor theme="7" tint="0.59996337778862885"/>
        </patternFill>
      </fill>
    </dxf>
    <dxf>
      <font>
        <color rgb="FFC00000"/>
      </font>
      <fill>
        <patternFill>
          <bgColor theme="5"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lor rgb="FFC00000"/>
      </font>
      <fill>
        <patternFill>
          <bgColor theme="5" tint="0.59996337778862885"/>
        </patternFill>
      </fill>
    </dxf>
    <dxf>
      <font>
        <color rgb="FFC00000"/>
      </font>
      <fill>
        <patternFill>
          <bgColor theme="5"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lor rgb="FFC00000"/>
      </font>
      <fill>
        <patternFill>
          <bgColor theme="5" tint="0.59996337778862885"/>
        </patternFill>
      </fill>
    </dxf>
    <dxf>
      <font>
        <color rgb="FFC00000"/>
      </font>
      <fill>
        <patternFill>
          <bgColor theme="5" tint="0.59996337778862885"/>
        </patternFill>
      </fill>
    </dxf>
    <dxf>
      <fill>
        <patternFill>
          <bgColor rgb="FFFFFFCC"/>
        </patternFill>
      </fill>
    </dxf>
    <dxf>
      <font>
        <color theme="8" tint="-0.499984740745262"/>
      </font>
      <fill>
        <patternFill>
          <bgColor theme="8" tint="0.39994506668294322"/>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ont>
        <color theme="8" tint="-0.499984740745262"/>
      </font>
      <fill>
        <patternFill>
          <bgColor theme="8" tint="0.39994506668294322"/>
        </patternFill>
      </fill>
    </dxf>
    <dxf>
      <font>
        <color theme="8" tint="-0.499984740745262"/>
      </font>
      <fill>
        <patternFill>
          <bgColor theme="8" tint="0.39994506668294322"/>
        </patternFill>
      </fill>
    </dxf>
    <dxf>
      <font>
        <color theme="7" tint="-0.24994659260841701"/>
      </font>
      <fill>
        <patternFill>
          <bgColor theme="7" tint="0.59996337778862885"/>
        </patternFill>
      </fill>
    </dxf>
    <dxf>
      <font>
        <color theme="9" tint="-0.499984740745262"/>
      </font>
      <fill>
        <patternFill>
          <bgColor theme="9" tint="0.39994506668294322"/>
        </patternFill>
      </fill>
    </dxf>
    <dxf>
      <fill>
        <patternFill>
          <bgColor theme="5" tint="0.59996337778862885"/>
        </patternFill>
      </fill>
    </dxf>
    <dxf>
      <font>
        <color rgb="FF006100"/>
      </font>
      <fill>
        <patternFill>
          <bgColor rgb="FFC6EFCE"/>
        </patternFill>
      </fill>
    </dxf>
    <dxf>
      <font>
        <color rgb="FFC00000"/>
      </font>
      <fill>
        <patternFill>
          <bgColor theme="5" tint="0.59996337778862885"/>
        </patternFill>
      </fill>
    </dxf>
    <dxf>
      <fill>
        <patternFill>
          <bgColor theme="0"/>
        </patternFill>
      </fill>
    </dxf>
    <dxf>
      <fill>
        <patternFill>
          <bgColor theme="0"/>
        </patternFill>
      </fill>
    </dxf>
    <dxf>
      <fill>
        <patternFill>
          <bgColor theme="5" tint="0.59996337778862885"/>
        </patternFill>
      </fill>
    </dxf>
    <dxf>
      <fill>
        <patternFill>
          <bgColor theme="0"/>
        </patternFill>
      </fill>
    </dxf>
    <dxf>
      <fill>
        <patternFill>
          <bgColor theme="0"/>
        </patternFill>
      </fill>
    </dxf>
    <dxf>
      <font>
        <condense val="0"/>
        <extend val="0"/>
        <color rgb="FF006100"/>
      </font>
      <fill>
        <patternFill>
          <bgColor rgb="FFC6EF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ndense val="0"/>
        <extend val="0"/>
        <color rgb="FF006100"/>
      </font>
      <fill>
        <patternFill>
          <bgColor rgb="FFC6EFCE"/>
        </patternFill>
      </fill>
    </dxf>
    <dxf>
      <font>
        <color rgb="FFC00000"/>
      </font>
      <fill>
        <patternFill>
          <bgColor theme="5" tint="0.59996337778862885"/>
        </patternFill>
      </fill>
    </dxf>
    <dxf>
      <font>
        <color rgb="FF008000"/>
      </font>
      <fill>
        <patternFill>
          <bgColor rgb="FFCCFFCC"/>
        </patternFill>
      </fill>
    </dxf>
    <dxf>
      <font>
        <color rgb="FFC00000"/>
      </font>
      <fill>
        <patternFill>
          <bgColor theme="5" tint="0.59996337778862885"/>
        </patternFill>
      </fill>
    </dxf>
    <dxf>
      <font>
        <color rgb="FF008000"/>
      </font>
      <fill>
        <patternFill>
          <bgColor rgb="FFCCFFCC"/>
        </patternFill>
      </fill>
    </dxf>
    <dxf>
      <font>
        <color rgb="FFC00000"/>
      </font>
      <fill>
        <patternFill>
          <bgColor theme="5" tint="0.59996337778862885"/>
        </patternFill>
      </fill>
    </dxf>
    <dxf>
      <font>
        <color rgb="FFC00000"/>
      </font>
      <fill>
        <patternFill>
          <bgColor theme="5" tint="0.59996337778862885"/>
        </patternFill>
      </fill>
    </dxf>
    <dxf>
      <font>
        <condense val="0"/>
        <extend val="0"/>
        <color rgb="FF006100"/>
      </font>
      <fill>
        <patternFill>
          <bgColor rgb="FFC6EFCE"/>
        </patternFill>
      </fill>
    </dxf>
    <dxf>
      <font>
        <b/>
        <i val="0"/>
        <color rgb="FFFF0000"/>
      </font>
    </dxf>
    <dxf>
      <font>
        <b/>
        <i val="0"/>
        <color rgb="FFFF0000"/>
      </font>
    </dxf>
    <dxf>
      <font>
        <b/>
        <i val="0"/>
      </font>
      <fill>
        <patternFill>
          <bgColor rgb="FFFF3300"/>
        </patternFill>
      </fill>
    </dxf>
    <dxf>
      <font>
        <b/>
        <i val="0"/>
      </font>
      <fill>
        <patternFill>
          <bgColor rgb="FFFF6699"/>
        </patternFill>
      </fill>
    </dxf>
    <dxf>
      <fill>
        <patternFill>
          <bgColor rgb="FFFFFF00"/>
        </patternFill>
      </fill>
    </dxf>
    <dxf>
      <fill>
        <patternFill>
          <bgColor rgb="FFFFC000"/>
        </patternFill>
      </fill>
    </dxf>
    <dxf>
      <fill>
        <patternFill>
          <bgColor rgb="FFFFC000"/>
        </patternFill>
      </fill>
    </dxf>
    <dxf>
      <fill>
        <patternFill>
          <bgColor rgb="FFFFFF00"/>
        </patternFill>
      </fill>
    </dxf>
    <dxf>
      <font>
        <b/>
        <i val="0"/>
        <color rgb="FFFF0000"/>
      </font>
    </dxf>
    <dxf>
      <font>
        <b/>
        <i val="0"/>
      </font>
      <fill>
        <patternFill>
          <bgColor rgb="FFFF6699"/>
        </patternFill>
      </fill>
    </dxf>
    <dxf>
      <font>
        <b/>
        <i val="0"/>
        <color rgb="FFFF0000"/>
      </font>
    </dxf>
    <dxf>
      <font>
        <b/>
        <i val="0"/>
      </font>
      <fill>
        <patternFill>
          <bgColor rgb="FFFF3300"/>
        </patternFill>
      </fill>
    </dxf>
    <dxf>
      <font>
        <b/>
        <i val="0"/>
        <color rgb="FFFF0000"/>
      </font>
    </dxf>
    <dxf>
      <font>
        <b/>
        <i val="0"/>
        <color rgb="FFFF0000"/>
      </font>
    </dxf>
    <dxf>
      <font>
        <b/>
        <i val="0"/>
        <color rgb="FFFF0000"/>
      </font>
    </dxf>
    <dxf>
      <fill>
        <patternFill>
          <bgColor rgb="FFFFFF00"/>
        </patternFill>
      </fill>
    </dxf>
    <dxf>
      <font>
        <b/>
        <i/>
        <color rgb="FFFF000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border diagonalUp="0" diagonalDown="0">
        <left style="thin">
          <color indexed="64"/>
        </left>
        <right/>
        <top style="thin">
          <color indexed="64"/>
        </top>
        <bottom style="thin">
          <color indexed="64"/>
        </bottom>
      </border>
    </dxf>
    <dxf>
      <border diagonalUp="0" diagonalDown="0">
        <left style="thin">
          <color indexed="64"/>
        </left>
        <right/>
        <top style="thin">
          <color indexed="64"/>
        </top>
        <bottom style="thin">
          <color indexed="64"/>
        </bottom>
      </border>
    </dxf>
    <dxf>
      <border diagonalUp="0" diagonalDown="0">
        <left style="thin">
          <color indexed="64"/>
        </left>
        <right/>
        <top style="thin">
          <color indexed="64"/>
        </top>
        <bottom style="thin">
          <color indexed="64"/>
        </bottom>
      </border>
    </dxf>
    <dxf>
      <border diagonalUp="0" diagonalDown="0">
        <left style="thin">
          <color indexed="64"/>
        </left>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CC"/>
        </patternFill>
      </fill>
    </dxf>
    <dxf>
      <font>
        <condense val="0"/>
        <extend val="0"/>
        <color rgb="FF006100"/>
      </font>
      <fill>
        <patternFill>
          <bgColor rgb="FFC6EFCE"/>
        </patternFill>
      </fill>
    </dxf>
    <dxf>
      <font>
        <color rgb="FFC00000"/>
      </font>
      <fill>
        <patternFill>
          <bgColor theme="5" tint="0.59996337778862885"/>
        </patternFill>
      </fill>
    </dxf>
    <dxf>
      <font>
        <condense val="0"/>
        <extend val="0"/>
        <color rgb="FF006100"/>
      </font>
      <fill>
        <patternFill>
          <bgColor rgb="FFC6EFCE"/>
        </patternFill>
      </fill>
    </dxf>
    <dxf>
      <font>
        <color rgb="FFC00000"/>
      </font>
      <fill>
        <patternFill>
          <bgColor theme="5" tint="0.59996337778862885"/>
        </patternFill>
      </fill>
    </dxf>
    <dxf>
      <font>
        <condense val="0"/>
        <extend val="0"/>
        <color rgb="FF006100"/>
      </font>
      <fill>
        <patternFill>
          <bgColor rgb="FFC6EFCE"/>
        </patternFill>
      </fill>
    </dxf>
    <dxf>
      <font>
        <color rgb="FFC00000"/>
      </font>
      <fill>
        <patternFill>
          <bgColor theme="5" tint="0.59996337778862885"/>
        </patternFill>
      </fill>
    </dxf>
    <dxf>
      <font>
        <condense val="0"/>
        <extend val="0"/>
        <color rgb="FF006100"/>
      </font>
      <fill>
        <patternFill>
          <bgColor rgb="FFC6EFCE"/>
        </patternFill>
      </fill>
    </dxf>
    <dxf>
      <font>
        <color rgb="FFC00000"/>
      </font>
      <fill>
        <patternFill>
          <bgColor theme="5" tint="0.59996337778862885"/>
        </patternFill>
      </fill>
    </dxf>
    <dxf>
      <font>
        <condense val="0"/>
        <extend val="0"/>
        <color rgb="FF006100"/>
      </font>
      <fill>
        <patternFill>
          <bgColor rgb="FFC6EFCE"/>
        </patternFill>
      </fill>
    </dxf>
    <dxf>
      <font>
        <color rgb="FFC00000"/>
      </font>
      <fill>
        <patternFill>
          <bgColor theme="5"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lor rgb="FFC00000"/>
      </font>
      <fill>
        <patternFill>
          <bgColor theme="5" tint="0.59996337778862885"/>
        </patternFill>
      </fill>
    </dxf>
    <dxf>
      <font>
        <condense val="0"/>
        <extend val="0"/>
        <color rgb="FF006100"/>
      </font>
      <fill>
        <patternFill>
          <bgColor rgb="FFC6EFCE"/>
        </patternFill>
      </fill>
    </dxf>
    <dxf>
      <font>
        <color rgb="FFC00000"/>
      </font>
      <fill>
        <patternFill>
          <bgColor theme="5" tint="0.59996337778862885"/>
        </patternFill>
      </fill>
    </dxf>
    <dxf>
      <font>
        <color rgb="FF006100"/>
      </font>
      <fill>
        <patternFill>
          <bgColor rgb="FFC6EFCE"/>
        </patternFill>
      </fill>
    </dxf>
    <dxf>
      <font>
        <color rgb="FFC00000"/>
      </font>
      <fill>
        <patternFill>
          <bgColor theme="5" tint="0.59996337778862885"/>
        </patternFill>
      </fill>
    </dxf>
    <dxf>
      <font>
        <color rgb="FF006100"/>
      </font>
      <fill>
        <patternFill>
          <bgColor rgb="FFC6EFCE"/>
        </patternFill>
      </fill>
    </dxf>
    <dxf>
      <font>
        <color rgb="FFC00000"/>
      </font>
      <fill>
        <patternFill>
          <bgColor theme="5" tint="0.59996337778862885"/>
        </patternFill>
      </fill>
    </dxf>
    <dxf>
      <font>
        <color rgb="FF006100"/>
      </font>
      <fill>
        <patternFill>
          <bgColor rgb="FFC6EFCE"/>
        </patternFill>
      </fill>
    </dxf>
    <dxf>
      <font>
        <color rgb="FFC00000"/>
      </font>
      <fill>
        <patternFill>
          <bgColor theme="5" tint="0.59996337778862885"/>
        </patternFill>
      </fill>
    </dxf>
    <dxf>
      <font>
        <color rgb="FF006100"/>
      </font>
      <fill>
        <patternFill>
          <bgColor rgb="FFC6EFCE"/>
        </patternFill>
      </fill>
    </dxf>
    <dxf>
      <font>
        <color rgb="FFC00000"/>
      </font>
      <fill>
        <patternFill>
          <bgColor theme="5" tint="0.59996337778862885"/>
        </patternFill>
      </fill>
    </dxf>
    <dxf>
      <fill>
        <patternFill>
          <bgColor theme="0"/>
        </patternFill>
      </fill>
    </dxf>
    <dxf>
      <fill>
        <patternFill>
          <bgColor theme="0"/>
        </patternFill>
      </fill>
    </dxf>
    <dxf>
      <fill>
        <patternFill>
          <bgColor theme="0"/>
        </patternFill>
      </fill>
    </dxf>
    <dxf>
      <fill>
        <patternFill>
          <bgColor theme="0"/>
        </patternFill>
      </fill>
    </dxf>
    <dxf>
      <font>
        <color rgb="FF006600"/>
      </font>
      <fill>
        <patternFill>
          <bgColor rgb="FFC6EFCE"/>
        </patternFill>
      </fill>
    </dxf>
    <dxf>
      <font>
        <color rgb="FFC00000"/>
      </font>
      <fill>
        <patternFill>
          <bgColor theme="5" tint="0.59996337778862885"/>
        </patternFill>
      </fill>
    </dxf>
    <dxf>
      <font>
        <condense val="0"/>
        <extend val="0"/>
        <color rgb="FF006100"/>
      </font>
      <fill>
        <patternFill>
          <bgColor rgb="FFC6EFCE"/>
        </patternFill>
      </fill>
    </dxf>
    <dxf>
      <font>
        <color rgb="FFC00000"/>
      </font>
      <fill>
        <patternFill>
          <bgColor theme="5" tint="0.59996337778862885"/>
        </patternFill>
      </fill>
    </dxf>
    <dxf>
      <font>
        <color rgb="FF006600"/>
      </font>
      <fill>
        <patternFill>
          <bgColor rgb="FFCCFFCC"/>
        </patternFill>
      </fill>
    </dxf>
    <dxf>
      <font>
        <color rgb="FFC00000"/>
      </font>
      <fill>
        <patternFill>
          <bgColor theme="5" tint="0.59996337778862885"/>
        </patternFill>
      </fill>
    </dxf>
    <dxf>
      <font>
        <condense val="0"/>
        <extend val="0"/>
        <color rgb="FF006100"/>
      </font>
      <fill>
        <patternFill>
          <bgColor rgb="FFC6EFCE"/>
        </patternFill>
      </fill>
    </dxf>
    <dxf>
      <font>
        <color rgb="FFC00000"/>
      </font>
      <fill>
        <patternFill>
          <bgColor theme="5" tint="0.59996337778862885"/>
        </patternFill>
      </fill>
    </dxf>
    <dxf>
      <font>
        <color rgb="FF006600"/>
      </font>
      <fill>
        <patternFill>
          <bgColor rgb="FFCCFFCC"/>
        </patternFill>
      </fill>
    </dxf>
    <dxf>
      <font>
        <color rgb="FFC00000"/>
      </font>
      <fill>
        <patternFill>
          <bgColor theme="5"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ndense val="0"/>
        <extend val="0"/>
        <color rgb="FF006100"/>
      </font>
      <fill>
        <patternFill>
          <bgColor rgb="FFC6EFCE"/>
        </patternFill>
      </fill>
    </dxf>
    <dxf>
      <font>
        <color rgb="FFC00000"/>
      </font>
      <fill>
        <patternFill>
          <bgColor theme="5" tint="0.59996337778862885"/>
        </patternFill>
      </fill>
    </dxf>
    <dxf>
      <font>
        <condense val="0"/>
        <extend val="0"/>
        <color rgb="FF006100"/>
      </font>
      <fill>
        <patternFill>
          <bgColor rgb="FFC6EFCE"/>
        </patternFill>
      </fill>
    </dxf>
    <dxf>
      <font>
        <color rgb="FFFF0000"/>
      </font>
      <fill>
        <patternFill>
          <bgColor theme="5" tint="0.59996337778862885"/>
        </patternFill>
      </fill>
    </dxf>
    <dxf>
      <font>
        <condense val="0"/>
        <extend val="0"/>
        <color rgb="FF006100"/>
      </font>
      <fill>
        <patternFill>
          <bgColor rgb="FFC6EFCE"/>
        </patternFill>
      </fill>
    </dxf>
    <dxf>
      <font>
        <color rgb="FFC00000"/>
      </font>
      <fill>
        <patternFill>
          <bgColor theme="5" tint="0.59996337778862885"/>
        </patternFill>
      </fill>
    </dxf>
    <dxf>
      <font>
        <condense val="0"/>
        <extend val="0"/>
        <color rgb="FF006100"/>
      </font>
      <fill>
        <patternFill>
          <bgColor rgb="FFC6EFCE"/>
        </patternFill>
      </fill>
    </dxf>
    <dxf>
      <font>
        <color rgb="FFC00000"/>
      </font>
      <fill>
        <patternFill>
          <bgColor theme="5" tint="0.59996337778862885"/>
        </patternFill>
      </fill>
    </dxf>
    <dxf>
      <font>
        <condense val="0"/>
        <extend val="0"/>
        <color rgb="FF006100"/>
      </font>
      <fill>
        <patternFill>
          <bgColor rgb="FFC6EFCE"/>
        </patternFill>
      </fill>
    </dxf>
    <dxf>
      <font>
        <color rgb="FFC00000"/>
      </font>
      <fill>
        <patternFill>
          <bgColor theme="5" tint="0.59996337778862885"/>
        </patternFill>
      </fill>
    </dxf>
    <dxf>
      <font>
        <condense val="0"/>
        <extend val="0"/>
        <color rgb="FF006100"/>
      </font>
      <fill>
        <patternFill>
          <bgColor rgb="FFC6EFCE"/>
        </patternFill>
      </fill>
    </dxf>
    <dxf>
      <font>
        <color rgb="FFC00000"/>
      </font>
      <fill>
        <patternFill>
          <bgColor theme="5" tint="0.59996337778862885"/>
        </patternFill>
      </fill>
    </dxf>
    <dxf>
      <fill>
        <patternFill>
          <bgColor theme="0"/>
        </patternFill>
      </fill>
    </dxf>
    <dxf>
      <fill>
        <patternFill>
          <bgColor theme="0"/>
        </patternFill>
      </fill>
    </dxf>
    <dxf>
      <fill>
        <patternFill>
          <bgColor theme="0"/>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dxf>
    <dxf>
      <font>
        <b/>
        <i val="0"/>
        <color rgb="FFFF0000"/>
      </font>
    </dxf>
    <dxf>
      <fill>
        <patternFill>
          <bgColor theme="5" tint="0.59996337778862885"/>
        </patternFill>
      </fill>
    </dxf>
    <dxf>
      <font>
        <b/>
        <i val="0"/>
        <color rgb="FFC00000"/>
      </font>
      <fill>
        <patternFill>
          <bgColor theme="5" tint="0.59996337778862885"/>
        </patternFill>
      </fill>
    </dxf>
    <dxf>
      <font>
        <b/>
        <i val="0"/>
        <color rgb="FFC00000"/>
      </font>
      <fill>
        <patternFill>
          <bgColor theme="5" tint="0.59996337778862885"/>
        </patternFill>
      </fill>
    </dxf>
    <dxf>
      <font>
        <b/>
        <i val="0"/>
        <color rgb="FFC00000"/>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C00000"/>
      </font>
      <fill>
        <patternFill>
          <bgColor theme="5" tint="0.59996337778862885"/>
        </patternFill>
      </fill>
    </dxf>
    <dxf>
      <font>
        <b/>
        <i val="0"/>
        <color rgb="FFC00000"/>
      </font>
      <fill>
        <patternFill patternType="none">
          <bgColor auto="1"/>
        </patternFill>
      </fill>
    </dxf>
    <dxf>
      <font>
        <b/>
        <i val="0"/>
        <color rgb="FFC00000"/>
      </font>
      <fill>
        <patternFill patternType="none">
          <bgColor auto="1"/>
        </patternFill>
      </fill>
    </dxf>
    <dxf>
      <font>
        <b/>
        <i val="0"/>
        <color rgb="FFC00000"/>
      </font>
      <fill>
        <patternFill>
          <bgColor theme="5" tint="0.59996337778862885"/>
        </patternFill>
      </fill>
    </dxf>
    <dxf>
      <font>
        <b/>
        <i val="0"/>
        <color rgb="FFC00000"/>
      </font>
      <fill>
        <patternFill>
          <bgColor theme="5" tint="0.59996337778862885"/>
        </patternFill>
      </fill>
    </dxf>
    <dxf>
      <font>
        <b/>
        <i val="0"/>
        <color rgb="FFC00000"/>
      </font>
      <fill>
        <patternFill>
          <bgColor theme="5" tint="0.59996337778862885"/>
        </patternFill>
      </fill>
    </dxf>
    <dxf>
      <font>
        <condense val="0"/>
        <extend val="0"/>
        <color rgb="FF006100"/>
      </font>
      <fill>
        <patternFill>
          <bgColor rgb="FFC6EFCE"/>
        </patternFill>
      </fill>
    </dxf>
    <dxf>
      <font>
        <color rgb="FFC00000"/>
      </font>
      <fill>
        <patternFill>
          <bgColor theme="5" tint="0.59996337778862885"/>
        </patternFill>
      </fill>
    </dxf>
    <dxf>
      <fill>
        <patternFill>
          <bgColor theme="0"/>
        </patternFill>
      </fill>
    </dxf>
    <dxf>
      <fill>
        <patternFill>
          <bgColor theme="0"/>
        </patternFill>
      </fill>
    </dxf>
    <dxf>
      <fill>
        <patternFill>
          <bgColor theme="0"/>
        </patternFill>
      </fill>
    </dxf>
    <dxf>
      <fill>
        <patternFill>
          <bgColor theme="0"/>
        </patternFill>
      </fill>
    </dxf>
    <dxf>
      <font>
        <color rgb="FF006600"/>
      </font>
      <fill>
        <patternFill>
          <bgColor rgb="FFC6EFCE"/>
        </patternFill>
      </fill>
    </dxf>
    <dxf>
      <font>
        <color rgb="FFC00000"/>
      </font>
      <fill>
        <patternFill>
          <bgColor theme="5" tint="0.59996337778862885"/>
        </patternFill>
      </fill>
    </dxf>
    <dxf>
      <font>
        <color rgb="FF006600"/>
      </font>
      <fill>
        <patternFill>
          <bgColor rgb="FFC6EFCE"/>
        </patternFill>
      </fill>
    </dxf>
    <dxf>
      <font>
        <color rgb="FFC00000"/>
      </font>
      <fill>
        <patternFill>
          <bgColor theme="5" tint="0.59996337778862885"/>
        </patternFill>
      </fill>
    </dxf>
    <dxf>
      <font>
        <condense val="0"/>
        <extend val="0"/>
        <color rgb="FF006100"/>
      </font>
      <fill>
        <patternFill>
          <bgColor rgb="FFC6EFCE"/>
        </patternFill>
      </fill>
    </dxf>
    <dxf>
      <font>
        <color rgb="FFC00000"/>
      </font>
      <fill>
        <patternFill>
          <bgColor theme="5" tint="0.59996337778862885"/>
        </patternFill>
      </fill>
    </dxf>
    <dxf>
      <font>
        <color rgb="FF006600"/>
      </font>
      <fill>
        <patternFill>
          <bgColor rgb="FFC6EFCE"/>
        </patternFill>
      </fill>
    </dxf>
    <dxf>
      <font>
        <color rgb="FFC00000"/>
      </font>
      <fill>
        <patternFill>
          <bgColor theme="5" tint="0.59996337778862885"/>
        </patternFill>
      </fill>
    </dxf>
    <dxf>
      <font>
        <color rgb="FF006600"/>
      </font>
      <fill>
        <patternFill>
          <bgColor rgb="FFC6EFCE"/>
        </patternFill>
      </fill>
    </dxf>
    <dxf>
      <font>
        <color rgb="FFC00000"/>
      </font>
      <fill>
        <patternFill>
          <bgColor theme="5" tint="0.59996337778862885"/>
        </patternFill>
      </fill>
    </dxf>
    <dxf>
      <font>
        <color rgb="FFC00000"/>
      </font>
      <fill>
        <patternFill>
          <bgColor theme="5" tint="0.59996337778862885"/>
        </patternFill>
      </fill>
    </dxf>
    <dxf>
      <font>
        <color rgb="FF006600"/>
      </font>
      <fill>
        <patternFill>
          <bgColor rgb="FFC6EFCE"/>
        </patternFill>
      </fill>
    </dxf>
    <dxf>
      <font>
        <color rgb="FFC00000"/>
      </font>
      <fill>
        <patternFill>
          <bgColor theme="5" tint="0.59996337778862885"/>
        </patternFill>
      </fill>
    </dxf>
    <dxf>
      <font>
        <color rgb="FFC00000"/>
      </font>
      <fill>
        <patternFill>
          <bgColor theme="5"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006600"/>
      </font>
      <fill>
        <patternFill>
          <bgColor rgb="FFC6EFCE"/>
        </patternFill>
      </fill>
    </dxf>
    <dxf>
      <font>
        <color rgb="FFC00000"/>
      </font>
      <fill>
        <patternFill>
          <bgColor theme="5" tint="0.59996337778862885"/>
        </patternFill>
      </fill>
    </dxf>
    <dxf>
      <font>
        <color rgb="FF006600"/>
      </font>
      <fill>
        <patternFill>
          <bgColor rgb="FFC6EFCE"/>
        </patternFill>
      </fill>
    </dxf>
    <dxf>
      <font>
        <color rgb="FFC00000"/>
      </font>
      <fill>
        <patternFill>
          <bgColor theme="5" tint="0.59996337778862885"/>
        </patternFill>
      </fill>
    </dxf>
    <dxf>
      <font>
        <color rgb="FF006600"/>
      </font>
      <fill>
        <patternFill>
          <bgColor rgb="FFC6EFCE"/>
        </patternFill>
      </fill>
    </dxf>
    <dxf>
      <font>
        <color rgb="FFC00000"/>
      </font>
      <fill>
        <patternFill>
          <bgColor theme="5" tint="0.59996337778862885"/>
        </patternFill>
      </fill>
    </dxf>
    <dxf>
      <font>
        <condense val="0"/>
        <extend val="0"/>
        <color rgb="FF006100"/>
      </font>
      <fill>
        <patternFill>
          <bgColor rgb="FFC6EFCE"/>
        </patternFill>
      </fill>
    </dxf>
    <dxf>
      <font>
        <color rgb="FFC00000"/>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006600"/>
      </font>
      <fill>
        <patternFill>
          <bgColor rgb="FFC6EFCE"/>
        </patternFill>
      </fill>
    </dxf>
    <dxf>
      <font>
        <color rgb="FFC00000"/>
      </font>
      <fill>
        <patternFill>
          <bgColor theme="5" tint="0.59996337778862885"/>
        </patternFill>
      </fill>
    </dxf>
    <dxf>
      <font>
        <color rgb="FF006600"/>
      </font>
      <fill>
        <patternFill>
          <bgColor rgb="FFC6EFCE"/>
        </patternFill>
      </fill>
    </dxf>
    <dxf>
      <font>
        <color rgb="FFC00000"/>
      </font>
      <fill>
        <patternFill>
          <bgColor theme="5" tint="0.59996337778862885"/>
        </patternFill>
      </fill>
    </dxf>
    <dxf>
      <font>
        <color rgb="FF008000"/>
      </font>
      <fill>
        <patternFill>
          <bgColor rgb="FFCCFFCC"/>
        </patternFill>
      </fill>
    </dxf>
    <dxf>
      <font>
        <color rgb="FFC00000"/>
      </font>
      <fill>
        <patternFill>
          <bgColor theme="5" tint="0.59996337778862885"/>
        </patternFill>
      </fill>
    </dxf>
    <dxf>
      <font>
        <color rgb="FF008000"/>
      </font>
      <fill>
        <patternFill>
          <bgColor rgb="FFCCFFCC"/>
        </patternFill>
      </fill>
    </dxf>
    <dxf>
      <font>
        <color rgb="FFC00000"/>
      </font>
      <fill>
        <patternFill>
          <bgColor theme="5" tint="0.59996337778862885"/>
        </patternFill>
      </fill>
    </dxf>
    <dxf>
      <font>
        <color rgb="FFC00000"/>
      </font>
      <fill>
        <patternFill>
          <bgColor theme="5" tint="0.59996337778862885"/>
        </patternFill>
      </fill>
    </dxf>
    <dxf>
      <font>
        <condense val="0"/>
        <extend val="0"/>
        <color rgb="FF006100"/>
      </font>
      <fill>
        <patternFill>
          <bgColor rgb="FFC6EFCE"/>
        </patternFill>
      </fill>
    </dxf>
    <dxf>
      <font>
        <color rgb="FFC00000"/>
      </font>
      <fill>
        <patternFill>
          <bgColor theme="5" tint="0.59996337778862885"/>
        </patternFill>
      </fill>
    </dxf>
    <dxf>
      <font>
        <condense val="0"/>
        <extend val="0"/>
        <color rgb="FF006100"/>
      </font>
      <fill>
        <patternFill>
          <bgColor rgb="FFC6EFCE"/>
        </patternFill>
      </fill>
    </dxf>
    <dxf>
      <font>
        <color rgb="FFC00000"/>
      </font>
      <fill>
        <patternFill>
          <bgColor theme="5" tint="0.59996337778862885"/>
        </patternFill>
      </fill>
    </dxf>
    <dxf>
      <font>
        <condense val="0"/>
        <extend val="0"/>
        <color rgb="FF006100"/>
      </font>
      <fill>
        <patternFill>
          <bgColor rgb="FFC6EFCE"/>
        </patternFill>
      </fill>
    </dxf>
    <dxf>
      <font>
        <color rgb="FF008000"/>
      </font>
      <fill>
        <patternFill>
          <bgColor rgb="FFCCFFCC"/>
        </patternFill>
      </fill>
    </dxf>
    <dxf>
      <font>
        <color rgb="FFC00000"/>
      </font>
      <fill>
        <patternFill>
          <bgColor theme="5" tint="0.59996337778862885"/>
        </patternFill>
      </fill>
    </dxf>
    <dxf>
      <font>
        <color rgb="FF008000"/>
      </font>
      <fill>
        <patternFill>
          <bgColor rgb="FFCCFFCC"/>
        </patternFill>
      </fill>
    </dxf>
    <dxf>
      <font>
        <color rgb="FFC00000"/>
      </font>
      <fill>
        <patternFill>
          <bgColor theme="5" tint="0.59996337778862885"/>
        </patternFill>
      </fill>
    </dxf>
    <dxf>
      <font>
        <color rgb="FFC00000"/>
      </font>
      <fill>
        <patternFill>
          <bgColor theme="5"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C00000"/>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ndense val="0"/>
        <extend val="0"/>
        <color rgb="FF006100"/>
      </font>
      <fill>
        <patternFill>
          <bgColor rgb="FFC6EFCE"/>
        </patternFill>
      </fill>
    </dxf>
    <dxf>
      <font>
        <color theme="7" tint="-0.499984740745262"/>
      </font>
      <fill>
        <patternFill>
          <bgColor theme="7" tint="0.59996337778862885"/>
        </patternFill>
      </fill>
    </dxf>
    <dxf>
      <font>
        <color theme="7" tint="-0.499984740745262"/>
      </font>
      <fill>
        <patternFill>
          <bgColor theme="7" tint="0.59996337778862885"/>
        </patternFill>
      </fill>
    </dxf>
    <dxf>
      <font>
        <color rgb="FFC00000"/>
      </font>
      <fill>
        <patternFill>
          <bgColor theme="5" tint="0.59996337778862885"/>
        </patternFill>
      </fill>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22"/>
        </top>
      </border>
    </dxf>
    <dxf>
      <border outline="0">
        <top style="thin">
          <color indexed="8"/>
        </top>
        <bottom style="thin">
          <color indexed="22"/>
        </bottom>
      </border>
    </dxf>
    <dxf>
      <border outline="0">
        <bottom style="thin">
          <color indexed="8"/>
        </bottom>
      </border>
    </dxf>
    <dxf>
      <font>
        <b val="0"/>
        <i val="0"/>
        <strike val="0"/>
        <condense val="0"/>
        <extend val="0"/>
        <outline val="0"/>
        <shadow val="0"/>
        <u val="none"/>
        <vertAlign val="baseline"/>
        <sz val="11"/>
        <color indexed="8"/>
        <name val="Calibri"/>
        <scheme val="none"/>
      </font>
      <fill>
        <patternFill patternType="solid">
          <fgColor indexed="0"/>
          <bgColor indexed="22"/>
        </patternFill>
      </fill>
      <alignment horizontal="center"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rgb="FF000000"/>
        <name val="Calibri"/>
        <scheme val="none"/>
      </font>
      <numFmt numFmtId="195" formatCode="######\-##\-#\-######"/>
      <fill>
        <patternFill patternType="none">
          <fgColor indexed="64"/>
          <bgColor indexed="65"/>
        </patternFill>
      </fill>
      <alignment horizontal="general" vertical="center" textRotation="0" wrapText="1"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border outline="0">
        <top style="thin">
          <color rgb="FFD0D7E5"/>
        </top>
      </border>
    </dxf>
    <dxf>
      <border outline="0">
        <top style="thin">
          <color indexed="8"/>
        </top>
        <bottom style="thin">
          <color rgb="FFD0D7E5"/>
        </bottom>
      </border>
    </dxf>
    <dxf>
      <border outline="0">
        <bottom style="thin">
          <color indexed="8"/>
        </bottom>
      </border>
    </dxf>
    <dxf>
      <font>
        <b val="0"/>
        <i val="0"/>
        <strike val="0"/>
        <condense val="0"/>
        <extend val="0"/>
        <outline val="0"/>
        <shadow val="0"/>
        <u val="none"/>
        <vertAlign val="baseline"/>
        <sz val="11"/>
        <color indexed="8"/>
        <name val="Calibri"/>
        <scheme val="none"/>
      </font>
      <fill>
        <patternFill patternType="solid">
          <fgColor indexed="0"/>
          <bgColor indexed="22"/>
        </patternFill>
      </fill>
      <alignment horizontal="center"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22"/>
        </top>
      </border>
    </dxf>
    <dxf>
      <border outline="0">
        <top style="thin">
          <color indexed="8"/>
        </top>
        <bottom style="thin">
          <color indexed="22"/>
        </bottom>
      </border>
    </dxf>
    <dxf>
      <border outline="0">
        <bottom style="thin">
          <color indexed="8"/>
        </bottom>
      </border>
    </dxf>
    <dxf>
      <font>
        <b val="0"/>
        <i val="0"/>
        <strike val="0"/>
        <condense val="0"/>
        <extend val="0"/>
        <outline val="0"/>
        <shadow val="0"/>
        <u val="none"/>
        <vertAlign val="baseline"/>
        <sz val="11"/>
        <color indexed="8"/>
        <name val="Calibri"/>
        <scheme val="none"/>
      </font>
      <fill>
        <patternFill patternType="solid">
          <fgColor indexed="0"/>
          <bgColor indexed="22"/>
        </patternFill>
      </fill>
      <alignment horizontal="center" vertical="bottom" textRotation="0" wrapText="0" indent="0" justifyLastLine="0" shrinkToFit="0" readingOrder="0"/>
      <border diagonalUp="0" diagonalDown="0" outline="0">
        <left style="thin">
          <color indexed="8"/>
        </left>
        <right style="thin">
          <color indexed="8"/>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theme="9"/>
        </patternFill>
      </fill>
    </dxf>
    <dxf>
      <fill>
        <patternFill>
          <bgColor rgb="FFFFFF00"/>
        </patternFill>
      </fill>
    </dxf>
    <dxf>
      <font>
        <condense val="0"/>
        <extend val="0"/>
        <color rgb="FF006100"/>
      </font>
      <fill>
        <patternFill>
          <bgColor rgb="FFC6EFCE"/>
        </patternFill>
      </fill>
    </dxf>
    <dxf>
      <font>
        <color rgb="FFC00000"/>
      </font>
      <fill>
        <patternFill>
          <bgColor theme="5" tint="0.59996337778862885"/>
        </patternFill>
      </fill>
    </dxf>
    <dxf>
      <font>
        <condense val="0"/>
        <extend val="0"/>
        <color rgb="FF006100"/>
      </font>
      <fill>
        <patternFill>
          <bgColor rgb="FFC6EFCE"/>
        </patternFill>
      </fill>
    </dxf>
    <dxf>
      <font>
        <color rgb="FFC00000"/>
      </font>
      <fill>
        <patternFill>
          <bgColor theme="5" tint="0.59996337778862885"/>
        </patternFill>
      </fill>
    </dxf>
    <dxf>
      <font>
        <condense val="0"/>
        <extend val="0"/>
        <color rgb="FF006100"/>
      </font>
      <fill>
        <patternFill>
          <bgColor rgb="FFC6EFCE"/>
        </patternFill>
      </fill>
    </dxf>
    <dxf>
      <font>
        <color rgb="FFC00000"/>
      </font>
      <fill>
        <patternFill>
          <bgColor theme="5" tint="0.59996337778862885"/>
        </patternFill>
      </fill>
    </dxf>
    <dxf>
      <font>
        <condense val="0"/>
        <extend val="0"/>
        <color rgb="FF006100"/>
      </font>
      <fill>
        <patternFill>
          <bgColor rgb="FFC6EFCE"/>
        </patternFill>
      </fill>
    </dxf>
    <dxf>
      <font>
        <color rgb="FFC00000"/>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99"/>
      <color rgb="FFFFFFCC"/>
      <color rgb="FFCCFFCC"/>
      <color rgb="FF99FFCC"/>
      <color rgb="FF66FFCC"/>
      <color rgb="FFCCFF99"/>
      <color rgb="FFC6EFCE"/>
      <color rgb="FFE6B8B7"/>
      <color rgb="FFFFCC00"/>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721289577901"/>
          <c:y val="0.21178638167609765"/>
          <c:w val="0.76683222022414343"/>
          <c:h val="0.62735429059442216"/>
        </c:manualLayout>
      </c:layout>
      <c:barChart>
        <c:barDir val="col"/>
        <c:grouping val="clustered"/>
        <c:varyColors val="0"/>
        <c:ser>
          <c:idx val="0"/>
          <c:order val="0"/>
          <c:tx>
            <c:strRef>
              <c:f>'MD&amp;A Fincl Hghlts'!$F$58</c:f>
              <c:strCache>
                <c:ptCount val="1"/>
                <c:pt idx="0">
                  <c:v>2021</c:v>
                </c:pt>
              </c:strCache>
            </c:strRef>
          </c:tx>
          <c:spPr>
            <a:solidFill>
              <a:srgbClr val="7496C5"/>
            </a:solidFill>
            <a:ln>
              <a:noFill/>
            </a:ln>
            <a:scene3d>
              <a:camera prst="orthographicFront"/>
              <a:lightRig rig="threePt" dir="t"/>
            </a:scene3d>
            <a:sp3d>
              <a:bevelT/>
            </a:sp3d>
          </c:spPr>
          <c:invertIfNegative val="0"/>
          <c:dLbls>
            <c:dLbl>
              <c:idx val="0"/>
              <c:layout>
                <c:manualLayout>
                  <c:x val="-2.4022112953950691E-2"/>
                  <c:y val="2.166627493097917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B9-48A5-ABEC-0A23C7A7FFC9}"/>
                </c:ext>
              </c:extLst>
            </c:dLbl>
            <c:dLbl>
              <c:idx val="1"/>
              <c:layout>
                <c:manualLayout>
                  <c:x val="-1.3345618307750389E-2"/>
                  <c:y val="9.4544837330768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B9-48A5-ABEC-0A23C7A7FFC9}"/>
                </c:ext>
              </c:extLst>
            </c:dLbl>
            <c:spPr>
              <a:noFill/>
              <a:ln>
                <a:noFill/>
              </a:ln>
              <a:effectLst/>
            </c:spPr>
            <c:txPr>
              <a:bodyPr/>
              <a:lstStyle/>
              <a:p>
                <a:pPr>
                  <a:defRPr b="1" baseline="0">
                    <a:solidFill>
                      <a:sysClr val="windowText" lastClr="000000"/>
                    </a:solidFill>
                    <a:latin typeface="Garamond"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'MD&amp;A Fincl Hghlts'!$B$59:$E$61</c:f>
              <c:strCache>
                <c:ptCount val="3"/>
                <c:pt idx="0">
                  <c:v>Invested in Capital Assets, Net of Related Debt</c:v>
                </c:pt>
                <c:pt idx="1">
                  <c:v>Restricted</c:v>
                </c:pt>
                <c:pt idx="2">
                  <c:v>Unrestricted</c:v>
                </c:pt>
              </c:strCache>
            </c:strRef>
          </c:cat>
          <c:val>
            <c:numRef>
              <c:f>'MD&amp;A Fincl Hghlts'!$F$59:$F$61</c:f>
              <c:numCache>
                <c:formatCode>_(* #,##0_);_(* \(#,##0\);_(* "-"??_);_(@_)</c:formatCode>
                <c:ptCount val="3"/>
                <c:pt idx="0">
                  <c:v>0</c:v>
                </c:pt>
                <c:pt idx="1">
                  <c:v>0</c:v>
                </c:pt>
                <c:pt idx="2">
                  <c:v>0</c:v>
                </c:pt>
              </c:numCache>
            </c:numRef>
          </c:val>
          <c:extLst>
            <c:ext xmlns:c16="http://schemas.microsoft.com/office/drawing/2014/chart" uri="{C3380CC4-5D6E-409C-BE32-E72D297353CC}">
              <c16:uniqueId val="{00000002-8EB9-48A5-ABEC-0A23C7A7FFC9}"/>
            </c:ext>
          </c:extLst>
        </c:ser>
        <c:ser>
          <c:idx val="1"/>
          <c:order val="1"/>
          <c:tx>
            <c:strRef>
              <c:f>'MD&amp;A Fincl Hghlts'!$G$58</c:f>
              <c:strCache>
                <c:ptCount val="1"/>
                <c:pt idx="0">
                  <c:v>2020</c:v>
                </c:pt>
              </c:strCache>
            </c:strRef>
          </c:tx>
          <c:spPr>
            <a:solidFill>
              <a:srgbClr val="FDE69A"/>
            </a:solidFill>
            <a:ln>
              <a:noFill/>
            </a:ln>
            <a:scene3d>
              <a:camera prst="orthographicFront"/>
              <a:lightRig rig="threePt" dir="t"/>
            </a:scene3d>
            <a:sp3d>
              <a:bevelT/>
            </a:sp3d>
          </c:spPr>
          <c:invertIfNegative val="0"/>
          <c:dLbls>
            <c:dLbl>
              <c:idx val="0"/>
              <c:layout>
                <c:manualLayout>
                  <c:x val="8.0073709846502188E-3"/>
                  <c:y val="9.4544837330768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B9-48A5-ABEC-0A23C7A7FFC9}"/>
                </c:ext>
              </c:extLst>
            </c:dLbl>
            <c:dLbl>
              <c:idx val="1"/>
              <c:layout>
                <c:manualLayout>
                  <c:x val="8.0000000000000227E-3"/>
                  <c:y val="4.72813238770685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B9-48A5-ABEC-0A23C7A7FFC9}"/>
                </c:ext>
              </c:extLst>
            </c:dLbl>
            <c:dLbl>
              <c:idx val="2"/>
              <c:layout>
                <c:manualLayout>
                  <c:x val="2.1054679492133169E-5"/>
                  <c:y val="0.284486907423216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B9-48A5-ABEC-0A23C7A7FFC9}"/>
                </c:ext>
              </c:extLst>
            </c:dLbl>
            <c:spPr>
              <a:noFill/>
              <a:ln>
                <a:noFill/>
              </a:ln>
              <a:effectLst/>
            </c:spPr>
            <c:txPr>
              <a:bodyPr/>
              <a:lstStyle/>
              <a:p>
                <a:pPr>
                  <a:defRPr b="1">
                    <a:solidFill>
                      <a:sysClr val="windowText" lastClr="000000"/>
                    </a:solidFill>
                    <a:latin typeface="Garamond"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'MD&amp;A Fincl Hghlts'!$B$59:$E$61</c:f>
              <c:strCache>
                <c:ptCount val="3"/>
                <c:pt idx="0">
                  <c:v>Invested in Capital Assets, Net of Related Debt</c:v>
                </c:pt>
                <c:pt idx="1">
                  <c:v>Restricted</c:v>
                </c:pt>
                <c:pt idx="2">
                  <c:v>Unrestricted</c:v>
                </c:pt>
              </c:strCache>
            </c:strRef>
          </c:cat>
          <c:val>
            <c:numRef>
              <c:f>'MD&amp;A Fincl Hghlts'!$G$59:$G$61</c:f>
              <c:numCache>
                <c:formatCode>_(* #,##0_);_(* \(#,##0\);_(* "-"??_);_(@_)</c:formatCode>
                <c:ptCount val="3"/>
                <c:pt idx="0">
                  <c:v>#N/A</c:v>
                </c:pt>
                <c:pt idx="1">
                  <c:v>#N/A</c:v>
                </c:pt>
                <c:pt idx="2">
                  <c:v>#N/A</c:v>
                </c:pt>
              </c:numCache>
            </c:numRef>
          </c:val>
          <c:extLst>
            <c:ext xmlns:c16="http://schemas.microsoft.com/office/drawing/2014/chart" uri="{C3380CC4-5D6E-409C-BE32-E72D297353CC}">
              <c16:uniqueId val="{00000006-8EB9-48A5-ABEC-0A23C7A7FFC9}"/>
            </c:ext>
          </c:extLst>
        </c:ser>
        <c:dLbls>
          <c:showLegendKey val="0"/>
          <c:showVal val="1"/>
          <c:showCatName val="0"/>
          <c:showSerName val="0"/>
          <c:showPercent val="0"/>
          <c:showBubbleSize val="0"/>
        </c:dLbls>
        <c:gapWidth val="145"/>
        <c:overlap val="-6"/>
        <c:axId val="309097984"/>
        <c:axId val="288626304"/>
      </c:barChart>
      <c:catAx>
        <c:axId val="309097984"/>
        <c:scaling>
          <c:orientation val="minMax"/>
        </c:scaling>
        <c:delete val="0"/>
        <c:axPos val="b"/>
        <c:numFmt formatCode="General" sourceLinked="1"/>
        <c:majorTickMark val="out"/>
        <c:minorTickMark val="none"/>
        <c:tickLblPos val="nextTo"/>
        <c:txPr>
          <a:bodyPr anchor="b" anchorCtr="1"/>
          <a:lstStyle/>
          <a:p>
            <a:pPr>
              <a:defRPr sz="1000" baseline="0">
                <a:solidFill>
                  <a:sysClr val="windowText" lastClr="000000"/>
                </a:solidFill>
                <a:latin typeface="Garamond" pitchFamily="18" charset="0"/>
              </a:defRPr>
            </a:pPr>
            <a:endParaRPr lang="en-US"/>
          </a:p>
        </c:txPr>
        <c:crossAx val="288626304"/>
        <c:crosses val="autoZero"/>
        <c:auto val="1"/>
        <c:lblAlgn val="ctr"/>
        <c:lblOffset val="10"/>
        <c:noMultiLvlLbl val="0"/>
      </c:catAx>
      <c:valAx>
        <c:axId val="288626304"/>
        <c:scaling>
          <c:orientation val="minMax"/>
        </c:scaling>
        <c:delete val="0"/>
        <c:axPos val="l"/>
        <c:majorGridlines/>
        <c:numFmt formatCode="_(* #,##0_);_(* \(#,##0\);_(* &quot;-&quot;??_);_(@_)" sourceLinked="1"/>
        <c:majorTickMark val="out"/>
        <c:minorTickMark val="none"/>
        <c:tickLblPos val="nextTo"/>
        <c:crossAx val="309097984"/>
        <c:crosses val="autoZero"/>
        <c:crossBetween val="between"/>
      </c:valAx>
      <c:spPr>
        <a:noFill/>
      </c:spPr>
    </c:plotArea>
    <c:legend>
      <c:legendPos val="tr"/>
      <c:layout>
        <c:manualLayout>
          <c:xMode val="edge"/>
          <c:yMode val="edge"/>
          <c:x val="0.85127412073490816"/>
          <c:y val="4.3460843990245912E-2"/>
          <c:w val="0.11539010868709118"/>
          <c:h val="0.13361673540807398"/>
        </c:manualLayout>
      </c:layout>
      <c:overlay val="1"/>
      <c:spPr>
        <a:noFill/>
        <a:ln>
          <a:solidFill>
            <a:schemeClr val="bg1">
              <a:lumMod val="50000"/>
              <a:lumOff val="50000"/>
            </a:schemeClr>
          </a:solidFill>
        </a:ln>
      </c:spPr>
      <c:txPr>
        <a:bodyPr/>
        <a:lstStyle/>
        <a:p>
          <a:pPr>
            <a:defRPr b="1" baseline="0">
              <a:solidFill>
                <a:sysClr val="windowText" lastClr="000000"/>
              </a:solidFill>
              <a:latin typeface="Garamond" pitchFamily="18" charset="0"/>
            </a:defRPr>
          </a:pPr>
          <a:endParaRPr lang="en-US"/>
        </a:p>
      </c:txPr>
    </c:legend>
    <c:plotVisOnly val="1"/>
    <c:dispBlanksAs val="gap"/>
    <c:showDLblsOverMax val="0"/>
  </c:chart>
  <c:spPr>
    <a:solidFill>
      <a:srgbClr val="BECEE4">
        <a:alpha val="80000"/>
      </a:srgbClr>
    </a:solidFill>
    <a:ln>
      <a:solidFill>
        <a:srgbClr val="FFFFFF">
          <a:lumMod val="50000"/>
        </a:srgbClr>
      </a:solidFill>
    </a:ln>
    <a:effectLst/>
    <a:scene3d>
      <a:camera prst="orthographicFront"/>
      <a:lightRig rig="threePt" dir="t"/>
    </a:scene3d>
    <a:sp3d>
      <a:bevelT w="50800" h="50800"/>
    </a:sp3d>
  </c:spPr>
  <c:printSettings>
    <c:headerFooter/>
    <c:pageMargins b="0.7500000000000091" l="0.70000000000000062" r="0.70000000000000062" t="0.750000000000009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40"/>
      <c:rotY val="60"/>
      <c:rAngAx val="0"/>
    </c:view3D>
    <c:floor>
      <c:thickness val="0"/>
    </c:floor>
    <c:sideWall>
      <c:thickness val="0"/>
    </c:sideWall>
    <c:backWall>
      <c:thickness val="0"/>
    </c:backWall>
    <c:plotArea>
      <c:layout>
        <c:manualLayout>
          <c:layoutTarget val="inner"/>
          <c:xMode val="edge"/>
          <c:yMode val="edge"/>
          <c:x val="1.613210132458695E-2"/>
          <c:y val="3.7698412698412696E-2"/>
          <c:w val="0.98386787698439992"/>
          <c:h val="0.95436507936507953"/>
        </c:manualLayout>
      </c:layout>
      <c:pie3DChart>
        <c:varyColors val="0"/>
        <c:ser>
          <c:idx val="0"/>
          <c:order val="0"/>
          <c:tx>
            <c:strRef>
              <c:f>'MD&amp;A Fincl Hghlts'!$F$82</c:f>
              <c:strCache>
                <c:ptCount val="1"/>
                <c:pt idx="0">
                  <c:v>2021</c:v>
                </c:pt>
              </c:strCache>
            </c:strRef>
          </c:tx>
          <c:explosion val="25"/>
          <c:dPt>
            <c:idx val="0"/>
            <c:bubble3D val="0"/>
            <c:explosion val="66"/>
            <c:extLst>
              <c:ext xmlns:c16="http://schemas.microsoft.com/office/drawing/2014/chart" uri="{C3380CC4-5D6E-409C-BE32-E72D297353CC}">
                <c16:uniqueId val="{00000001-7549-432A-8F02-961C5662F474}"/>
              </c:ext>
            </c:extLst>
          </c:dPt>
          <c:dPt>
            <c:idx val="1"/>
            <c:bubble3D val="0"/>
            <c:extLst>
              <c:ext xmlns:c16="http://schemas.microsoft.com/office/drawing/2014/chart" uri="{C3380CC4-5D6E-409C-BE32-E72D297353CC}">
                <c16:uniqueId val="{00000003-7549-432A-8F02-961C5662F474}"/>
              </c:ext>
            </c:extLst>
          </c:dPt>
          <c:dLbls>
            <c:dLbl>
              <c:idx val="0"/>
              <c:layout>
                <c:manualLayout>
                  <c:x val="2.7275202931805161E-3"/>
                  <c:y val="-2.69981877265341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549-432A-8F02-961C5662F474}"/>
                </c:ext>
              </c:extLst>
            </c:dLbl>
            <c:dLbl>
              <c:idx val="1"/>
              <c:layout>
                <c:manualLayout>
                  <c:x val="-0.26541628832166042"/>
                  <c:y val="-4.38210848643919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549-432A-8F02-961C5662F474}"/>
                </c:ext>
              </c:extLst>
            </c:dLbl>
            <c:dLbl>
              <c:idx val="2"/>
              <c:layout>
                <c:manualLayout>
                  <c:x val="9.0007954909579524E-2"/>
                  <c:y val="0.461309133233345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549-432A-8F02-961C5662F474}"/>
                </c:ext>
              </c:extLst>
            </c:dLbl>
            <c:spPr>
              <a:noFill/>
              <a:ln>
                <a:noFill/>
              </a:ln>
              <a:effectLst/>
            </c:spPr>
            <c:txPr>
              <a:bodyPr rot="0"/>
              <a:lstStyle/>
              <a:p>
                <a:pPr>
                  <a:defRPr sz="1000" b="1" i="0" baseline="0">
                    <a:latin typeface="Arial" panose="020B0604020202020204" pitchFamily="34" charset="0"/>
                  </a:defRPr>
                </a:pPr>
                <a:endParaRPr lang="en-US"/>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'MD&amp;A Fincl Hghlts'!$B$83:$E$85</c:f>
              <c:strCache>
                <c:ptCount val="3"/>
                <c:pt idx="0">
                  <c:v>Operating Revenues</c:v>
                </c:pt>
                <c:pt idx="1">
                  <c:v>Nonoperating Revenues</c:v>
                </c:pt>
                <c:pt idx="2">
                  <c:v>Other Revenues</c:v>
                </c:pt>
              </c:strCache>
            </c:strRef>
          </c:cat>
          <c:val>
            <c:numRef>
              <c:f>'MD&amp;A Fincl Hghlts'!$F$83:$F$85</c:f>
              <c:numCache>
                <c:formatCode>_(* #,##0_);_(* \(#,##0\);_(* "-"??_);_(@_)</c:formatCode>
                <c:ptCount val="3"/>
                <c:pt idx="0">
                  <c:v>0</c:v>
                </c:pt>
                <c:pt idx="1">
                  <c:v>0</c:v>
                </c:pt>
                <c:pt idx="2">
                  <c:v>0</c:v>
                </c:pt>
              </c:numCache>
            </c:numRef>
          </c:val>
          <c:extLst>
            <c:ext xmlns:c16="http://schemas.microsoft.com/office/drawing/2014/chart" uri="{C3380CC4-5D6E-409C-BE32-E72D297353CC}">
              <c16:uniqueId val="{00000005-7549-432A-8F02-961C5662F474}"/>
            </c:ext>
          </c:extLst>
        </c:ser>
        <c:dLbls>
          <c:showLegendKey val="0"/>
          <c:showVal val="1"/>
          <c:showCatName val="0"/>
          <c:showSerName val="0"/>
          <c:showPercent val="0"/>
          <c:showBubbleSize val="0"/>
          <c:showLeaderLines val="1"/>
        </c:dLbls>
      </c:pie3DChart>
      <c:spPr>
        <a:effectLst>
          <a:glow rad="127000">
            <a:schemeClr val="accent1">
              <a:alpha val="40000"/>
            </a:schemeClr>
          </a:glow>
        </a:effectLst>
      </c:spPr>
    </c:plotArea>
    <c:plotVisOnly val="1"/>
    <c:dispBlanksAs val="zero"/>
    <c:showDLblsOverMax val="0"/>
  </c:chart>
  <c:spPr>
    <a:solidFill>
      <a:schemeClr val="accent1">
        <a:lumMod val="20000"/>
        <a:lumOff val="80000"/>
      </a:schemeClr>
    </a:solidFill>
    <a:effectLst>
      <a:glow rad="101600">
        <a:schemeClr val="accent3">
          <a:satMod val="175000"/>
          <a:alpha val="40000"/>
        </a:schemeClr>
      </a:glow>
    </a:effectLst>
  </c:spPr>
  <c:printSettings>
    <c:headerFooter/>
    <c:pageMargins b="0.7500000000000091" l="0.70000000000000062" r="0.70000000000000062" t="0.7500000000000091" header="0.30000000000000032" footer="0.30000000000000032"/>
    <c:pageSetup/>
  </c:printSettings>
</c:chartSpace>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0</xdr:colOff>
      <xdr:row>6</xdr:row>
      <xdr:rowOff>0</xdr:rowOff>
    </xdr:from>
    <xdr:to>
      <xdr:col>5</xdr:col>
      <xdr:colOff>1504950</xdr:colOff>
      <xdr:row>6</xdr:row>
      <xdr:rowOff>1</xdr:rowOff>
    </xdr:to>
    <xdr:cxnSp macro="">
      <xdr:nvCxnSpPr>
        <xdr:cNvPr id="2" name="Straight Connector 1">
          <a:extLst>
            <a:ext uri="{FF2B5EF4-FFF2-40B4-BE49-F238E27FC236}">
              <a16:creationId xmlns:a16="http://schemas.microsoft.com/office/drawing/2014/main" id="{E7F1BAFE-F75E-4B20-8CB0-DF4D8D9A2870}"/>
            </a:ext>
          </a:extLst>
        </xdr:cNvPr>
        <xdr:cNvCxnSpPr/>
      </xdr:nvCxnSpPr>
      <xdr:spPr>
        <a:xfrm flipV="1">
          <a:off x="1619250" y="1133475"/>
          <a:ext cx="47625" cy="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28575</xdr:colOff>
      <xdr:row>104</xdr:row>
      <xdr:rowOff>114300</xdr:rowOff>
    </xdr:from>
    <xdr:to>
      <xdr:col>5</xdr:col>
      <xdr:colOff>523875</xdr:colOff>
      <xdr:row>107</xdr:row>
      <xdr:rowOff>133350</xdr:rowOff>
    </xdr:to>
    <xdr:cxnSp macro="">
      <xdr:nvCxnSpPr>
        <xdr:cNvPr id="2" name="Elbow Connector 1">
          <a:extLst>
            <a:ext uri="{FF2B5EF4-FFF2-40B4-BE49-F238E27FC236}">
              <a16:creationId xmlns:a16="http://schemas.microsoft.com/office/drawing/2014/main" id="{00000000-0008-0000-0300-000002000000}"/>
            </a:ext>
          </a:extLst>
        </xdr:cNvPr>
        <xdr:cNvCxnSpPr/>
      </xdr:nvCxnSpPr>
      <xdr:spPr>
        <a:xfrm>
          <a:off x="6322695" y="18684240"/>
          <a:ext cx="1569720" cy="598170"/>
        </a:xfrm>
        <a:prstGeom prst="bentConnector3">
          <a:avLst>
            <a:gd name="adj1" fmla="val 10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76200</xdr:colOff>
      <xdr:row>101</xdr:row>
      <xdr:rowOff>123825</xdr:rowOff>
    </xdr:from>
    <xdr:to>
      <xdr:col>5</xdr:col>
      <xdr:colOff>952500</xdr:colOff>
      <xdr:row>104</xdr:row>
      <xdr:rowOff>28575</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6370320" y="18145125"/>
          <a:ext cx="1950720" cy="4533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rgbClr val="FF0000"/>
              </a:solidFill>
            </a:rPr>
            <a:t>Choose</a:t>
          </a:r>
          <a:r>
            <a:rPr lang="en-US" sz="800" baseline="0">
              <a:solidFill>
                <a:srgbClr val="FF0000"/>
              </a:solidFill>
            </a:rPr>
            <a:t> which set of weights to use. Change formulas to the right to reference column C or D as appropriate.</a:t>
          </a:r>
        </a:p>
      </xdr:txBody>
    </xdr:sp>
    <xdr:clientData/>
  </xdr:twoCellAnchor>
  <xdr:twoCellAnchor>
    <xdr:from>
      <xdr:col>3</xdr:col>
      <xdr:colOff>1990725</xdr:colOff>
      <xdr:row>46</xdr:row>
      <xdr:rowOff>95250</xdr:rowOff>
    </xdr:from>
    <xdr:to>
      <xdr:col>5</xdr:col>
      <xdr:colOff>819150</xdr:colOff>
      <xdr:row>48</xdr:row>
      <xdr:rowOff>57150</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6196965" y="7753350"/>
          <a:ext cx="1990725" cy="3276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rgbClr val="FF0000"/>
              </a:solidFill>
            </a:rPr>
            <a:t>You will need to enter the beginning NP if prior years have</a:t>
          </a:r>
          <a:r>
            <a:rPr lang="en-US" sz="800" baseline="0">
              <a:solidFill>
                <a:srgbClr val="FF0000"/>
              </a:solidFill>
            </a:rPr>
            <a:t> not been entered.</a:t>
          </a:r>
          <a:endParaRPr lang="en-US" sz="800">
            <a:solidFill>
              <a:srgbClr val="FF0000"/>
            </a:solidFill>
          </a:endParaRPr>
        </a:p>
      </xdr:txBody>
    </xdr:sp>
    <xdr:clientData/>
  </xdr:twoCellAnchor>
  <xdr:twoCellAnchor>
    <xdr:from>
      <xdr:col>5</xdr:col>
      <xdr:colOff>819150</xdr:colOff>
      <xdr:row>47</xdr:row>
      <xdr:rowOff>114300</xdr:rowOff>
    </xdr:from>
    <xdr:to>
      <xdr:col>6</xdr:col>
      <xdr:colOff>123825</xdr:colOff>
      <xdr:row>47</xdr:row>
      <xdr:rowOff>123825</xdr:rowOff>
    </xdr:to>
    <xdr:cxnSp macro="">
      <xdr:nvCxnSpPr>
        <xdr:cNvPr id="5" name="Straight Arrow Connector 4">
          <a:extLst>
            <a:ext uri="{FF2B5EF4-FFF2-40B4-BE49-F238E27FC236}">
              <a16:creationId xmlns:a16="http://schemas.microsoft.com/office/drawing/2014/main" id="{00000000-0008-0000-0300-000005000000}"/>
            </a:ext>
          </a:extLst>
        </xdr:cNvPr>
        <xdr:cNvCxnSpPr/>
      </xdr:nvCxnSpPr>
      <xdr:spPr>
        <a:xfrm flipV="1">
          <a:off x="8187690" y="7955280"/>
          <a:ext cx="379095"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990600</xdr:colOff>
      <xdr:row>101</xdr:row>
      <xdr:rowOff>38100</xdr:rowOff>
    </xdr:from>
    <xdr:to>
      <xdr:col>6</xdr:col>
      <xdr:colOff>276225</xdr:colOff>
      <xdr:row>104</xdr:row>
      <xdr:rowOff>161925</xdr:rowOff>
    </xdr:to>
    <xdr:sp macro="" textlink="">
      <xdr:nvSpPr>
        <xdr:cNvPr id="6" name="Left Brace 5">
          <a:extLst>
            <a:ext uri="{FF2B5EF4-FFF2-40B4-BE49-F238E27FC236}">
              <a16:creationId xmlns:a16="http://schemas.microsoft.com/office/drawing/2014/main" id="{00000000-0008-0000-0300-000006000000}"/>
            </a:ext>
          </a:extLst>
        </xdr:cNvPr>
        <xdr:cNvSpPr/>
      </xdr:nvSpPr>
      <xdr:spPr>
        <a:xfrm>
          <a:off x="8359140" y="18059400"/>
          <a:ext cx="360045" cy="67246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28575</xdr:colOff>
      <xdr:row>103</xdr:row>
      <xdr:rowOff>114300</xdr:rowOff>
    </xdr:from>
    <xdr:to>
      <xdr:col>5</xdr:col>
      <xdr:colOff>523875</xdr:colOff>
      <xdr:row>106</xdr:row>
      <xdr:rowOff>133350</xdr:rowOff>
    </xdr:to>
    <xdr:cxnSp macro="">
      <xdr:nvCxnSpPr>
        <xdr:cNvPr id="7" name="Elbow Connector 6">
          <a:extLst>
            <a:ext uri="{FF2B5EF4-FFF2-40B4-BE49-F238E27FC236}">
              <a16:creationId xmlns:a16="http://schemas.microsoft.com/office/drawing/2014/main" id="{00000000-0008-0000-0300-000007000000}"/>
            </a:ext>
          </a:extLst>
        </xdr:cNvPr>
        <xdr:cNvCxnSpPr/>
      </xdr:nvCxnSpPr>
      <xdr:spPr>
        <a:xfrm>
          <a:off x="6322695" y="18684240"/>
          <a:ext cx="1569720" cy="598170"/>
        </a:xfrm>
        <a:prstGeom prst="bentConnector3">
          <a:avLst>
            <a:gd name="adj1" fmla="val 10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76200</xdr:colOff>
      <xdr:row>100</xdr:row>
      <xdr:rowOff>123825</xdr:rowOff>
    </xdr:from>
    <xdr:to>
      <xdr:col>5</xdr:col>
      <xdr:colOff>952500</xdr:colOff>
      <xdr:row>103</xdr:row>
      <xdr:rowOff>28575</xdr:rowOff>
    </xdr:to>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6370320" y="18145125"/>
          <a:ext cx="1950720" cy="4533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rgbClr val="FF0000"/>
              </a:solidFill>
            </a:rPr>
            <a:t>Choose</a:t>
          </a:r>
          <a:r>
            <a:rPr lang="en-US" sz="800" baseline="0">
              <a:solidFill>
                <a:srgbClr val="FF0000"/>
              </a:solidFill>
            </a:rPr>
            <a:t> which set of weights to use. Change formulas to the right to reference column C or D as appropriate.</a:t>
          </a:r>
        </a:p>
      </xdr:txBody>
    </xdr:sp>
    <xdr:clientData/>
  </xdr:twoCellAnchor>
  <xdr:twoCellAnchor>
    <xdr:from>
      <xdr:col>3</xdr:col>
      <xdr:colOff>1990725</xdr:colOff>
      <xdr:row>45</xdr:row>
      <xdr:rowOff>95250</xdr:rowOff>
    </xdr:from>
    <xdr:to>
      <xdr:col>5</xdr:col>
      <xdr:colOff>819150</xdr:colOff>
      <xdr:row>47</xdr:row>
      <xdr:rowOff>57150</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6196965" y="7753350"/>
          <a:ext cx="1990725" cy="3276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rgbClr val="FF0000"/>
              </a:solidFill>
            </a:rPr>
            <a:t>You will need to enter the beginning NP if prior years have</a:t>
          </a:r>
          <a:r>
            <a:rPr lang="en-US" sz="800" baseline="0">
              <a:solidFill>
                <a:srgbClr val="FF0000"/>
              </a:solidFill>
            </a:rPr>
            <a:t> not been entered.</a:t>
          </a:r>
          <a:endParaRPr lang="en-US" sz="800">
            <a:solidFill>
              <a:srgbClr val="FF0000"/>
            </a:solidFill>
          </a:endParaRPr>
        </a:p>
      </xdr:txBody>
    </xdr:sp>
    <xdr:clientData/>
  </xdr:twoCellAnchor>
  <xdr:twoCellAnchor>
    <xdr:from>
      <xdr:col>5</xdr:col>
      <xdr:colOff>819150</xdr:colOff>
      <xdr:row>46</xdr:row>
      <xdr:rowOff>114300</xdr:rowOff>
    </xdr:from>
    <xdr:to>
      <xdr:col>6</xdr:col>
      <xdr:colOff>123825</xdr:colOff>
      <xdr:row>46</xdr:row>
      <xdr:rowOff>123825</xdr:rowOff>
    </xdr:to>
    <xdr:cxnSp macro="">
      <xdr:nvCxnSpPr>
        <xdr:cNvPr id="10" name="Straight Arrow Connector 9">
          <a:extLst>
            <a:ext uri="{FF2B5EF4-FFF2-40B4-BE49-F238E27FC236}">
              <a16:creationId xmlns:a16="http://schemas.microsoft.com/office/drawing/2014/main" id="{00000000-0008-0000-0300-00000A000000}"/>
            </a:ext>
          </a:extLst>
        </xdr:cNvPr>
        <xdr:cNvCxnSpPr/>
      </xdr:nvCxnSpPr>
      <xdr:spPr>
        <a:xfrm flipV="1">
          <a:off x="8187690" y="7955280"/>
          <a:ext cx="379095"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990600</xdr:colOff>
      <xdr:row>100</xdr:row>
      <xdr:rowOff>38100</xdr:rowOff>
    </xdr:from>
    <xdr:to>
      <xdr:col>6</xdr:col>
      <xdr:colOff>276225</xdr:colOff>
      <xdr:row>103</xdr:row>
      <xdr:rowOff>161925</xdr:rowOff>
    </xdr:to>
    <xdr:sp macro="" textlink="">
      <xdr:nvSpPr>
        <xdr:cNvPr id="11" name="Left Brace 10">
          <a:extLst>
            <a:ext uri="{FF2B5EF4-FFF2-40B4-BE49-F238E27FC236}">
              <a16:creationId xmlns:a16="http://schemas.microsoft.com/office/drawing/2014/main" id="{00000000-0008-0000-0300-00000B000000}"/>
            </a:ext>
          </a:extLst>
        </xdr:cNvPr>
        <xdr:cNvSpPr/>
      </xdr:nvSpPr>
      <xdr:spPr>
        <a:xfrm>
          <a:off x="8359140" y="18059400"/>
          <a:ext cx="360045" cy="67246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495300</xdr:colOff>
      <xdr:row>63</xdr:row>
      <xdr:rowOff>99060</xdr:rowOff>
    </xdr:to>
    <xdr:sp macro="" textlink="">
      <xdr:nvSpPr>
        <xdr:cNvPr id="2" name="TextBox 1">
          <a:extLst>
            <a:ext uri="{FF2B5EF4-FFF2-40B4-BE49-F238E27FC236}">
              <a16:creationId xmlns:a16="http://schemas.microsoft.com/office/drawing/2014/main" id="{00000000-0008-0000-1B00-000002000000}"/>
            </a:ext>
          </a:extLst>
        </xdr:cNvPr>
        <xdr:cNvSpPr txBox="1"/>
      </xdr:nvSpPr>
      <xdr:spPr>
        <a:xfrm>
          <a:off x="0" y="0"/>
          <a:ext cx="11468100" cy="103003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solidFill>
                <a:sysClr val="windowText" lastClr="000000"/>
              </a:solidFill>
              <a:effectLst/>
              <a:latin typeface="+mn-lt"/>
              <a:ea typeface="+mn-ea"/>
              <a:cs typeface="+mn-cs"/>
            </a:rPr>
            <a:t>Instructions</a:t>
          </a:r>
          <a:r>
            <a:rPr lang="en-US" sz="1100" b="1" u="sng" baseline="0">
              <a:solidFill>
                <a:sysClr val="windowText" lastClr="000000"/>
              </a:solidFill>
              <a:effectLst/>
              <a:latin typeface="+mn-lt"/>
              <a:ea typeface="+mn-ea"/>
              <a:cs typeface="+mn-cs"/>
            </a:rPr>
            <a:t> and examples</a:t>
          </a:r>
          <a:endParaRPr lang="en-US" sz="1100" b="1" u="sng">
            <a:solidFill>
              <a:sysClr val="windowText" lastClr="000000"/>
            </a:solidFill>
            <a:effectLst/>
            <a:latin typeface="+mn-lt"/>
            <a:ea typeface="+mn-ea"/>
            <a:cs typeface="+mn-cs"/>
          </a:endParaRPr>
        </a:p>
        <a:p>
          <a:r>
            <a:rPr lang="en-US" sz="1100" baseline="0">
              <a:solidFill>
                <a:sysClr val="windowText" lastClr="000000"/>
              </a:solidFill>
              <a:effectLst/>
              <a:latin typeface="+mn-lt"/>
              <a:ea typeface="+mn-ea"/>
              <a:cs typeface="+mn-cs"/>
            </a:rPr>
            <a:t>A.  Schedule A Instructions:  </a:t>
          </a:r>
          <a:endParaRPr lang="en-US" sz="1100">
            <a:solidFill>
              <a:sysClr val="windowText" lastClr="000000"/>
            </a:solidFill>
            <a:effectLst/>
          </a:endParaRPr>
        </a:p>
        <a:p>
          <a:r>
            <a:rPr lang="en-US" sz="1100" baseline="0">
              <a:solidFill>
                <a:sysClr val="windowText" lastClr="000000"/>
              </a:solidFill>
              <a:effectLst/>
              <a:latin typeface="+mn-lt"/>
              <a:ea typeface="+mn-ea"/>
              <a:cs typeface="+mn-cs"/>
            </a:rPr>
            <a:t>      </a:t>
          </a:r>
          <a:endParaRPr lang="en-US" sz="1100">
            <a:solidFill>
              <a:sysClr val="windowText" lastClr="000000"/>
            </a:solidFill>
            <a:effectLst/>
          </a:endParaRPr>
        </a:p>
        <a:p>
          <a:r>
            <a:rPr lang="en-US" sz="1100" baseline="0">
              <a:solidFill>
                <a:sysClr val="windowText" lastClr="000000"/>
              </a:solidFill>
              <a:effectLst/>
              <a:latin typeface="+mn-lt"/>
              <a:ea typeface="+mn-ea"/>
              <a:cs typeface="+mn-cs"/>
            </a:rPr>
            <a:t>      (1)  Determine the fair value level(s) for each investment type and input the amount in the appropriate column.  </a:t>
          </a:r>
        </a:p>
        <a:p>
          <a:r>
            <a:rPr lang="en-US" sz="1100" baseline="0">
              <a:solidFill>
                <a:sysClr val="windowText" lastClr="000000"/>
              </a:solidFill>
              <a:effectLst/>
              <a:latin typeface="+mn-lt"/>
              <a:ea typeface="+mn-ea"/>
              <a:cs typeface="+mn-cs"/>
            </a:rPr>
            <a:t>            </a:t>
          </a:r>
        </a:p>
        <a:p>
          <a:r>
            <a:rPr lang="en-US" sz="1100" baseline="0">
              <a:solidFill>
                <a:sysClr val="windowText" lastClr="000000"/>
              </a:solidFill>
              <a:effectLst/>
              <a:latin typeface="+mn-lt"/>
              <a:ea typeface="+mn-ea"/>
              <a:cs typeface="+mn-cs"/>
            </a:rPr>
            <a:t>             Level 1 - Quoted prices (unadjusted) in active markets for identical assets or liabilities that a government can access at the measurement date.  An active market for the asset or liability</a:t>
          </a:r>
          <a:endParaRPr lang="en-US" sz="1100">
            <a:solidFill>
              <a:sysClr val="windowText" lastClr="000000"/>
            </a:solidFill>
            <a:effectLst/>
          </a:endParaRPr>
        </a:p>
        <a:p>
          <a:r>
            <a:rPr lang="en-US" sz="1100" baseline="0">
              <a:solidFill>
                <a:sysClr val="windowText" lastClr="000000"/>
              </a:solidFill>
              <a:effectLst/>
              <a:latin typeface="+mn-lt"/>
              <a:ea typeface="+mn-ea"/>
              <a:cs typeface="+mn-cs"/>
            </a:rPr>
            <a:t>                      is a market in which transactions for the asset or liability occur with sufficient frequency and volume to provide pricing information on an ongoing basis.  Examples of markets</a:t>
          </a:r>
          <a:endParaRPr lang="en-US" sz="1100">
            <a:solidFill>
              <a:sysClr val="windowText" lastClr="000000"/>
            </a:solidFill>
            <a:effectLst/>
          </a:endParaRPr>
        </a:p>
        <a:p>
          <a:r>
            <a:rPr lang="en-US" sz="1100" baseline="0">
              <a:solidFill>
                <a:sysClr val="windowText" lastClr="000000"/>
              </a:solidFill>
              <a:effectLst/>
              <a:latin typeface="+mn-lt"/>
              <a:ea typeface="+mn-ea"/>
              <a:cs typeface="+mn-cs"/>
            </a:rPr>
            <a:t>                      in which inputs might be observable include exchange markets, dealer markets, brokered markets, and principal-to-principal markets.</a:t>
          </a:r>
          <a:endParaRPr lang="en-US" sz="1100">
            <a:solidFill>
              <a:sysClr val="windowText" lastClr="000000"/>
            </a:solidFill>
            <a:effectLst/>
          </a:endParaRPr>
        </a:p>
        <a:p>
          <a:r>
            <a:rPr lang="en-US" sz="1100" baseline="0">
              <a:solidFill>
                <a:sysClr val="windowText" lastClr="000000"/>
              </a:solidFill>
              <a:effectLst/>
              <a:latin typeface="+mn-lt"/>
              <a:ea typeface="+mn-ea"/>
              <a:cs typeface="+mn-cs"/>
            </a:rPr>
            <a:t>             Level 2 - Inputs other than quoted prices included within Level 1 that are observable for an asset or liability, either directly or indirectly.  Inputs include the following:</a:t>
          </a:r>
          <a:endParaRPr lang="en-US" sz="1100">
            <a:solidFill>
              <a:sysClr val="windowText" lastClr="000000"/>
            </a:solidFill>
            <a:effectLst/>
          </a:endParaRPr>
        </a:p>
        <a:p>
          <a:r>
            <a:rPr lang="en-US" sz="1100" baseline="0">
              <a:solidFill>
                <a:sysClr val="windowText" lastClr="000000"/>
              </a:solidFill>
              <a:effectLst/>
              <a:latin typeface="+mn-lt"/>
              <a:ea typeface="+mn-ea"/>
              <a:cs typeface="+mn-cs"/>
            </a:rPr>
            <a:t>                      1.  Quoted prices for similar assets or liabilities in active markets; </a:t>
          </a:r>
          <a:endParaRPr lang="en-US" sz="1100">
            <a:solidFill>
              <a:sysClr val="windowText" lastClr="000000"/>
            </a:solidFill>
            <a:effectLst/>
          </a:endParaRPr>
        </a:p>
        <a:p>
          <a:r>
            <a:rPr lang="en-US" sz="1100" baseline="0">
              <a:solidFill>
                <a:sysClr val="windowText" lastClr="000000"/>
              </a:solidFill>
              <a:effectLst/>
              <a:latin typeface="+mn-lt"/>
              <a:ea typeface="+mn-ea"/>
              <a:cs typeface="+mn-cs"/>
            </a:rPr>
            <a:t>                      2.  Quoted prices for identical or similar assets or liabilities in markets that are not active; </a:t>
          </a:r>
          <a:endParaRPr lang="en-US" sz="1100">
            <a:solidFill>
              <a:sysClr val="windowText" lastClr="000000"/>
            </a:solidFill>
            <a:effectLst/>
          </a:endParaRPr>
        </a:p>
        <a:p>
          <a:r>
            <a:rPr lang="en-US" sz="1100" baseline="0">
              <a:solidFill>
                <a:sysClr val="windowText" lastClr="000000"/>
              </a:solidFill>
              <a:effectLst/>
              <a:latin typeface="+mn-lt"/>
              <a:ea typeface="+mn-ea"/>
              <a:cs typeface="+mn-cs"/>
            </a:rPr>
            <a:t>                      3.  Inputs other than quoted prices that are observable (such as, interest rates and yield curves observable at commonly quoted intervals, implied volatilities, or credit spreads);</a:t>
          </a:r>
          <a:endParaRPr lang="en-US" sz="1100">
            <a:solidFill>
              <a:sysClr val="windowText" lastClr="000000"/>
            </a:solidFill>
            <a:effectLst/>
          </a:endParaRPr>
        </a:p>
        <a:p>
          <a:r>
            <a:rPr lang="en-US" sz="1100" baseline="0">
              <a:solidFill>
                <a:sysClr val="windowText" lastClr="000000"/>
              </a:solidFill>
              <a:effectLst/>
              <a:latin typeface="+mn-lt"/>
              <a:ea typeface="+mn-ea"/>
              <a:cs typeface="+mn-cs"/>
            </a:rPr>
            <a:t>                      4.  Market-corroborated inputs (inputs that are derived principally from or corroborated by observable market data by correlation or other means).</a:t>
          </a:r>
          <a:endParaRPr lang="en-US" sz="1100">
            <a:solidFill>
              <a:sysClr val="windowText" lastClr="000000"/>
            </a:solidFill>
            <a:effectLst/>
          </a:endParaRPr>
        </a:p>
        <a:p>
          <a:r>
            <a:rPr lang="en-US" sz="1100" baseline="0">
              <a:solidFill>
                <a:sysClr val="windowText" lastClr="000000"/>
              </a:solidFill>
              <a:effectLst/>
              <a:latin typeface="+mn-lt"/>
              <a:ea typeface="+mn-ea"/>
              <a:cs typeface="+mn-cs"/>
            </a:rPr>
            <a:t>             Level 3 - Unobservable inputs for an asset or a liability and should be used </a:t>
          </a:r>
          <a:r>
            <a:rPr lang="en-US" sz="1100" u="sng" baseline="0">
              <a:solidFill>
                <a:sysClr val="windowText" lastClr="000000"/>
              </a:solidFill>
              <a:effectLst/>
              <a:latin typeface="+mn-lt"/>
              <a:ea typeface="+mn-ea"/>
              <a:cs typeface="+mn-cs"/>
            </a:rPr>
            <a:t>only</a:t>
          </a:r>
          <a:r>
            <a:rPr lang="en-US" sz="1100" baseline="0">
              <a:solidFill>
                <a:sysClr val="windowText" lastClr="000000"/>
              </a:solidFill>
              <a:effectLst/>
              <a:latin typeface="+mn-lt"/>
              <a:ea typeface="+mn-ea"/>
              <a:cs typeface="+mn-cs"/>
            </a:rPr>
            <a:t> if relevant Level 1 and Level 2 inputs are not available.</a:t>
          </a:r>
        </a:p>
        <a:p>
          <a:endParaRPr lang="en-US" sz="1100" baseline="0">
            <a:solidFill>
              <a:sysClr val="windowText" lastClr="000000"/>
            </a:solidFill>
            <a:effectLst/>
            <a:latin typeface="+mn-lt"/>
            <a:ea typeface="+mn-ea"/>
            <a:cs typeface="+mn-cs"/>
          </a:endParaRPr>
        </a:p>
        <a:p>
          <a:r>
            <a:rPr lang="en-US" sz="1100" baseline="0">
              <a:solidFill>
                <a:sysClr val="windowText" lastClr="000000"/>
              </a:solidFill>
              <a:effectLst/>
              <a:latin typeface="+mn-lt"/>
              <a:ea typeface="+mn-ea"/>
              <a:cs typeface="+mn-cs"/>
            </a:rPr>
            <a:t>      (2)  For investments measured at NAV (B-1 through B-11), if any, please input the NAV value directly into Column I.  No fair value levels are required.</a:t>
          </a:r>
          <a:endParaRPr lang="en-US">
            <a:solidFill>
              <a:sysClr val="windowText" lastClr="000000"/>
            </a:solidFill>
            <a:effectLst/>
          </a:endParaRPr>
        </a:p>
        <a:p>
          <a:endParaRPr lang="en-US" sz="1100"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effectLst/>
              <a:latin typeface="+mn-lt"/>
              <a:ea typeface="+mn-ea"/>
              <a:cs typeface="+mn-cs"/>
            </a:rPr>
            <a:t>      (3)  Section A-8 is </a:t>
          </a:r>
          <a:r>
            <a:rPr lang="en-US" sz="1100" b="1" u="sng" baseline="0">
              <a:solidFill>
                <a:sysClr val="windowText" lastClr="000000"/>
              </a:solidFill>
              <a:effectLst/>
              <a:latin typeface="+mn-lt"/>
              <a:ea typeface="+mn-ea"/>
              <a:cs typeface="+mn-cs"/>
            </a:rPr>
            <a:t>ONLY</a:t>
          </a:r>
          <a:r>
            <a:rPr lang="en-US" sz="1100" baseline="0">
              <a:solidFill>
                <a:sysClr val="windowText" lastClr="000000"/>
              </a:solidFill>
              <a:effectLst/>
              <a:latin typeface="+mn-lt"/>
              <a:ea typeface="+mn-ea"/>
              <a:cs typeface="+mn-cs"/>
            </a:rPr>
            <a:t> for investments that are normally reported at net asset value (NAV); however, cannot be reported at NAV due to a pending sale. NAV should not be applied for such</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effectLst/>
              <a:latin typeface="+mn-lt"/>
              <a:ea typeface="+mn-ea"/>
              <a:cs typeface="+mn-cs"/>
            </a:rPr>
            <a:t>             investments if, as of the measurement date, it is probable that all or a portion of the investment will be sold at an amount other than NAV.  A sale is considered probable only if </a:t>
          </a:r>
          <a:r>
            <a:rPr lang="en-US" sz="1100" b="1" u="sng" baseline="0">
              <a:solidFill>
                <a:sysClr val="windowText" lastClr="000000"/>
              </a:solidFill>
              <a:effectLst/>
              <a:latin typeface="+mn-lt"/>
              <a:ea typeface="+mn-ea"/>
              <a:cs typeface="+mn-cs"/>
            </a:rPr>
            <a:t>all</a:t>
          </a:r>
          <a:r>
            <a:rPr lang="en-US" sz="1100" baseline="0">
              <a:solidFill>
                <a:sysClr val="windowText" lastClr="000000"/>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effectLst/>
              <a:latin typeface="+mn-lt"/>
              <a:ea typeface="+mn-ea"/>
              <a:cs typeface="+mn-cs"/>
            </a:rPr>
            <a:t>             of the following criteria have been met as of the measurement date: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rPr>
            <a:t>                 (a) The government, having the authority to approve the action, commits to a plan to sell the investment; </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effectLst/>
            </a:rPr>
            <a:t>                 </a:t>
          </a:r>
          <a:r>
            <a:rPr lang="en-US" sz="1100">
              <a:solidFill>
                <a:sysClr val="windowText" lastClr="000000"/>
              </a:solidFill>
              <a:effectLst/>
            </a:rPr>
            <a:t>(b) An active program to locate a buyer and other actions required to complete the plan to sell the investment have been initiated; </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effectLst/>
            </a:rPr>
            <a:t>                 </a:t>
          </a:r>
          <a:r>
            <a:rPr lang="en-US" sz="1100">
              <a:solidFill>
                <a:sysClr val="windowText" lastClr="000000"/>
              </a:solidFill>
              <a:effectLst/>
            </a:rPr>
            <a:t>(c) The investment is available for immediate sale subject only to terms that are usual and customary for sales of such investments (for example, a requirement to obtain</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effectLst/>
            </a:rPr>
            <a:t>                  </a:t>
          </a:r>
          <a:r>
            <a:rPr lang="en-US" sz="1100">
              <a:solidFill>
                <a:sysClr val="windowText" lastClr="000000"/>
              </a:solidFill>
              <a:effectLst/>
            </a:rPr>
            <a:t>     approval of the sale from the investee, or a buyer's due diligence procedures);</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effectLst/>
            </a:rPr>
            <a:t>                 </a:t>
          </a:r>
          <a:r>
            <a:rPr lang="en-US" sz="1100">
              <a:solidFill>
                <a:sysClr val="windowText" lastClr="000000"/>
              </a:solidFill>
              <a:effectLst/>
            </a:rPr>
            <a:t>(d) Actions required to complete the plan indicate that it is unlikely that significant changes to the plan will be made or that the plan will be withdrawn.</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rPr>
            <a:t>      (4) Section</a:t>
          </a:r>
          <a:r>
            <a:rPr lang="en-US" sz="1100" baseline="0">
              <a:solidFill>
                <a:sysClr val="windowText" lastClr="000000"/>
              </a:solidFill>
              <a:effectLst/>
            </a:rPr>
            <a:t> A-7 and A-10:  Use Section A-7 to record investments measured at fair value that are not presented in any other investment type within Section A.  Use Section A-10 to record</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effectLst/>
            </a:rPr>
            <a:t>            investments reported as receivables/liabilities that are not presented in Section A-9.</a:t>
          </a:r>
          <a:endParaRPr lang="en-US" sz="1100">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ysClr val="windowText" lastClr="000000"/>
            </a:solidFill>
            <a:effectLst/>
          </a:endParaRPr>
        </a:p>
        <a:p>
          <a:r>
            <a:rPr lang="en-US" sz="1100">
              <a:solidFill>
                <a:sysClr val="windowText" lastClr="000000"/>
              </a:solidFill>
              <a:effectLst/>
            </a:rPr>
            <a:t>      (5)  </a:t>
          </a:r>
          <a:r>
            <a:rPr lang="en-US" sz="1100" baseline="0">
              <a:solidFill>
                <a:sysClr val="windowText" lastClr="000000"/>
              </a:solidFill>
              <a:effectLst/>
              <a:latin typeface="+mn-lt"/>
              <a:ea typeface="+mn-ea"/>
              <a:cs typeface="+mn-cs"/>
            </a:rPr>
            <a:t>Provide a brief description of the valuation technique(s) used to determine fair value for each investment type by fair value level.  </a:t>
          </a:r>
          <a:r>
            <a:rPr lang="en-US" sz="1100" b="0" baseline="0">
              <a:solidFill>
                <a:sysClr val="windowText" lastClr="000000"/>
              </a:solidFill>
              <a:effectLst/>
              <a:latin typeface="+mn-lt"/>
              <a:ea typeface="+mn-ea"/>
              <a:cs typeface="+mn-cs"/>
            </a:rPr>
            <a:t>If </a:t>
          </a:r>
          <a:r>
            <a:rPr lang="en-US" sz="1100" b="1" u="sng" baseline="0">
              <a:solidFill>
                <a:sysClr val="windowText" lastClr="000000"/>
              </a:solidFill>
              <a:effectLst/>
              <a:latin typeface="+mn-lt"/>
              <a:ea typeface="+mn-ea"/>
              <a:cs typeface="+mn-cs"/>
            </a:rPr>
            <a:t>A-7 or A-10 </a:t>
          </a:r>
          <a:r>
            <a:rPr lang="en-US" sz="1100" baseline="0">
              <a:solidFill>
                <a:sysClr val="windowText" lastClr="000000"/>
              </a:solidFill>
              <a:effectLst/>
              <a:latin typeface="+mn-lt"/>
              <a:ea typeface="+mn-ea"/>
              <a:cs typeface="+mn-cs"/>
            </a:rPr>
            <a:t>are used, include a brief description and</a:t>
          </a:r>
        </a:p>
        <a:p>
          <a:r>
            <a:rPr lang="en-US" sz="1100" baseline="0">
              <a:solidFill>
                <a:sysClr val="windowText" lastClr="000000"/>
              </a:solidFill>
              <a:effectLst/>
              <a:latin typeface="+mn-lt"/>
              <a:ea typeface="+mn-ea"/>
              <a:cs typeface="+mn-cs"/>
            </a:rPr>
            <a:t>             amounts of the each investment type included in A-7 and A-10.  Examples of descriptions using fair value levels:</a:t>
          </a:r>
          <a:endParaRPr lang="en-US">
            <a:solidFill>
              <a:sysClr val="windowText" lastClr="000000"/>
            </a:solidFill>
            <a:effectLst/>
          </a:endParaRPr>
        </a:p>
        <a:p>
          <a:r>
            <a:rPr lang="en-US" sz="1100" baseline="0">
              <a:solidFill>
                <a:sysClr val="windowText" lastClr="000000"/>
              </a:solidFill>
              <a:effectLst/>
              <a:latin typeface="+mn-lt"/>
              <a:ea typeface="+mn-ea"/>
              <a:cs typeface="+mn-cs"/>
            </a:rPr>
            <a:t>             1.  Debt securities classified in Level 1 of the fair value hierarchy are valued using quoted prices in active markets from the custodian bank's primary external pricing vendors.</a:t>
          </a:r>
        </a:p>
        <a:p>
          <a:r>
            <a:rPr lang="en-US" sz="1100" baseline="0">
              <a:solidFill>
                <a:sysClr val="windowText" lastClr="000000"/>
              </a:solidFill>
              <a:effectLst/>
              <a:latin typeface="+mn-lt"/>
              <a:ea typeface="+mn-ea"/>
              <a:cs typeface="+mn-cs"/>
            </a:rPr>
            <a:t>             2.  Debt securities classified in Level 2 are evaluated prices from the custodian bank's external pricing vendors.  The pricing methodology involves the use of evaluation models, such as matrix</a:t>
          </a:r>
        </a:p>
        <a:p>
          <a:r>
            <a:rPr lang="en-US" sz="1100" baseline="0">
              <a:solidFill>
                <a:sysClr val="windowText" lastClr="000000"/>
              </a:solidFill>
              <a:effectLst/>
              <a:latin typeface="+mn-lt"/>
              <a:ea typeface="+mn-ea"/>
              <a:cs typeface="+mn-cs"/>
            </a:rPr>
            <a:t>                  pricing, which is based on the securities' relationship to benchmark quoted prices.  Other evaluation models use actual trade data, collateral attributes, broker bids, new issue pricings and</a:t>
          </a:r>
        </a:p>
        <a:p>
          <a:r>
            <a:rPr lang="en-US" sz="1100" baseline="0">
              <a:solidFill>
                <a:sysClr val="windowText" lastClr="000000"/>
              </a:solidFill>
              <a:effectLst/>
              <a:latin typeface="+mn-lt"/>
              <a:ea typeface="+mn-ea"/>
              <a:cs typeface="+mn-cs"/>
            </a:rPr>
            <a:t>                  other observable market information.</a:t>
          </a:r>
          <a:endParaRPr lang="en-US">
            <a:solidFill>
              <a:sysClr val="windowText" lastClr="000000"/>
            </a:solidFill>
            <a:effectLst/>
          </a:endParaRPr>
        </a:p>
        <a:p>
          <a:r>
            <a:rPr lang="en-US" sz="1100" baseline="0">
              <a:solidFill>
                <a:sysClr val="windowText" lastClr="000000"/>
              </a:solidFill>
              <a:effectLst/>
              <a:latin typeface="+mn-lt"/>
              <a:ea typeface="+mn-ea"/>
              <a:cs typeface="+mn-cs"/>
            </a:rPr>
            <a:t>             3.  Debt securities classified as Level 3 are prices from the custodian bank's external pricing vendors or an alternative pricing source, utilizing inputs such as stale prices, cash flow models, </a:t>
          </a:r>
        </a:p>
        <a:p>
          <a:r>
            <a:rPr lang="en-US" sz="1100" baseline="0">
              <a:solidFill>
                <a:sysClr val="windowText" lastClr="000000"/>
              </a:solidFill>
              <a:effectLst/>
              <a:latin typeface="+mn-lt"/>
              <a:ea typeface="+mn-ea"/>
              <a:cs typeface="+mn-cs"/>
            </a:rPr>
            <a:t>                  broker bids, or cost.  Cost or book value may be used as an estimate of fair value when there is a lack of an independent pricing source.</a:t>
          </a:r>
        </a:p>
        <a:p>
          <a:endParaRPr lang="en-US" sz="1100" baseline="0">
            <a:solidFill>
              <a:sysClr val="windowText" lastClr="000000"/>
            </a:solidFill>
            <a:effectLst/>
            <a:latin typeface="+mn-lt"/>
            <a:ea typeface="+mn-ea"/>
            <a:cs typeface="+mn-cs"/>
          </a:endParaRPr>
        </a:p>
        <a:p>
          <a:r>
            <a:rPr lang="en-US" sz="1100" baseline="0">
              <a:solidFill>
                <a:sysClr val="windowText" lastClr="000000"/>
              </a:solidFill>
              <a:effectLst/>
              <a:latin typeface="+mn-lt"/>
              <a:ea typeface="+mn-ea"/>
              <a:cs typeface="+mn-cs"/>
            </a:rPr>
            <a:t>      (6)  Section A-11 ("Other investments not measured at fair value") - This section is for investments measured using a method other than fair value as allowed by GASB, for example, cost-based</a:t>
          </a:r>
        </a:p>
        <a:p>
          <a:r>
            <a:rPr lang="en-US" sz="1100" baseline="0">
              <a:solidFill>
                <a:sysClr val="windowText" lastClr="000000"/>
              </a:solidFill>
              <a:effectLst/>
              <a:latin typeface="+mn-lt"/>
              <a:ea typeface="+mn-ea"/>
              <a:cs typeface="+mn-cs"/>
            </a:rPr>
            <a:t>             measure for non-participating investment contracts, the equity method for certain stock investments, cash surrender value for life insurance contracts, and amortized costs for money market</a:t>
          </a:r>
        </a:p>
        <a:p>
          <a:r>
            <a:rPr lang="en-US" sz="1100" baseline="0">
              <a:solidFill>
                <a:sysClr val="windowText" lastClr="000000"/>
              </a:solidFill>
              <a:effectLst/>
              <a:latin typeface="+mn-lt"/>
              <a:ea typeface="+mn-ea"/>
              <a:cs typeface="+mn-cs"/>
            </a:rPr>
            <a:t>             investments, including commercial paper.  Input the amount of the investment reported as of 6/30 (or the component units applicable fiscal year-end) directly into Column I.  Fair value</a:t>
          </a:r>
        </a:p>
        <a:p>
          <a:r>
            <a:rPr lang="en-US" sz="1100" baseline="0">
              <a:solidFill>
                <a:sysClr val="windowText" lastClr="000000"/>
              </a:solidFill>
              <a:effectLst/>
              <a:latin typeface="+mn-lt"/>
              <a:ea typeface="+mn-ea"/>
              <a:cs typeface="+mn-cs"/>
            </a:rPr>
            <a:t>             levels and descriptions of valuation techniques are not required.  </a:t>
          </a:r>
          <a:r>
            <a:rPr lang="en-US" sz="1100" b="0" baseline="0">
              <a:solidFill>
                <a:schemeClr val="dk1"/>
              </a:solidFill>
              <a:effectLst/>
              <a:latin typeface="+mn-lt"/>
              <a:ea typeface="+mn-ea"/>
              <a:cs typeface="+mn-cs"/>
            </a:rPr>
            <a:t>If </a:t>
          </a:r>
          <a:r>
            <a:rPr lang="en-US" sz="1100" b="1" baseline="0">
              <a:solidFill>
                <a:schemeClr val="dk1"/>
              </a:solidFill>
              <a:effectLst/>
              <a:latin typeface="+mn-lt"/>
              <a:ea typeface="+mn-ea"/>
              <a:cs typeface="+mn-cs"/>
            </a:rPr>
            <a:t>"Other investments"</a:t>
          </a:r>
          <a:r>
            <a:rPr lang="en-US" sz="1100" b="0" baseline="0">
              <a:solidFill>
                <a:schemeClr val="dk1"/>
              </a:solidFill>
              <a:effectLst/>
              <a:latin typeface="+mn-lt"/>
              <a:ea typeface="+mn-ea"/>
              <a:cs typeface="+mn-cs"/>
            </a:rPr>
            <a:t> </a:t>
          </a:r>
          <a:r>
            <a:rPr lang="en-US" sz="1100" baseline="0">
              <a:solidFill>
                <a:schemeClr val="dk1"/>
              </a:solidFill>
              <a:effectLst/>
              <a:latin typeface="+mn-lt"/>
              <a:ea typeface="+mn-ea"/>
              <a:cs typeface="+mn-cs"/>
            </a:rPr>
            <a:t>row is used, include a brief description and amounts of the each investment type in cell D77 (green</a:t>
          </a:r>
        </a:p>
        <a:p>
          <a:r>
            <a:rPr lang="en-US" sz="1100" baseline="0">
              <a:solidFill>
                <a:schemeClr val="dk1"/>
              </a:solidFill>
              <a:effectLst/>
              <a:latin typeface="+mn-lt"/>
              <a:ea typeface="+mn-ea"/>
              <a:cs typeface="+mn-cs"/>
            </a:rPr>
            <a:t>             highlighted cell) and the overall total amount in cell I77.</a:t>
          </a:r>
          <a:endParaRPr lang="en-US">
            <a:solidFill>
              <a:sysClr val="windowText" lastClr="000000"/>
            </a:solidFill>
            <a:effectLst/>
          </a:endParaRPr>
        </a:p>
        <a:p>
          <a:r>
            <a:rPr lang="en-US" sz="1100" baseline="0">
              <a:solidFill>
                <a:sysClr val="windowText" lastClr="000000"/>
              </a:solidFill>
              <a:effectLst/>
              <a:latin typeface="+mn-lt"/>
              <a:ea typeface="+mn-ea"/>
              <a:cs typeface="+mn-cs"/>
            </a:rPr>
            <a:t>      </a:t>
          </a:r>
          <a:endParaRPr lang="en-US">
            <a:solidFill>
              <a:sysClr val="windowText" lastClr="000000"/>
            </a:solidFill>
            <a:effectLst/>
          </a:endParaRPr>
        </a:p>
        <a:p>
          <a:r>
            <a:rPr lang="en-US" sz="1100" baseline="0">
              <a:solidFill>
                <a:sysClr val="windowText" lastClr="000000"/>
              </a:solidFill>
              <a:effectLst/>
              <a:latin typeface="+mn-lt"/>
              <a:ea typeface="+mn-ea"/>
              <a:cs typeface="+mn-cs"/>
            </a:rPr>
            <a:t>B.  Section B Instructions:  </a:t>
          </a:r>
        </a:p>
        <a:p>
          <a:endParaRPr lang="en-US" sz="1100" baseline="0">
            <a:solidFill>
              <a:sysClr val="windowText" lastClr="000000"/>
            </a:solidFill>
            <a:effectLst/>
            <a:latin typeface="+mn-lt"/>
            <a:ea typeface="+mn-ea"/>
            <a:cs typeface="+mn-cs"/>
          </a:endParaRPr>
        </a:p>
        <a:p>
          <a:r>
            <a:rPr lang="en-US" sz="1100" baseline="0">
              <a:solidFill>
                <a:sysClr val="windowText" lastClr="000000"/>
              </a:solidFill>
              <a:effectLst/>
              <a:latin typeface="+mn-lt"/>
              <a:ea typeface="+mn-ea"/>
              <a:cs typeface="+mn-cs"/>
            </a:rPr>
            <a:t>      (1)  For investments measured at NAV (B-1 through B-11) and investments reported in Section A-8 (Investments not measured at NAV) - Provide a description of the significant investment</a:t>
          </a:r>
        </a:p>
        <a:p>
          <a:r>
            <a:rPr lang="en-US" sz="1100" baseline="0">
              <a:solidFill>
                <a:sysClr val="windowText" lastClr="000000"/>
              </a:solidFill>
              <a:effectLst/>
              <a:latin typeface="+mn-lt"/>
              <a:ea typeface="+mn-ea"/>
              <a:cs typeface="+mn-cs"/>
            </a:rPr>
            <a:t>             strategies for each type of investment.  Additionally, for investments reported in Section A-8, include a brief description of the valuation technique(s) used to determine fair value.  </a:t>
          </a:r>
          <a:r>
            <a:rPr lang="en-US" sz="1100" b="0" baseline="0">
              <a:solidFill>
                <a:schemeClr val="dk1"/>
              </a:solidFill>
              <a:effectLst/>
              <a:latin typeface="+mn-lt"/>
              <a:ea typeface="+mn-ea"/>
              <a:cs typeface="+mn-cs"/>
            </a:rPr>
            <a:t>If the</a:t>
          </a:r>
        </a:p>
        <a:p>
          <a:r>
            <a:rPr lang="en-US" sz="1100" b="0" baseline="0">
              <a:solidFill>
                <a:schemeClr val="dk1"/>
              </a:solidFill>
              <a:effectLst/>
              <a:latin typeface="+mn-lt"/>
              <a:ea typeface="+mn-ea"/>
              <a:cs typeface="+mn-cs"/>
            </a:rPr>
            <a:t>             </a:t>
          </a:r>
          <a:r>
            <a:rPr lang="en-US" sz="1100" b="0" u="none" baseline="0">
              <a:solidFill>
                <a:schemeClr val="dk1"/>
              </a:solidFill>
              <a:effectLst/>
              <a:latin typeface="+mn-lt"/>
              <a:ea typeface="+mn-ea"/>
              <a:cs typeface="+mn-cs"/>
            </a:rPr>
            <a:t>"</a:t>
          </a:r>
          <a:r>
            <a:rPr lang="en-US" sz="1100" b="1" u="none" baseline="0">
              <a:solidFill>
                <a:schemeClr val="dk1"/>
              </a:solidFill>
              <a:effectLst/>
              <a:latin typeface="+mn-lt"/>
              <a:ea typeface="+mn-ea"/>
              <a:cs typeface="+mn-cs"/>
            </a:rPr>
            <a:t>Other investments" </a:t>
          </a:r>
          <a:r>
            <a:rPr lang="en-US" sz="1100" baseline="0">
              <a:solidFill>
                <a:schemeClr val="dk1"/>
              </a:solidFill>
              <a:effectLst/>
              <a:latin typeface="+mn-lt"/>
              <a:ea typeface="+mn-ea"/>
              <a:cs typeface="+mn-cs"/>
            </a:rPr>
            <a:t>row is used in Section A-8, include a brief description and amounts of the each investment type included in "Other investments".</a:t>
          </a:r>
          <a:r>
            <a:rPr lang="en-US" sz="1100" baseline="0">
              <a:solidFill>
                <a:sysClr val="windowText" lastClr="000000"/>
              </a:solidFill>
              <a:effectLst/>
              <a:latin typeface="+mn-lt"/>
              <a:ea typeface="+mn-ea"/>
              <a:cs typeface="+mn-cs"/>
            </a:rPr>
            <a:t>  </a:t>
          </a:r>
        </a:p>
        <a:p>
          <a:r>
            <a:rPr lang="en-US" sz="1100" baseline="0">
              <a:solidFill>
                <a:sysClr val="windowText" lastClr="000000"/>
              </a:solidFill>
              <a:effectLst/>
              <a:latin typeface="+mn-lt"/>
              <a:ea typeface="+mn-ea"/>
              <a:cs typeface="+mn-cs"/>
            </a:rPr>
            <a:t>             Examples of descriptions for investments at NAV:</a:t>
          </a:r>
        </a:p>
        <a:p>
          <a:r>
            <a:rPr lang="en-US" sz="1100" baseline="0">
              <a:solidFill>
                <a:sysClr val="windowText" lastClr="000000"/>
              </a:solidFill>
              <a:effectLst/>
              <a:latin typeface="+mn-lt"/>
              <a:ea typeface="+mn-ea"/>
              <a:cs typeface="+mn-cs"/>
            </a:rPr>
            <a:t>            1.  Commingled International Equity Funds -  Eight international equity funds are considered to be commingled in nature.  Each are valued at the net asset value of units held at the end</a:t>
          </a:r>
        </a:p>
        <a:p>
          <a:r>
            <a:rPr lang="en-US" sz="1100" baseline="0">
              <a:solidFill>
                <a:sysClr val="windowText" lastClr="000000"/>
              </a:solidFill>
              <a:effectLst/>
              <a:latin typeface="+mn-lt"/>
              <a:ea typeface="+mn-ea"/>
              <a:cs typeface="+mn-cs"/>
            </a:rPr>
            <a:t>                 of the period based upon the fair value of the underlying investments.</a:t>
          </a:r>
        </a:p>
        <a:p>
          <a:r>
            <a:rPr lang="en-US" sz="1100" baseline="0">
              <a:solidFill>
                <a:sysClr val="windowText" lastClr="000000"/>
              </a:solidFill>
              <a:effectLst/>
              <a:latin typeface="+mn-lt"/>
              <a:ea typeface="+mn-ea"/>
              <a:cs typeface="+mn-cs"/>
            </a:rPr>
            <a:t>            2.  Diversifying strategies (CTAs) Hedge Funds - The three funds that make up this group utilize a managed futures strategy, but also participate in equity, fixed income, indexes, rate and</a:t>
          </a:r>
        </a:p>
        <a:p>
          <a:r>
            <a:rPr lang="en-US" sz="1100" baseline="0">
              <a:solidFill>
                <a:sysClr val="windowText" lastClr="000000"/>
              </a:solidFill>
              <a:effectLst/>
              <a:latin typeface="+mn-lt"/>
              <a:ea typeface="+mn-ea"/>
              <a:cs typeface="+mn-cs"/>
            </a:rPr>
            <a:t>                 currencies, all of which provide deep liquidity.  The focus is diversification to provide low correlation and liquidity. These investments are valued at NAV at the end of the reporting period.  </a:t>
          </a:r>
        </a:p>
        <a:p>
          <a:r>
            <a:rPr lang="en-US" sz="1100" baseline="0">
              <a:solidFill>
                <a:sysClr val="windowText" lastClr="000000"/>
              </a:solidFill>
              <a:effectLst/>
              <a:latin typeface="+mn-lt"/>
              <a:ea typeface="+mn-ea"/>
              <a:cs typeface="+mn-cs"/>
            </a:rPr>
            <a:t>                 All funds within this strategy are redeemable within a month or less, as they are not subject to lock-up restrictions.</a:t>
          </a:r>
        </a:p>
        <a:p>
          <a:endParaRPr lang="en-US" sz="1100" baseline="0">
            <a:solidFill>
              <a:sysClr val="windowText" lastClr="000000"/>
            </a:solidFill>
            <a:effectLst/>
            <a:latin typeface="+mn-lt"/>
            <a:ea typeface="+mn-ea"/>
            <a:cs typeface="+mn-cs"/>
          </a:endParaRPr>
        </a:p>
        <a:p>
          <a:r>
            <a:rPr lang="en-US" sz="1100" baseline="0">
              <a:solidFill>
                <a:sysClr val="windowText" lastClr="000000"/>
              </a:solidFill>
              <a:effectLst/>
              <a:latin typeface="+mn-lt"/>
              <a:ea typeface="+mn-ea"/>
              <a:cs typeface="+mn-cs"/>
            </a:rPr>
            <a:t>      (2)  Hedge funds (B-8) - Input the fair value amount for each applicable hedge fund type (B-8(a) - (g)) in column I.  The grand total for all hedge fund types must agree with the fair value of </a:t>
          </a:r>
        </a:p>
        <a:p>
          <a:r>
            <a:rPr lang="en-US" sz="1100" baseline="0">
              <a:solidFill>
                <a:sysClr val="windowText" lastClr="000000"/>
              </a:solidFill>
              <a:effectLst/>
              <a:latin typeface="+mn-lt"/>
              <a:ea typeface="+mn-ea"/>
              <a:cs typeface="+mn-cs"/>
            </a:rPr>
            <a:t>             hedge funds measured at NAV in Section A.</a:t>
          </a:r>
        </a:p>
        <a:p>
          <a:endParaRPr lang="en-US" sz="1100" baseline="0">
            <a:solidFill>
              <a:sysClr val="windowText" lastClr="000000"/>
            </a:solidFill>
            <a:effectLst/>
            <a:latin typeface="+mn-lt"/>
            <a:ea typeface="+mn-ea"/>
            <a:cs typeface="+mn-cs"/>
          </a:endParaRPr>
        </a:p>
        <a:p>
          <a:endParaRPr lang="en-US" sz="1100" baseline="0">
            <a:solidFill>
              <a:sysClr val="windowText" lastClr="000000"/>
            </a:solidFill>
            <a:effectLst/>
            <a:latin typeface="+mn-lt"/>
            <a:ea typeface="+mn-ea"/>
            <a:cs typeface="+mn-cs"/>
          </a:endParaRPr>
        </a:p>
        <a:p>
          <a:endParaRPr lang="en-US" sz="1100" baseline="0">
            <a:solidFill>
              <a:sysClr val="windowText" lastClr="000000"/>
            </a:solidFill>
            <a:effectLst/>
            <a:latin typeface="+mn-lt"/>
            <a:ea typeface="+mn-ea"/>
            <a:cs typeface="+mn-cs"/>
          </a:endParaRPr>
        </a:p>
        <a:p>
          <a:endParaRPr lang="en-US" sz="1100" baseline="0">
            <a:solidFill>
              <a:sysClr val="windowText" lastClr="000000"/>
            </a:solidFill>
            <a:effectLst/>
            <a:latin typeface="+mn-lt"/>
            <a:ea typeface="+mn-ea"/>
            <a:cs typeface="+mn-cs"/>
          </a:endParaRPr>
        </a:p>
        <a:p>
          <a:r>
            <a:rPr lang="en-US" sz="1100" baseline="0">
              <a:solidFill>
                <a:sysClr val="windowText" lastClr="000000"/>
              </a:solidFill>
              <a:effectLst/>
              <a:latin typeface="+mn-lt"/>
              <a:ea typeface="+mn-ea"/>
              <a:cs typeface="+mn-cs"/>
            </a:rPr>
            <a:t>          </a:t>
          </a:r>
        </a:p>
        <a:p>
          <a:r>
            <a:rPr lang="en-US" sz="1100" baseline="0">
              <a:solidFill>
                <a:sysClr val="windowText" lastClr="000000"/>
              </a:solidFill>
              <a:effectLst/>
              <a:latin typeface="+mn-lt"/>
              <a:ea typeface="+mn-ea"/>
              <a:cs typeface="+mn-cs"/>
            </a:rPr>
            <a:t>               </a:t>
          </a:r>
          <a:endParaRPr 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23284</xdr:colOff>
      <xdr:row>62</xdr:row>
      <xdr:rowOff>91775</xdr:rowOff>
    </xdr:from>
    <xdr:to>
      <xdr:col>7</xdr:col>
      <xdr:colOff>336128</xdr:colOff>
      <xdr:row>78</xdr:row>
      <xdr:rowOff>22772</xdr:rowOff>
    </xdr:to>
    <xdr:graphicFrame macro="">
      <xdr:nvGraphicFramePr>
        <xdr:cNvPr id="3" name="Chart 2" descr="Financial Highlight - Data For Tables" title="Chart">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86</xdr:row>
      <xdr:rowOff>0</xdr:rowOff>
    </xdr:from>
    <xdr:to>
      <xdr:col>7</xdr:col>
      <xdr:colOff>312844</xdr:colOff>
      <xdr:row>99</xdr:row>
      <xdr:rowOff>83820</xdr:rowOff>
    </xdr:to>
    <xdr:graphicFrame macro="">
      <xdr:nvGraphicFramePr>
        <xdr:cNvPr id="7" name="Chart 6" descr="Total Revenues: College" title="Chart">
          <a:extLst>
            <a:ext uri="{FF2B5EF4-FFF2-40B4-BE49-F238E27FC236}">
              <a16:creationId xmlns:a16="http://schemas.microsoft.com/office/drawing/2014/main" id="{00000000-0008-0000-2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FY%202009\Reports\AFR\Statements\SEFA\SEFA%20Schedule%206%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1\phillil\LOCALS~1\Temp\XPgrpwise\Sched%206%20806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Bureau%20of%20Financial%20Reporting\Funct1%20-%20CAFR\2021\1.00%20Planning\10%20-%20Updates\03%20-%20Forms\3%20-%20Ready%20For%20ABC%20Approval\DFS-A1-1835%20SWFS%20Adjustment%20Form%20-%20Component%20Un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Data"/>
      <sheetName val="Noncash"/>
      <sheetName val="Loan"/>
      <sheetName val="Lender"/>
      <sheetName val="Wrksht Exp"/>
      <sheetName val="List"/>
      <sheetName val="CFDA Program Titles Table"/>
      <sheetName val="OFA UNK"/>
      <sheetName val="Fed. Agency Identifier Table"/>
      <sheetName val="Perkins"/>
      <sheetName val="Recon Template"/>
      <sheetName val="Certification"/>
    </sheetNames>
    <sheetDataSet>
      <sheetData sheetId="0"/>
      <sheetData sheetId="1"/>
      <sheetData sheetId="2"/>
      <sheetData sheetId="3"/>
      <sheetData sheetId="4"/>
      <sheetData sheetId="5">
        <row r="1">
          <cell r="C1" t="str">
            <v>Yes</v>
          </cell>
        </row>
        <row r="2">
          <cell r="C2" t="str">
            <v>No</v>
          </cell>
        </row>
      </sheetData>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6 - SEFA Data"/>
      <sheetName val="Wrksht"/>
      <sheetName val="Wrksht Exp"/>
      <sheetName val="Noncash"/>
      <sheetName val="List"/>
      <sheetName val="CFDA Program Titles Table"/>
      <sheetName val="OFA 999"/>
      <sheetName val="Fed. Agency Identifier Table"/>
    </sheetNames>
    <sheetDataSet>
      <sheetData sheetId="0" refreshError="1"/>
      <sheetData sheetId="1" refreshError="1"/>
      <sheetData sheetId="2" refreshError="1"/>
      <sheetData sheetId="3" refreshError="1"/>
      <sheetData sheetId="4" refreshError="1">
        <row r="1">
          <cell r="A1" t="str">
            <v>Yes</v>
          </cell>
          <cell r="B1" t="str">
            <v>D</v>
          </cell>
        </row>
        <row r="2">
          <cell r="A2" t="str">
            <v>No</v>
          </cell>
          <cell r="B2" t="str">
            <v>I</v>
          </cell>
        </row>
        <row r="3">
          <cell r="B3" t="str">
            <v>T</v>
          </cell>
        </row>
        <row r="4">
          <cell r="B4" t="str">
            <v>S</v>
          </cell>
        </row>
      </sheetData>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 Form"/>
      <sheetName val="Table GL Code"/>
    </sheetNames>
    <sheetDataSet>
      <sheetData sheetId="0"/>
      <sheetData sheetId="1">
        <row r="1">
          <cell r="A1" t="str">
            <v>GL</v>
          </cell>
          <cell r="B1" t="str">
            <v>GLName</v>
          </cell>
        </row>
        <row r="2">
          <cell r="A2" t="str">
            <v>11100</v>
          </cell>
          <cell r="B2" t="str">
            <v>Cash on Hand</v>
          </cell>
        </row>
        <row r="3">
          <cell r="A3" t="str">
            <v>11110</v>
          </cell>
          <cell r="B3" t="str">
            <v>Cash on Hand</v>
          </cell>
        </row>
        <row r="4">
          <cell r="A4" t="str">
            <v>11120</v>
          </cell>
          <cell r="B4" t="str">
            <v>Petty Cash</v>
          </cell>
        </row>
        <row r="5">
          <cell r="A5" t="str">
            <v>11200</v>
          </cell>
          <cell r="B5" t="str">
            <v>Cash in Bank</v>
          </cell>
        </row>
        <row r="6">
          <cell r="A6" t="str">
            <v>11201</v>
          </cell>
          <cell r="B6" t="str">
            <v>Cash in Bank - Money Market - Atlantic</v>
          </cell>
        </row>
        <row r="7">
          <cell r="A7" t="str">
            <v>11203</v>
          </cell>
          <cell r="B7" t="str">
            <v>Cash in Bank-Held Elsewhere</v>
          </cell>
        </row>
        <row r="8">
          <cell r="A8" t="str">
            <v>11205</v>
          </cell>
          <cell r="B8" t="str">
            <v>Cash - Certificate of Deposit</v>
          </cell>
        </row>
        <row r="9">
          <cell r="A9" t="str">
            <v>11207</v>
          </cell>
          <cell r="B9" t="str">
            <v>Cash in Wells Fargo Bank</v>
          </cell>
        </row>
        <row r="10">
          <cell r="A10" t="str">
            <v>11208</v>
          </cell>
          <cell r="B10" t="str">
            <v>Cash in Northern Trust</v>
          </cell>
        </row>
        <row r="11">
          <cell r="A11" t="str">
            <v>11210</v>
          </cell>
          <cell r="B11" t="str">
            <v>Cash in Nationsbank</v>
          </cell>
        </row>
        <row r="12">
          <cell r="A12" t="str">
            <v>11211</v>
          </cell>
          <cell r="B12" t="str">
            <v>Cash in Bank - Cert of Deposit</v>
          </cell>
        </row>
        <row r="13">
          <cell r="A13" t="str">
            <v>11213</v>
          </cell>
          <cell r="B13" t="str">
            <v>Cash in Bank - Lending Collateral</v>
          </cell>
        </row>
        <row r="14">
          <cell r="A14" t="str">
            <v>11214</v>
          </cell>
          <cell r="B14" t="str">
            <v>Lendg Coll - Time Deposits</v>
          </cell>
        </row>
        <row r="15">
          <cell r="A15" t="str">
            <v>11215</v>
          </cell>
          <cell r="B15" t="str">
            <v>Cash Equiv - Time Deposits</v>
          </cell>
        </row>
        <row r="16">
          <cell r="A16" t="str">
            <v>11230</v>
          </cell>
          <cell r="B16" t="str">
            <v>Cash in Bank-BNY Mellon</v>
          </cell>
        </row>
        <row r="17">
          <cell r="A17" t="str">
            <v>11236</v>
          </cell>
          <cell r="B17" t="str">
            <v>Cash in Bzw Barclays</v>
          </cell>
        </row>
        <row r="18">
          <cell r="A18" t="str">
            <v>11240</v>
          </cell>
          <cell r="B18" t="str">
            <v>Foreign Currency in Bank</v>
          </cell>
        </row>
        <row r="19">
          <cell r="A19" t="str">
            <v>11249</v>
          </cell>
          <cell r="B19" t="str">
            <v>Frgn Curr - Apprec/ (Deprec)</v>
          </cell>
        </row>
        <row r="20">
          <cell r="A20" t="str">
            <v>11252</v>
          </cell>
          <cell r="B20" t="str">
            <v>Foreign Curr at Northen Trust</v>
          </cell>
        </row>
        <row r="21">
          <cell r="A21" t="str">
            <v>11300</v>
          </cell>
          <cell r="B21" t="str">
            <v>Cash with State Board of Administration</v>
          </cell>
        </row>
        <row r="22">
          <cell r="A22" t="str">
            <v>11400</v>
          </cell>
          <cell r="B22" t="str">
            <v>Cash with Fiscal Agents</v>
          </cell>
        </row>
        <row r="23">
          <cell r="A23" t="str">
            <v>12100</v>
          </cell>
          <cell r="B23" t="str">
            <v>Unreleased Cash in State Treasury</v>
          </cell>
        </row>
        <row r="24">
          <cell r="A24" t="str">
            <v>12200</v>
          </cell>
          <cell r="B24" t="str">
            <v>Released Cash in State Treasury</v>
          </cell>
        </row>
        <row r="25">
          <cell r="A25" t="str">
            <v>12210</v>
          </cell>
          <cell r="B25" t="str">
            <v>Releases - Cash in State Treasury</v>
          </cell>
        </row>
        <row r="26">
          <cell r="A26" t="str">
            <v>12300</v>
          </cell>
          <cell r="B26" t="str">
            <v>Component Unit Cash in Treasury</v>
          </cell>
        </row>
        <row r="27">
          <cell r="A27" t="str">
            <v>12400</v>
          </cell>
          <cell r="B27" t="str">
            <v>Cash in State Treasury Unverified</v>
          </cell>
        </row>
        <row r="28">
          <cell r="A28" t="str">
            <v>13100</v>
          </cell>
          <cell r="B28" t="str">
            <v>Unexpended General Revenue Releases</v>
          </cell>
        </row>
        <row r="29">
          <cell r="A29" t="str">
            <v>13400</v>
          </cell>
          <cell r="B29" t="str">
            <v>Unexpended Infrastructure Fund Releases</v>
          </cell>
        </row>
        <row r="30">
          <cell r="A30" t="str">
            <v>14100</v>
          </cell>
          <cell r="B30" t="str">
            <v>Pooled Investments with State Treasury</v>
          </cell>
        </row>
        <row r="31">
          <cell r="A31" t="str">
            <v>14101</v>
          </cell>
          <cell r="B31" t="str">
            <v>Pooled Investments with St Treasury</v>
          </cell>
        </row>
        <row r="32">
          <cell r="A32" t="str">
            <v>14110</v>
          </cell>
          <cell r="B32" t="str">
            <v>ERROR</v>
          </cell>
        </row>
        <row r="33">
          <cell r="A33" t="str">
            <v>14200</v>
          </cell>
          <cell r="B33" t="str">
            <v>Investments with State Board of Administration</v>
          </cell>
        </row>
        <row r="34">
          <cell r="A34" t="str">
            <v>14205</v>
          </cell>
          <cell r="B34" t="str">
            <v>Investments at SBA - Rebate Fund</v>
          </cell>
        </row>
        <row r="35">
          <cell r="A35" t="str">
            <v>14208</v>
          </cell>
          <cell r="B35" t="str">
            <v>Certificates of Deposit</v>
          </cell>
        </row>
        <row r="36">
          <cell r="A36" t="str">
            <v>14210</v>
          </cell>
          <cell r="B36" t="str">
            <v>U.S. Gov't &amp; Federally Guaranteed Obligation</v>
          </cell>
        </row>
        <row r="37">
          <cell r="A37" t="str">
            <v>14215</v>
          </cell>
          <cell r="B37" t="str">
            <v>Federal Agencies</v>
          </cell>
        </row>
        <row r="38">
          <cell r="A38" t="str">
            <v>14220</v>
          </cell>
          <cell r="B38" t="str">
            <v>Bankers Acceptances</v>
          </cell>
        </row>
        <row r="39">
          <cell r="A39" t="str">
            <v>14225</v>
          </cell>
          <cell r="B39" t="str">
            <v>Commercial Paper</v>
          </cell>
        </row>
        <row r="40">
          <cell r="A40" t="str">
            <v>14230</v>
          </cell>
          <cell r="B40" t="str">
            <v>Repurchase Agreements</v>
          </cell>
        </row>
        <row r="41">
          <cell r="A41" t="str">
            <v>14235</v>
          </cell>
          <cell r="B41" t="str">
            <v>Fixed Income Investments</v>
          </cell>
        </row>
        <row r="42">
          <cell r="A42" t="str">
            <v>14236</v>
          </cell>
          <cell r="B42" t="str">
            <v>International Bonds and Notes</v>
          </cell>
        </row>
        <row r="43">
          <cell r="A43" t="str">
            <v>14240</v>
          </cell>
          <cell r="B43" t="str">
            <v>Options</v>
          </cell>
        </row>
        <row r="44">
          <cell r="A44" t="str">
            <v>14245</v>
          </cell>
          <cell r="B44" t="str">
            <v>Real Estate Contracts</v>
          </cell>
        </row>
        <row r="45">
          <cell r="A45" t="str">
            <v>14250</v>
          </cell>
          <cell r="B45" t="str">
            <v>Money Market and Mutual Funds</v>
          </cell>
        </row>
        <row r="46">
          <cell r="A46" t="str">
            <v>14255</v>
          </cell>
          <cell r="B46" t="str">
            <v>Short Term Investment Funds</v>
          </cell>
        </row>
        <row r="47">
          <cell r="A47" t="str">
            <v>14260</v>
          </cell>
          <cell r="B47" t="str">
            <v>Domestic Equity/ Domestic Equity Commingled</v>
          </cell>
        </row>
        <row r="48">
          <cell r="A48" t="str">
            <v>14265</v>
          </cell>
          <cell r="B48" t="str">
            <v>Alternative Investments</v>
          </cell>
        </row>
        <row r="49">
          <cell r="A49" t="str">
            <v>14266</v>
          </cell>
          <cell r="B49" t="str">
            <v>Alt. Investments - Domestic</v>
          </cell>
        </row>
        <row r="50">
          <cell r="A50" t="str">
            <v>14267</v>
          </cell>
          <cell r="B50" t="str">
            <v>Alt. Investments - International</v>
          </cell>
        </row>
        <row r="51">
          <cell r="A51" t="str">
            <v>14270</v>
          </cell>
          <cell r="B51" t="str">
            <v>Equity Group Trust</v>
          </cell>
        </row>
        <row r="52">
          <cell r="A52" t="str">
            <v>14275</v>
          </cell>
          <cell r="B52" t="str">
            <v>International Equity/ Intl Equity Commingled</v>
          </cell>
        </row>
        <row r="53">
          <cell r="A53" t="str">
            <v>14276</v>
          </cell>
          <cell r="B53" t="str">
            <v>International equity commingled</v>
          </cell>
        </row>
        <row r="54">
          <cell r="A54" t="str">
            <v>14280</v>
          </cell>
          <cell r="B54" t="str">
            <v>Security Lending Collateral</v>
          </cell>
        </row>
        <row r="55">
          <cell r="A55" t="str">
            <v>14285</v>
          </cell>
          <cell r="B55" t="str">
            <v>International Bonds and Notes</v>
          </cell>
        </row>
        <row r="56">
          <cell r="A56" t="str">
            <v>14299</v>
          </cell>
          <cell r="B56" t="str">
            <v>Other Investments</v>
          </cell>
        </row>
        <row r="57">
          <cell r="A57" t="str">
            <v>14300</v>
          </cell>
          <cell r="B57" t="str">
            <v>Special Investments with State Treasury</v>
          </cell>
        </row>
        <row r="58">
          <cell r="A58" t="str">
            <v>14301</v>
          </cell>
          <cell r="B58" t="str">
            <v>St. Treasurer SPIA Investment - ST</v>
          </cell>
        </row>
        <row r="59">
          <cell r="A59" t="str">
            <v>14400</v>
          </cell>
          <cell r="B59" t="str">
            <v>Non-state and CU Investments with State Treasury</v>
          </cell>
        </row>
        <row r="60">
          <cell r="A60" t="str">
            <v>14401</v>
          </cell>
          <cell r="B60" t="str">
            <v>Non-state and CU Investments with State Treasury</v>
          </cell>
        </row>
        <row r="61">
          <cell r="A61" t="str">
            <v>14500</v>
          </cell>
          <cell r="B61" t="str">
            <v>Equity Investments with Collateral Securities</v>
          </cell>
        </row>
        <row r="62">
          <cell r="A62" t="str">
            <v>14600</v>
          </cell>
          <cell r="B62" t="str">
            <v>Debt Investments with Collateral Securities</v>
          </cell>
        </row>
        <row r="63">
          <cell r="A63" t="str">
            <v>14700</v>
          </cell>
          <cell r="B63" t="str">
            <v>Other Investments</v>
          </cell>
        </row>
        <row r="64">
          <cell r="A64" t="str">
            <v>14705</v>
          </cell>
          <cell r="B64" t="str">
            <v>Canadian Bills ($ Dom)</v>
          </cell>
        </row>
        <row r="65">
          <cell r="A65" t="str">
            <v>14706</v>
          </cell>
          <cell r="B65" t="str">
            <v>Certificates of Dep., Neg.</v>
          </cell>
        </row>
        <row r="66">
          <cell r="A66" t="str">
            <v>14707</v>
          </cell>
          <cell r="B66" t="str">
            <v>Fed. Agencies (Short-Term)</v>
          </cell>
        </row>
        <row r="67">
          <cell r="A67" t="str">
            <v>14709</v>
          </cell>
          <cell r="B67" t="str">
            <v>Commercial Paper</v>
          </cell>
        </row>
        <row r="68">
          <cell r="A68" t="str">
            <v>14710</v>
          </cell>
          <cell r="B68" t="str">
            <v>Repurchase Agreements</v>
          </cell>
        </row>
        <row r="69">
          <cell r="A69" t="str">
            <v>14711</v>
          </cell>
          <cell r="B69" t="str">
            <v>Floating Rate Notes</v>
          </cell>
        </row>
        <row r="70">
          <cell r="A70" t="str">
            <v>14712</v>
          </cell>
          <cell r="B70" t="str">
            <v>U.S. Treasury Bills</v>
          </cell>
        </row>
        <row r="71">
          <cell r="A71" t="str">
            <v>14713</v>
          </cell>
          <cell r="B71" t="str">
            <v>Variable Rate Notes</v>
          </cell>
        </row>
        <row r="72">
          <cell r="A72" t="str">
            <v>14714</v>
          </cell>
          <cell r="B72" t="str">
            <v>Short Term Invest Amortization</v>
          </cell>
        </row>
        <row r="73">
          <cell r="A73" t="str">
            <v>14718</v>
          </cell>
          <cell r="B73" t="str">
            <v>St Inv - Reserve Offset</v>
          </cell>
        </row>
        <row r="74">
          <cell r="A74" t="str">
            <v>14719</v>
          </cell>
          <cell r="B74" t="str">
            <v>St Investments - Reserve</v>
          </cell>
        </row>
        <row r="75">
          <cell r="A75" t="str">
            <v>14720</v>
          </cell>
          <cell r="B75" t="str">
            <v>Short Term Investments</v>
          </cell>
        </row>
        <row r="76">
          <cell r="A76" t="str">
            <v>14722</v>
          </cell>
          <cell r="B76" t="str">
            <v>Florida PRIME Investment-ST</v>
          </cell>
        </row>
        <row r="77">
          <cell r="A77" t="str">
            <v>14724</v>
          </cell>
          <cell r="B77" t="str">
            <v>Fixed Income Invest Amortization</v>
          </cell>
        </row>
        <row r="78">
          <cell r="A78" t="str">
            <v>14728</v>
          </cell>
          <cell r="B78" t="str">
            <v>Florida Prime Investments - ST</v>
          </cell>
        </row>
        <row r="79">
          <cell r="A79" t="str">
            <v>14729</v>
          </cell>
          <cell r="B79" t="str">
            <v>Stip Participant Liability</v>
          </cell>
        </row>
        <row r="80">
          <cell r="A80" t="str">
            <v>14730</v>
          </cell>
          <cell r="B80" t="str">
            <v>Equity Investments</v>
          </cell>
        </row>
        <row r="81">
          <cell r="A81" t="str">
            <v>14731</v>
          </cell>
          <cell r="B81" t="str">
            <v>Fixed Income Investments</v>
          </cell>
        </row>
        <row r="82">
          <cell r="A82" t="str">
            <v>14735</v>
          </cell>
          <cell r="B82" t="str">
            <v>International Equity/ Intl Equity Commingled</v>
          </cell>
        </row>
        <row r="83">
          <cell r="A83" t="str">
            <v>14740</v>
          </cell>
          <cell r="B83" t="str">
            <v>Option Investments</v>
          </cell>
        </row>
        <row r="84">
          <cell r="A84" t="str">
            <v>14742</v>
          </cell>
          <cell r="B84" t="str">
            <v>Us Govt &amp; Federally Guaranteed</v>
          </cell>
        </row>
        <row r="85">
          <cell r="A85" t="str">
            <v>14745</v>
          </cell>
          <cell r="B85" t="str">
            <v>Money Market and Mutual Funds</v>
          </cell>
        </row>
        <row r="86">
          <cell r="A86" t="str">
            <v>14750</v>
          </cell>
          <cell r="B86" t="str">
            <v>Lending Collateral Investments</v>
          </cell>
        </row>
        <row r="87">
          <cell r="A87" t="str">
            <v>14760</v>
          </cell>
          <cell r="B87" t="str">
            <v>Real Estate Investments</v>
          </cell>
        </row>
        <row r="88">
          <cell r="A88" t="str">
            <v>14761</v>
          </cell>
          <cell r="B88" t="str">
            <v>Lending Collateral - Commercial Paper</v>
          </cell>
        </row>
        <row r="89">
          <cell r="A89" t="str">
            <v>14762</v>
          </cell>
          <cell r="B89" t="str">
            <v>Lending Collateral - Notes &amp; Bonds</v>
          </cell>
        </row>
        <row r="90">
          <cell r="A90" t="str">
            <v>14763</v>
          </cell>
          <cell r="B90" t="str">
            <v>Lending Collateral - Cert. of Deposit</v>
          </cell>
        </row>
        <row r="91">
          <cell r="A91" t="str">
            <v>14766</v>
          </cell>
          <cell r="B91" t="str">
            <v>Lending Collateral - Repos</v>
          </cell>
        </row>
        <row r="92">
          <cell r="A92" t="str">
            <v>14767</v>
          </cell>
          <cell r="B92" t="str">
            <v>Lendg Collateral - Mutual Funds</v>
          </cell>
        </row>
        <row r="93">
          <cell r="A93" t="str">
            <v>14768</v>
          </cell>
          <cell r="B93" t="str">
            <v>Lendg Collateral - Gics</v>
          </cell>
        </row>
        <row r="94">
          <cell r="A94" t="str">
            <v>14782</v>
          </cell>
          <cell r="B94" t="str">
            <v>Short Term - Apprec/ Deprec</v>
          </cell>
        </row>
        <row r="95">
          <cell r="A95" t="str">
            <v>14783</v>
          </cell>
          <cell r="B95" t="str">
            <v>Fixed Income - Apprec/ Deprec</v>
          </cell>
        </row>
        <row r="96">
          <cell r="A96" t="str">
            <v>14784</v>
          </cell>
          <cell r="B96" t="str">
            <v>Equities - Apprec/ Deprec</v>
          </cell>
        </row>
        <row r="97">
          <cell r="A97" t="str">
            <v>14785</v>
          </cell>
          <cell r="B97" t="str">
            <v>Real Estate - Apprec/ Deprec</v>
          </cell>
        </row>
        <row r="98">
          <cell r="A98" t="str">
            <v>14786</v>
          </cell>
          <cell r="B98" t="str">
            <v>Fi Options - Apprec/ Deprec</v>
          </cell>
        </row>
        <row r="99">
          <cell r="A99" t="str">
            <v>14799</v>
          </cell>
          <cell r="B99" t="str">
            <v>Deferred compensation annuities</v>
          </cell>
        </row>
        <row r="100">
          <cell r="A100" t="str">
            <v>14800</v>
          </cell>
          <cell r="B100" t="str">
            <v>SWFS Only - Fair Value Adjustment for Treasury Inv</v>
          </cell>
        </row>
        <row r="101">
          <cell r="A101" t="str">
            <v>14900</v>
          </cell>
          <cell r="B101" t="str">
            <v>SWFS Only - Security lending for Treasury Investme</v>
          </cell>
        </row>
        <row r="102">
          <cell r="A102" t="str">
            <v>15100</v>
          </cell>
          <cell r="B102" t="str">
            <v>Accounts Receivable</v>
          </cell>
        </row>
        <row r="103">
          <cell r="A103" t="str">
            <v>15101</v>
          </cell>
          <cell r="B103" t="str">
            <v>Due from Employees</v>
          </cell>
        </row>
        <row r="104">
          <cell r="A104" t="str">
            <v>15102</v>
          </cell>
          <cell r="B104" t="str">
            <v>Payroll Adjustment M-30</v>
          </cell>
        </row>
        <row r="105">
          <cell r="A105" t="str">
            <v>15104</v>
          </cell>
          <cell r="B105" t="str">
            <v>Fica Adjustments</v>
          </cell>
        </row>
        <row r="106">
          <cell r="A106" t="str">
            <v>15105</v>
          </cell>
          <cell r="B106" t="str">
            <v>Futures Initial Margin Receivable</v>
          </cell>
        </row>
        <row r="107">
          <cell r="A107" t="str">
            <v>15106</v>
          </cell>
          <cell r="B107" t="str">
            <v>Retirement Adjustment</v>
          </cell>
        </row>
        <row r="108">
          <cell r="A108" t="str">
            <v>15108</v>
          </cell>
          <cell r="B108" t="str">
            <v>Undistributed Expenses</v>
          </cell>
        </row>
        <row r="109">
          <cell r="A109" t="str">
            <v>15109</v>
          </cell>
          <cell r="B109" t="str">
            <v>Discount On Forward Contract</v>
          </cell>
        </row>
        <row r="110">
          <cell r="A110" t="str">
            <v>15110</v>
          </cell>
          <cell r="B110" t="str">
            <v>Receivable-Pending Sales</v>
          </cell>
        </row>
        <row r="111">
          <cell r="A111" t="str">
            <v>15112</v>
          </cell>
          <cell r="B111" t="str">
            <v>Excess Benefit - Regular</v>
          </cell>
        </row>
        <row r="112">
          <cell r="A112" t="str">
            <v>15114</v>
          </cell>
          <cell r="B112" t="str">
            <v>Deliquency Fees</v>
          </cell>
        </row>
        <row r="113">
          <cell r="A113" t="str">
            <v>15115</v>
          </cell>
          <cell r="B113" t="str">
            <v>Pending Investment Sales</v>
          </cell>
        </row>
        <row r="114">
          <cell r="A114" t="str">
            <v>15116</v>
          </cell>
          <cell r="B114" t="str">
            <v>Installment Contracts L/T</v>
          </cell>
        </row>
        <row r="115">
          <cell r="A115" t="str">
            <v>15118</v>
          </cell>
          <cell r="B115" t="str">
            <v>Due From Inmantes - Banking Fees</v>
          </cell>
        </row>
        <row r="116">
          <cell r="A116" t="str">
            <v>15120</v>
          </cell>
          <cell r="B116" t="str">
            <v>Forward Contract Receivable/Discount</v>
          </cell>
        </row>
        <row r="117">
          <cell r="A117" t="str">
            <v>15122</v>
          </cell>
          <cell r="B117" t="str">
            <v>Forward Contract Rec - Apprec/Deprec</v>
          </cell>
        </row>
        <row r="118">
          <cell r="A118" t="str">
            <v>15123</v>
          </cell>
          <cell r="B118" t="str">
            <v>Pending Spot FX Trades Receivable</v>
          </cell>
        </row>
        <row r="119">
          <cell r="A119" t="str">
            <v>15124</v>
          </cell>
          <cell r="B119" t="str">
            <v>Pending Spot FX Rec-Apprec/Deprec</v>
          </cell>
        </row>
        <row r="120">
          <cell r="A120" t="str">
            <v>15125</v>
          </cell>
          <cell r="B120" t="str">
            <v>Forward Contract Receivable/Discount</v>
          </cell>
        </row>
        <row r="121">
          <cell r="A121" t="str">
            <v>15130</v>
          </cell>
          <cell r="B121" t="str">
            <v>Futures Trade Equity</v>
          </cell>
        </row>
        <row r="122">
          <cell r="A122" t="str">
            <v>15140</v>
          </cell>
          <cell r="B122" t="str">
            <v>Accts Rec - Miscellaneous Revenue</v>
          </cell>
        </row>
        <row r="123">
          <cell r="A123" t="str">
            <v>15150</v>
          </cell>
          <cell r="B123" t="str">
            <v>AR-Refunds in Progress</v>
          </cell>
        </row>
        <row r="124">
          <cell r="A124" t="str">
            <v>15164</v>
          </cell>
          <cell r="B124" t="str">
            <v>AR- Electronic Monitoring</v>
          </cell>
        </row>
        <row r="125">
          <cell r="A125" t="str">
            <v>15167</v>
          </cell>
          <cell r="B125" t="str">
            <v>Accounts receivable – Due from PRC subsist fees</v>
          </cell>
        </row>
        <row r="126">
          <cell r="A126" t="str">
            <v>15190</v>
          </cell>
          <cell r="B126" t="str">
            <v>A/R Other</v>
          </cell>
        </row>
        <row r="127">
          <cell r="A127" t="str">
            <v>15196</v>
          </cell>
          <cell r="B127" t="str">
            <v>Travel Advances</v>
          </cell>
        </row>
        <row r="128">
          <cell r="A128" t="str">
            <v>15197</v>
          </cell>
          <cell r="B128" t="str">
            <v>A/R Legal</v>
          </cell>
        </row>
        <row r="129">
          <cell r="A129" t="str">
            <v>15198</v>
          </cell>
          <cell r="B129" t="str">
            <v>Futures Trade Equity Rec.</v>
          </cell>
        </row>
        <row r="130">
          <cell r="A130" t="str">
            <v>15199</v>
          </cell>
          <cell r="B130" t="str">
            <v>Rec From Broker-Forward K</v>
          </cell>
        </row>
        <row r="131">
          <cell r="A131" t="str">
            <v>15200</v>
          </cell>
          <cell r="B131" t="str">
            <v>Taxes Receivable</v>
          </cell>
        </row>
        <row r="132">
          <cell r="A132" t="str">
            <v>15205</v>
          </cell>
          <cell r="B132" t="str">
            <v>State Contributions Receivable</v>
          </cell>
        </row>
        <row r="133">
          <cell r="A133" t="str">
            <v>15215</v>
          </cell>
          <cell r="B133" t="str">
            <v>Installment Contributions Receivable</v>
          </cell>
        </row>
        <row r="134">
          <cell r="A134" t="str">
            <v>15300</v>
          </cell>
          <cell r="B134" t="str">
            <v>Interest and Dividends Receivable</v>
          </cell>
        </row>
        <row r="135">
          <cell r="A135" t="str">
            <v>15301</v>
          </cell>
          <cell r="B135" t="str">
            <v>Interest Receivable</v>
          </cell>
        </row>
        <row r="136">
          <cell r="A136" t="str">
            <v>15302</v>
          </cell>
          <cell r="B136" t="str">
            <v>Dividends Receivable</v>
          </cell>
        </row>
        <row r="137">
          <cell r="A137" t="str">
            <v>15303</v>
          </cell>
          <cell r="B137" t="str">
            <v>Security Lending Inc Rec</v>
          </cell>
        </row>
        <row r="138">
          <cell r="A138" t="str">
            <v>15305</v>
          </cell>
          <cell r="B138" t="str">
            <v>Accrued Int On Pndg Sales</v>
          </cell>
        </row>
        <row r="139">
          <cell r="A139" t="str">
            <v>15306</v>
          </cell>
          <cell r="B139" t="str">
            <v>Interest Receivable</v>
          </cell>
        </row>
        <row r="140">
          <cell r="A140" t="str">
            <v>15308</v>
          </cell>
          <cell r="B140" t="str">
            <v>Interest Rec - Claims</v>
          </cell>
        </row>
        <row r="141">
          <cell r="A141" t="str">
            <v>15321</v>
          </cell>
          <cell r="B141" t="str">
            <v>Dividends Receivable - Apprec/Deprec</v>
          </cell>
        </row>
        <row r="142">
          <cell r="A142" t="str">
            <v>15360</v>
          </cell>
          <cell r="B142" t="str">
            <v>Dividends Receivable</v>
          </cell>
        </row>
        <row r="143">
          <cell r="A143" t="str">
            <v>15400</v>
          </cell>
          <cell r="B143" t="str">
            <v>Loans and Notes Receivable</v>
          </cell>
        </row>
        <row r="144">
          <cell r="A144" t="str">
            <v>15410</v>
          </cell>
          <cell r="B144" t="str">
            <v>Loans &amp; Advances Receivables</v>
          </cell>
        </row>
        <row r="145">
          <cell r="A145" t="str">
            <v>15420</v>
          </cell>
          <cell r="B145" t="str">
            <v>Returned Checks</v>
          </cell>
        </row>
        <row r="146">
          <cell r="A146" t="str">
            <v>15440</v>
          </cell>
          <cell r="B146" t="str">
            <v>A/R - Fisl Escrow</v>
          </cell>
        </row>
        <row r="147">
          <cell r="A147" t="str">
            <v>15450</v>
          </cell>
          <cell r="B147" t="str">
            <v>Settlements And Judgments Receivable</v>
          </cell>
        </row>
        <row r="148">
          <cell r="A148" t="str">
            <v>15490</v>
          </cell>
          <cell r="B148" t="str">
            <v>Loans-Scholarships Susp, Rcpt Tran</v>
          </cell>
        </row>
        <row r="149">
          <cell r="A149" t="str">
            <v>15500</v>
          </cell>
          <cell r="B149" t="str">
            <v>Contracts and Grants Receivable</v>
          </cell>
        </row>
        <row r="150">
          <cell r="A150" t="str">
            <v>15600</v>
          </cell>
          <cell r="B150" t="str">
            <v>Pension Contributions Receivable</v>
          </cell>
        </row>
        <row r="151">
          <cell r="A151" t="str">
            <v>15610</v>
          </cell>
          <cell r="B151" t="str">
            <v>State Contributions Receivable</v>
          </cell>
        </row>
        <row r="152">
          <cell r="A152" t="str">
            <v>15620</v>
          </cell>
          <cell r="B152" t="str">
            <v>Non-State Contributions Receivable</v>
          </cell>
        </row>
        <row r="153">
          <cell r="A153" t="str">
            <v>15700</v>
          </cell>
          <cell r="B153" t="str">
            <v>Fees Receivable</v>
          </cell>
        </row>
        <row r="154">
          <cell r="A154" t="str">
            <v>15900</v>
          </cell>
          <cell r="B154" t="str">
            <v>Allowance for Uncollectibles</v>
          </cell>
        </row>
        <row r="155">
          <cell r="A155" t="str">
            <v>15901</v>
          </cell>
          <cell r="B155" t="str">
            <v>Allowance For Uncollectibles</v>
          </cell>
        </row>
        <row r="156">
          <cell r="A156" t="str">
            <v>16100</v>
          </cell>
          <cell r="B156" t="str">
            <v>Due from State Funds, within Division</v>
          </cell>
        </row>
        <row r="157">
          <cell r="A157" t="str">
            <v>16200</v>
          </cell>
          <cell r="B157" t="str">
            <v>Due from State Funds, within Department</v>
          </cell>
        </row>
        <row r="158">
          <cell r="A158" t="str">
            <v>16201</v>
          </cell>
          <cell r="B158" t="str">
            <v>Due From Gas Tax</v>
          </cell>
        </row>
        <row r="159">
          <cell r="A159" t="str">
            <v>16202</v>
          </cell>
          <cell r="B159" t="str">
            <v>Due From St Fnds W/In Dept Investments</v>
          </cell>
        </row>
        <row r="160">
          <cell r="A160" t="str">
            <v>16203</v>
          </cell>
          <cell r="B160" t="str">
            <v>Due From Frs Pension</v>
          </cell>
        </row>
        <row r="161">
          <cell r="A161" t="str">
            <v>16206</v>
          </cell>
          <cell r="B161" t="str">
            <v>Due From Ifas</v>
          </cell>
        </row>
        <row r="162">
          <cell r="A162" t="str">
            <v>16208</v>
          </cell>
          <cell r="B162" t="str">
            <v>Due Fm Grants &amp; Donations Tf/339106</v>
          </cell>
        </row>
        <row r="163">
          <cell r="A163" t="str">
            <v>16209</v>
          </cell>
          <cell r="B163" t="str">
            <v>Due From Admin Exp Fund</v>
          </cell>
        </row>
        <row r="164">
          <cell r="A164" t="str">
            <v>16211</v>
          </cell>
          <cell r="B164" t="str">
            <v>Due from FL Prepaid Fund</v>
          </cell>
        </row>
        <row r="165">
          <cell r="A165" t="str">
            <v>16220</v>
          </cell>
          <cell r="B165" t="str">
            <v>Due From Debt Svc Nonelim.</v>
          </cell>
        </row>
        <row r="166">
          <cell r="A166" t="str">
            <v>16223</v>
          </cell>
          <cell r="B166" t="str">
            <v>Due Fm Cse Application &amp; User Fee Tf</v>
          </cell>
        </row>
        <row r="167">
          <cell r="A167" t="str">
            <v>16229</v>
          </cell>
          <cell r="B167" t="str">
            <v>Due Fm St Alt Fuel User/618001</v>
          </cell>
        </row>
        <row r="168">
          <cell r="A168" t="str">
            <v>16231</v>
          </cell>
          <cell r="B168" t="str">
            <v>Due From Audit Assessments/74-2-021045</v>
          </cell>
        </row>
        <row r="169">
          <cell r="A169" t="str">
            <v>16232</v>
          </cell>
          <cell r="B169" t="str">
            <v>Due From FL Prepaid FDN Fund</v>
          </cell>
        </row>
        <row r="170">
          <cell r="A170" t="str">
            <v>16235</v>
          </cell>
          <cell r="B170" t="str">
            <v>Due From Warrant Payments/74-2-021045</v>
          </cell>
        </row>
        <row r="171">
          <cell r="A171" t="str">
            <v>16236</v>
          </cell>
          <cell r="B171" t="str">
            <v>Due Fm Gr Receipts/74-1-000405</v>
          </cell>
        </row>
        <row r="172">
          <cell r="A172" t="str">
            <v>16244</v>
          </cell>
          <cell r="B172" t="str">
            <v>Due From Tobacco Clearing Trust Fund</v>
          </cell>
        </row>
        <row r="173">
          <cell r="A173" t="str">
            <v>16250</v>
          </cell>
          <cell r="B173" t="str">
            <v>ERROR</v>
          </cell>
        </row>
        <row r="174">
          <cell r="A174" t="str">
            <v>16261</v>
          </cell>
          <cell r="B174" t="str">
            <v>ERROR</v>
          </cell>
        </row>
        <row r="175">
          <cell r="A175" t="str">
            <v>16262</v>
          </cell>
          <cell r="B175" t="str">
            <v>ERROR</v>
          </cell>
        </row>
        <row r="176">
          <cell r="A176" t="str">
            <v>16263</v>
          </cell>
          <cell r="B176" t="str">
            <v>ERROR</v>
          </cell>
        </row>
        <row r="177">
          <cell r="A177" t="str">
            <v>16265</v>
          </cell>
          <cell r="B177" t="str">
            <v>ERROR</v>
          </cell>
        </row>
        <row r="178">
          <cell r="A178" t="str">
            <v>16300</v>
          </cell>
          <cell r="B178" t="str">
            <v>Due from Other Departments</v>
          </cell>
        </row>
        <row r="179">
          <cell r="A179" t="str">
            <v>16305</v>
          </cell>
          <cell r="B179" t="str">
            <v>Due From Frs Pension Fd</v>
          </cell>
        </row>
        <row r="180">
          <cell r="A180" t="str">
            <v>16306</v>
          </cell>
          <cell r="B180" t="str">
            <v>Due From Dpt Of Insurance</v>
          </cell>
        </row>
        <row r="181">
          <cell r="A181" t="str">
            <v>16311</v>
          </cell>
          <cell r="B181" t="str">
            <v>Due From Blinds Services Tf</v>
          </cell>
        </row>
        <row r="182">
          <cell r="A182" t="str">
            <v>16315</v>
          </cell>
          <cell r="B182" t="str">
            <v>Due From Dept of Mgt Services</v>
          </cell>
        </row>
        <row r="183">
          <cell r="A183" t="str">
            <v>16319</v>
          </cell>
          <cell r="B183" t="str">
            <v>Due from AWI</v>
          </cell>
        </row>
        <row r="184">
          <cell r="A184" t="str">
            <v>16320</v>
          </cell>
          <cell r="B184" t="str">
            <v>Due From Lottery</v>
          </cell>
        </row>
        <row r="185">
          <cell r="A185" t="str">
            <v>16361</v>
          </cell>
          <cell r="B185" t="str">
            <v>Due From Dept. Of Revenue</v>
          </cell>
        </row>
        <row r="186">
          <cell r="A186" t="str">
            <v>16365</v>
          </cell>
          <cell r="B186" t="str">
            <v>Due From Dept Of Hwy Safety</v>
          </cell>
        </row>
        <row r="187">
          <cell r="A187" t="str">
            <v>16371</v>
          </cell>
          <cell r="B187" t="str">
            <v>Due From Dept. Of Mgt. Svc.</v>
          </cell>
        </row>
        <row r="188">
          <cell r="A188" t="str">
            <v>16373</v>
          </cell>
          <cell r="B188" t="str">
            <v>Due from Dept of Education</v>
          </cell>
        </row>
        <row r="189">
          <cell r="A189" t="str">
            <v>16400</v>
          </cell>
          <cell r="B189" t="str">
            <v>Due from Federal Government</v>
          </cell>
        </row>
        <row r="190">
          <cell r="A190" t="str">
            <v>16500</v>
          </cell>
          <cell r="B190" t="str">
            <v>Due from Other Governmental Units</v>
          </cell>
        </row>
        <row r="191">
          <cell r="A191" t="str">
            <v>16574</v>
          </cell>
          <cell r="B191" t="str">
            <v>Due From Local Governments</v>
          </cell>
        </row>
        <row r="192">
          <cell r="A192" t="str">
            <v>16700</v>
          </cell>
          <cell r="B192" t="str">
            <v>Due from Component Units/Primary</v>
          </cell>
        </row>
        <row r="193">
          <cell r="A193" t="str">
            <v>16701</v>
          </cell>
          <cell r="B193" t="str">
            <v>Due From Primary Govt.-Sba</v>
          </cell>
        </row>
        <row r="194">
          <cell r="A194" t="str">
            <v>16800</v>
          </cell>
          <cell r="B194" t="str">
            <v>Due from State Funds - Revolving Fund (NOT VALID FOR FINANCIAL STATEMENTS)</v>
          </cell>
        </row>
        <row r="195">
          <cell r="A195" t="str">
            <v>16900</v>
          </cell>
          <cell r="B195" t="str">
            <v>Due From Clearing Fund</v>
          </cell>
        </row>
        <row r="196">
          <cell r="A196" t="str">
            <v>17100</v>
          </cell>
          <cell r="B196" t="str">
            <v>Supply Inventory</v>
          </cell>
        </row>
        <row r="197">
          <cell r="A197" t="str">
            <v>17200</v>
          </cell>
          <cell r="B197" t="str">
            <v>Goods Purchased for Resale</v>
          </cell>
        </row>
        <row r="198">
          <cell r="A198" t="str">
            <v>17300</v>
          </cell>
          <cell r="B198" t="str">
            <v>Raw Materials</v>
          </cell>
        </row>
        <row r="199">
          <cell r="A199" t="str">
            <v>17400</v>
          </cell>
          <cell r="B199" t="str">
            <v>Work in Process</v>
          </cell>
        </row>
        <row r="200">
          <cell r="A200" t="str">
            <v>17500</v>
          </cell>
          <cell r="B200" t="str">
            <v>Finished Goods</v>
          </cell>
        </row>
        <row r="201">
          <cell r="A201" t="str">
            <v>17600</v>
          </cell>
          <cell r="B201" t="str">
            <v>Overhead</v>
          </cell>
        </row>
        <row r="202">
          <cell r="A202" t="str">
            <v>17700</v>
          </cell>
          <cell r="B202" t="str">
            <v>Overhead Applied</v>
          </cell>
        </row>
        <row r="203">
          <cell r="A203" t="str">
            <v>17800</v>
          </cell>
          <cell r="B203" t="str">
            <v>Food Stamp Inventory</v>
          </cell>
        </row>
        <row r="204">
          <cell r="A204" t="str">
            <v>19100</v>
          </cell>
          <cell r="B204" t="str">
            <v>Prepaid Items</v>
          </cell>
        </row>
        <row r="205">
          <cell r="A205" t="str">
            <v>19200</v>
          </cell>
          <cell r="B205" t="str">
            <v>Deposits</v>
          </cell>
        </row>
        <row r="206">
          <cell r="A206" t="str">
            <v>19300</v>
          </cell>
          <cell r="B206" t="str">
            <v>Prepaid Charges - Current</v>
          </cell>
        </row>
        <row r="207">
          <cell r="A207" t="str">
            <v>19900</v>
          </cell>
          <cell r="B207" t="str">
            <v>Other Current Assets</v>
          </cell>
        </row>
        <row r="208">
          <cell r="A208" t="str">
            <v>21200</v>
          </cell>
          <cell r="B208" t="str">
            <v>ERROR</v>
          </cell>
        </row>
        <row r="209">
          <cell r="A209" t="str">
            <v>22100</v>
          </cell>
          <cell r="B209" t="str">
            <v>Restricted Cash on Hand</v>
          </cell>
        </row>
        <row r="210">
          <cell r="A210" t="str">
            <v>22200</v>
          </cell>
          <cell r="B210" t="str">
            <v>Restricted Cash in Bank</v>
          </cell>
        </row>
        <row r="211">
          <cell r="A211" t="str">
            <v>22300</v>
          </cell>
          <cell r="B211" t="str">
            <v>Restricted Cash with State Board of Administration</v>
          </cell>
        </row>
        <row r="212">
          <cell r="A212" t="str">
            <v>22400</v>
          </cell>
          <cell r="B212" t="str">
            <v>Restricted Cash in State Treasury</v>
          </cell>
        </row>
        <row r="213">
          <cell r="A213" t="str">
            <v>22500</v>
          </cell>
          <cell r="B213" t="str">
            <v>Restricted Investment with State Treasury</v>
          </cell>
        </row>
        <row r="214">
          <cell r="A214" t="str">
            <v>22600</v>
          </cell>
          <cell r="B214" t="str">
            <v>Restricted Investment with State Board of Administration</v>
          </cell>
        </row>
        <row r="215">
          <cell r="A215" t="str">
            <v>22700</v>
          </cell>
          <cell r="B215" t="str">
            <v>Restricted Other Investments</v>
          </cell>
        </row>
        <row r="216">
          <cell r="A216" t="str">
            <v>23100</v>
          </cell>
          <cell r="B216" t="str">
            <v>Deferred Outflows - Dec in FV-Hedging Derivatives</v>
          </cell>
        </row>
        <row r="217">
          <cell r="A217" t="str">
            <v>23200</v>
          </cell>
          <cell r="B217" t="str">
            <v>Deferred Outflows - Grants Paid in Advance</v>
          </cell>
        </row>
        <row r="218">
          <cell r="A218" t="str">
            <v>23300</v>
          </cell>
          <cell r="B218" t="str">
            <v>Deferred Outflows - Amount Deferred on Refunding-Bonds Payable</v>
          </cell>
        </row>
        <row r="219">
          <cell r="A219" t="str">
            <v>23400</v>
          </cell>
          <cell r="B219" t="str">
            <v>Deferred Outflows - Amount Deferred on Refunding-COP</v>
          </cell>
        </row>
        <row r="220">
          <cell r="A220" t="str">
            <v>23500</v>
          </cell>
          <cell r="B220" t="str">
            <v>Deferred Outflows - Pension-related Items - FRS</v>
          </cell>
        </row>
        <row r="221">
          <cell r="A221" t="str">
            <v>23600</v>
          </cell>
          <cell r="B221" t="str">
            <v>Deferred Outflows - Pension-related Items - HIS</v>
          </cell>
        </row>
        <row r="222">
          <cell r="A222" t="str">
            <v>23700</v>
          </cell>
          <cell r="B222" t="str">
            <v>Deferred Outflows - Pension-related Items - NG</v>
          </cell>
        </row>
        <row r="223">
          <cell r="A223" t="str">
            <v>23800</v>
          </cell>
          <cell r="B223" t="str">
            <v>Deferred Outflows - Other Postemployment Benefits</v>
          </cell>
        </row>
        <row r="224">
          <cell r="A224" t="str">
            <v>23900</v>
          </cell>
          <cell r="B224" t="str">
            <v>Deferred Outflows - Asset Retirement Obligations</v>
          </cell>
        </row>
        <row r="225">
          <cell r="A225" t="str">
            <v>24100</v>
          </cell>
          <cell r="B225" t="str">
            <v>Long Term Investments - State Treasury</v>
          </cell>
        </row>
        <row r="226">
          <cell r="A226" t="str">
            <v>24101</v>
          </cell>
          <cell r="B226" t="str">
            <v>Long Term Investments With State Treasury</v>
          </cell>
        </row>
        <row r="227">
          <cell r="A227" t="str">
            <v>24200</v>
          </cell>
          <cell r="B227" t="str">
            <v>Adjustment to Fair Market Value for Restricted Inv</v>
          </cell>
        </row>
        <row r="228">
          <cell r="A228" t="str">
            <v>24400</v>
          </cell>
          <cell r="B228" t="str">
            <v>ERROR</v>
          </cell>
        </row>
        <row r="229">
          <cell r="A229" t="str">
            <v>24500</v>
          </cell>
          <cell r="B229" t="str">
            <v>Equity Investment with Collateral Securities</v>
          </cell>
        </row>
        <row r="230">
          <cell r="A230" t="str">
            <v>24600</v>
          </cell>
          <cell r="B230" t="str">
            <v>Debt Investment with Collateral Securities</v>
          </cell>
        </row>
        <row r="231">
          <cell r="A231" t="str">
            <v>24700</v>
          </cell>
          <cell r="B231" t="str">
            <v>Other Investments</v>
          </cell>
        </row>
        <row r="232">
          <cell r="A232" t="str">
            <v>24701</v>
          </cell>
          <cell r="B232" t="str">
            <v>Certificates Of Deposit</v>
          </cell>
        </row>
        <row r="233">
          <cell r="A233" t="str">
            <v>24702</v>
          </cell>
          <cell r="B233" t="str">
            <v>Us Govt And Fed Guarant - St</v>
          </cell>
        </row>
        <row r="234">
          <cell r="A234" t="str">
            <v>24703</v>
          </cell>
          <cell r="B234" t="str">
            <v>Federal Agencies - St</v>
          </cell>
        </row>
        <row r="235">
          <cell r="A235" t="str">
            <v>24704</v>
          </cell>
          <cell r="B235" t="str">
            <v>Commercial Paper</v>
          </cell>
        </row>
        <row r="236">
          <cell r="A236" t="str">
            <v>24705</v>
          </cell>
          <cell r="B236" t="str">
            <v>Repurchase Agreements</v>
          </cell>
        </row>
        <row r="237">
          <cell r="A237" t="str">
            <v>24706</v>
          </cell>
          <cell r="B237" t="str">
            <v>Bonds And Notes - St</v>
          </cell>
        </row>
        <row r="238">
          <cell r="A238" t="str">
            <v>24707</v>
          </cell>
          <cell r="B238" t="str">
            <v>International Bonds And Notes</v>
          </cell>
        </row>
        <row r="239">
          <cell r="A239" t="str">
            <v>24708</v>
          </cell>
          <cell r="B239" t="str">
            <v>Rehab- Marshaled Inventory-RE</v>
          </cell>
        </row>
        <row r="240">
          <cell r="A240" t="str">
            <v>24709</v>
          </cell>
          <cell r="B240" t="str">
            <v>Domestic Equities</v>
          </cell>
        </row>
        <row r="241">
          <cell r="A241" t="str">
            <v>24711</v>
          </cell>
          <cell r="B241" t="str">
            <v>Real Asset Commingled Funds</v>
          </cell>
        </row>
        <row r="242">
          <cell r="A242" t="str">
            <v>24712</v>
          </cell>
          <cell r="B242" t="str">
            <v>International Equities</v>
          </cell>
        </row>
        <row r="243">
          <cell r="A243" t="str">
            <v>24713</v>
          </cell>
          <cell r="B243" t="str">
            <v>Money Market Funds - St</v>
          </cell>
        </row>
        <row r="244">
          <cell r="A244" t="str">
            <v>24715</v>
          </cell>
          <cell r="B244" t="str">
            <v>Security Lending Collateral Investments</v>
          </cell>
        </row>
        <row r="245">
          <cell r="A245" t="str">
            <v>24716</v>
          </cell>
          <cell r="B245" t="str">
            <v>Mutual Fund - Fixed Income</v>
          </cell>
        </row>
        <row r="246">
          <cell r="A246" t="str">
            <v>24717</v>
          </cell>
          <cell r="B246" t="str">
            <v>Mutual Fund - Equity</v>
          </cell>
        </row>
        <row r="247">
          <cell r="A247" t="str">
            <v>24718</v>
          </cell>
          <cell r="B247" t="str">
            <v>Mutual Funds - International Equities</v>
          </cell>
        </row>
        <row r="248">
          <cell r="A248" t="str">
            <v>24719</v>
          </cell>
          <cell r="B248" t="str">
            <v>Certificates Of Deposits - Lt</v>
          </cell>
        </row>
        <row r="249">
          <cell r="A249" t="str">
            <v>24720</v>
          </cell>
          <cell r="B249" t="str">
            <v>Liquidity Notes - St</v>
          </cell>
        </row>
        <row r="250">
          <cell r="A250" t="str">
            <v>24722</v>
          </cell>
          <cell r="B250" t="str">
            <v>US Government Fixed Income</v>
          </cell>
        </row>
        <row r="251">
          <cell r="A251" t="str">
            <v>24723</v>
          </cell>
          <cell r="B251" t="str">
            <v>Us Agencies - Fixed Income</v>
          </cell>
        </row>
        <row r="252">
          <cell r="A252" t="str">
            <v>24726</v>
          </cell>
          <cell r="B252" t="str">
            <v>Bonds &amp; Notes - Fixed Income</v>
          </cell>
        </row>
        <row r="253">
          <cell r="A253" t="str">
            <v>24727</v>
          </cell>
          <cell r="B253" t="str">
            <v>Bankers Acceptances</v>
          </cell>
        </row>
        <row r="254">
          <cell r="A254" t="str">
            <v>24728</v>
          </cell>
          <cell r="B254" t="str">
            <v>Florida Prime Investments - LT</v>
          </cell>
        </row>
        <row r="255">
          <cell r="A255" t="str">
            <v>24737</v>
          </cell>
          <cell r="B255" t="str">
            <v>Self Directed Brokerage Investments</v>
          </cell>
        </row>
        <row r="256">
          <cell r="A256" t="str">
            <v>24770</v>
          </cell>
          <cell r="B256" t="str">
            <v>Option Contracts</v>
          </cell>
        </row>
        <row r="257">
          <cell r="A257" t="str">
            <v>24771</v>
          </cell>
          <cell r="B257" t="str">
            <v>Swap Contracts</v>
          </cell>
        </row>
        <row r="258">
          <cell r="A258" t="str">
            <v>24772</v>
          </cell>
          <cell r="B258" t="str">
            <v>Forward Contracts</v>
          </cell>
        </row>
        <row r="259">
          <cell r="A259" t="str">
            <v>24775</v>
          </cell>
          <cell r="B259" t="str">
            <v>Futures Contracts</v>
          </cell>
        </row>
        <row r="260">
          <cell r="A260" t="str">
            <v>24800</v>
          </cell>
          <cell r="B260" t="str">
            <v>Unamortized Premiums on Investments</v>
          </cell>
        </row>
        <row r="261">
          <cell r="A261" t="str">
            <v>24900</v>
          </cell>
          <cell r="B261" t="str">
            <v>Unamortized Discounts on Investments</v>
          </cell>
        </row>
        <row r="262">
          <cell r="A262" t="str">
            <v>25100</v>
          </cell>
          <cell r="B262" t="str">
            <v>Advances to Other Funds</v>
          </cell>
        </row>
        <row r="263">
          <cell r="A263" t="str">
            <v>25200</v>
          </cell>
          <cell r="B263" t="str">
            <v>Prepaid Charges - Long-term</v>
          </cell>
        </row>
        <row r="264">
          <cell r="A264" t="str">
            <v>25300</v>
          </cell>
          <cell r="B264" t="str">
            <v>Loans/Notes Receivable from Other Governments</v>
          </cell>
        </row>
        <row r="265">
          <cell r="A265" t="str">
            <v>25400</v>
          </cell>
          <cell r="B265" t="str">
            <v>Other Loans and Notes Receivable</v>
          </cell>
        </row>
        <row r="266">
          <cell r="A266" t="str">
            <v>25401</v>
          </cell>
          <cell r="B266" t="str">
            <v>Tuition &amp; Housing Receiv.</v>
          </cell>
        </row>
        <row r="267">
          <cell r="A267" t="str">
            <v>25500</v>
          </cell>
          <cell r="B267" t="str">
            <v>Advances to Other Governments/Entities</v>
          </cell>
        </row>
        <row r="268">
          <cell r="A268" t="str">
            <v>25600</v>
          </cell>
          <cell r="B268" t="str">
            <v>Long Term Interest Receivable</v>
          </cell>
        </row>
        <row r="269">
          <cell r="A269" t="str">
            <v>25700</v>
          </cell>
          <cell r="B269" t="str">
            <v>Advances to Other Funds within Department</v>
          </cell>
        </row>
        <row r="270">
          <cell r="A270" t="str">
            <v>25800</v>
          </cell>
          <cell r="B270" t="str">
            <v>Advances to Component Units</v>
          </cell>
        </row>
        <row r="271">
          <cell r="A271" t="str">
            <v>25900</v>
          </cell>
          <cell r="B271" t="str">
            <v>Allowance for Uncollectibles</v>
          </cell>
        </row>
        <row r="272">
          <cell r="A272" t="str">
            <v>26300</v>
          </cell>
          <cell r="B272" t="str">
            <v>Infrastructure - Nondepreciable</v>
          </cell>
        </row>
        <row r="273">
          <cell r="A273" t="str">
            <v>26400</v>
          </cell>
          <cell r="B273" t="str">
            <v>Works of Art &amp; Historical Treasures - Depreciable</v>
          </cell>
        </row>
        <row r="274">
          <cell r="A274" t="str">
            <v>26500</v>
          </cell>
          <cell r="B274" t="str">
            <v>Accumulated Depreciation Works of Art &amp; Historical</v>
          </cell>
        </row>
        <row r="275">
          <cell r="A275" t="str">
            <v>26600</v>
          </cell>
          <cell r="B275" t="str">
            <v>Works of Art &amp; Historical Treasures - Nondepreciable</v>
          </cell>
        </row>
        <row r="276">
          <cell r="A276" t="str">
            <v>26700</v>
          </cell>
          <cell r="B276" t="str">
            <v>Leasehold Improvements</v>
          </cell>
        </row>
        <row r="277">
          <cell r="A277" t="str">
            <v>26800</v>
          </cell>
          <cell r="B277" t="str">
            <v>Accumulated Depreciation Leasehold Improvements</v>
          </cell>
        </row>
        <row r="278">
          <cell r="A278" t="str">
            <v>27100</v>
          </cell>
          <cell r="B278" t="str">
            <v>Land and Land Improvements</v>
          </cell>
        </row>
        <row r="279">
          <cell r="A279" t="str">
            <v>27200</v>
          </cell>
          <cell r="B279" t="str">
            <v>Buildings and Building Improvements</v>
          </cell>
        </row>
        <row r="280">
          <cell r="A280" t="str">
            <v>27300</v>
          </cell>
          <cell r="B280" t="str">
            <v>Accumulated Depreciation - Buildings &amp; Building Improvements</v>
          </cell>
        </row>
        <row r="281">
          <cell r="A281" t="str">
            <v>27400</v>
          </cell>
          <cell r="B281" t="str">
            <v>Infrastructure and Other Improvements</v>
          </cell>
        </row>
        <row r="282">
          <cell r="A282" t="str">
            <v>27500</v>
          </cell>
          <cell r="B282" t="str">
            <v>Acc. Depreciation - Infrastructure and Other Improvements</v>
          </cell>
        </row>
        <row r="283">
          <cell r="A283" t="str">
            <v>27600</v>
          </cell>
          <cell r="B283" t="str">
            <v>Furniture and Equipment</v>
          </cell>
        </row>
        <row r="284">
          <cell r="A284" t="str">
            <v>27601</v>
          </cell>
          <cell r="B284" t="str">
            <v>Furniture &amp; Equipment</v>
          </cell>
        </row>
        <row r="285">
          <cell r="A285" t="str">
            <v>27610</v>
          </cell>
          <cell r="B285" t="str">
            <v>Furniture &amp; Equip-Soft $</v>
          </cell>
        </row>
        <row r="286">
          <cell r="A286" t="str">
            <v>27640</v>
          </cell>
          <cell r="B286" t="str">
            <v>Motor Vehicles</v>
          </cell>
        </row>
        <row r="287">
          <cell r="A287" t="str">
            <v>27700</v>
          </cell>
          <cell r="B287" t="str">
            <v>Accumulated Depreciation - Furniture &amp; Equipment</v>
          </cell>
        </row>
        <row r="288">
          <cell r="A288" t="str">
            <v>27701</v>
          </cell>
          <cell r="B288" t="str">
            <v>Accum Deprec-Furniture &amp; Equip</v>
          </cell>
        </row>
        <row r="289">
          <cell r="A289" t="str">
            <v>27710</v>
          </cell>
          <cell r="B289" t="str">
            <v>Accum Depr-Computer Equipment</v>
          </cell>
        </row>
        <row r="290">
          <cell r="A290" t="str">
            <v>27740</v>
          </cell>
          <cell r="B290" t="str">
            <v>Accum Depr-Mtr Vehicles-Passenger</v>
          </cell>
        </row>
        <row r="291">
          <cell r="A291" t="str">
            <v>27800</v>
          </cell>
          <cell r="B291" t="str">
            <v>Construction Work in Progress</v>
          </cell>
        </row>
        <row r="292">
          <cell r="A292" t="str">
            <v>28200</v>
          </cell>
          <cell r="B292" t="str">
            <v>Library Resources</v>
          </cell>
        </row>
        <row r="293">
          <cell r="A293" t="str">
            <v>28300</v>
          </cell>
          <cell r="B293" t="str">
            <v>Accumulated Depreciation - Library Resources</v>
          </cell>
        </row>
        <row r="294">
          <cell r="A294" t="str">
            <v>28400</v>
          </cell>
          <cell r="B294" t="str">
            <v>Property Under Capital Lease</v>
          </cell>
        </row>
        <row r="295">
          <cell r="A295" t="str">
            <v>28500</v>
          </cell>
          <cell r="B295" t="str">
            <v>Accum  Depreciation - Property Under Capital Lease</v>
          </cell>
        </row>
        <row r="296">
          <cell r="A296" t="str">
            <v>28800</v>
          </cell>
          <cell r="B296" t="str">
            <v>Other Capital Assets</v>
          </cell>
        </row>
        <row r="297">
          <cell r="A297" t="str">
            <v>28807</v>
          </cell>
          <cell r="B297" t="str">
            <v>Other Capital Assets</v>
          </cell>
        </row>
        <row r="298">
          <cell r="A298" t="str">
            <v>28900</v>
          </cell>
          <cell r="B298" t="str">
            <v>Accumulated Depreciation - Other Fixed Assets</v>
          </cell>
        </row>
        <row r="299">
          <cell r="A299" t="str">
            <v>28901</v>
          </cell>
          <cell r="B299" t="str">
            <v>Other Fixed Assets-Accum Depr</v>
          </cell>
        </row>
        <row r="300">
          <cell r="A300" t="str">
            <v>29900</v>
          </cell>
          <cell r="B300" t="str">
            <v>Other non-current asset</v>
          </cell>
        </row>
        <row r="301">
          <cell r="A301" t="str">
            <v>31100</v>
          </cell>
          <cell r="B301" t="str">
            <v>Accounts Payable</v>
          </cell>
        </row>
        <row r="302">
          <cell r="A302" t="str">
            <v>31101</v>
          </cell>
          <cell r="B302" t="str">
            <v>Broker Rebate Fees Payable</v>
          </cell>
        </row>
        <row r="303">
          <cell r="A303" t="str">
            <v>31102</v>
          </cell>
          <cell r="B303" t="str">
            <v>Due To Dept Of Revenue - Sales Tax</v>
          </cell>
        </row>
        <row r="304">
          <cell r="A304" t="str">
            <v>31103</v>
          </cell>
          <cell r="B304" t="str">
            <v>Travel Expense Payable</v>
          </cell>
        </row>
        <row r="305">
          <cell r="A305" t="str">
            <v>31104</v>
          </cell>
          <cell r="B305" t="str">
            <v>Endow/Annual Appeal</v>
          </cell>
        </row>
        <row r="306">
          <cell r="A306" t="str">
            <v>31105</v>
          </cell>
          <cell r="B306" t="str">
            <v>Endow/Accounts Payable - Audit</v>
          </cell>
        </row>
        <row r="307">
          <cell r="A307" t="str">
            <v>31106</v>
          </cell>
          <cell r="B307" t="str">
            <v>Foreign Taxes Payable - Apprec/Deprec</v>
          </cell>
        </row>
        <row r="308">
          <cell r="A308" t="str">
            <v>31108</v>
          </cell>
          <cell r="B308" t="str">
            <v>Distributions Payable</v>
          </cell>
        </row>
        <row r="309">
          <cell r="A309" t="str">
            <v>31109</v>
          </cell>
          <cell r="B309" t="str">
            <v>Premium On Forward Contract</v>
          </cell>
        </row>
        <row r="310">
          <cell r="A310" t="str">
            <v>31110</v>
          </cell>
          <cell r="B310" t="str">
            <v>Payable-Pending Purchases</v>
          </cell>
        </row>
        <row r="311">
          <cell r="A311" t="str">
            <v>31113</v>
          </cell>
          <cell r="B311" t="str">
            <v>Endow/Accounts Payable - Ludwig</v>
          </cell>
        </row>
        <row r="312">
          <cell r="A312" t="str">
            <v>31115</v>
          </cell>
          <cell r="B312" t="str">
            <v>Pending Investment Purchases</v>
          </cell>
        </row>
        <row r="313">
          <cell r="A313" t="str">
            <v>31120</v>
          </cell>
          <cell r="B313" t="str">
            <v>Forward Contract Payable/Premium</v>
          </cell>
        </row>
        <row r="314">
          <cell r="A314" t="str">
            <v>31121</v>
          </cell>
          <cell r="B314" t="str">
            <v>Salaries Payable</v>
          </cell>
        </row>
        <row r="315">
          <cell r="A315" t="str">
            <v>31124</v>
          </cell>
          <cell r="B315" t="str">
            <v>Procurement Card Payable</v>
          </cell>
        </row>
        <row r="316">
          <cell r="A316" t="str">
            <v>31125</v>
          </cell>
          <cell r="B316" t="str">
            <v>Forward Contract Payable/Premium</v>
          </cell>
        </row>
        <row r="317">
          <cell r="A317" t="str">
            <v>31126</v>
          </cell>
          <cell r="B317" t="str">
            <v>Pending Spot FX Trades Payable</v>
          </cell>
        </row>
        <row r="318">
          <cell r="A318" t="str">
            <v>31127</v>
          </cell>
          <cell r="B318" t="str">
            <v>Pending Spot FX Pay-Apprec/Deprec</v>
          </cell>
        </row>
        <row r="319">
          <cell r="A319" t="str">
            <v>31130</v>
          </cell>
          <cell r="B319" t="str">
            <v>Broker Rebate Fees</v>
          </cell>
        </row>
        <row r="320">
          <cell r="A320" t="str">
            <v>31131</v>
          </cell>
          <cell r="B320" t="str">
            <v>Short Sell Olig-Fixed Income</v>
          </cell>
        </row>
        <row r="321">
          <cell r="A321" t="str">
            <v>31132</v>
          </cell>
          <cell r="B321" t="str">
            <v>Short Sells-Fixed Income Apprec</v>
          </cell>
        </row>
        <row r="322">
          <cell r="A322" t="str">
            <v>31133</v>
          </cell>
          <cell r="B322" t="str">
            <v>Short Sell Oblig-Equity</v>
          </cell>
        </row>
        <row r="323">
          <cell r="A323" t="str">
            <v>31134</v>
          </cell>
          <cell r="B323" t="str">
            <v>Short Sells-Equity Apprec</v>
          </cell>
        </row>
        <row r="324">
          <cell r="A324" t="str">
            <v>31140</v>
          </cell>
          <cell r="B324" t="str">
            <v>Retirement Benefits Payable</v>
          </cell>
        </row>
        <row r="325">
          <cell r="A325" t="str">
            <v>31150</v>
          </cell>
          <cell r="B325" t="str">
            <v>Refund Of Contributions Payable</v>
          </cell>
        </row>
        <row r="326">
          <cell r="A326" t="str">
            <v>31151</v>
          </cell>
          <cell r="B326" t="str">
            <v>AP- Accounts Payable- Allocated</v>
          </cell>
        </row>
        <row r="327">
          <cell r="A327" t="str">
            <v>31153</v>
          </cell>
          <cell r="B327" t="str">
            <v>AP- Dormant Accounts Collected</v>
          </cell>
        </row>
        <row r="328">
          <cell r="A328" t="str">
            <v>31154</v>
          </cell>
          <cell r="B328" t="str">
            <v>AP- Cops Surcharge</v>
          </cell>
        </row>
        <row r="329">
          <cell r="A329" t="str">
            <v>31155</v>
          </cell>
          <cell r="B329" t="str">
            <v>AP- Cops Interest</v>
          </cell>
        </row>
        <row r="330">
          <cell r="A330" t="str">
            <v>31170</v>
          </cell>
          <cell r="B330" t="str">
            <v>Option Contracts</v>
          </cell>
        </row>
        <row r="331">
          <cell r="A331" t="str">
            <v>31171</v>
          </cell>
          <cell r="B331" t="str">
            <v>Swap Contracts</v>
          </cell>
        </row>
        <row r="332">
          <cell r="A332" t="str">
            <v>31172</v>
          </cell>
          <cell r="B332" t="str">
            <v>Forward Contracts</v>
          </cell>
        </row>
        <row r="333">
          <cell r="A333" t="str">
            <v>31175</v>
          </cell>
          <cell r="B333" t="str">
            <v>Futures Contracts</v>
          </cell>
        </row>
        <row r="334">
          <cell r="A334" t="str">
            <v>31190</v>
          </cell>
          <cell r="B334" t="str">
            <v>Accrued Drop Liability Current</v>
          </cell>
        </row>
        <row r="335">
          <cell r="A335" t="str">
            <v>31195</v>
          </cell>
          <cell r="B335" t="str">
            <v>Accrued Drop Liability Non Current</v>
          </cell>
        </row>
        <row r="336">
          <cell r="A336" t="str">
            <v>31198</v>
          </cell>
          <cell r="B336" t="str">
            <v>Futures Variation Margin Payable</v>
          </cell>
        </row>
        <row r="337">
          <cell r="A337" t="str">
            <v>31199</v>
          </cell>
          <cell r="B337" t="str">
            <v>Pay. To Broker-Forward K</v>
          </cell>
        </row>
        <row r="338">
          <cell r="A338" t="str">
            <v>31200</v>
          </cell>
          <cell r="B338" t="str">
            <v>Vouchers Payable</v>
          </cell>
        </row>
        <row r="339">
          <cell r="A339" t="str">
            <v>31300</v>
          </cell>
          <cell r="B339" t="str">
            <v>Construction Contracts Payable</v>
          </cell>
        </row>
        <row r="340">
          <cell r="A340" t="str">
            <v>31400</v>
          </cell>
          <cell r="B340" t="str">
            <v>Claims Payable</v>
          </cell>
        </row>
        <row r="341">
          <cell r="A341" t="str">
            <v>31500</v>
          </cell>
          <cell r="B341" t="str">
            <v>Current Insurance Liability</v>
          </cell>
        </row>
        <row r="342">
          <cell r="A342" t="str">
            <v>32100</v>
          </cell>
          <cell r="B342" t="str">
            <v>Accrued Salaries and Wages</v>
          </cell>
        </row>
        <row r="343">
          <cell r="A343" t="str">
            <v>32200</v>
          </cell>
          <cell r="B343" t="str">
            <v>Accrued Prize Liability</v>
          </cell>
        </row>
        <row r="344">
          <cell r="A344" t="str">
            <v>32300</v>
          </cell>
          <cell r="B344" t="str">
            <v>DROP Participants Pension Benefit - Current</v>
          </cell>
        </row>
        <row r="345">
          <cell r="A345" t="str">
            <v>32400</v>
          </cell>
          <cell r="B345" t="str">
            <v>Accrued Insurance Claims</v>
          </cell>
        </row>
        <row r="346">
          <cell r="A346" t="str">
            <v>32900</v>
          </cell>
          <cell r="B346" t="str">
            <v>Accrued Interest Payable</v>
          </cell>
        </row>
        <row r="347">
          <cell r="A347" t="str">
            <v>32901</v>
          </cell>
          <cell r="B347" t="str">
            <v>Accrued Interest Payable</v>
          </cell>
        </row>
        <row r="348">
          <cell r="A348" t="str">
            <v>33100</v>
          </cell>
          <cell r="B348" t="str">
            <v>Deposits Payable</v>
          </cell>
        </row>
        <row r="349">
          <cell r="A349" t="str">
            <v>33101</v>
          </cell>
          <cell r="B349" t="str">
            <v>Dep Payable-Defeas Loans</v>
          </cell>
        </row>
        <row r="350">
          <cell r="A350" t="str">
            <v>33102</v>
          </cell>
          <cell r="B350" t="str">
            <v>Deposits Payable-Fl Foundation</v>
          </cell>
        </row>
        <row r="351">
          <cell r="A351" t="str">
            <v>33104</v>
          </cell>
          <cell r="B351" t="str">
            <v>Illegal Drugs/Escrow Account</v>
          </cell>
        </row>
        <row r="352">
          <cell r="A352" t="str">
            <v>33110</v>
          </cell>
          <cell r="B352" t="str">
            <v>Security / Escrow Deposits - HMO</v>
          </cell>
        </row>
        <row r="353">
          <cell r="A353" t="str">
            <v>33200</v>
          </cell>
          <cell r="B353" t="str">
            <v>Deposits Held to Retire Defeased Bonds</v>
          </cell>
        </row>
        <row r="354">
          <cell r="A354" t="str">
            <v>33201</v>
          </cell>
          <cell r="B354" t="str">
            <v>Dep Held_Retire Def Bds</v>
          </cell>
        </row>
        <row r="355">
          <cell r="A355" t="str">
            <v>35100</v>
          </cell>
          <cell r="B355" t="str">
            <v>Due To State Funds, within Division</v>
          </cell>
        </row>
        <row r="356">
          <cell r="A356" t="str">
            <v>35200</v>
          </cell>
          <cell r="B356" t="str">
            <v>Due To State Funds, within Department</v>
          </cell>
        </row>
        <row r="357">
          <cell r="A357" t="str">
            <v>35203</v>
          </cell>
          <cell r="B357" t="str">
            <v>Due To Frs Pension</v>
          </cell>
        </row>
        <row r="358">
          <cell r="A358" t="str">
            <v>35204</v>
          </cell>
          <cell r="B358" t="str">
            <v>Due Tocse Incentive Tf/075001</v>
          </cell>
        </row>
        <row r="359">
          <cell r="A359" t="str">
            <v>35206</v>
          </cell>
          <cell r="B359" t="str">
            <v>Due To Ifas</v>
          </cell>
        </row>
        <row r="360">
          <cell r="A360" t="str">
            <v>35208</v>
          </cell>
          <cell r="B360" t="str">
            <v>Due To Revenue Bond Fee Fund</v>
          </cell>
        </row>
        <row r="361">
          <cell r="A361" t="str">
            <v>35209</v>
          </cell>
          <cell r="B361" t="str">
            <v>Due To Admin Exp Fund</v>
          </cell>
        </row>
        <row r="362">
          <cell r="A362" t="str">
            <v>35210</v>
          </cell>
          <cell r="B362" t="str">
            <v>Due To Other Funds</v>
          </cell>
        </row>
        <row r="363">
          <cell r="A363" t="str">
            <v>35211</v>
          </cell>
          <cell r="B363" t="str">
            <v>Due To Fl Prepaid Tf</v>
          </cell>
        </row>
        <row r="364">
          <cell r="A364" t="str">
            <v>35214</v>
          </cell>
          <cell r="B364" t="str">
            <v>Due To Tobacco Clearing Trust Fund</v>
          </cell>
        </row>
        <row r="365">
          <cell r="A365" t="str">
            <v>35215</v>
          </cell>
          <cell r="B365" t="str">
            <v>Due To Chiles Endownment Fund</v>
          </cell>
        </row>
        <row r="366">
          <cell r="A366" t="str">
            <v>35216</v>
          </cell>
          <cell r="B366" t="str">
            <v>Due To Campmm Investment Trust Fund</v>
          </cell>
        </row>
        <row r="367">
          <cell r="A367" t="str">
            <v>35217</v>
          </cell>
          <cell r="B367" t="str">
            <v>Due To Gas Tax Collection Tf/319001</v>
          </cell>
        </row>
        <row r="368">
          <cell r="A368" t="str">
            <v>35219</v>
          </cell>
          <cell r="B368" t="str">
            <v>Due To Information Svcs Program - Adm Costs</v>
          </cell>
        </row>
        <row r="369">
          <cell r="A369" t="str">
            <v>35220</v>
          </cell>
          <cell r="B369" t="str">
            <v>Due To Debt Svc Noneliminated</v>
          </cell>
        </row>
        <row r="370">
          <cell r="A370" t="str">
            <v>35221</v>
          </cell>
          <cell r="B370" t="str">
            <v>Due to FL Prepaid Savings Fund</v>
          </cell>
        </row>
        <row r="371">
          <cell r="A371" t="str">
            <v>35222</v>
          </cell>
          <cell r="B371" t="str">
            <v>Due To Additional Court Costs Tf/013001</v>
          </cell>
        </row>
        <row r="372">
          <cell r="A372" t="str">
            <v>35225</v>
          </cell>
          <cell r="B372" t="str">
            <v>Due To Debt Svc-Save Cst</v>
          </cell>
        </row>
        <row r="373">
          <cell r="A373" t="str">
            <v>35230</v>
          </cell>
          <cell r="B373" t="str">
            <v>Due To Documentary Stamp Tf/166001</v>
          </cell>
        </row>
        <row r="374">
          <cell r="A374" t="str">
            <v>35232</v>
          </cell>
          <cell r="B374" t="str">
            <v>Due To Fl Pp Foundation Fund</v>
          </cell>
        </row>
        <row r="375">
          <cell r="A375" t="str">
            <v>35233</v>
          </cell>
          <cell r="B375" t="str">
            <v>Due To Fl Educ Foundation Fund</v>
          </cell>
        </row>
        <row r="376">
          <cell r="A376" t="str">
            <v>35239</v>
          </cell>
          <cell r="B376" t="str">
            <v>Due To Solid Waste Mngt Clr Tf/645002</v>
          </cell>
        </row>
        <row r="377">
          <cell r="A377" t="str">
            <v>35240</v>
          </cell>
          <cell r="B377" t="str">
            <v>Due To Operating Trust Fund</v>
          </cell>
        </row>
        <row r="378">
          <cell r="A378" t="str">
            <v>35244</v>
          </cell>
          <cell r="B378" t="str">
            <v>Due To Local Communication Serv Tax Tf/662001</v>
          </cell>
        </row>
        <row r="379">
          <cell r="A379" t="str">
            <v>35245</v>
          </cell>
          <cell r="B379" t="str">
            <v>Due To Community Service Tax</v>
          </cell>
        </row>
        <row r="380">
          <cell r="A380" t="str">
            <v>35300</v>
          </cell>
          <cell r="B380" t="str">
            <v>Due To Other Departments</v>
          </cell>
        </row>
        <row r="381">
          <cell r="A381" t="str">
            <v>35301</v>
          </cell>
          <cell r="B381" t="str">
            <v>Due To Dbpr</v>
          </cell>
        </row>
        <row r="382">
          <cell r="A382" t="str">
            <v>35302</v>
          </cell>
          <cell r="B382" t="str">
            <v>Due To Dpt Of Hwy Sfty</v>
          </cell>
        </row>
        <row r="383">
          <cell r="A383" t="str">
            <v>35303</v>
          </cell>
          <cell r="B383" t="str">
            <v>Due To Dpt Of Community Affairs</v>
          </cell>
        </row>
        <row r="384">
          <cell r="A384" t="str">
            <v>35304</v>
          </cell>
          <cell r="B384" t="str">
            <v>Due To Dept. Of Transp.</v>
          </cell>
        </row>
        <row r="385">
          <cell r="A385" t="str">
            <v>35305</v>
          </cell>
          <cell r="B385" t="str">
            <v>Due To Dept Of Law Enforcement</v>
          </cell>
        </row>
        <row r="386">
          <cell r="A386" t="str">
            <v>35306</v>
          </cell>
          <cell r="B386" t="str">
            <v>Due To Board Of Regents</v>
          </cell>
        </row>
        <row r="387">
          <cell r="A387" t="str">
            <v>35308</v>
          </cell>
          <cell r="B387" t="str">
            <v>Due To State Court System</v>
          </cell>
        </row>
        <row r="388">
          <cell r="A388" t="str">
            <v>35310</v>
          </cell>
          <cell r="B388" t="str">
            <v>Due To Dept Of Mgt Svc</v>
          </cell>
        </row>
        <row r="389">
          <cell r="A389" t="str">
            <v>35311</v>
          </cell>
          <cell r="B389" t="str">
            <v>Due to Dept of Management Services</v>
          </cell>
        </row>
        <row r="390">
          <cell r="A390" t="str">
            <v>35312</v>
          </cell>
          <cell r="B390" t="str">
            <v>Due To Dept Of Banking &amp; Finance</v>
          </cell>
        </row>
        <row r="391">
          <cell r="A391" t="str">
            <v>35314</v>
          </cell>
          <cell r="B391" t="str">
            <v>Due To Ifas Trst Fd</v>
          </cell>
        </row>
        <row r="392">
          <cell r="A392" t="str">
            <v>35315</v>
          </cell>
          <cell r="B392" t="str">
            <v>Due To His Trst Fd</v>
          </cell>
        </row>
        <row r="393">
          <cell r="A393" t="str">
            <v>35316</v>
          </cell>
          <cell r="B393" t="str">
            <v>Due To Blind Services Fund</v>
          </cell>
        </row>
        <row r="394">
          <cell r="A394" t="str">
            <v>35318</v>
          </cell>
          <cell r="B394" t="str">
            <v>Due To Dpt. Of Bnkg &amp; Fin</v>
          </cell>
        </row>
        <row r="395">
          <cell r="A395" t="str">
            <v>35319</v>
          </cell>
          <cell r="B395" t="str">
            <v>Due To Dept Of Insurance</v>
          </cell>
        </row>
        <row r="396">
          <cell r="A396" t="str">
            <v>35320</v>
          </cell>
          <cell r="B396" t="str">
            <v>Due To Debt Svc-High Ed</v>
          </cell>
        </row>
        <row r="397">
          <cell r="A397" t="str">
            <v>35321</v>
          </cell>
          <cell r="B397" t="str">
            <v>Due To Debt Svc-Bor Rev</v>
          </cell>
        </row>
        <row r="398">
          <cell r="A398" t="str">
            <v>35326</v>
          </cell>
          <cell r="B398" t="str">
            <v>Due To Dept. Of State</v>
          </cell>
        </row>
        <row r="399">
          <cell r="A399" t="str">
            <v>35327</v>
          </cell>
          <cell r="B399" t="str">
            <v>Due To Fl Dept Of Law Enforcement</v>
          </cell>
        </row>
        <row r="400">
          <cell r="A400" t="str">
            <v>35328</v>
          </cell>
          <cell r="B400" t="str">
            <v>Due To Admin Exp From Other Agencies</v>
          </cell>
        </row>
        <row r="401">
          <cell r="A401" t="str">
            <v>35329</v>
          </cell>
          <cell r="B401" t="str">
            <v>Due To Fish &amp; Wildfile Conservation Commission</v>
          </cell>
        </row>
        <row r="402">
          <cell r="A402" t="str">
            <v>35330</v>
          </cell>
          <cell r="B402" t="str">
            <v>Accounts Payable-Other Depts-S Govt</v>
          </cell>
        </row>
        <row r="403">
          <cell r="A403" t="str">
            <v>35331</v>
          </cell>
          <cell r="B403" t="str">
            <v>Due to Dept of Financial Services</v>
          </cell>
        </row>
        <row r="404">
          <cell r="A404" t="str">
            <v>35355</v>
          </cell>
          <cell r="B404" t="str">
            <v>DOT - Deposits Payable</v>
          </cell>
        </row>
        <row r="405">
          <cell r="A405" t="str">
            <v>35400</v>
          </cell>
          <cell r="B405" t="str">
            <v>Due To Federal Government</v>
          </cell>
        </row>
        <row r="406">
          <cell r="A406" t="str">
            <v>35500</v>
          </cell>
          <cell r="B406" t="str">
            <v>Due To Other Governmental Units</v>
          </cell>
        </row>
        <row r="407">
          <cell r="A407" t="str">
            <v>35502</v>
          </cell>
          <cell r="B407" t="str">
            <v>Due To Counties And Cities</v>
          </cell>
        </row>
        <row r="408">
          <cell r="A408" t="str">
            <v>35503</v>
          </cell>
          <cell r="B408" t="str">
            <v>Due To Special Fire Districts</v>
          </cell>
        </row>
        <row r="409">
          <cell r="A409" t="str">
            <v>35505</v>
          </cell>
          <cell r="B409" t="str">
            <v>Due To Local Governments</v>
          </cell>
        </row>
        <row r="410">
          <cell r="A410" t="str">
            <v>35509</v>
          </cell>
          <cell r="B410" t="str">
            <v>Due To College Pp Found.</v>
          </cell>
        </row>
        <row r="411">
          <cell r="A411" t="str">
            <v>35510</v>
          </cell>
          <cell r="B411" t="str">
            <v>Due To Counties</v>
          </cell>
        </row>
        <row r="412">
          <cell r="A412" t="str">
            <v>35511</v>
          </cell>
          <cell r="B412" t="str">
            <v>Due To Local School Boards</v>
          </cell>
        </row>
        <row r="413">
          <cell r="A413" t="str">
            <v>35520</v>
          </cell>
          <cell r="B413" t="str">
            <v>Due To Municipalities</v>
          </cell>
        </row>
        <row r="414">
          <cell r="A414" t="str">
            <v>35600</v>
          </cell>
          <cell r="B414" t="str">
            <v>Due To General Revenue</v>
          </cell>
        </row>
        <row r="415">
          <cell r="A415" t="str">
            <v>35630</v>
          </cell>
          <cell r="B415" t="str">
            <v>Due To Gr - Banking Fees</v>
          </cell>
        </row>
        <row r="416">
          <cell r="A416" t="str">
            <v>35640</v>
          </cell>
          <cell r="B416" t="str">
            <v>Due To General Revenue - Copayments</v>
          </cell>
        </row>
        <row r="417">
          <cell r="A417" t="str">
            <v>35700</v>
          </cell>
          <cell r="B417" t="str">
            <v>Due To Component Unit/Primary</v>
          </cell>
        </row>
        <row r="418">
          <cell r="A418" t="str">
            <v>35701</v>
          </cell>
          <cell r="B418" t="str">
            <v>Due To Component Unit</v>
          </cell>
        </row>
        <row r="419">
          <cell r="A419" t="str">
            <v>35800</v>
          </cell>
          <cell r="B419" t="str">
            <v>Due To Revolving Fnd -PriGov or Advances ST -DPCU</v>
          </cell>
        </row>
        <row r="420">
          <cell r="A420" t="str">
            <v>35900</v>
          </cell>
          <cell r="B420" t="str">
            <v>Due To State Funds-Clearing Fund</v>
          </cell>
        </row>
        <row r="421">
          <cell r="A421" t="str">
            <v>36100</v>
          </cell>
          <cell r="B421" t="str">
            <v>Matured Bonds Payable</v>
          </cell>
        </row>
        <row r="422">
          <cell r="A422" t="str">
            <v>36200</v>
          </cell>
          <cell r="B422" t="str">
            <v>Matured Certificates of Participation</v>
          </cell>
        </row>
        <row r="423">
          <cell r="A423" t="str">
            <v>36900</v>
          </cell>
          <cell r="B423" t="str">
            <v>Matured Interest Payable</v>
          </cell>
        </row>
        <row r="424">
          <cell r="A424" t="str">
            <v>37100</v>
          </cell>
          <cell r="B424" t="str">
            <v>Current Bonds Payable</v>
          </cell>
        </row>
        <row r="425">
          <cell r="A425" t="str">
            <v>37200</v>
          </cell>
          <cell r="B425" t="str">
            <v>Current Certificates of Participation</v>
          </cell>
        </row>
        <row r="426">
          <cell r="A426" t="str">
            <v>37300</v>
          </cell>
          <cell r="B426" t="str">
            <v>Current Bonds Payable from Restricted Assets</v>
          </cell>
        </row>
        <row r="427">
          <cell r="A427" t="str">
            <v>37900</v>
          </cell>
          <cell r="B427" t="str">
            <v>Current Accrued Interest</v>
          </cell>
        </row>
        <row r="428">
          <cell r="A428" t="str">
            <v>38400</v>
          </cell>
          <cell r="B428" t="str">
            <v>Asset Retirement Obligations - Current</v>
          </cell>
        </row>
        <row r="429">
          <cell r="A429" t="str">
            <v>38500</v>
          </cell>
          <cell r="B429" t="str">
            <v>Installment Purchase Contracts</v>
          </cell>
        </row>
        <row r="430">
          <cell r="A430" t="str">
            <v>38600</v>
          </cell>
          <cell r="B430" t="str">
            <v>Current Compensated Absences Liability</v>
          </cell>
        </row>
        <row r="431">
          <cell r="A431" t="str">
            <v>38601</v>
          </cell>
          <cell r="B431" t="str">
            <v>Current Compensated Absences Liab</v>
          </cell>
        </row>
        <row r="432">
          <cell r="A432" t="str">
            <v>38700</v>
          </cell>
          <cell r="B432" t="str">
            <v>Capital Leases-Current Portion</v>
          </cell>
        </row>
        <row r="433">
          <cell r="A433" t="str">
            <v>38800</v>
          </cell>
          <cell r="B433" t="str">
            <v>Unearned Revenue - Current</v>
          </cell>
        </row>
        <row r="434">
          <cell r="A434" t="str">
            <v>38900</v>
          </cell>
          <cell r="B434" t="str">
            <v>Revenues Received in Advance - Current</v>
          </cell>
        </row>
        <row r="435">
          <cell r="A435" t="str">
            <v>39100</v>
          </cell>
          <cell r="B435" t="str">
            <v>Other Postemployment Benefits Liability - Current</v>
          </cell>
        </row>
        <row r="436">
          <cell r="A436" t="str">
            <v>39200</v>
          </cell>
          <cell r="B436" t="str">
            <v>Tuition and Housing Benefits Payable</v>
          </cell>
        </row>
        <row r="437">
          <cell r="A437" t="str">
            <v>39300</v>
          </cell>
          <cell r="B437" t="str">
            <v>SWFS Only - Oblig Under Rev Repo Agreements - Trea</v>
          </cell>
        </row>
        <row r="438">
          <cell r="A438" t="str">
            <v>39400</v>
          </cell>
          <cell r="B438" t="str">
            <v>Oblig Under Rev Repo Agreements - SBA</v>
          </cell>
        </row>
        <row r="439">
          <cell r="A439" t="str">
            <v>39500</v>
          </cell>
          <cell r="B439" t="str">
            <v>Pension Liability - HIS - Current</v>
          </cell>
        </row>
        <row r="440">
          <cell r="A440" t="str">
            <v>39600</v>
          </cell>
          <cell r="B440" t="str">
            <v>Pension Liability - NG - Current</v>
          </cell>
        </row>
        <row r="441">
          <cell r="A441" t="str">
            <v>39700</v>
          </cell>
          <cell r="B441" t="str">
            <v>SWFS Only - Oblig Under Security Lnd Trans - Treas</v>
          </cell>
        </row>
        <row r="442">
          <cell r="A442" t="str">
            <v>39800</v>
          </cell>
          <cell r="B442" t="str">
            <v>Oblig Under Security Lnd Trans - SBA</v>
          </cell>
        </row>
        <row r="443">
          <cell r="A443" t="str">
            <v>39801</v>
          </cell>
          <cell r="B443" t="str">
            <v>Oblig Under Sec Lending Agreement</v>
          </cell>
        </row>
        <row r="444">
          <cell r="A444" t="str">
            <v>39850</v>
          </cell>
          <cell r="B444" t="str">
            <v>Oblig. Under Sec Lndg Agmnts</v>
          </cell>
        </row>
        <row r="445">
          <cell r="A445" t="str">
            <v>39900</v>
          </cell>
          <cell r="B445" t="str">
            <v>Other Current Liabilities</v>
          </cell>
        </row>
        <row r="446">
          <cell r="A446" t="str">
            <v>39901</v>
          </cell>
          <cell r="B446" t="str">
            <v>Current Liabilities - Resident TF</v>
          </cell>
        </row>
        <row r="447">
          <cell r="A447" t="str">
            <v>39902</v>
          </cell>
          <cell r="B447" t="str">
            <v>Tuition &amp; Housing Benefits Payable (Current)</v>
          </cell>
        </row>
        <row r="448">
          <cell r="A448" t="str">
            <v>39903</v>
          </cell>
          <cell r="B448" t="str">
            <v>Due To - Withdrawals Resident TF</v>
          </cell>
        </row>
        <row r="449">
          <cell r="A449" t="str">
            <v>39920</v>
          </cell>
          <cell r="B449" t="str">
            <v>Collections Due Others</v>
          </cell>
        </row>
        <row r="450">
          <cell r="A450" t="str">
            <v>39925</v>
          </cell>
          <cell r="B450" t="str">
            <v>Assets Held Pending Settlement/Distribution</v>
          </cell>
        </row>
        <row r="451">
          <cell r="A451" t="str">
            <v>42200</v>
          </cell>
          <cell r="B451" t="str">
            <v>Accrued Prize Liability</v>
          </cell>
        </row>
        <row r="452">
          <cell r="A452" t="str">
            <v>42300</v>
          </cell>
          <cell r="B452" t="str">
            <v>DROP Participants Pension Benefit - Non-Current</v>
          </cell>
        </row>
        <row r="453">
          <cell r="A453" t="str">
            <v>42500</v>
          </cell>
          <cell r="B453" t="str">
            <v>Loans from Primary</v>
          </cell>
        </row>
        <row r="454">
          <cell r="A454" t="str">
            <v>44500</v>
          </cell>
          <cell r="B454" t="str">
            <v>Bonds Payable from Restricted Assets</v>
          </cell>
        </row>
        <row r="455">
          <cell r="A455" t="str">
            <v>44600</v>
          </cell>
          <cell r="B455" t="str">
            <v>Interest Payable from Restricted Assets</v>
          </cell>
        </row>
        <row r="456">
          <cell r="A456" t="str">
            <v>45100</v>
          </cell>
          <cell r="B456" t="str">
            <v>Advances from Other Funds</v>
          </cell>
        </row>
        <row r="457">
          <cell r="A457" t="str">
            <v>45500</v>
          </cell>
          <cell r="B457" t="str">
            <v>Long-Term Due to Other Governmental Unit</v>
          </cell>
        </row>
        <row r="458">
          <cell r="A458" t="str">
            <v>45600</v>
          </cell>
          <cell r="B458" t="str">
            <v>Due to Federal Government - Arbitrage</v>
          </cell>
        </row>
        <row r="459">
          <cell r="A459" t="str">
            <v>45700</v>
          </cell>
          <cell r="B459" t="str">
            <v>Advances from funds within the Department</v>
          </cell>
        </row>
        <row r="460">
          <cell r="A460" t="str">
            <v>45800</v>
          </cell>
          <cell r="B460" t="str">
            <v>Advances from Primary</v>
          </cell>
        </row>
        <row r="461">
          <cell r="A461" t="str">
            <v>46100</v>
          </cell>
          <cell r="B461" t="str">
            <v>Bonds Payable</v>
          </cell>
        </row>
        <row r="462">
          <cell r="A462" t="str">
            <v>46101</v>
          </cell>
          <cell r="B462" t="str">
            <v>Bonds Payable</v>
          </cell>
        </row>
        <row r="463">
          <cell r="A463" t="str">
            <v>46200</v>
          </cell>
          <cell r="B463" t="str">
            <v>Certificates of Participation</v>
          </cell>
        </row>
        <row r="464">
          <cell r="A464" t="str">
            <v>46300</v>
          </cell>
          <cell r="B464" t="str">
            <v>Unamortized Premiums -  Bonds Payable</v>
          </cell>
        </row>
        <row r="465">
          <cell r="A465" t="str">
            <v>46400</v>
          </cell>
          <cell r="B465" t="str">
            <v>Unamortized Discounts - Bonds Payable</v>
          </cell>
        </row>
        <row r="466">
          <cell r="A466" t="str">
            <v>46401</v>
          </cell>
          <cell r="B466" t="str">
            <v>Premium/Discount On Bonds Payable</v>
          </cell>
        </row>
        <row r="467">
          <cell r="A467" t="str">
            <v>46402</v>
          </cell>
          <cell r="B467" t="str">
            <v>Accum Amort Of Bond Premium/Discount</v>
          </cell>
        </row>
        <row r="468">
          <cell r="A468" t="str">
            <v>46500</v>
          </cell>
          <cell r="B468" t="str">
            <v>Amount Deferred on Refunding - Bonds Payable</v>
          </cell>
        </row>
        <row r="469">
          <cell r="A469" t="str">
            <v>46600</v>
          </cell>
          <cell r="B469" t="str">
            <v>Unamortized Premiums/Discounts - COP</v>
          </cell>
        </row>
        <row r="470">
          <cell r="A470" t="str">
            <v>46700</v>
          </cell>
          <cell r="B470" t="str">
            <v>Amount Deferred on Refunding - COP</v>
          </cell>
        </row>
        <row r="471">
          <cell r="A471" t="str">
            <v>46900</v>
          </cell>
          <cell r="B471" t="str">
            <v>Accrued Interest</v>
          </cell>
        </row>
        <row r="472">
          <cell r="A472" t="str">
            <v>46901</v>
          </cell>
          <cell r="B472" t="str">
            <v>Interest Payable On Bonds</v>
          </cell>
        </row>
        <row r="473">
          <cell r="A473" t="str">
            <v>46902</v>
          </cell>
          <cell r="B473" t="str">
            <v>Amount To Be Provided-Int.</v>
          </cell>
        </row>
        <row r="474">
          <cell r="A474" t="str">
            <v>47100</v>
          </cell>
          <cell r="B474" t="str">
            <v>Deferred Inflows - Service Concession Arrangements</v>
          </cell>
        </row>
        <row r="475">
          <cell r="A475" t="str">
            <v>47200</v>
          </cell>
          <cell r="B475" t="str">
            <v>Deferred Inflows - Inc in FV-Hedging Derivatives</v>
          </cell>
        </row>
        <row r="476">
          <cell r="A476" t="str">
            <v>47300</v>
          </cell>
          <cell r="B476" t="str">
            <v>Deferred Inflows - Unavailable Revenue</v>
          </cell>
        </row>
        <row r="477">
          <cell r="A477" t="str">
            <v>47400</v>
          </cell>
          <cell r="B477" t="str">
            <v>Deferred Inflows - Grants Received in Advance</v>
          </cell>
        </row>
        <row r="478">
          <cell r="A478" t="str">
            <v>47500</v>
          </cell>
          <cell r="B478" t="str">
            <v>Deferred Inflows - Amount Deferred on Refunding-Bonds Payable</v>
          </cell>
        </row>
        <row r="479">
          <cell r="A479" t="str">
            <v>47600</v>
          </cell>
          <cell r="B479" t="str">
            <v>Deferred Inflows - Amount Deferred on Refunding-COP</v>
          </cell>
        </row>
        <row r="480">
          <cell r="A480" t="str">
            <v>47700</v>
          </cell>
          <cell r="B480" t="str">
            <v>Deferred Inflows - Pension-related Items - FRS</v>
          </cell>
        </row>
        <row r="481">
          <cell r="A481" t="str">
            <v>47800</v>
          </cell>
          <cell r="B481" t="str">
            <v>Deferred Inflows - Pension-related Items - HIS</v>
          </cell>
        </row>
        <row r="482">
          <cell r="A482" t="str">
            <v>47900</v>
          </cell>
          <cell r="B482" t="str">
            <v>Deferred Inflows - Pension-related items - NG</v>
          </cell>
        </row>
        <row r="483">
          <cell r="A483" t="str">
            <v>48100</v>
          </cell>
          <cell r="B483" t="str">
            <v>Deferred Inflows - Irrevocable Split-Interest Agreements</v>
          </cell>
        </row>
        <row r="484">
          <cell r="A484" t="str">
            <v>48200</v>
          </cell>
          <cell r="B484" t="str">
            <v>Deferred Inflows - Other Postemployment Benefits</v>
          </cell>
        </row>
        <row r="485">
          <cell r="A485" t="str">
            <v>48400</v>
          </cell>
          <cell r="B485" t="str">
            <v>Asset Retirement Obligations - LT</v>
          </cell>
        </row>
        <row r="486">
          <cell r="A486" t="str">
            <v>48500</v>
          </cell>
          <cell r="B486" t="str">
            <v>Installment Purchase Contracts</v>
          </cell>
        </row>
        <row r="487">
          <cell r="A487" t="str">
            <v>48600</v>
          </cell>
          <cell r="B487" t="str">
            <v>Compensated Absences Liability</v>
          </cell>
        </row>
        <row r="488">
          <cell r="A488" t="str">
            <v>48601</v>
          </cell>
          <cell r="B488" t="str">
            <v>Compensated Absences</v>
          </cell>
        </row>
        <row r="489">
          <cell r="A489" t="str">
            <v>48700</v>
          </cell>
          <cell r="B489" t="str">
            <v>Capital Leases Liability</v>
          </cell>
        </row>
        <row r="490">
          <cell r="A490" t="str">
            <v>48800</v>
          </cell>
          <cell r="B490" t="str">
            <v>Unearned Revenue - Long Term</v>
          </cell>
        </row>
        <row r="491">
          <cell r="A491" t="str">
            <v>48900</v>
          </cell>
          <cell r="B491" t="str">
            <v>Revenues Received in Advance - Long-term</v>
          </cell>
        </row>
        <row r="492">
          <cell r="A492" t="str">
            <v>49100</v>
          </cell>
          <cell r="B492" t="str">
            <v>Other Postemployment Benefits Liability</v>
          </cell>
        </row>
        <row r="493">
          <cell r="A493" t="str">
            <v>49400</v>
          </cell>
          <cell r="B493" t="str">
            <v>Pension Liability - FRS</v>
          </cell>
        </row>
        <row r="494">
          <cell r="A494" t="str">
            <v>49500</v>
          </cell>
          <cell r="B494" t="str">
            <v>Pension Liability - HIS</v>
          </cell>
        </row>
        <row r="495">
          <cell r="A495" t="str">
            <v>49600</v>
          </cell>
          <cell r="B495" t="str">
            <v>Pension Liability - NG</v>
          </cell>
        </row>
        <row r="496">
          <cell r="A496" t="str">
            <v>49700</v>
          </cell>
          <cell r="B496" t="str">
            <v>Tuition and Housing Benefits Payable</v>
          </cell>
        </row>
        <row r="497">
          <cell r="A497" t="str">
            <v>49800</v>
          </cell>
          <cell r="B497" t="str">
            <v>Long-term Insurance liability</v>
          </cell>
        </row>
        <row r="498">
          <cell r="A498" t="str">
            <v>49900</v>
          </cell>
          <cell r="B498" t="str">
            <v>Other Long-Term Liabilities</v>
          </cell>
        </row>
        <row r="499">
          <cell r="A499" t="str">
            <v>49901</v>
          </cell>
          <cell r="B499" t="str">
            <v>Tuition &amp; Housing Benefits Payable</v>
          </cell>
        </row>
        <row r="500">
          <cell r="A500" t="str">
            <v>49902</v>
          </cell>
          <cell r="B500" t="str">
            <v>Other Post Employment Benefits Payable</v>
          </cell>
        </row>
        <row r="501">
          <cell r="A501" t="str">
            <v>49910</v>
          </cell>
          <cell r="B501" t="str">
            <v>Unclaimed Property Payable</v>
          </cell>
        </row>
        <row r="502">
          <cell r="A502" t="str">
            <v>51100</v>
          </cell>
          <cell r="B502" t="str">
            <v>Contributed Capital</v>
          </cell>
        </row>
        <row r="503">
          <cell r="A503" t="str">
            <v>51800</v>
          </cell>
          <cell r="B503" t="str">
            <v>Residual Equity Transfer In</v>
          </cell>
        </row>
        <row r="504">
          <cell r="A504" t="str">
            <v>51900</v>
          </cell>
          <cell r="B504" t="str">
            <v>Residual Equity Transfer Out</v>
          </cell>
        </row>
        <row r="505">
          <cell r="A505" t="str">
            <v>52100</v>
          </cell>
          <cell r="B505" t="str">
            <v>ERROR</v>
          </cell>
        </row>
        <row r="506">
          <cell r="A506" t="str">
            <v>53100</v>
          </cell>
          <cell r="B506" t="str">
            <v>Restricted for Lottery</v>
          </cell>
        </row>
        <row r="507">
          <cell r="A507" t="str">
            <v>53200</v>
          </cell>
          <cell r="B507" t="str">
            <v>Prior Period Adjustments to Beginning Net Assets</v>
          </cell>
        </row>
        <row r="508">
          <cell r="A508" t="str">
            <v>53201</v>
          </cell>
          <cell r="B508" t="str">
            <v>Adj To Beg Retained Earnings</v>
          </cell>
        </row>
        <row r="509">
          <cell r="A509" t="str">
            <v>53300</v>
          </cell>
          <cell r="B509" t="str">
            <v>Restricted for Hurricane Cat Fund (Gov/Prop) or Debt Service (CU)</v>
          </cell>
        </row>
        <row r="510">
          <cell r="A510" t="str">
            <v>53400</v>
          </cell>
          <cell r="B510" t="str">
            <v>Restricted for Prepaid College Program (Gov/Prop) or Permanent Fund-Expendable (CU)</v>
          </cell>
        </row>
        <row r="511">
          <cell r="A511" t="str">
            <v>53500</v>
          </cell>
          <cell r="B511" t="str">
            <v>Restricted for Unemployment Compensation (Gov/Prop) or Permanent Fund-Nonexpendable (CU)</v>
          </cell>
        </row>
        <row r="512">
          <cell r="A512" t="str">
            <v>53600</v>
          </cell>
          <cell r="B512" t="str">
            <v>Net Investment in Capital Assets</v>
          </cell>
        </row>
        <row r="513">
          <cell r="A513" t="str">
            <v>53601</v>
          </cell>
          <cell r="B513" t="str">
            <v>Net Inv In Cap Assets</v>
          </cell>
        </row>
        <row r="514">
          <cell r="A514" t="str">
            <v>53700</v>
          </cell>
          <cell r="B514" t="str">
            <v>Restricted for Pension and Other Employee Benefits</v>
          </cell>
        </row>
        <row r="515">
          <cell r="A515" t="str">
            <v>53701</v>
          </cell>
          <cell r="B515" t="str">
            <v>Retained Earnings Reserved For Pension</v>
          </cell>
        </row>
        <row r="516">
          <cell r="A516" t="str">
            <v>53702</v>
          </cell>
          <cell r="B516" t="str">
            <v>Net Assets Reserved For Pension</v>
          </cell>
        </row>
        <row r="517">
          <cell r="A517" t="str">
            <v>53800</v>
          </cell>
          <cell r="B517" t="str">
            <v>Restricted Other</v>
          </cell>
        </row>
        <row r="518">
          <cell r="A518" t="str">
            <v>53801</v>
          </cell>
          <cell r="B518" t="str">
            <v>Restricted Net Assets</v>
          </cell>
        </row>
        <row r="519">
          <cell r="A519" t="str">
            <v>53840</v>
          </cell>
          <cell r="B519" t="str">
            <v>Reserved For Garden Club</v>
          </cell>
        </row>
        <row r="520">
          <cell r="A520" t="str">
            <v>53850</v>
          </cell>
          <cell r="B520" t="str">
            <v>Reserved For Jaycees Club</v>
          </cell>
        </row>
        <row r="521">
          <cell r="A521" t="str">
            <v>53890</v>
          </cell>
          <cell r="B521" t="str">
            <v>Reserved For Other</v>
          </cell>
        </row>
        <row r="522">
          <cell r="A522" t="str">
            <v>53900</v>
          </cell>
          <cell r="B522" t="str">
            <v>Net Assets Unrestricted</v>
          </cell>
        </row>
        <row r="523">
          <cell r="A523" t="str">
            <v>53910</v>
          </cell>
          <cell r="B523" t="str">
            <v>Retained Earnings - 1996A</v>
          </cell>
        </row>
        <row r="524">
          <cell r="A524" t="str">
            <v>53970</v>
          </cell>
          <cell r="B524" t="str">
            <v>Net Assets Unrestricted FRS</v>
          </cell>
        </row>
        <row r="525">
          <cell r="A525" t="str">
            <v>53971</v>
          </cell>
          <cell r="B525" t="str">
            <v>Net Assets Unrestricted FRS</v>
          </cell>
        </row>
        <row r="526">
          <cell r="A526" t="str">
            <v>53972</v>
          </cell>
          <cell r="B526" t="str">
            <v>Net Assets Unrestricted FRS</v>
          </cell>
        </row>
        <row r="527">
          <cell r="A527" t="str">
            <v>53973</v>
          </cell>
          <cell r="B527" t="str">
            <v>Net Assets Unrestricted FRS</v>
          </cell>
        </row>
        <row r="528">
          <cell r="A528" t="str">
            <v>53974</v>
          </cell>
          <cell r="B528" t="str">
            <v>Net Assets Unrestricted FRS</v>
          </cell>
        </row>
        <row r="529">
          <cell r="A529" t="str">
            <v>53975</v>
          </cell>
          <cell r="B529" t="str">
            <v>Net Assets Unrestricted FRS</v>
          </cell>
        </row>
        <row r="530">
          <cell r="A530" t="str">
            <v>53976</v>
          </cell>
          <cell r="B530" t="str">
            <v>Net Assets Unrestricted FRS</v>
          </cell>
        </row>
        <row r="531">
          <cell r="A531" t="str">
            <v>53977</v>
          </cell>
          <cell r="B531" t="str">
            <v>Net Assets Unrestricted FRS</v>
          </cell>
        </row>
        <row r="532">
          <cell r="A532" t="str">
            <v>53978</v>
          </cell>
          <cell r="B532" t="str">
            <v>Net Assets Unrestricted FRS</v>
          </cell>
        </row>
        <row r="533">
          <cell r="A533" t="str">
            <v>53979</v>
          </cell>
          <cell r="B533" t="str">
            <v>Net Assets Unrestricted FRS</v>
          </cell>
        </row>
        <row r="534">
          <cell r="A534" t="str">
            <v>53980</v>
          </cell>
          <cell r="B534" t="str">
            <v>Net Assets Unrestricted FRS</v>
          </cell>
        </row>
        <row r="535">
          <cell r="A535" t="str">
            <v>54200</v>
          </cell>
          <cell r="B535" t="str">
            <v>Prior Period Adjustments to Beginning Fund Balance</v>
          </cell>
        </row>
        <row r="536">
          <cell r="A536" t="str">
            <v>54201</v>
          </cell>
          <cell r="B536" t="str">
            <v>Prior Pd. Adjustment-Beg Fb</v>
          </cell>
        </row>
        <row r="537">
          <cell r="A537" t="str">
            <v>54400</v>
          </cell>
          <cell r="B537" t="str">
            <v>ERROR</v>
          </cell>
        </row>
        <row r="538">
          <cell r="A538" t="str">
            <v>54600</v>
          </cell>
          <cell r="B538" t="str">
            <v>Collections, General Revenue</v>
          </cell>
        </row>
        <row r="539">
          <cell r="A539" t="str">
            <v>54900</v>
          </cell>
          <cell r="B539" t="str">
            <v>Committed Fund Balance</v>
          </cell>
        </row>
        <row r="540">
          <cell r="A540" t="str">
            <v>54902</v>
          </cell>
          <cell r="B540" t="str">
            <v>Agency Fd Fb Elim Entry</v>
          </cell>
        </row>
        <row r="541">
          <cell r="A541" t="str">
            <v>54909</v>
          </cell>
          <cell r="B541" t="str">
            <v>Beginning Fund Balance</v>
          </cell>
        </row>
        <row r="542">
          <cell r="A542" t="str">
            <v>55100</v>
          </cell>
          <cell r="B542" t="str">
            <v>Reserved for Encumbrances (NOT VALID FOR FINANCIAL STATEMENTS)</v>
          </cell>
        </row>
        <row r="543">
          <cell r="A543" t="str">
            <v>55105</v>
          </cell>
          <cell r="B543" t="str">
            <v>ERROR</v>
          </cell>
        </row>
        <row r="544">
          <cell r="A544" t="str">
            <v>55121</v>
          </cell>
          <cell r="B544" t="str">
            <v>ERROR</v>
          </cell>
        </row>
        <row r="545">
          <cell r="A545" t="str">
            <v>55200</v>
          </cell>
          <cell r="B545" t="str">
            <v>Fund Balance Reserved for Inventories (NOT VALID FOR FINANCIAL STATEMENTS)</v>
          </cell>
        </row>
        <row r="546">
          <cell r="A546" t="str">
            <v>55300</v>
          </cell>
          <cell r="B546" t="str">
            <v>ERROR</v>
          </cell>
        </row>
        <row r="547">
          <cell r="A547" t="str">
            <v>55400</v>
          </cell>
          <cell r="B547" t="str">
            <v>Fund Balance Reserved for Advances to Other Funds (NOT VALID FOR FINANCIAL STATEMENTS)</v>
          </cell>
        </row>
        <row r="548">
          <cell r="A548" t="str">
            <v>55500</v>
          </cell>
          <cell r="B548" t="str">
            <v>Fund Balance Reserved for Long-Term Receivables (NOT VALID FOR FINANCIAL STATEMENTS)</v>
          </cell>
        </row>
        <row r="549">
          <cell r="A549" t="str">
            <v>55600</v>
          </cell>
          <cell r="B549" t="str">
            <v>Reserved for Fixed Capital Outlay and Grants in Aid (NOT VALID FOR FINANCIAL STATEMENTS)</v>
          </cell>
        </row>
        <row r="550">
          <cell r="A550" t="str">
            <v>55700</v>
          </cell>
          <cell r="B550" t="str">
            <v>Fund Balance Reserved for Debt Service (NOT VALID FOR FINANCIAL STATEMENTS)</v>
          </cell>
        </row>
        <row r="551">
          <cell r="A551" t="str">
            <v>55710</v>
          </cell>
          <cell r="B551" t="str">
            <v>Fund Balance Reserved For Debt Service (NOT VALID FOR FINANCIAL STATEMENTS)</v>
          </cell>
        </row>
        <row r="552">
          <cell r="A552" t="str">
            <v>55800</v>
          </cell>
          <cell r="B552" t="str">
            <v>Reserved for Permanent Fund (NOT VALID FOR FINANCIAL STATEMENTS)</v>
          </cell>
        </row>
        <row r="553">
          <cell r="A553" t="str">
            <v>55801</v>
          </cell>
          <cell r="B553" t="str">
            <v>FB Reserved For Endowment (NOT VALID FOR FINANCIAL STATEMENTS)</v>
          </cell>
        </row>
        <row r="554">
          <cell r="A554" t="str">
            <v>55900</v>
          </cell>
          <cell r="B554" t="str">
            <v>Other Fund Balance Reserved (NOT VALID FOR FINANCIAL STATEMENTS)</v>
          </cell>
        </row>
        <row r="555">
          <cell r="A555" t="str">
            <v>55902</v>
          </cell>
          <cell r="B555" t="str">
            <v>Net Assets Held In Trust-Reserved (NOT VALID FOR FINANCIAL STATEMENTS)</v>
          </cell>
        </row>
        <row r="556">
          <cell r="A556" t="str">
            <v>56100</v>
          </cell>
          <cell r="B556" t="str">
            <v>Nonspendable - Inventories and Prepaid Items</v>
          </cell>
        </row>
        <row r="557">
          <cell r="A557" t="str">
            <v>56200</v>
          </cell>
          <cell r="B557" t="str">
            <v>Nonspendable - LT Receivables and Advances</v>
          </cell>
        </row>
        <row r="558">
          <cell r="A558" t="str">
            <v>56300</v>
          </cell>
          <cell r="B558" t="str">
            <v>Nonspendable - Permanent Fund Principal</v>
          </cell>
        </row>
        <row r="559">
          <cell r="A559" t="str">
            <v>57100</v>
          </cell>
          <cell r="B559" t="str">
            <v>Restricted by Creditors</v>
          </cell>
        </row>
        <row r="560">
          <cell r="A560" t="str">
            <v>57200</v>
          </cell>
          <cell r="B560" t="str">
            <v>Restricted by Federal Government</v>
          </cell>
        </row>
        <row r="561">
          <cell r="A561" t="str">
            <v>57300</v>
          </cell>
          <cell r="B561" t="str">
            <v>Restricted by Grantors and Contributors (Non-Federal)</v>
          </cell>
        </row>
        <row r="562">
          <cell r="A562" t="str">
            <v>57400</v>
          </cell>
          <cell r="B562" t="str">
            <v>Restricted by Enabling Legislation</v>
          </cell>
        </row>
        <row r="563">
          <cell r="A563" t="str">
            <v>57500</v>
          </cell>
          <cell r="B563" t="str">
            <v>Restricted by Constitutional Provisions or Court Order</v>
          </cell>
        </row>
        <row r="564">
          <cell r="A564" t="str">
            <v>58100</v>
          </cell>
          <cell r="B564" t="str">
            <v>CAFR General Fund - Committed Fund Balance (SFRS USE ONLY)</v>
          </cell>
        </row>
        <row r="565">
          <cell r="A565" t="str">
            <v>59100</v>
          </cell>
          <cell r="B565" t="str">
            <v>Unassigned Fund Balance (SFRS USE ONLY)</v>
          </cell>
        </row>
        <row r="566">
          <cell r="A566" t="str">
            <v>59400</v>
          </cell>
          <cell r="B566" t="str">
            <v>ERROR</v>
          </cell>
        </row>
        <row r="567">
          <cell r="A567" t="str">
            <v>61100</v>
          </cell>
          <cell r="B567" t="str">
            <v>Taxes</v>
          </cell>
        </row>
        <row r="568">
          <cell r="A568" t="str">
            <v>61104</v>
          </cell>
          <cell r="B568" t="str">
            <v>No description - 13/Nov/2008</v>
          </cell>
        </row>
        <row r="569">
          <cell r="A569" t="str">
            <v>61109</v>
          </cell>
          <cell r="B569" t="str">
            <v>Transfer Fm Communications Serv Tax Tf (465001)</v>
          </cell>
        </row>
        <row r="570">
          <cell r="A570" t="str">
            <v>61120</v>
          </cell>
          <cell r="B570" t="str">
            <v>Other Taxes</v>
          </cell>
        </row>
        <row r="571">
          <cell r="A571" t="str">
            <v>61122</v>
          </cell>
          <cell r="B571" t="str">
            <v>Taxes - Fuel Tax</v>
          </cell>
        </row>
        <row r="572">
          <cell r="A572" t="str">
            <v>61200</v>
          </cell>
          <cell r="B572" t="str">
            <v>Licenses and Permits</v>
          </cell>
        </row>
        <row r="573">
          <cell r="A573" t="str">
            <v>61201</v>
          </cell>
          <cell r="B573" t="str">
            <v>Licenses &amp; Permits - Prior Year</v>
          </cell>
        </row>
        <row r="574">
          <cell r="A574" t="str">
            <v>61207</v>
          </cell>
          <cell r="B574" t="str">
            <v>Licenses &amp; Permits - TLS</v>
          </cell>
        </row>
        <row r="575">
          <cell r="A575" t="str">
            <v>61300</v>
          </cell>
          <cell r="B575" t="str">
            <v>Fees, Charges, Commissions and Sales</v>
          </cell>
        </row>
        <row r="576">
          <cell r="A576" t="str">
            <v>61301</v>
          </cell>
          <cell r="B576" t="str">
            <v>Bond Fees (Dbf)</v>
          </cell>
        </row>
        <row r="577">
          <cell r="A577" t="str">
            <v>61317</v>
          </cell>
          <cell r="B577" t="str">
            <v>Circuit Civil Re-Open Fee, Clerk Of Court</v>
          </cell>
        </row>
        <row r="578">
          <cell r="A578" t="str">
            <v>61321</v>
          </cell>
          <cell r="B578" t="str">
            <v>Refund Processing Fees</v>
          </cell>
        </row>
        <row r="579">
          <cell r="A579" t="str">
            <v>61332</v>
          </cell>
          <cell r="B579" t="str">
            <v>Fees-Banking Savings-Loan Assessment</v>
          </cell>
        </row>
        <row r="580">
          <cell r="A580" t="str">
            <v>61336</v>
          </cell>
          <cell r="B580" t="str">
            <v>Suspense Receipts</v>
          </cell>
        </row>
        <row r="581">
          <cell r="A581" t="str">
            <v>61351</v>
          </cell>
          <cell r="B581" t="str">
            <v>Transfer From Cse Clearing Tf/081002</v>
          </cell>
        </row>
        <row r="582">
          <cell r="A582" t="str">
            <v>61360</v>
          </cell>
          <cell r="B582" t="str">
            <v>Transfer From DS Escrow-Plug-SW</v>
          </cell>
        </row>
        <row r="583">
          <cell r="A583" t="str">
            <v>61361</v>
          </cell>
          <cell r="B583" t="str">
            <v>1/3 Appellate Filing Fee &gt;50.00-28.241(2)</v>
          </cell>
        </row>
        <row r="584">
          <cell r="A584" t="str">
            <v>61362</v>
          </cell>
          <cell r="B584" t="str">
            <v>1/3 Filing Fee &gt;50 For Claims &gt;2500-34041(1)(B)</v>
          </cell>
        </row>
        <row r="585">
          <cell r="A585" t="str">
            <v>61363</v>
          </cell>
          <cell r="B585" t="str">
            <v>$4 Service Charge Fees</v>
          </cell>
        </row>
        <row r="586">
          <cell r="A586" t="str">
            <v>61366</v>
          </cell>
          <cell r="B586" t="str">
            <v>Annual Remittance Of Cumulative Fees</v>
          </cell>
        </row>
        <row r="587">
          <cell r="A587" t="str">
            <v>61370</v>
          </cell>
          <cell r="B587" t="str">
            <v>Article V Fees</v>
          </cell>
        </row>
        <row r="588">
          <cell r="A588" t="str">
            <v>61382</v>
          </cell>
          <cell r="B588" t="str">
            <v>Transfer From Ds Nonescrow</v>
          </cell>
        </row>
        <row r="589">
          <cell r="A589" t="str">
            <v>61400</v>
          </cell>
          <cell r="B589" t="str">
            <v>Grants and Donations - Non Capital</v>
          </cell>
        </row>
        <row r="590">
          <cell r="A590" t="str">
            <v>61430</v>
          </cell>
          <cell r="B590" t="str">
            <v>Grants-Other</v>
          </cell>
        </row>
        <row r="591">
          <cell r="A591" t="str">
            <v>61440</v>
          </cell>
          <cell r="B591" t="str">
            <v>Wage Withholding &amp; Repayment Of Loans</v>
          </cell>
        </row>
        <row r="592">
          <cell r="A592" t="str">
            <v>61500</v>
          </cell>
          <cell r="B592" t="str">
            <v>Interest and Dividends</v>
          </cell>
        </row>
        <row r="593">
          <cell r="A593" t="str">
            <v>61502</v>
          </cell>
          <cell r="B593" t="str">
            <v>Gain(Loss) On Inv (Govt'L)</v>
          </cell>
        </row>
        <row r="594">
          <cell r="A594" t="str">
            <v>61504</v>
          </cell>
          <cell r="B594" t="str">
            <v>Interest On Investments (Govt'L)</v>
          </cell>
        </row>
        <row r="595">
          <cell r="A595" t="str">
            <v>61509</v>
          </cell>
          <cell r="B595" t="str">
            <v>Earnings On Rights, Warrants</v>
          </cell>
        </row>
        <row r="596">
          <cell r="A596" t="str">
            <v>61580</v>
          </cell>
          <cell r="B596" t="str">
            <v>Gain (Loss) on Investment (Govt'L)</v>
          </cell>
        </row>
        <row r="597">
          <cell r="A597" t="str">
            <v>61581</v>
          </cell>
          <cell r="B597" t="str">
            <v>Net Apprec(Deprec) (Govt'L)</v>
          </cell>
        </row>
        <row r="598">
          <cell r="A598" t="str">
            <v>61600</v>
          </cell>
          <cell r="B598" t="str">
            <v>Fines, Forfeits, Judgments, and Settlements</v>
          </cell>
        </row>
        <row r="599">
          <cell r="A599" t="str">
            <v>61601</v>
          </cell>
          <cell r="B599" t="str">
            <v>Fines, Forfiets, Judgements &amp; Settlement accruals</v>
          </cell>
        </row>
        <row r="600">
          <cell r="A600" t="str">
            <v>61602</v>
          </cell>
          <cell r="B600" t="str">
            <v>Fines - Toll Violation, Clerk Of Court</v>
          </cell>
        </row>
        <row r="601">
          <cell r="A601" t="str">
            <v>61612</v>
          </cell>
          <cell r="B601" t="str">
            <v>Restitution</v>
          </cell>
        </row>
        <row r="602">
          <cell r="A602" t="str">
            <v>61619</v>
          </cell>
          <cell r="B602" t="str">
            <v>1/3 of Fines, Fees, Svc Chgs-CT Related -28.37(2)</v>
          </cell>
        </row>
        <row r="603">
          <cell r="A603" t="str">
            <v>61659</v>
          </cell>
          <cell r="B603" t="str">
            <v>Lawton Chiles Tobacco Settlement</v>
          </cell>
        </row>
        <row r="604">
          <cell r="A604" t="str">
            <v>61700</v>
          </cell>
          <cell r="B604" t="str">
            <v>Flexible Benefits Contributions</v>
          </cell>
        </row>
        <row r="605">
          <cell r="A605" t="str">
            <v>61701</v>
          </cell>
          <cell r="B605" t="str">
            <v>Flexible Benefit Contributions</v>
          </cell>
        </row>
        <row r="606">
          <cell r="A606" t="str">
            <v>61800</v>
          </cell>
          <cell r="B606" t="str">
            <v>Refunds</v>
          </cell>
        </row>
        <row r="607">
          <cell r="A607" t="str">
            <v>61807</v>
          </cell>
          <cell r="B607" t="str">
            <v>Reimbursements - Rehab and Liq</v>
          </cell>
        </row>
        <row r="608">
          <cell r="A608" t="str">
            <v>61814</v>
          </cell>
          <cell r="B608" t="str">
            <v>Refund</v>
          </cell>
        </row>
        <row r="609">
          <cell r="A609" t="str">
            <v>61826</v>
          </cell>
          <cell r="B609" t="str">
            <v>Refunds - Government Leaseholds</v>
          </cell>
        </row>
        <row r="610">
          <cell r="A610" t="str">
            <v>61827</v>
          </cell>
          <cell r="B610" t="str">
            <v>Refunds - Sales Taxes On Mobile Homes</v>
          </cell>
        </row>
        <row r="611">
          <cell r="A611" t="str">
            <v>61828</v>
          </cell>
          <cell r="B611" t="str">
            <v>Refunds - Property Taxes</v>
          </cell>
        </row>
        <row r="612">
          <cell r="A612" t="str">
            <v>61900</v>
          </cell>
          <cell r="B612" t="str">
            <v>Other Revenues</v>
          </cell>
        </row>
        <row r="613">
          <cell r="A613" t="str">
            <v>61901</v>
          </cell>
          <cell r="B613" t="str">
            <v>Other Revenues (Govt'L)</v>
          </cell>
        </row>
        <row r="614">
          <cell r="A614" t="str">
            <v>61902</v>
          </cell>
          <cell r="B614" t="str">
            <v>Sale Of Goods And Service State</v>
          </cell>
        </row>
        <row r="615">
          <cell r="A615" t="str">
            <v>61904</v>
          </cell>
          <cell r="B615" t="str">
            <v>Miscellaneous Receipts</v>
          </cell>
        </row>
        <row r="616">
          <cell r="A616" t="str">
            <v>61905</v>
          </cell>
          <cell r="B616" t="str">
            <v>Rcvd For Debt Svc-Esc Agt</v>
          </cell>
        </row>
        <row r="617">
          <cell r="A617" t="str">
            <v>61906</v>
          </cell>
          <cell r="B617" t="str">
            <v>Federal Subsidy</v>
          </cell>
        </row>
        <row r="618">
          <cell r="A618" t="str">
            <v>61907</v>
          </cell>
          <cell r="B618" t="str">
            <v>Investigation Costs, Clerk Of Court</v>
          </cell>
        </row>
        <row r="619">
          <cell r="A619" t="str">
            <v>61908</v>
          </cell>
          <cell r="B619" t="str">
            <v>Eft Clearing, Clerk Of Court</v>
          </cell>
        </row>
        <row r="620">
          <cell r="A620" t="str">
            <v>61912</v>
          </cell>
          <cell r="B620" t="str">
            <v>Child Support Collections</v>
          </cell>
        </row>
        <row r="621">
          <cell r="A621" t="str">
            <v>61915</v>
          </cell>
          <cell r="B621" t="str">
            <v>Unclaimed Property Interception Collections</v>
          </cell>
        </row>
        <row r="622">
          <cell r="A622" t="str">
            <v>61917</v>
          </cell>
          <cell r="B622" t="str">
            <v>Bond Procds-Good Faith Dep.</v>
          </cell>
        </row>
        <row r="623">
          <cell r="A623" t="str">
            <v>61920</v>
          </cell>
          <cell r="B623" t="str">
            <v>Sale Of Short Term Inv.</v>
          </cell>
        </row>
        <row r="624">
          <cell r="A624" t="str">
            <v>61922</v>
          </cell>
          <cell r="B624" t="str">
            <v>Sale Of Stip-Offset</v>
          </cell>
        </row>
        <row r="625">
          <cell r="A625" t="str">
            <v>61928</v>
          </cell>
          <cell r="B625" t="str">
            <v>Sale Of Options</v>
          </cell>
        </row>
        <row r="626">
          <cell r="A626" t="str">
            <v>61929</v>
          </cell>
          <cell r="B626" t="str">
            <v>Cost Recovery</v>
          </cell>
        </row>
        <row r="627">
          <cell r="A627" t="str">
            <v>61930</v>
          </cell>
          <cell r="B627" t="str">
            <v>Sale Of Equity Inv.</v>
          </cell>
        </row>
        <row r="628">
          <cell r="A628" t="str">
            <v>61931</v>
          </cell>
          <cell r="B628" t="str">
            <v>Sale Of Fixed Income Inv.</v>
          </cell>
        </row>
        <row r="629">
          <cell r="A629" t="str">
            <v>61936</v>
          </cell>
          <cell r="B629" t="str">
            <v>Collection Of Prepayments</v>
          </cell>
        </row>
        <row r="630">
          <cell r="A630" t="str">
            <v>61937</v>
          </cell>
          <cell r="B630" t="str">
            <v>GR to CSE Clearing Trust Fund 74-2-081002</v>
          </cell>
        </row>
        <row r="631">
          <cell r="A631" t="str">
            <v>61940</v>
          </cell>
          <cell r="B631" t="str">
            <v>Interest Repayment Assessment 12/2010</v>
          </cell>
        </row>
        <row r="632">
          <cell r="A632" t="str">
            <v>61945</v>
          </cell>
          <cell r="B632" t="str">
            <v>Paying Bank Recalls</v>
          </cell>
        </row>
        <row r="633">
          <cell r="A633" t="str">
            <v>61947</v>
          </cell>
          <cell r="B633" t="str">
            <v>Trsfr From Dbt Svc Escrow</v>
          </cell>
        </row>
        <row r="634">
          <cell r="A634" t="str">
            <v>61956</v>
          </cell>
          <cell r="B634" t="str">
            <v>Miscellaneous Receipts</v>
          </cell>
        </row>
        <row r="635">
          <cell r="A635" t="str">
            <v>61960</v>
          </cell>
          <cell r="B635" t="str">
            <v>Sale Of Real Estate Inv.</v>
          </cell>
        </row>
        <row r="636">
          <cell r="A636" t="str">
            <v>61961</v>
          </cell>
          <cell r="B636" t="str">
            <v>Contr Rcvd From Co Clerks</v>
          </cell>
        </row>
        <row r="637">
          <cell r="A637" t="str">
            <v>61972</v>
          </cell>
          <cell r="B637" t="str">
            <v>Collection Agency Collections</v>
          </cell>
        </row>
        <row r="638">
          <cell r="A638" t="str">
            <v>61973</v>
          </cell>
          <cell r="B638" t="str">
            <v>Collection Agency Distributions</v>
          </cell>
        </row>
        <row r="639">
          <cell r="A639" t="str">
            <v>61974</v>
          </cell>
          <cell r="B639" t="str">
            <v>Transfer From Municipal Revenue Sharing Tf</v>
          </cell>
        </row>
        <row r="640">
          <cell r="A640" t="str">
            <v>61975</v>
          </cell>
          <cell r="B640" t="str">
            <v>Contrib Rcvd-Outside Esc Agt</v>
          </cell>
        </row>
        <row r="641">
          <cell r="A641" t="str">
            <v>61976</v>
          </cell>
          <cell r="B641" t="str">
            <v>Contrib Rcvd-Misc Govt'L-Sw</v>
          </cell>
        </row>
        <row r="642">
          <cell r="A642" t="str">
            <v>61992</v>
          </cell>
          <cell r="B642" t="str">
            <v>Investment Sale Offset</v>
          </cell>
        </row>
        <row r="643">
          <cell r="A643" t="str">
            <v>61995</v>
          </cell>
          <cell r="B643" t="str">
            <v>Sale Of Foreign Currency</v>
          </cell>
        </row>
        <row r="644">
          <cell r="A644" t="str">
            <v>61997</v>
          </cell>
          <cell r="B644" t="str">
            <v>Income Summary</v>
          </cell>
        </row>
        <row r="645">
          <cell r="A645" t="str">
            <v>61998</v>
          </cell>
          <cell r="B645" t="str">
            <v>Income Summary Offset</v>
          </cell>
        </row>
        <row r="646">
          <cell r="A646" t="str">
            <v>62100</v>
          </cell>
          <cell r="B646" t="str">
            <v>Capital Grants and Donations</v>
          </cell>
        </row>
        <row r="647">
          <cell r="A647" t="str">
            <v>62200</v>
          </cell>
          <cell r="B647" t="str">
            <v>Sale of Fixed Assets</v>
          </cell>
        </row>
        <row r="648">
          <cell r="A648" t="str">
            <v>62500</v>
          </cell>
          <cell r="B648" t="str">
            <v>Interest non-program</v>
          </cell>
        </row>
        <row r="649">
          <cell r="A649" t="str">
            <v>63100</v>
          </cell>
          <cell r="B649" t="str">
            <v>Released General Revenue Appropriation</v>
          </cell>
        </row>
        <row r="650">
          <cell r="A650" t="str">
            <v>63300</v>
          </cell>
          <cell r="B650" t="str">
            <v>Released Working Capital Appropriation</v>
          </cell>
        </row>
        <row r="651">
          <cell r="A651" t="str">
            <v>63400</v>
          </cell>
          <cell r="B651" t="str">
            <v>Released Infrastructure Fund Appropriation</v>
          </cell>
        </row>
        <row r="652">
          <cell r="A652" t="str">
            <v>63500</v>
          </cell>
          <cell r="B652" t="str">
            <v>Reversion of Appropriation, 6/30</v>
          </cell>
        </row>
        <row r="653">
          <cell r="A653" t="str">
            <v>63600</v>
          </cell>
          <cell r="B653" t="str">
            <v>Reversion of Appropriation, 12/31</v>
          </cell>
        </row>
        <row r="654">
          <cell r="A654" t="str">
            <v>63700</v>
          </cell>
          <cell r="B654" t="str">
            <v>Other Reversion, Fixed Capital Outlay</v>
          </cell>
        </row>
        <row r="655">
          <cell r="A655" t="str">
            <v>65100</v>
          </cell>
          <cell r="B655" t="str">
            <v>Transfers in From Component Units/Primary</v>
          </cell>
        </row>
        <row r="656">
          <cell r="A656" t="str">
            <v>65200</v>
          </cell>
          <cell r="B656" t="str">
            <v>Property Transfer In</v>
          </cell>
        </row>
        <row r="657">
          <cell r="A657" t="str">
            <v>65500</v>
          </cell>
          <cell r="B657" t="str">
            <v>Federal Funds Transfers within Department</v>
          </cell>
        </row>
        <row r="658">
          <cell r="A658" t="str">
            <v>65600</v>
          </cell>
          <cell r="B658" t="str">
            <v>Federal Funds Transfer In from Other Agencies</v>
          </cell>
        </row>
        <row r="659">
          <cell r="A659" t="str">
            <v>65700</v>
          </cell>
          <cell r="B659" t="str">
            <v>Transfers in from within The Agency</v>
          </cell>
        </row>
        <row r="660">
          <cell r="A660" t="str">
            <v>65730</v>
          </cell>
          <cell r="B660" t="str">
            <v>Transfers Bwtn Banks</v>
          </cell>
        </row>
        <row r="661">
          <cell r="A661" t="str">
            <v>65731</v>
          </cell>
          <cell r="B661" t="str">
            <v>Transfer Out Between Banks</v>
          </cell>
        </row>
        <row r="662">
          <cell r="A662" t="str">
            <v>65739</v>
          </cell>
          <cell r="B662" t="str">
            <v>Transfer From Peorp</v>
          </cell>
        </row>
        <row r="663">
          <cell r="A663" t="str">
            <v>65750</v>
          </cell>
          <cell r="B663" t="str">
            <v>Trsfr From Debt Svc Nonelimin</v>
          </cell>
        </row>
        <row r="664">
          <cell r="A664" t="str">
            <v>65756</v>
          </cell>
          <cell r="B664" t="str">
            <v>Transfer from LGSF Pool</v>
          </cell>
        </row>
        <row r="665">
          <cell r="A665" t="str">
            <v>65757</v>
          </cell>
          <cell r="B665" t="str">
            <v>Transfer from LGIP B</v>
          </cell>
        </row>
        <row r="666">
          <cell r="A666" t="str">
            <v>65775</v>
          </cell>
          <cell r="B666" t="str">
            <v>Transfer Bwtn Accts-Cash</v>
          </cell>
        </row>
        <row r="667">
          <cell r="A667" t="str">
            <v>65776</v>
          </cell>
          <cell r="B667" t="str">
            <v>Transfer Bwtn Accts-Secur</v>
          </cell>
        </row>
        <row r="668">
          <cell r="A668" t="str">
            <v>65777</v>
          </cell>
          <cell r="B668" t="str">
            <v>Transfer Out Between Accts-Cash</v>
          </cell>
        </row>
        <row r="669">
          <cell r="A669" t="str">
            <v>65778</v>
          </cell>
          <cell r="B669" t="str">
            <v>Transfer Out Between Accts-Securities</v>
          </cell>
        </row>
        <row r="670">
          <cell r="A670" t="str">
            <v>65783</v>
          </cell>
          <cell r="B670" t="str">
            <v>Transfer From Gas Tax Fund</v>
          </cell>
        </row>
        <row r="671">
          <cell r="A671" t="str">
            <v>65791</v>
          </cell>
          <cell r="B671" t="str">
            <v>Transfer From FL PP College Fund</v>
          </cell>
        </row>
        <row r="672">
          <cell r="A672" t="str">
            <v>65800</v>
          </cell>
          <cell r="B672" t="str">
            <v>General Revenue Transfers In</v>
          </cell>
        </row>
        <row r="673">
          <cell r="A673" t="str">
            <v>65832</v>
          </cell>
          <cell r="B673" t="str">
            <v>Transfer From GR to CSE Clearing TF</v>
          </cell>
        </row>
        <row r="674">
          <cell r="A674" t="str">
            <v>65900</v>
          </cell>
          <cell r="B674" t="str">
            <v>Transfer In from Other Agencies</v>
          </cell>
        </row>
        <row r="675">
          <cell r="A675" t="str">
            <v>65901</v>
          </cell>
          <cell r="B675" t="str">
            <v>Rcvd For Debt Svc-Dot</v>
          </cell>
        </row>
        <row r="676">
          <cell r="A676" t="str">
            <v>65902</v>
          </cell>
          <cell r="B676" t="str">
            <v>Contributions Received From Doe</v>
          </cell>
        </row>
        <row r="677">
          <cell r="A677" t="str">
            <v>65906</v>
          </cell>
          <cell r="B677" t="str">
            <v>Trsfr From Debt Svc Elimin.</v>
          </cell>
        </row>
        <row r="678">
          <cell r="A678" t="str">
            <v>65913</v>
          </cell>
          <cell r="B678" t="str">
            <v>Rcvd For Dbt Svc-Bor</v>
          </cell>
        </row>
        <row r="679">
          <cell r="A679" t="str">
            <v>65915</v>
          </cell>
          <cell r="B679" t="str">
            <v>Tolls Rcvd-Dot</v>
          </cell>
        </row>
        <row r="680">
          <cell r="A680" t="str">
            <v>65949</v>
          </cell>
          <cell r="B680" t="str">
            <v>Contrib. Rcvd From Dol</v>
          </cell>
        </row>
        <row r="681">
          <cell r="A681" t="str">
            <v>65959</v>
          </cell>
          <cell r="B681" t="str">
            <v>Contrib. Rcvd From Dms</v>
          </cell>
        </row>
        <row r="682">
          <cell r="A682" t="str">
            <v>65962</v>
          </cell>
          <cell r="B682" t="str">
            <v>Contrib Rcvd - Dpt Of Revenue</v>
          </cell>
        </row>
        <row r="683">
          <cell r="A683" t="str">
            <v>65963</v>
          </cell>
          <cell r="B683" t="str">
            <v>Contrib Rcvd - Dpt Of Hwy Safety</v>
          </cell>
        </row>
        <row r="684">
          <cell r="A684" t="str">
            <v>65971</v>
          </cell>
          <cell r="B684" t="str">
            <v>Trsfr from DMS-Employer Contrib</v>
          </cell>
        </row>
        <row r="685">
          <cell r="A685" t="str">
            <v>65972</v>
          </cell>
          <cell r="B685" t="str">
            <v>Trsfr from DMS-Employee Contrib</v>
          </cell>
        </row>
        <row r="686">
          <cell r="A686" t="str">
            <v>65999</v>
          </cell>
          <cell r="B686" t="str">
            <v>Transfers/Other Agencies - Accrual Entries</v>
          </cell>
        </row>
        <row r="687">
          <cell r="A687" t="str">
            <v>66100</v>
          </cell>
          <cell r="B687" t="str">
            <v>Tolls Facilities Revenue</v>
          </cell>
        </row>
        <row r="688">
          <cell r="A688" t="str">
            <v>66200</v>
          </cell>
          <cell r="B688" t="str">
            <v>Interest on Loans</v>
          </cell>
        </row>
        <row r="689">
          <cell r="A689" t="str">
            <v>66300</v>
          </cell>
          <cell r="B689" t="str">
            <v>Pension Fund Contributions - State</v>
          </cell>
        </row>
        <row r="690">
          <cell r="A690" t="str">
            <v>66390</v>
          </cell>
          <cell r="B690" t="str">
            <v>Contributions-Admin Fee</v>
          </cell>
        </row>
        <row r="691">
          <cell r="A691" t="str">
            <v>66400</v>
          </cell>
          <cell r="B691" t="str">
            <v>Pension Fund Contributions - Non-State</v>
          </cell>
        </row>
        <row r="692">
          <cell r="A692" t="str">
            <v>66401</v>
          </cell>
          <cell r="B692" t="str">
            <v>Pension Fund Contrib - Non State</v>
          </cell>
        </row>
        <row r="693">
          <cell r="A693" t="str">
            <v>66490</v>
          </cell>
          <cell r="B693" t="str">
            <v>Contr From Investment Plan To Pension Plan</v>
          </cell>
        </row>
        <row r="694">
          <cell r="A694" t="str">
            <v>66495</v>
          </cell>
          <cell r="B694" t="str">
            <v>Pension Fund Contributions From Employees</v>
          </cell>
        </row>
        <row r="695">
          <cell r="A695" t="str">
            <v>66499</v>
          </cell>
          <cell r="B695" t="str">
            <v>Purchase of Time - Employees</v>
          </cell>
        </row>
        <row r="696">
          <cell r="A696" t="str">
            <v>66500</v>
          </cell>
          <cell r="B696" t="str">
            <v>Lottery Sales</v>
          </cell>
        </row>
        <row r="697">
          <cell r="A697" t="str">
            <v>66600</v>
          </cell>
          <cell r="B697" t="str">
            <v>Deposits from Other Governments</v>
          </cell>
        </row>
        <row r="698">
          <cell r="A698" t="str">
            <v>66601</v>
          </cell>
          <cell r="B698" t="str">
            <v>Inv Contrib-Local Govts</v>
          </cell>
        </row>
        <row r="699">
          <cell r="A699" t="str">
            <v>66602</v>
          </cell>
          <cell r="B699" t="str">
            <v>Contrib Rcvd-Loc Gov (Gas Tax)</v>
          </cell>
        </row>
        <row r="700">
          <cell r="A700" t="str">
            <v>66603</v>
          </cell>
          <cell r="B700" t="str">
            <v>Contrib Rcvd - Commingled Inv</v>
          </cell>
        </row>
        <row r="701">
          <cell r="A701" t="str">
            <v>66608</v>
          </cell>
          <cell r="B701" t="str">
            <v>Bond Proceeds Allocations</v>
          </cell>
        </row>
        <row r="702">
          <cell r="A702" t="str">
            <v>66620</v>
          </cell>
          <cell r="B702" t="str">
            <v>Reinvested Earning Distributed</v>
          </cell>
        </row>
        <row r="703">
          <cell r="A703" t="str">
            <v>66623</v>
          </cell>
          <cell r="B703" t="str">
            <v>Contrib Rcvd - Flpp Savings</v>
          </cell>
        </row>
        <row r="704">
          <cell r="A704" t="str">
            <v>66624</v>
          </cell>
          <cell r="B704" t="str">
            <v>Contrib Rcvd - Suspense - Flppsv</v>
          </cell>
        </row>
        <row r="705">
          <cell r="A705" t="str">
            <v>66650</v>
          </cell>
          <cell r="B705" t="str">
            <v>Contributions Received - Miscellaneous</v>
          </cell>
        </row>
        <row r="706">
          <cell r="A706" t="str">
            <v>66651</v>
          </cell>
          <cell r="B706" t="str">
            <v>Rehab-Receivership Billings</v>
          </cell>
        </row>
        <row r="707">
          <cell r="A707" t="str">
            <v>66652</v>
          </cell>
          <cell r="B707" t="str">
            <v>Adjustments - Rehab</v>
          </cell>
        </row>
        <row r="708">
          <cell r="A708" t="str">
            <v>66700</v>
          </cell>
          <cell r="B708" t="str">
            <v>Fees</v>
          </cell>
        </row>
        <row r="709">
          <cell r="A709" t="str">
            <v>66701</v>
          </cell>
          <cell r="B709" t="str">
            <v>Received For Overdraft Charges</v>
          </cell>
        </row>
        <row r="710">
          <cell r="A710" t="str">
            <v>66706</v>
          </cell>
          <cell r="B710" t="str">
            <v>ERROR</v>
          </cell>
        </row>
        <row r="711">
          <cell r="A711" t="str">
            <v>66725</v>
          </cell>
          <cell r="B711" t="str">
            <v>Exam Fees-Unclaimed Property Ch.</v>
          </cell>
        </row>
        <row r="712">
          <cell r="A712" t="str">
            <v>66730</v>
          </cell>
          <cell r="B712" t="str">
            <v>Nsf Charge - Fl Prepaid</v>
          </cell>
        </row>
        <row r="713">
          <cell r="A713" t="str">
            <v>66732</v>
          </cell>
          <cell r="B713" t="str">
            <v>Application Fees - Fl Prepaid</v>
          </cell>
        </row>
        <row r="714">
          <cell r="A714" t="str">
            <v>66734</v>
          </cell>
          <cell r="B714" t="str">
            <v>Late Fees - Fl Prepaid</v>
          </cell>
        </row>
        <row r="715">
          <cell r="A715" t="str">
            <v>66736</v>
          </cell>
          <cell r="B715" t="str">
            <v>Cancellation Fees-Fl Pp</v>
          </cell>
        </row>
        <row r="716">
          <cell r="A716" t="str">
            <v>66737</v>
          </cell>
          <cell r="B716" t="str">
            <v>Reinstatement Fees-Flpp</v>
          </cell>
        </row>
        <row r="717">
          <cell r="A717" t="str">
            <v>66739</v>
          </cell>
          <cell r="B717" t="str">
            <v>Maintenance Fees - Fl Pp</v>
          </cell>
        </row>
        <row r="718">
          <cell r="A718" t="str">
            <v>66740</v>
          </cell>
          <cell r="B718" t="str">
            <v>Rollover Withdrwal Fees - Flpp</v>
          </cell>
        </row>
        <row r="719">
          <cell r="A719" t="str">
            <v>66741</v>
          </cell>
          <cell r="B719" t="str">
            <v>Operating Revenue - Fees</v>
          </cell>
        </row>
        <row r="720">
          <cell r="A720" t="str">
            <v>66742</v>
          </cell>
          <cell r="B720" t="str">
            <v>Redemption Fees - LGIP</v>
          </cell>
        </row>
        <row r="721">
          <cell r="A721" t="str">
            <v>66743</v>
          </cell>
          <cell r="B721" t="str">
            <v>Mail delivery fee</v>
          </cell>
        </row>
        <row r="722">
          <cell r="A722" t="str">
            <v>66744</v>
          </cell>
          <cell r="B722" t="str">
            <v>Excess withdrawals fee</v>
          </cell>
        </row>
        <row r="723">
          <cell r="A723" t="str">
            <v>66779</v>
          </cell>
          <cell r="B723" t="str">
            <v>Change of Control License</v>
          </cell>
        </row>
        <row r="724">
          <cell r="A724" t="str">
            <v>66900</v>
          </cell>
          <cell r="B724" t="str">
            <v>Dec. (Inc.) Actuarial NPV of Contract Premiums</v>
          </cell>
        </row>
        <row r="725">
          <cell r="A725" t="str">
            <v>67100</v>
          </cell>
          <cell r="B725" t="str">
            <v>Sales of Goods and Services - State</v>
          </cell>
        </row>
        <row r="726">
          <cell r="A726" t="str">
            <v>67103</v>
          </cell>
          <cell r="B726" t="str">
            <v>Sale of Real and Personal Property</v>
          </cell>
        </row>
        <row r="727">
          <cell r="A727" t="str">
            <v>67196</v>
          </cell>
          <cell r="B727" t="str">
            <v>Statewide Post Closing Entry (Gf 60)</v>
          </cell>
        </row>
        <row r="728">
          <cell r="A728" t="str">
            <v>67200</v>
          </cell>
          <cell r="B728" t="str">
            <v>Sales of Goods &amp; Services - Non-State</v>
          </cell>
        </row>
        <row r="729">
          <cell r="A729" t="str">
            <v>67215</v>
          </cell>
          <cell r="B729" t="str">
            <v>Component Units-Non-State Sales Goods/Services</v>
          </cell>
        </row>
        <row r="730">
          <cell r="A730" t="str">
            <v>67239</v>
          </cell>
          <cell r="B730" t="str">
            <v>Tuition &amp; Dorm Payments Rec'D-Flpp</v>
          </cell>
        </row>
        <row r="731">
          <cell r="A731" t="str">
            <v>67240</v>
          </cell>
          <cell r="B731" t="str">
            <v>Sgs - Repayment Of Loans</v>
          </cell>
        </row>
        <row r="732">
          <cell r="A732" t="str">
            <v>67241</v>
          </cell>
          <cell r="B732" t="str">
            <v>Sale Of Public Records Request</v>
          </cell>
        </row>
        <row r="733">
          <cell r="A733" t="str">
            <v>67242</v>
          </cell>
          <cell r="B733" t="str">
            <v>Sale Of Public Records Request</v>
          </cell>
        </row>
        <row r="734">
          <cell r="A734" t="str">
            <v>67300</v>
          </cell>
          <cell r="B734" t="str">
            <v>Fines, Forfeits, Judgments and Settlements</v>
          </cell>
        </row>
        <row r="735">
          <cell r="A735" t="str">
            <v>67303</v>
          </cell>
          <cell r="B735" t="str">
            <v>Penalty Fines-Unclaimed Property</v>
          </cell>
        </row>
        <row r="736">
          <cell r="A736" t="str">
            <v>67304</v>
          </cell>
          <cell r="B736" t="str">
            <v>Fine -Returned Check Unclaimed Property</v>
          </cell>
        </row>
        <row r="737">
          <cell r="A737" t="str">
            <v>67307</v>
          </cell>
          <cell r="B737" t="str">
            <v>Returned Checks and fines</v>
          </cell>
        </row>
        <row r="738">
          <cell r="A738" t="str">
            <v>67309</v>
          </cell>
          <cell r="B738" t="str">
            <v>Receipts- Unclaimed Propertych.</v>
          </cell>
        </row>
        <row r="739">
          <cell r="A739" t="str">
            <v>67310</v>
          </cell>
          <cell r="B739" t="str">
            <v>Unclaimed Property Receipts-12 Month W Cancell</v>
          </cell>
        </row>
        <row r="740">
          <cell r="A740" t="str">
            <v>67314</v>
          </cell>
          <cell r="B740" t="str">
            <v>Unclaimed Property - DOR Receipts</v>
          </cell>
        </row>
        <row r="741">
          <cell r="A741" t="str">
            <v>67327</v>
          </cell>
          <cell r="B741" t="str">
            <v>Security Deposits</v>
          </cell>
        </row>
        <row r="742">
          <cell r="A742" t="str">
            <v>67350</v>
          </cell>
          <cell r="B742" t="str">
            <v>Miscellaneous Fines</v>
          </cell>
        </row>
        <row r="743">
          <cell r="A743" t="str">
            <v>67399</v>
          </cell>
          <cell r="B743" t="str">
            <v>Financial Statement Accrual Entries</v>
          </cell>
        </row>
        <row r="744">
          <cell r="A744" t="str">
            <v>67400</v>
          </cell>
          <cell r="B744" t="str">
            <v>Rents - State</v>
          </cell>
        </row>
        <row r="745">
          <cell r="A745" t="str">
            <v>67500</v>
          </cell>
          <cell r="B745" t="str">
            <v>Rents and Royalties - Non-State</v>
          </cell>
        </row>
        <row r="746">
          <cell r="A746" t="str">
            <v>67600</v>
          </cell>
          <cell r="B746" t="str">
            <v>Interest Earnings - Operating</v>
          </cell>
        </row>
        <row r="747">
          <cell r="A747" t="str">
            <v>67601</v>
          </cell>
          <cell r="B747" t="str">
            <v>Interest On Investments</v>
          </cell>
        </row>
        <row r="748">
          <cell r="A748" t="str">
            <v>67602</v>
          </cell>
          <cell r="B748" t="str">
            <v>Interest On Invest-Maturity</v>
          </cell>
        </row>
        <row r="749">
          <cell r="A749" t="str">
            <v>67603</v>
          </cell>
          <cell r="B749" t="str">
            <v>Interest-TMPG Chgs Rec'd</v>
          </cell>
        </row>
        <row r="750">
          <cell r="A750" t="str">
            <v>67604</v>
          </cell>
          <cell r="B750" t="str">
            <v>Interest on Overnight Cash Balance</v>
          </cell>
        </row>
        <row r="751">
          <cell r="A751" t="str">
            <v>67605</v>
          </cell>
          <cell r="B751" t="str">
            <v>Interest On Cash Balances</v>
          </cell>
        </row>
        <row r="752">
          <cell r="A752" t="str">
            <v>67606</v>
          </cell>
          <cell r="B752" t="str">
            <v>Interest on Claims</v>
          </cell>
        </row>
        <row r="753">
          <cell r="A753" t="str">
            <v>67607</v>
          </cell>
          <cell r="B753" t="str">
            <v>Interest On Fail Float</v>
          </cell>
        </row>
        <row r="754">
          <cell r="A754" t="str">
            <v>67608</v>
          </cell>
          <cell r="B754" t="str">
            <v>Interest-Miscellaneous</v>
          </cell>
        </row>
        <row r="755">
          <cell r="A755" t="str">
            <v>67609</v>
          </cell>
          <cell r="B755" t="str">
            <v>Stip Income Distribution</v>
          </cell>
        </row>
        <row r="756">
          <cell r="A756" t="str">
            <v>67610</v>
          </cell>
          <cell r="B756" t="str">
            <v>Cash Over/Short At Bank</v>
          </cell>
        </row>
        <row r="757">
          <cell r="A757" t="str">
            <v>67612</v>
          </cell>
          <cell r="B757" t="str">
            <v>Interest - Amort/Accretion</v>
          </cell>
        </row>
        <row r="758">
          <cell r="A758" t="str">
            <v>67614</v>
          </cell>
          <cell r="B758" t="str">
            <v>Interest Earnings-SPIA</v>
          </cell>
        </row>
        <row r="759">
          <cell r="A759" t="str">
            <v>67615</v>
          </cell>
          <cell r="B759" t="str">
            <v>Security Lending Income</v>
          </cell>
        </row>
        <row r="760">
          <cell r="A760" t="str">
            <v>67620</v>
          </cell>
          <cell r="B760" t="str">
            <v>Dividends</v>
          </cell>
        </row>
        <row r="761">
          <cell r="A761" t="str">
            <v>67630</v>
          </cell>
          <cell r="B761" t="str">
            <v>Interest Paid On Investments</v>
          </cell>
        </row>
        <row r="762">
          <cell r="A762" t="str">
            <v>67631</v>
          </cell>
          <cell r="B762" t="str">
            <v>Payment Of Interest Charge</v>
          </cell>
        </row>
        <row r="763">
          <cell r="A763" t="str">
            <v>67632</v>
          </cell>
          <cell r="B763" t="str">
            <v>Foreign Overdraft &amp; Reimbursement</v>
          </cell>
        </row>
        <row r="764">
          <cell r="A764" t="str">
            <v>67640</v>
          </cell>
          <cell r="B764" t="str">
            <v>Earnings Financing Agreements-Repurch/Sec Lend</v>
          </cell>
        </row>
        <row r="765">
          <cell r="A765" t="str">
            <v>67650</v>
          </cell>
          <cell r="B765" t="str">
            <v>Dividends</v>
          </cell>
        </row>
        <row r="766">
          <cell r="A766" t="str">
            <v>67651</v>
          </cell>
          <cell r="B766" t="str">
            <v>Earnings-Rights &amp; Warrants</v>
          </cell>
        </row>
        <row r="767">
          <cell r="A767" t="str">
            <v>67660</v>
          </cell>
          <cell r="B767" t="str">
            <v>Return Of Manager'S Income</v>
          </cell>
        </row>
        <row r="768">
          <cell r="A768" t="str">
            <v>67670</v>
          </cell>
          <cell r="B768" t="str">
            <v>Real Estate Income (Net)</v>
          </cell>
        </row>
        <row r="769">
          <cell r="A769" t="str">
            <v>67680</v>
          </cell>
          <cell r="B769" t="str">
            <v>Fines And Foreits (Operating)</v>
          </cell>
        </row>
        <row r="770">
          <cell r="A770" t="str">
            <v>67681</v>
          </cell>
          <cell r="B770" t="str">
            <v>Broker Commission Rebates</v>
          </cell>
        </row>
        <row r="771">
          <cell r="A771" t="str">
            <v>67682</v>
          </cell>
          <cell r="B771" t="str">
            <v>Other Investment Income</v>
          </cell>
        </row>
        <row r="772">
          <cell r="A772" t="str">
            <v>67683</v>
          </cell>
          <cell r="B772" t="str">
            <v>Investment G/L Due To Nsf</v>
          </cell>
        </row>
        <row r="773">
          <cell r="A773" t="str">
            <v>67684</v>
          </cell>
          <cell r="B773" t="str">
            <v>Securities Litigation Proceeds</v>
          </cell>
        </row>
        <row r="774">
          <cell r="A774" t="str">
            <v>67690</v>
          </cell>
          <cell r="B774" t="str">
            <v>Securities Lendg Income 676Xx</v>
          </cell>
        </row>
        <row r="775">
          <cell r="A775" t="str">
            <v>67691</v>
          </cell>
          <cell r="B775" t="str">
            <v>Security Lending Rebate Income</v>
          </cell>
        </row>
        <row r="776">
          <cell r="A776" t="str">
            <v>67700</v>
          </cell>
          <cell r="B776" t="str">
            <v>Gain on Sale of Investments</v>
          </cell>
        </row>
        <row r="777">
          <cell r="A777" t="str">
            <v>67701</v>
          </cell>
          <cell r="B777" t="str">
            <v>Gain(Loss) On Foreign Currency</v>
          </cell>
        </row>
        <row r="778">
          <cell r="A778" t="str">
            <v>67702</v>
          </cell>
          <cell r="B778" t="str">
            <v>Gain(Loss) On Short Term Inv.</v>
          </cell>
        </row>
        <row r="779">
          <cell r="A779" t="str">
            <v>67703</v>
          </cell>
          <cell r="B779" t="str">
            <v>Gain(Loss) On Fixed Income Inv.</v>
          </cell>
        </row>
        <row r="780">
          <cell r="A780" t="str">
            <v>67704</v>
          </cell>
          <cell r="B780" t="str">
            <v>Gain(Loss) On Equity Inv.</v>
          </cell>
        </row>
        <row r="781">
          <cell r="A781" t="str">
            <v>67706</v>
          </cell>
          <cell r="B781" t="str">
            <v>Gain(Loss) On Real Estate Inv</v>
          </cell>
        </row>
        <row r="782">
          <cell r="A782" t="str">
            <v>67707</v>
          </cell>
          <cell r="B782" t="str">
            <v>Gain(Loss) On Futures</v>
          </cell>
        </row>
        <row r="783">
          <cell r="A783" t="str">
            <v>67708</v>
          </cell>
          <cell r="B783" t="str">
            <v>Gain(Loss) On Options</v>
          </cell>
        </row>
        <row r="784">
          <cell r="A784" t="str">
            <v>67709</v>
          </cell>
          <cell r="B784" t="str">
            <v>Gain(Loss) On Rights &amp; Warrants</v>
          </cell>
        </row>
        <row r="785">
          <cell r="A785" t="str">
            <v>67711</v>
          </cell>
          <cell r="B785" t="str">
            <v>Gain(Loss) on Security Lending Inv.</v>
          </cell>
        </row>
        <row r="786">
          <cell r="A786" t="str">
            <v>67759</v>
          </cell>
          <cell r="B786" t="str">
            <v>Net Apprec/Dep In Fair Value Of Inv</v>
          </cell>
        </row>
        <row r="787">
          <cell r="A787" t="str">
            <v>67790</v>
          </cell>
          <cell r="B787" t="str">
            <v>Net Apprec(Deprec) On Investments</v>
          </cell>
        </row>
        <row r="788">
          <cell r="A788" t="str">
            <v>67792</v>
          </cell>
          <cell r="B788" t="str">
            <v>Net App(Dep) on Security Lending Inv.</v>
          </cell>
        </row>
        <row r="789">
          <cell r="A789" t="str">
            <v>67799</v>
          </cell>
          <cell r="B789" t="str">
            <v>Net Appreciation/Depreciation In Fair Value</v>
          </cell>
        </row>
        <row r="790">
          <cell r="A790" t="str">
            <v>67800</v>
          </cell>
          <cell r="B790" t="str">
            <v>Loss on Sale of Investments</v>
          </cell>
        </row>
        <row r="791">
          <cell r="A791" t="str">
            <v>67900</v>
          </cell>
          <cell r="B791" t="str">
            <v>Other Operating Revenue</v>
          </cell>
        </row>
        <row r="792">
          <cell r="A792" t="str">
            <v>67904</v>
          </cell>
          <cell r="B792" t="str">
            <v>Refund Of Prior Yr Budgeted Exp</v>
          </cell>
        </row>
        <row r="793">
          <cell r="A793" t="str">
            <v>68100</v>
          </cell>
          <cell r="B793" t="str">
            <v>Gain or Loss on Early Extinguishment of Debt</v>
          </cell>
        </row>
        <row r="794">
          <cell r="A794" t="str">
            <v>68200</v>
          </cell>
          <cell r="B794" t="str">
            <v>Fines, Forfeits, Judgments and Settlements</v>
          </cell>
        </row>
        <row r="795">
          <cell r="A795" t="str">
            <v>68300</v>
          </cell>
          <cell r="B795" t="str">
            <v>Non Capital Grants and Donations</v>
          </cell>
        </row>
        <row r="796">
          <cell r="A796" t="str">
            <v>68301</v>
          </cell>
          <cell r="B796" t="str">
            <v>Noncapital Grants &amp; Donations</v>
          </cell>
        </row>
        <row r="797">
          <cell r="A797" t="str">
            <v>68311</v>
          </cell>
          <cell r="B797" t="str">
            <v>Donations, Unrestricted</v>
          </cell>
        </row>
        <row r="798">
          <cell r="A798" t="str">
            <v>68330</v>
          </cell>
          <cell r="B798" t="str">
            <v>Sgs - Guarantee Fees</v>
          </cell>
        </row>
        <row r="799">
          <cell r="A799" t="str">
            <v>68340</v>
          </cell>
          <cell r="B799" t="str">
            <v>Sgs - Repayment Of Loans</v>
          </cell>
        </row>
        <row r="800">
          <cell r="A800" t="str">
            <v>68400</v>
          </cell>
          <cell r="B800" t="str">
            <v>Rents - State</v>
          </cell>
        </row>
        <row r="801">
          <cell r="A801" t="str">
            <v>68500</v>
          </cell>
          <cell r="B801" t="str">
            <v>Rents and Royalties - Non-State</v>
          </cell>
        </row>
        <row r="802">
          <cell r="A802" t="str">
            <v>68600</v>
          </cell>
          <cell r="B802" t="str">
            <v>Interest</v>
          </cell>
        </row>
        <row r="803">
          <cell r="A803" t="str">
            <v>68601</v>
          </cell>
          <cell r="B803" t="str">
            <v>Interest - State Investment</v>
          </cell>
        </row>
        <row r="804">
          <cell r="A804" t="str">
            <v>68605</v>
          </cell>
          <cell r="B804" t="str">
            <v>Interest- Capital City Bank</v>
          </cell>
        </row>
        <row r="805">
          <cell r="A805" t="str">
            <v>68610</v>
          </cell>
          <cell r="B805" t="str">
            <v>Interest State Treasury Investments</v>
          </cell>
        </row>
        <row r="806">
          <cell r="A806" t="str">
            <v>68630</v>
          </cell>
          <cell r="B806" t="str">
            <v>Dividend Receipts 686XX</v>
          </cell>
        </row>
        <row r="807">
          <cell r="A807" t="str">
            <v>68631</v>
          </cell>
          <cell r="B807" t="str">
            <v>Mortgage Interest -  Rehab and Liquidation</v>
          </cell>
        </row>
        <row r="808">
          <cell r="A808" t="str">
            <v>68637</v>
          </cell>
          <cell r="B808" t="str">
            <v>DEP Interest</v>
          </cell>
        </row>
        <row r="809">
          <cell r="A809" t="str">
            <v>68655</v>
          </cell>
          <cell r="B809" t="str">
            <v>DOT Interest</v>
          </cell>
        </row>
        <row r="810">
          <cell r="A810" t="str">
            <v>68660</v>
          </cell>
          <cell r="B810" t="str">
            <v>Securities Lending Income 686Xx</v>
          </cell>
        </row>
        <row r="811">
          <cell r="A811" t="str">
            <v>68670</v>
          </cell>
          <cell r="B811" t="str">
            <v>Gain/(Loss) On Investments 686Xx</v>
          </cell>
        </row>
        <row r="812">
          <cell r="A812" t="str">
            <v>68680</v>
          </cell>
          <cell r="B812" t="str">
            <v>Net Apprec (Deprec) On Invest 686Xx</v>
          </cell>
        </row>
        <row r="813">
          <cell r="A813" t="str">
            <v>68700</v>
          </cell>
          <cell r="B813" t="str">
            <v>Capital Grants and Donations</v>
          </cell>
        </row>
        <row r="814">
          <cell r="A814" t="str">
            <v>68800</v>
          </cell>
          <cell r="B814" t="str">
            <v>Emergency assessment funds received</v>
          </cell>
        </row>
        <row r="815">
          <cell r="A815" t="str">
            <v>68900</v>
          </cell>
          <cell r="B815" t="str">
            <v>Other Non-Operating Revenues</v>
          </cell>
        </row>
        <row r="816">
          <cell r="A816" t="str">
            <v>68901</v>
          </cell>
          <cell r="B816" t="str">
            <v>Furniture Surplus Proceeds</v>
          </cell>
        </row>
        <row r="817">
          <cell r="A817" t="str">
            <v>68905</v>
          </cell>
          <cell r="B817" t="str">
            <v>Reimbursement of Prior Yr Legal Fees</v>
          </cell>
        </row>
        <row r="818">
          <cell r="A818" t="str">
            <v>68907</v>
          </cell>
          <cell r="B818" t="str">
            <v>Refund</v>
          </cell>
        </row>
        <row r="819">
          <cell r="A819" t="str">
            <v>68908</v>
          </cell>
          <cell r="B819" t="str">
            <v>Prior Year Refunds</v>
          </cell>
        </row>
        <row r="820">
          <cell r="A820" t="str">
            <v>68909</v>
          </cell>
          <cell r="B820" t="str">
            <v>Refund - Unclaimed Property</v>
          </cell>
        </row>
        <row r="821">
          <cell r="A821" t="str">
            <v>68910</v>
          </cell>
          <cell r="B821" t="str">
            <v>Unclaimed Property-PY Warrant Canx</v>
          </cell>
        </row>
        <row r="822">
          <cell r="A822" t="str">
            <v>69100</v>
          </cell>
          <cell r="B822" t="str">
            <v>Bond Proceeds</v>
          </cell>
        </row>
        <row r="823">
          <cell r="A823" t="str">
            <v>69101</v>
          </cell>
          <cell r="B823" t="str">
            <v>Bond Proceeds</v>
          </cell>
        </row>
        <row r="824">
          <cell r="A824" t="str">
            <v>69102</v>
          </cell>
          <cell r="B824" t="str">
            <v>Bond Proceeds Offset</v>
          </cell>
        </row>
        <row r="825">
          <cell r="A825" t="str">
            <v>69200</v>
          </cell>
          <cell r="B825" t="str">
            <v>SWFS Only - Insurance Recoveries</v>
          </cell>
        </row>
        <row r="826">
          <cell r="A826" t="str">
            <v>69300</v>
          </cell>
          <cell r="B826" t="str">
            <v>Installment Purchase Note Proceeds</v>
          </cell>
        </row>
        <row r="827">
          <cell r="A827" t="str">
            <v>69400</v>
          </cell>
          <cell r="B827" t="str">
            <v>Capital Lease Inceptions</v>
          </cell>
        </row>
        <row r="828">
          <cell r="A828" t="str">
            <v>69500</v>
          </cell>
          <cell r="B828" t="str">
            <v>Proceeds of Refunding Bonds</v>
          </cell>
        </row>
        <row r="829">
          <cell r="A829" t="str">
            <v>69501</v>
          </cell>
          <cell r="B829" t="str">
            <v>Refunding Bond Proceeds</v>
          </cell>
        </row>
        <row r="830">
          <cell r="A830" t="str">
            <v>69800</v>
          </cell>
          <cell r="B830" t="str">
            <v>SWFS Only - Contributions to Permanent Funds</v>
          </cell>
        </row>
        <row r="831">
          <cell r="A831" t="str">
            <v>69900</v>
          </cell>
          <cell r="B831" t="str">
            <v>Other Non-Revenue Receipts</v>
          </cell>
        </row>
        <row r="832">
          <cell r="A832" t="str">
            <v>69901</v>
          </cell>
          <cell r="B832" t="str">
            <v>Trf From Gr/74-1-000405</v>
          </cell>
        </row>
        <row r="833">
          <cell r="A833" t="str">
            <v>69902</v>
          </cell>
          <cell r="B833" t="str">
            <v>Trf Fromfuel Tax/319001</v>
          </cell>
        </row>
        <row r="834">
          <cell r="A834" t="str">
            <v>69903</v>
          </cell>
          <cell r="B834" t="str">
            <v>Trf From State Alternative Fuel/618001</v>
          </cell>
        </row>
        <row r="835">
          <cell r="A835" t="str">
            <v>69904</v>
          </cell>
          <cell r="B835" t="str">
            <v>Trf From Dept Of Highway Safety &amp; Motor Veh</v>
          </cell>
        </row>
        <row r="836">
          <cell r="A836" t="str">
            <v>69905</v>
          </cell>
          <cell r="B836" t="str">
            <v>Tourist Impact Tax</v>
          </cell>
        </row>
        <row r="837">
          <cell r="A837" t="str">
            <v>69906</v>
          </cell>
          <cell r="B837" t="str">
            <v>Local Govn'T Infrastructure Surtax</v>
          </cell>
        </row>
        <row r="838">
          <cell r="A838" t="str">
            <v>69907</v>
          </cell>
          <cell r="B838" t="str">
            <v>9Th Cent Gas Tax</v>
          </cell>
        </row>
        <row r="839">
          <cell r="A839" t="str">
            <v>69908</v>
          </cell>
          <cell r="B839" t="str">
            <v>Local Option Gas Tax</v>
          </cell>
        </row>
        <row r="840">
          <cell r="A840" t="str">
            <v>69909</v>
          </cell>
          <cell r="B840" t="str">
            <v>Charter County Transit Tax</v>
          </cell>
        </row>
        <row r="841">
          <cell r="A841" t="str">
            <v>69910</v>
          </cell>
          <cell r="B841" t="str">
            <v>Indigent Health Care Surtax</v>
          </cell>
        </row>
        <row r="842">
          <cell r="A842" t="str">
            <v>69911</v>
          </cell>
          <cell r="B842" t="str">
            <v>School Capital Outlay Surtax</v>
          </cell>
        </row>
        <row r="843">
          <cell r="A843" t="str">
            <v>69912</v>
          </cell>
          <cell r="B843" t="str">
            <v>Infrastructure Surtax Ii</v>
          </cell>
        </row>
        <row r="844">
          <cell r="A844" t="str">
            <v>69913</v>
          </cell>
          <cell r="B844" t="str">
            <v>Trf From Dept Of Business &amp; Prof Reg</v>
          </cell>
        </row>
        <row r="845">
          <cell r="A845" t="str">
            <v>69914</v>
          </cell>
          <cell r="B845" t="str">
            <v>Transer From Dfs</v>
          </cell>
        </row>
        <row r="846">
          <cell r="A846" t="str">
            <v>69918</v>
          </cell>
          <cell r="B846" t="str">
            <v>Local Alternative Fuel User Fees      (D4-24-02)</v>
          </cell>
        </row>
        <row r="847">
          <cell r="A847" t="str">
            <v>69919</v>
          </cell>
          <cell r="B847" t="str">
            <v>Local Option Tourist Development Tax</v>
          </cell>
        </row>
        <row r="848">
          <cell r="A848" t="str">
            <v>69920</v>
          </cell>
          <cell r="B848" t="str">
            <v>Distribution from DMS (Department of Management)</v>
          </cell>
        </row>
        <row r="849">
          <cell r="A849" t="str">
            <v>69927</v>
          </cell>
          <cell r="B849" t="str">
            <v>Security Deposits &amp; Non Revenue Receipts</v>
          </cell>
        </row>
        <row r="850">
          <cell r="A850" t="str">
            <v>69930</v>
          </cell>
          <cell r="B850" t="str">
            <v>Premium Collections-Rehab and Liquidation</v>
          </cell>
        </row>
        <row r="851">
          <cell r="A851" t="str">
            <v>69931</v>
          </cell>
          <cell r="B851" t="str">
            <v>Asset Recoveries-Rehab and Liquidation</v>
          </cell>
        </row>
        <row r="852">
          <cell r="A852" t="str">
            <v>69932</v>
          </cell>
          <cell r="B852" t="str">
            <v>Advance-IRTF to Rehab and Liquidation</v>
          </cell>
        </row>
        <row r="853">
          <cell r="A853" t="str">
            <v>69933</v>
          </cell>
          <cell r="B853" t="str">
            <v>Advances to Guraranty Assoc-Rehab</v>
          </cell>
        </row>
        <row r="854">
          <cell r="A854" t="str">
            <v>71100</v>
          </cell>
          <cell r="B854" t="str">
            <v>Expenditures, Current</v>
          </cell>
        </row>
        <row r="855">
          <cell r="A855" t="str">
            <v>71102</v>
          </cell>
          <cell r="B855" t="str">
            <v>Social Security Payments</v>
          </cell>
        </row>
        <row r="856">
          <cell r="A856" t="str">
            <v>71104</v>
          </cell>
          <cell r="B856" t="str">
            <v>St. Health Insurance Pmts.</v>
          </cell>
        </row>
        <row r="857">
          <cell r="A857" t="str">
            <v>71105</v>
          </cell>
          <cell r="B857" t="str">
            <v>St. Life Insurance Pmts.</v>
          </cell>
        </row>
        <row r="858">
          <cell r="A858" t="str">
            <v>71108</v>
          </cell>
          <cell r="B858" t="str">
            <v>Ocs-Modeling</v>
          </cell>
        </row>
        <row r="859">
          <cell r="A859" t="str">
            <v>71114</v>
          </cell>
          <cell r="B859" t="str">
            <v>In-State Travel Adv. Cncil</v>
          </cell>
        </row>
        <row r="860">
          <cell r="A860" t="str">
            <v>71115</v>
          </cell>
          <cell r="B860" t="str">
            <v>Out-Of-State Travel</v>
          </cell>
        </row>
        <row r="861">
          <cell r="A861" t="str">
            <v>71116</v>
          </cell>
          <cell r="B861" t="str">
            <v>Investment Svc Charges (Govt'L)</v>
          </cell>
        </row>
        <row r="862">
          <cell r="A862" t="str">
            <v>71117</v>
          </cell>
          <cell r="B862" t="str">
            <v>Moving Expenses-Employee</v>
          </cell>
        </row>
        <row r="863">
          <cell r="A863" t="str">
            <v>71118</v>
          </cell>
          <cell r="B863" t="str">
            <v>Office Mat. &amp; Supp. - Other</v>
          </cell>
        </row>
        <row r="864">
          <cell r="A864" t="str">
            <v>71120</v>
          </cell>
          <cell r="B864" t="str">
            <v>Return Of Paying Bk Reclls</v>
          </cell>
        </row>
        <row r="865">
          <cell r="A865" t="str">
            <v>71127</v>
          </cell>
          <cell r="B865" t="str">
            <v>Bond Proceeds Allocation</v>
          </cell>
        </row>
        <row r="866">
          <cell r="A866" t="str">
            <v>71129</v>
          </cell>
          <cell r="B866" t="str">
            <v>Other Contractual Svcs (Govt)</v>
          </cell>
        </row>
        <row r="867">
          <cell r="A867" t="str">
            <v>71131</v>
          </cell>
          <cell r="B867" t="str">
            <v>Refunds - Sales Tax Security Deposits</v>
          </cell>
        </row>
        <row r="868">
          <cell r="A868" t="str">
            <v>71136</v>
          </cell>
          <cell r="B868" t="str">
            <v>Refunds - Loop Tourist Development</v>
          </cell>
        </row>
        <row r="869">
          <cell r="A869" t="str">
            <v>71138</v>
          </cell>
          <cell r="B869" t="str">
            <v>Repairs &amp; Maint.-Other</v>
          </cell>
        </row>
        <row r="870">
          <cell r="A870" t="str">
            <v>71139</v>
          </cell>
          <cell r="B870" t="str">
            <v>Office Mat.-Books&lt;$250</v>
          </cell>
        </row>
        <row r="871">
          <cell r="A871" t="str">
            <v>71141</v>
          </cell>
          <cell r="B871" t="str">
            <v>Bank Fees (Govt)</v>
          </cell>
        </row>
        <row r="872">
          <cell r="A872" t="str">
            <v>71146</v>
          </cell>
          <cell r="B872" t="str">
            <v>Other Cont. Svcs - Consult.</v>
          </cell>
        </row>
        <row r="873">
          <cell r="A873" t="str">
            <v>71147</v>
          </cell>
          <cell r="B873" t="str">
            <v>State Treasurer Service Charges</v>
          </cell>
        </row>
        <row r="874">
          <cell r="A874" t="str">
            <v>71149</v>
          </cell>
          <cell r="B874" t="str">
            <v>Management Fees (Govt)</v>
          </cell>
        </row>
        <row r="875">
          <cell r="A875" t="str">
            <v>71155</v>
          </cell>
          <cell r="B875" t="str">
            <v>Re-Reg. Fees, Postage, Ins.</v>
          </cell>
        </row>
        <row r="876">
          <cell r="A876" t="str">
            <v>71156</v>
          </cell>
          <cell r="B876" t="str">
            <v>Sales Tax Returned To Jta</v>
          </cell>
        </row>
        <row r="877">
          <cell r="A877" t="str">
            <v>71157</v>
          </cell>
          <cell r="B877" t="str">
            <v>Rule 19 Fees &amp; Charges</v>
          </cell>
        </row>
        <row r="878">
          <cell r="A878" t="str">
            <v>71158</v>
          </cell>
          <cell r="B878" t="str">
            <v>Sba Administrative Svc Chgs (Govt'L)</v>
          </cell>
        </row>
        <row r="879">
          <cell r="A879" t="str">
            <v>71159</v>
          </cell>
          <cell r="B879" t="str">
            <v>Invest Service Chg - Eliminated</v>
          </cell>
        </row>
        <row r="880">
          <cell r="A880" t="str">
            <v>71160</v>
          </cell>
          <cell r="B880" t="str">
            <v>Insurance &amp; Surety Bonds</v>
          </cell>
        </row>
        <row r="881">
          <cell r="A881" t="str">
            <v>71161</v>
          </cell>
          <cell r="B881" t="str">
            <v>Other Nonbudget Expense (Govt)</v>
          </cell>
        </row>
        <row r="882">
          <cell r="A882" t="str">
            <v>71165</v>
          </cell>
          <cell r="B882" t="str">
            <v>Other Nonbudgeted Expenses</v>
          </cell>
        </row>
        <row r="883">
          <cell r="A883" t="str">
            <v>71166</v>
          </cell>
          <cell r="B883" t="str">
            <v>Trf Adm Costs To Gta</v>
          </cell>
        </row>
        <row r="884">
          <cell r="A884" t="str">
            <v>71167</v>
          </cell>
          <cell r="B884" t="str">
            <v>Ocs-Methodology Commission</v>
          </cell>
        </row>
        <row r="885">
          <cell r="A885" t="str">
            <v>71168</v>
          </cell>
          <cell r="B885" t="str">
            <v>Refunds, Clerk Of Court</v>
          </cell>
        </row>
        <row r="886">
          <cell r="A886" t="str">
            <v>71169</v>
          </cell>
          <cell r="B886" t="str">
            <v>Management Fees-Foreign Equity</v>
          </cell>
        </row>
        <row r="887">
          <cell r="A887" t="str">
            <v>71171</v>
          </cell>
          <cell r="B887" t="str">
            <v>Tax Payment</v>
          </cell>
        </row>
        <row r="888">
          <cell r="A888" t="str">
            <v>71173</v>
          </cell>
          <cell r="B888" t="str">
            <v>Withdrawal-Misc Govt'L Sw</v>
          </cell>
        </row>
        <row r="889">
          <cell r="A889" t="str">
            <v>71174</v>
          </cell>
          <cell r="B889" t="str">
            <v>Trf To Doe Comm Service Tax (08/03)</v>
          </cell>
        </row>
        <row r="890">
          <cell r="A890" t="str">
            <v>71178</v>
          </cell>
          <cell r="B890" t="str">
            <v>Distribution to Department of Transportation</v>
          </cell>
        </row>
        <row r="891">
          <cell r="A891" t="str">
            <v>71179</v>
          </cell>
          <cell r="B891" t="str">
            <v>Distribution to Department of Insurance</v>
          </cell>
        </row>
        <row r="892">
          <cell r="A892" t="str">
            <v>71180</v>
          </cell>
          <cell r="B892" t="str">
            <v>Transfer To Ds Nonescrow</v>
          </cell>
        </row>
        <row r="893">
          <cell r="A893" t="str">
            <v>71185</v>
          </cell>
          <cell r="B893" t="str">
            <v>Gas Tax To Lgsf Pool</v>
          </cell>
        </row>
        <row r="894">
          <cell r="A894" t="str">
            <v>71186</v>
          </cell>
          <cell r="B894" t="str">
            <v>Returned To Local Govts</v>
          </cell>
        </row>
        <row r="895">
          <cell r="A895" t="str">
            <v>71187</v>
          </cell>
          <cell r="B895" t="str">
            <v>Undistributable CSE Collections - Federal Share</v>
          </cell>
        </row>
        <row r="896">
          <cell r="A896" t="str">
            <v>71189</v>
          </cell>
          <cell r="B896" t="str">
            <v>Other Charges - Nonbudgeted</v>
          </cell>
        </row>
        <row r="897">
          <cell r="A897" t="str">
            <v>71199</v>
          </cell>
          <cell r="B897" t="str">
            <v>Expenditure Accrual Entries</v>
          </cell>
        </row>
        <row r="898">
          <cell r="A898" t="str">
            <v>71800</v>
          </cell>
          <cell r="B898" t="str">
            <v>Special Items</v>
          </cell>
        </row>
        <row r="899">
          <cell r="A899" t="str">
            <v>71900</v>
          </cell>
          <cell r="B899" t="str">
            <v>Extraordinary Items</v>
          </cell>
        </row>
        <row r="900">
          <cell r="A900" t="str">
            <v>71929</v>
          </cell>
          <cell r="B900" t="str">
            <v>ERROR</v>
          </cell>
        </row>
        <row r="901">
          <cell r="A901" t="str">
            <v>72100</v>
          </cell>
          <cell r="B901" t="str">
            <v>Expend.- Operating Capital Outlay</v>
          </cell>
        </row>
        <row r="902">
          <cell r="A902" t="str">
            <v>72200</v>
          </cell>
          <cell r="B902" t="str">
            <v>Expend.- Fixed Capital Outlay</v>
          </cell>
        </row>
        <row r="903">
          <cell r="A903" t="str">
            <v>72300</v>
          </cell>
          <cell r="B903" t="str">
            <v>Installment Purchase Acquisitions</v>
          </cell>
        </row>
        <row r="904">
          <cell r="A904" t="str">
            <v>72400</v>
          </cell>
          <cell r="B904" t="str">
            <v>Capital Lease Acquisitions</v>
          </cell>
        </row>
        <row r="905">
          <cell r="A905" t="str">
            <v>72500</v>
          </cell>
          <cell r="B905" t="str">
            <v>General Fixed Asset Depreciation Expense</v>
          </cell>
        </row>
        <row r="906">
          <cell r="A906" t="str">
            <v>72600</v>
          </cell>
          <cell r="B906" t="str">
            <v>Gain or Loss on Disposal of General Fixed Assets</v>
          </cell>
        </row>
        <row r="907">
          <cell r="A907" t="str">
            <v>73100</v>
          </cell>
          <cell r="B907" t="str">
            <v>Principal Retirement</v>
          </cell>
        </row>
        <row r="908">
          <cell r="A908" t="str">
            <v>73101</v>
          </cell>
          <cell r="B908" t="str">
            <v>Payment Of Principal</v>
          </cell>
        </row>
        <row r="909">
          <cell r="A909" t="str">
            <v>73102</v>
          </cell>
          <cell r="B909" t="str">
            <v>Payment Of Principal Offset</v>
          </cell>
        </row>
        <row r="910">
          <cell r="A910" t="str">
            <v>73200</v>
          </cell>
          <cell r="B910" t="str">
            <v>Interest and Fiscal Charges</v>
          </cell>
        </row>
        <row r="911">
          <cell r="A911" t="str">
            <v>73201</v>
          </cell>
          <cell r="B911" t="str">
            <v>Payment Of Interest Due</v>
          </cell>
        </row>
        <row r="912">
          <cell r="A912" t="str">
            <v>73202</v>
          </cell>
          <cell r="B912" t="str">
            <v>Accrued Interest On Bond Sale</v>
          </cell>
        </row>
        <row r="913">
          <cell r="A913" t="str">
            <v>73203</v>
          </cell>
          <cell r="B913" t="str">
            <v>Payment Of Premium Due</v>
          </cell>
        </row>
        <row r="914">
          <cell r="A914" t="str">
            <v>73204</v>
          </cell>
          <cell r="B914" t="str">
            <v>Notice Of Redemp/Defeasance</v>
          </cell>
        </row>
        <row r="915">
          <cell r="A915" t="str">
            <v>73205</v>
          </cell>
          <cell r="B915" t="str">
            <v>Bank Handling Charges</v>
          </cell>
        </row>
        <row r="916">
          <cell r="A916" t="str">
            <v>73206</v>
          </cell>
          <cell r="B916" t="str">
            <v>Miscellaneous Bond Charges</v>
          </cell>
        </row>
        <row r="917">
          <cell r="A917" t="str">
            <v>73210</v>
          </cell>
          <cell r="B917" t="str">
            <v>Amortization Of Bond Premium/Discount</v>
          </cell>
        </row>
        <row r="918">
          <cell r="A918" t="str">
            <v>73300</v>
          </cell>
          <cell r="B918" t="str">
            <v>Advance Refunding Escrow Payment</v>
          </cell>
        </row>
        <row r="919">
          <cell r="A919" t="str">
            <v>73301</v>
          </cell>
          <cell r="B919" t="str">
            <v>Pmt/Refund Bd Esc Agt - Exp</v>
          </cell>
        </row>
        <row r="920">
          <cell r="A920" t="str">
            <v>73302</v>
          </cell>
          <cell r="B920" t="str">
            <v>Pmt-Outside Esc Agt-Exp</v>
          </cell>
        </row>
        <row r="921">
          <cell r="A921" t="str">
            <v>73303</v>
          </cell>
          <cell r="B921" t="str">
            <v>Trsfr To Ds Esc Rd &amp; Br</v>
          </cell>
        </row>
        <row r="922">
          <cell r="A922" t="str">
            <v>73312</v>
          </cell>
          <cell r="B922" t="str">
            <v>Adv Refunding Esc Pmt-SPIA</v>
          </cell>
        </row>
        <row r="923">
          <cell r="A923" t="str">
            <v>75100</v>
          </cell>
          <cell r="B923" t="str">
            <v>Transfers Out to Component Units/Primary</v>
          </cell>
        </row>
        <row r="924">
          <cell r="A924" t="str">
            <v>75101</v>
          </cell>
          <cell r="B924" t="str">
            <v>Wire To Fl Foundation</v>
          </cell>
        </row>
        <row r="925">
          <cell r="A925" t="str">
            <v>75200</v>
          </cell>
          <cell r="B925" t="str">
            <v>Property Transfer Out</v>
          </cell>
        </row>
        <row r="926">
          <cell r="A926" t="str">
            <v>75500</v>
          </cell>
          <cell r="B926" t="str">
            <v>Federal Funds Transfer Out within the Agency</v>
          </cell>
        </row>
        <row r="927">
          <cell r="A927" t="str">
            <v>75600</v>
          </cell>
          <cell r="B927" t="str">
            <v>Federal Funds Transfers Out to Other Agencies</v>
          </cell>
        </row>
        <row r="928">
          <cell r="A928" t="str">
            <v>75700</v>
          </cell>
          <cell r="B928" t="str">
            <v>Transfers Out within the Agency</v>
          </cell>
        </row>
        <row r="929">
          <cell r="A929" t="str">
            <v>75720</v>
          </cell>
          <cell r="B929" t="str">
            <v>Transfer To Debt Svc Nonelim</v>
          </cell>
        </row>
        <row r="930">
          <cell r="A930" t="str">
            <v>75739</v>
          </cell>
          <cell r="B930" t="str">
            <v>Transfer To Peorp</v>
          </cell>
        </row>
        <row r="931">
          <cell r="A931" t="str">
            <v>75745</v>
          </cell>
          <cell r="B931" t="str">
            <v>Transfers To Reg Trust Fund Unclaimed Property</v>
          </cell>
        </row>
        <row r="932">
          <cell r="A932" t="str">
            <v>75747</v>
          </cell>
          <cell r="B932" t="str">
            <v>Transfer To Ipfc Funds</v>
          </cell>
        </row>
        <row r="933">
          <cell r="A933" t="str">
            <v>75748</v>
          </cell>
          <cell r="B933" t="str">
            <v>Cost Allocation Transfers - 021002</v>
          </cell>
        </row>
        <row r="934">
          <cell r="A934" t="str">
            <v>75762</v>
          </cell>
          <cell r="B934" t="str">
            <v>Transfer to LGSF Pool</v>
          </cell>
        </row>
        <row r="935">
          <cell r="A935" t="str">
            <v>75763</v>
          </cell>
          <cell r="B935" t="str">
            <v>Transfer to LGIP B</v>
          </cell>
        </row>
        <row r="936">
          <cell r="A936" t="str">
            <v>75770</v>
          </cell>
          <cell r="B936" t="str">
            <v>Investment Service Charge</v>
          </cell>
        </row>
        <row r="937">
          <cell r="A937" t="str">
            <v>75800</v>
          </cell>
          <cell r="B937" t="str">
            <v>General Revenue Transfers Out</v>
          </cell>
        </row>
        <row r="938">
          <cell r="A938" t="str">
            <v>75801</v>
          </cell>
          <cell r="B938" t="str">
            <v>General Revenue Transfers Out</v>
          </cell>
        </row>
        <row r="939">
          <cell r="A939" t="str">
            <v>75802</v>
          </cell>
          <cell r="B939" t="str">
            <v>Trf Service Charges To General Revenue</v>
          </cell>
        </row>
        <row r="940">
          <cell r="A940" t="str">
            <v>75804</v>
          </cell>
          <cell r="B940" t="str">
            <v>Trf To General Revenue (74-1-000405)</v>
          </cell>
        </row>
        <row r="941">
          <cell r="A941" t="str">
            <v>75807</v>
          </cell>
          <cell r="B941" t="str">
            <v>Trf 3% Ser Chr To General Revenue</v>
          </cell>
        </row>
        <row r="942">
          <cell r="A942" t="str">
            <v>75900</v>
          </cell>
          <cell r="B942" t="str">
            <v>Transfers Out to Other Agencies</v>
          </cell>
        </row>
        <row r="943">
          <cell r="A943" t="str">
            <v>75903</v>
          </cell>
          <cell r="B943" t="str">
            <v>Trf to Dept of Insurance</v>
          </cell>
        </row>
        <row r="944">
          <cell r="A944" t="str">
            <v>75911</v>
          </cell>
          <cell r="B944" t="str">
            <v>Unemployment Comp - Dept Of Labor</v>
          </cell>
        </row>
        <row r="945">
          <cell r="A945" t="str">
            <v>75912</v>
          </cell>
          <cell r="B945" t="str">
            <v>Returned To Doe</v>
          </cell>
        </row>
        <row r="946">
          <cell r="A946" t="str">
            <v>75914</v>
          </cell>
          <cell r="B946" t="str">
            <v>Returned To Dep</v>
          </cell>
        </row>
        <row r="947">
          <cell r="A947" t="str">
            <v>75915</v>
          </cell>
          <cell r="B947" t="str">
            <v>Drop Payments Returned To Dms</v>
          </cell>
        </row>
        <row r="948">
          <cell r="A948" t="str">
            <v>75916</v>
          </cell>
          <cell r="B948" t="str">
            <v>Other Payments Returned To Dms</v>
          </cell>
        </row>
        <row r="949">
          <cell r="A949" t="str">
            <v>75917</v>
          </cell>
          <cell r="B949" t="str">
            <v>Frs Benefit Payments Returned To Dms</v>
          </cell>
        </row>
        <row r="950">
          <cell r="A950" t="str">
            <v>75928</v>
          </cell>
          <cell r="B950" t="str">
            <v>Trf To Department Of Education</v>
          </cell>
        </row>
        <row r="951">
          <cell r="A951" t="str">
            <v>75940</v>
          </cell>
          <cell r="B951" t="str">
            <v>Returned To Dpt Of Fin Svcs</v>
          </cell>
        </row>
        <row r="952">
          <cell r="A952" t="str">
            <v>75943</v>
          </cell>
          <cell r="B952" t="str">
            <v>Returned To Dot-Other</v>
          </cell>
        </row>
        <row r="953">
          <cell r="A953" t="str">
            <v>75946</v>
          </cell>
          <cell r="B953" t="str">
            <v>Transfers To Departmart Of Education</v>
          </cell>
        </row>
        <row r="954">
          <cell r="A954" t="str">
            <v>75948</v>
          </cell>
          <cell r="B954" t="str">
            <v>Returned To Dpt Mgt Svc</v>
          </cell>
        </row>
        <row r="955">
          <cell r="A955" t="str">
            <v>75949</v>
          </cell>
          <cell r="B955" t="str">
            <v>Returned To Dept Of Lottery</v>
          </cell>
        </row>
        <row r="956">
          <cell r="A956" t="str">
            <v>75990</v>
          </cell>
          <cell r="B956" t="str">
            <v>Returned To Bor</v>
          </cell>
        </row>
        <row r="957">
          <cell r="A957" t="str">
            <v>76100</v>
          </cell>
          <cell r="B957" t="str">
            <v>Repairs and Maintenance Expense</v>
          </cell>
        </row>
        <row r="958">
          <cell r="A958" t="str">
            <v>76101</v>
          </cell>
          <cell r="B958" t="str">
            <v>Repairs &amp; Maintance-Building</v>
          </cell>
        </row>
        <row r="959">
          <cell r="A959" t="str">
            <v>76102</v>
          </cell>
          <cell r="B959" t="str">
            <v>Repairs And Maintenance - Edp</v>
          </cell>
        </row>
        <row r="960">
          <cell r="A960" t="str">
            <v>76103</v>
          </cell>
          <cell r="B960" t="str">
            <v>Repairs &amp; Maintenance - Other</v>
          </cell>
        </row>
        <row r="961">
          <cell r="A961" t="str">
            <v>76200</v>
          </cell>
          <cell r="B961" t="str">
            <v>Fiscal Charges Expense</v>
          </cell>
        </row>
        <row r="962">
          <cell r="A962" t="str">
            <v>76201</v>
          </cell>
          <cell r="B962" t="str">
            <v>Bank Fees-Capital City</v>
          </cell>
        </row>
        <row r="963">
          <cell r="A963" t="str">
            <v>76206</v>
          </cell>
          <cell r="B963" t="str">
            <v>Bank Fees-Commingled</v>
          </cell>
        </row>
        <row r="964">
          <cell r="A964" t="str">
            <v>76207</v>
          </cell>
          <cell r="B964" t="str">
            <v>Bank Fees-Group Trust</v>
          </cell>
        </row>
        <row r="965">
          <cell r="A965" t="str">
            <v>76208</v>
          </cell>
          <cell r="B965" t="str">
            <v>Bank Fees-State Street</v>
          </cell>
        </row>
        <row r="966">
          <cell r="A966" t="str">
            <v>76209</v>
          </cell>
          <cell r="B966" t="str">
            <v>Bank Fee-Melon</v>
          </cell>
        </row>
        <row r="967">
          <cell r="A967" t="str">
            <v>76210</v>
          </cell>
          <cell r="B967" t="str">
            <v>Bank Fees - Sun Trust Bank</v>
          </cell>
        </row>
        <row r="968">
          <cell r="A968" t="str">
            <v>76212</v>
          </cell>
          <cell r="B968" t="str">
            <v>Mellon MAS &amp; Incentive Fees</v>
          </cell>
        </row>
        <row r="969">
          <cell r="A969" t="str">
            <v>76214</v>
          </cell>
          <cell r="B969" t="str">
            <v>Bank Accounting Fees - BNYM</v>
          </cell>
        </row>
        <row r="970">
          <cell r="A970" t="str">
            <v>76215</v>
          </cell>
          <cell r="B970" t="str">
            <v>Bank Domest Custody Fees - BNYM</v>
          </cell>
        </row>
        <row r="971">
          <cell r="A971" t="str">
            <v>76216</v>
          </cell>
          <cell r="B971" t="str">
            <v>Bank Intl Custody Fees - BNYM</v>
          </cell>
        </row>
        <row r="972">
          <cell r="A972" t="str">
            <v>76230</v>
          </cell>
          <cell r="B972" t="str">
            <v>Taxes-Rehab and Liquidation</v>
          </cell>
        </row>
        <row r="973">
          <cell r="A973" t="str">
            <v>76231</v>
          </cell>
          <cell r="B973" t="str">
            <v>Rehab and Liq-Accounting Fees</v>
          </cell>
        </row>
        <row r="974">
          <cell r="A974" t="str">
            <v>76270</v>
          </cell>
          <cell r="B974" t="str">
            <v>Other Expenses</v>
          </cell>
        </row>
        <row r="975">
          <cell r="A975" t="str">
            <v>76271</v>
          </cell>
          <cell r="B975" t="str">
            <v>Re-Reg Fees, Postage, Insurance</v>
          </cell>
        </row>
        <row r="976">
          <cell r="A976" t="str">
            <v>76272</v>
          </cell>
          <cell r="B976" t="str">
            <v>Foreign Capital Gain Taxes</v>
          </cell>
        </row>
        <row r="977">
          <cell r="A977" t="str">
            <v>76273</v>
          </cell>
          <cell r="B977" t="str">
            <v>Consulting Fees-Nonbudgeted</v>
          </cell>
        </row>
        <row r="978">
          <cell r="A978" t="str">
            <v>76275</v>
          </cell>
          <cell r="B978" t="str">
            <v>Bankruptcy Expenses</v>
          </cell>
        </row>
        <row r="979">
          <cell r="A979" t="str">
            <v>76276</v>
          </cell>
          <cell r="B979" t="str">
            <v>Futures &amp; Option Commissions</v>
          </cell>
        </row>
        <row r="980">
          <cell r="A980" t="str">
            <v>76299</v>
          </cell>
          <cell r="B980" t="str">
            <v>Bank Fees-Bank Of America</v>
          </cell>
        </row>
        <row r="981">
          <cell r="A981" t="str">
            <v>76300</v>
          </cell>
          <cell r="B981" t="str">
            <v>Payment of Lottery Winnings</v>
          </cell>
        </row>
        <row r="982">
          <cell r="A982" t="str">
            <v>76400</v>
          </cell>
          <cell r="B982" t="str">
            <v>Commissions on Lottery Sales</v>
          </cell>
        </row>
        <row r="983">
          <cell r="A983" t="str">
            <v>76500</v>
          </cell>
          <cell r="B983" t="str">
            <v>SWFS Only - Capital Asset Impairment</v>
          </cell>
        </row>
        <row r="984">
          <cell r="A984" t="str">
            <v>76600</v>
          </cell>
          <cell r="B984" t="str">
            <v>Withdrawal of Funds by Investing Governments</v>
          </cell>
        </row>
        <row r="985">
          <cell r="A985" t="str">
            <v>76601</v>
          </cell>
          <cell r="B985" t="str">
            <v>Inv Withdrawal-Local Govts</v>
          </cell>
        </row>
        <row r="986">
          <cell r="A986" t="str">
            <v>76602</v>
          </cell>
          <cell r="B986" t="str">
            <v>Distributions Paid/Payable</v>
          </cell>
        </row>
        <row r="987">
          <cell r="A987" t="str">
            <v>76603</v>
          </cell>
          <cell r="B987" t="str">
            <v>Withdrawal - Commingled Inv</v>
          </cell>
        </row>
        <row r="988">
          <cell r="A988" t="str">
            <v>76605</v>
          </cell>
          <cell r="B988" t="str">
            <v>Increase In Northern Trust</v>
          </cell>
        </row>
        <row r="989">
          <cell r="A989" t="str">
            <v>76606</v>
          </cell>
          <cell r="B989" t="str">
            <v>Returned To Northern Trust</v>
          </cell>
        </row>
        <row r="990">
          <cell r="A990" t="str">
            <v>76612</v>
          </cell>
          <cell r="B990" t="str">
            <v>Return To Fefvr</v>
          </cell>
        </row>
        <row r="991">
          <cell r="A991" t="str">
            <v>76613</v>
          </cell>
          <cell r="B991" t="str">
            <v>Return To Fl Foundation</v>
          </cell>
        </row>
        <row r="992">
          <cell r="A992" t="str">
            <v>76623</v>
          </cell>
          <cell r="B992" t="str">
            <v>Withdrawal - Flpp Savings</v>
          </cell>
        </row>
        <row r="993">
          <cell r="A993" t="str">
            <v>76624</v>
          </cell>
          <cell r="B993" t="str">
            <v>Withdrawal - Cash</v>
          </cell>
        </row>
        <row r="994">
          <cell r="A994" t="str">
            <v>76625</v>
          </cell>
          <cell r="B994" t="str">
            <v>Withdrawal - Securities</v>
          </cell>
        </row>
        <row r="995">
          <cell r="A995" t="str">
            <v>76700</v>
          </cell>
          <cell r="B995" t="str">
            <v>Basic Services</v>
          </cell>
        </row>
        <row r="996">
          <cell r="A996" t="str">
            <v>76701</v>
          </cell>
          <cell r="B996" t="str">
            <v>Rental Of Building</v>
          </cell>
        </row>
        <row r="997">
          <cell r="A997" t="str">
            <v>76710</v>
          </cell>
          <cell r="B997" t="str">
            <v>Travel - In State</v>
          </cell>
        </row>
        <row r="998">
          <cell r="A998" t="str">
            <v>76711</v>
          </cell>
          <cell r="B998" t="str">
            <v>Travel - Adv Council In-State</v>
          </cell>
        </row>
        <row r="999">
          <cell r="A999" t="str">
            <v>76712</v>
          </cell>
          <cell r="B999" t="str">
            <v>Travel - Out Of State</v>
          </cell>
        </row>
        <row r="1000">
          <cell r="A1000" t="str">
            <v>76713</v>
          </cell>
          <cell r="B1000" t="str">
            <v>Travel - In Town Training</v>
          </cell>
        </row>
        <row r="1001">
          <cell r="A1001" t="str">
            <v>76720</v>
          </cell>
          <cell r="B1001" t="str">
            <v>Communications - Other (Us Chg)</v>
          </cell>
        </row>
        <row r="1002">
          <cell r="A1002" t="str">
            <v>76800</v>
          </cell>
          <cell r="B1002" t="str">
            <v>Scholarships and Fellowships</v>
          </cell>
        </row>
        <row r="1003">
          <cell r="A1003" t="str">
            <v>76801</v>
          </cell>
          <cell r="B1003" t="str">
            <v>Scholarships - Fl Foundation</v>
          </cell>
        </row>
        <row r="1004">
          <cell r="A1004" t="str">
            <v>76900</v>
          </cell>
          <cell r="B1004" t="str">
            <v>(Dec.) Inc. Actuarial NPV of Contract Benefit Payments</v>
          </cell>
        </row>
        <row r="1005">
          <cell r="A1005" t="str">
            <v>77100</v>
          </cell>
          <cell r="B1005" t="str">
            <v>Oper. Exp.- Personal Services</v>
          </cell>
        </row>
        <row r="1006">
          <cell r="A1006" t="str">
            <v>77101</v>
          </cell>
          <cell r="B1006" t="str">
            <v>Social Security Payments</v>
          </cell>
        </row>
        <row r="1007">
          <cell r="A1007" t="str">
            <v>77102</v>
          </cell>
          <cell r="B1007" t="str">
            <v>State Retirement Payments</v>
          </cell>
        </row>
        <row r="1008">
          <cell r="A1008" t="str">
            <v>77103</v>
          </cell>
          <cell r="B1008" t="str">
            <v>St. Health Insurance Payments</v>
          </cell>
        </row>
        <row r="1009">
          <cell r="A1009" t="str">
            <v>77104</v>
          </cell>
          <cell r="B1009" t="str">
            <v>St. Life Insurance Payments</v>
          </cell>
        </row>
        <row r="1010">
          <cell r="A1010" t="str">
            <v>77105</v>
          </cell>
          <cell r="B1010" t="str">
            <v>St. Disability Insurance Pymts</v>
          </cell>
        </row>
        <row r="1011">
          <cell r="A1011" t="str">
            <v>77106</v>
          </cell>
          <cell r="B1011" t="str">
            <v>Dental Insurance Payments</v>
          </cell>
        </row>
        <row r="1012">
          <cell r="A1012" t="str">
            <v>77109</v>
          </cell>
          <cell r="B1012" t="str">
            <v>Compensated Absences expense</v>
          </cell>
        </row>
        <row r="1013">
          <cell r="A1013" t="str">
            <v>77110</v>
          </cell>
          <cell r="B1013" t="str">
            <v>Compensated Absences:Annual, Sick, Compn</v>
          </cell>
        </row>
        <row r="1014">
          <cell r="A1014" t="str">
            <v>77112</v>
          </cell>
          <cell r="B1014" t="str">
            <v>Other Post Employment Benefits Expense</v>
          </cell>
        </row>
        <row r="1015">
          <cell r="A1015" t="str">
            <v>77113</v>
          </cell>
          <cell r="B1015" t="str">
            <v>HIS Pension Expense</v>
          </cell>
        </row>
        <row r="1016">
          <cell r="A1016" t="str">
            <v>77114</v>
          </cell>
          <cell r="B1016" t="str">
            <v>FRS Pension Expense</v>
          </cell>
        </row>
        <row r="1017">
          <cell r="A1017" t="str">
            <v>77196</v>
          </cell>
          <cell r="B1017" t="str">
            <v>Expenditures - Current Compensated Absences</v>
          </cell>
        </row>
        <row r="1018">
          <cell r="A1018" t="str">
            <v>77199</v>
          </cell>
          <cell r="B1018" t="str">
            <v>Salaries</v>
          </cell>
        </row>
        <row r="1019">
          <cell r="A1019" t="str">
            <v>77200</v>
          </cell>
          <cell r="B1019" t="str">
            <v>Oper. Exp.- Contractual Services</v>
          </cell>
        </row>
        <row r="1020">
          <cell r="A1020" t="str">
            <v>77201</v>
          </cell>
          <cell r="B1020" t="str">
            <v>Loan Disbursements-Rehab and Liquidation</v>
          </cell>
        </row>
        <row r="1021">
          <cell r="A1021" t="str">
            <v>77202</v>
          </cell>
          <cell r="B1021" t="str">
            <v>Sec-Lend Bank Fees</v>
          </cell>
        </row>
        <row r="1022">
          <cell r="A1022" t="str">
            <v>77203</v>
          </cell>
          <cell r="B1022" t="str">
            <v>Ocs-Advertising</v>
          </cell>
        </row>
        <row r="1023">
          <cell r="A1023" t="str">
            <v>77204</v>
          </cell>
          <cell r="B1023" t="str">
            <v>Ocs-Boc/Lockbox</v>
          </cell>
        </row>
        <row r="1024">
          <cell r="A1024" t="str">
            <v>77206</v>
          </cell>
          <cell r="B1024" t="str">
            <v>Ocs-College Bound</v>
          </cell>
        </row>
        <row r="1025">
          <cell r="A1025" t="str">
            <v>77207</v>
          </cell>
          <cell r="B1025" t="str">
            <v>Ocs-Consulting</v>
          </cell>
        </row>
        <row r="1026">
          <cell r="A1026" t="str">
            <v>77209</v>
          </cell>
          <cell r="B1026" t="str">
            <v>Ocs-Information Services</v>
          </cell>
        </row>
        <row r="1027">
          <cell r="A1027" t="str">
            <v>77210</v>
          </cell>
          <cell r="B1027" t="str">
            <v>Ocs-Legal</v>
          </cell>
        </row>
        <row r="1028">
          <cell r="A1028" t="str">
            <v>77211</v>
          </cell>
          <cell r="B1028" t="str">
            <v>Ocs-Management Fees Fixed Inc</v>
          </cell>
        </row>
        <row r="1029">
          <cell r="A1029" t="str">
            <v>77212</v>
          </cell>
          <cell r="B1029" t="str">
            <v>Ocs-Management Fees Equities</v>
          </cell>
        </row>
        <row r="1030">
          <cell r="A1030" t="str">
            <v>77213</v>
          </cell>
          <cell r="B1030" t="str">
            <v>Ocs-Marketing Agent</v>
          </cell>
        </row>
        <row r="1031">
          <cell r="A1031" t="str">
            <v>77215</v>
          </cell>
          <cell r="B1031" t="str">
            <v>Ocs-Miscellaneous</v>
          </cell>
        </row>
        <row r="1032">
          <cell r="A1032" t="str">
            <v>77217</v>
          </cell>
          <cell r="B1032" t="str">
            <v>Ocs-Records</v>
          </cell>
        </row>
        <row r="1033">
          <cell r="A1033" t="str">
            <v>77218</v>
          </cell>
          <cell r="B1033" t="str">
            <v>Ocs - Trustee</v>
          </cell>
        </row>
        <row r="1034">
          <cell r="A1034" t="str">
            <v>77220</v>
          </cell>
          <cell r="B1034" t="str">
            <v>Participant Refunds-Flpp</v>
          </cell>
        </row>
        <row r="1035">
          <cell r="A1035" t="str">
            <v>77221</v>
          </cell>
          <cell r="B1035" t="str">
            <v>Tuition Payments</v>
          </cell>
        </row>
        <row r="1036">
          <cell r="A1036" t="str">
            <v>77222</v>
          </cell>
          <cell r="B1036" t="str">
            <v>Housing Payments</v>
          </cell>
        </row>
        <row r="1037">
          <cell r="A1037" t="str">
            <v>77223</v>
          </cell>
          <cell r="B1037" t="str">
            <v>Local Fee Payments</v>
          </cell>
        </row>
        <row r="1038">
          <cell r="A1038" t="str">
            <v>77224</v>
          </cell>
          <cell r="B1038" t="str">
            <v>Remittances To Annuity Companies</v>
          </cell>
        </row>
        <row r="1039">
          <cell r="A1039" t="str">
            <v>77225</v>
          </cell>
          <cell r="B1039" t="str">
            <v>Hmo Payments</v>
          </cell>
        </row>
        <row r="1040">
          <cell r="A1040" t="str">
            <v>77226</v>
          </cell>
          <cell r="B1040" t="str">
            <v>Supplemental Insurance Payments</v>
          </cell>
        </row>
        <row r="1041">
          <cell r="A1041" t="str">
            <v>77227</v>
          </cell>
          <cell r="B1041" t="str">
            <v>Flexible Reimbursement Payments</v>
          </cell>
        </row>
        <row r="1042">
          <cell r="A1042" t="str">
            <v>77228</v>
          </cell>
          <cell r="B1042" t="str">
            <v>Life Insurance Premium Payments</v>
          </cell>
        </row>
        <row r="1043">
          <cell r="A1043" t="str">
            <v>77229</v>
          </cell>
          <cell r="B1043" t="str">
            <v>OCS - Accounting/Auditing</v>
          </cell>
        </row>
        <row r="1044">
          <cell r="A1044" t="str">
            <v>77230</v>
          </cell>
          <cell r="B1044" t="str">
            <v>Investment Service Charges</v>
          </cell>
        </row>
        <row r="1045">
          <cell r="A1045" t="str">
            <v>77240</v>
          </cell>
          <cell r="B1045" t="str">
            <v>Management Fees</v>
          </cell>
        </row>
        <row r="1046">
          <cell r="A1046" t="str">
            <v>77241</v>
          </cell>
          <cell r="B1046" t="str">
            <v>Management Fees-Stif</v>
          </cell>
        </row>
        <row r="1047">
          <cell r="A1047" t="str">
            <v>77242</v>
          </cell>
          <cell r="B1047" t="str">
            <v>FLPP Admin Service Charges</v>
          </cell>
        </row>
        <row r="1048">
          <cell r="A1048" t="str">
            <v>77250</v>
          </cell>
          <cell r="B1048" t="str">
            <v>Sba Administrative Expense</v>
          </cell>
        </row>
        <row r="1049">
          <cell r="A1049" t="str">
            <v>77270</v>
          </cell>
          <cell r="B1049" t="str">
            <v>Consulting Fees - Nonbudgeted</v>
          </cell>
        </row>
        <row r="1050">
          <cell r="A1050" t="str">
            <v>77271</v>
          </cell>
          <cell r="B1050" t="str">
            <v>Legal Fees - Nonbudgeted</v>
          </cell>
        </row>
        <row r="1051">
          <cell r="A1051" t="str">
            <v>77277</v>
          </cell>
          <cell r="B1051" t="str">
            <v>Acct Maintenance Fee Expense</v>
          </cell>
        </row>
        <row r="1052">
          <cell r="A1052" t="str">
            <v>77278</v>
          </cell>
          <cell r="B1052" t="str">
            <v>Purchaser Reimbursement</v>
          </cell>
        </row>
        <row r="1053">
          <cell r="A1053" t="str">
            <v>77279</v>
          </cell>
          <cell r="B1053" t="str">
            <v>Third Party Administration Fee</v>
          </cell>
        </row>
        <row r="1054">
          <cell r="A1054" t="str">
            <v>77280</v>
          </cell>
          <cell r="B1054" t="str">
            <v>Student Loan Default Payments</v>
          </cell>
        </row>
        <row r="1055">
          <cell r="A1055" t="str">
            <v>77281</v>
          </cell>
          <cell r="B1055" t="str">
            <v>Communications Consultant Fees</v>
          </cell>
        </row>
        <row r="1056">
          <cell r="A1056" t="str">
            <v>77282</v>
          </cell>
          <cell r="B1056" t="str">
            <v>Myfrs Fin Guidance Line Fees</v>
          </cell>
        </row>
        <row r="1057">
          <cell r="A1057" t="str">
            <v>77283</v>
          </cell>
          <cell r="B1057" t="str">
            <v>Payroll Administration Fees</v>
          </cell>
        </row>
        <row r="1058">
          <cell r="A1058" t="str">
            <v>77284</v>
          </cell>
          <cell r="B1058" t="str">
            <v>S&amp;P Rating Maintenance Fees</v>
          </cell>
        </row>
        <row r="1059">
          <cell r="A1059" t="str">
            <v>77285</v>
          </cell>
          <cell r="B1059" t="str">
            <v>Audit Fees</v>
          </cell>
        </row>
        <row r="1060">
          <cell r="A1060" t="str">
            <v>77286</v>
          </cell>
          <cell r="B1060" t="str">
            <v>Professional Fees and Expense</v>
          </cell>
        </row>
        <row r="1061">
          <cell r="A1061" t="str">
            <v>77290</v>
          </cell>
          <cell r="B1061" t="str">
            <v>Sec Lendg Bank Fees 772Xx</v>
          </cell>
        </row>
        <row r="1062">
          <cell r="A1062" t="str">
            <v>77291</v>
          </cell>
          <cell r="B1062" t="str">
            <v>Sec Lendg Broker Rebates 772Xx</v>
          </cell>
        </row>
        <row r="1063">
          <cell r="A1063" t="str">
            <v>77293</v>
          </cell>
          <cell r="B1063" t="str">
            <v>Compliance Review Svcs - Non budgeted</v>
          </cell>
        </row>
        <row r="1064">
          <cell r="A1064" t="str">
            <v>77296</v>
          </cell>
          <cell r="B1064" t="str">
            <v>Posting Closing Entry Gaafr 73</v>
          </cell>
        </row>
        <row r="1065">
          <cell r="A1065" t="str">
            <v>77299</v>
          </cell>
          <cell r="B1065" t="str">
            <v>Ocs-Temporary Employment</v>
          </cell>
        </row>
        <row r="1066">
          <cell r="A1066" t="str">
            <v>77300</v>
          </cell>
          <cell r="B1066" t="str">
            <v>Oper. Exp.- Materials &amp; Supplies</v>
          </cell>
        </row>
        <row r="1067">
          <cell r="A1067" t="str">
            <v>77301</v>
          </cell>
          <cell r="B1067" t="str">
            <v>Freight</v>
          </cell>
        </row>
        <row r="1068">
          <cell r="A1068" t="str">
            <v>77302</v>
          </cell>
          <cell r="B1068" t="str">
            <v>Insurance &amp; Surety Bonds</v>
          </cell>
        </row>
        <row r="1069">
          <cell r="A1069" t="str">
            <v>77303</v>
          </cell>
          <cell r="B1069" t="str">
            <v>Moving Expenses-Empoyee</v>
          </cell>
        </row>
        <row r="1070">
          <cell r="A1070" t="str">
            <v>77310</v>
          </cell>
          <cell r="B1070" t="str">
            <v>Office Materials &amp; Supplies</v>
          </cell>
        </row>
        <row r="1071">
          <cell r="A1071" t="str">
            <v>77311</v>
          </cell>
          <cell r="B1071" t="str">
            <v>Off Sup-Furn &amp; Noncomp&lt;$1000</v>
          </cell>
        </row>
        <row r="1072">
          <cell r="A1072" t="str">
            <v>77312</v>
          </cell>
          <cell r="B1072" t="str">
            <v>Office Materials Books - &lt;$250</v>
          </cell>
        </row>
        <row r="1073">
          <cell r="A1073" t="str">
            <v>77313</v>
          </cell>
          <cell r="B1073" t="str">
            <v>Office Materials - Training Aids</v>
          </cell>
        </row>
        <row r="1074">
          <cell r="A1074" t="str">
            <v>77314</v>
          </cell>
          <cell r="B1074" t="str">
            <v>Office Supp-Comp Equip&lt;$1000</v>
          </cell>
        </row>
        <row r="1075">
          <cell r="A1075" t="str">
            <v>77320</v>
          </cell>
          <cell r="B1075" t="str">
            <v>Other Charges &amp; Obligations</v>
          </cell>
        </row>
        <row r="1076">
          <cell r="A1076" t="str">
            <v>77321</v>
          </cell>
          <cell r="B1076" t="str">
            <v>Printing</v>
          </cell>
        </row>
        <row r="1077">
          <cell r="A1077" t="str">
            <v>77325</v>
          </cell>
          <cell r="B1077" t="str">
            <v>Rental Of Building</v>
          </cell>
        </row>
        <row r="1078">
          <cell r="A1078" t="str">
            <v>77331</v>
          </cell>
          <cell r="B1078" t="str">
            <v>Repairs &amp; Maintenance-Edp</v>
          </cell>
        </row>
        <row r="1079">
          <cell r="A1079" t="str">
            <v>77350</v>
          </cell>
          <cell r="B1079" t="str">
            <v>Travel - In State</v>
          </cell>
        </row>
        <row r="1080">
          <cell r="A1080" t="str">
            <v>77351</v>
          </cell>
          <cell r="B1080" t="str">
            <v>Travel-Adv Council In State</v>
          </cell>
        </row>
        <row r="1081">
          <cell r="A1081" t="str">
            <v>77352</v>
          </cell>
          <cell r="B1081" t="str">
            <v>Travel - Out Of State</v>
          </cell>
        </row>
        <row r="1082">
          <cell r="A1082" t="str">
            <v>77396</v>
          </cell>
          <cell r="B1082" t="str">
            <v>Expense - Donated Food</v>
          </cell>
        </row>
        <row r="1083">
          <cell r="A1083" t="str">
            <v>77399</v>
          </cell>
          <cell r="B1083" t="str">
            <v>Communications-Other</v>
          </cell>
        </row>
        <row r="1084">
          <cell r="A1084" t="str">
            <v>77400</v>
          </cell>
          <cell r="B1084" t="str">
            <v>Oper. Exp.- Amortization &amp; Write-Offs</v>
          </cell>
        </row>
        <row r="1085">
          <cell r="A1085" t="str">
            <v>77401</v>
          </cell>
          <cell r="B1085" t="str">
            <v>OCO-Furn/Equip=&gt;$1K Bks=&gt;$250</v>
          </cell>
        </row>
        <row r="1086">
          <cell r="A1086" t="str">
            <v>77402</v>
          </cell>
          <cell r="B1086" t="str">
            <v>OCO Edp =/&gt; $1000</v>
          </cell>
        </row>
        <row r="1087">
          <cell r="A1087" t="str">
            <v>77410</v>
          </cell>
          <cell r="B1087" t="str">
            <v>Other Capital Outlay Offset</v>
          </cell>
        </row>
        <row r="1088">
          <cell r="A1088" t="str">
            <v>77499</v>
          </cell>
          <cell r="B1088" t="str">
            <v>OCO - Books=/&gt; $250</v>
          </cell>
        </row>
        <row r="1089">
          <cell r="A1089" t="str">
            <v>77500</v>
          </cell>
          <cell r="B1089" t="str">
            <v>Oper. Exp.- Depreciation &amp; Amortization</v>
          </cell>
        </row>
        <row r="1090">
          <cell r="A1090" t="str">
            <v>77501</v>
          </cell>
          <cell r="B1090" t="str">
            <v>Depreciation Exp-Furn &amp; Equip</v>
          </cell>
        </row>
        <row r="1091">
          <cell r="A1091" t="str">
            <v>77600</v>
          </cell>
          <cell r="B1091" t="str">
            <v>Interest Expense Operating</v>
          </cell>
        </row>
        <row r="1092">
          <cell r="A1092" t="str">
            <v>77700</v>
          </cell>
          <cell r="B1092" t="str">
            <v>Insurance Claims Expense</v>
          </cell>
        </row>
        <row r="1093">
          <cell r="A1093" t="str">
            <v>77800</v>
          </cell>
          <cell r="B1093" t="str">
            <v>Cost of Goods</v>
          </cell>
        </row>
        <row r="1094">
          <cell r="A1094" t="str">
            <v>77900</v>
          </cell>
          <cell r="B1094" t="str">
            <v>Benefit Payments</v>
          </cell>
        </row>
        <row r="1095">
          <cell r="A1095" t="str">
            <v>77901</v>
          </cell>
          <cell r="B1095" t="str">
            <v>Benefit Payments</v>
          </cell>
        </row>
        <row r="1096">
          <cell r="A1096" t="str">
            <v>78100</v>
          </cell>
          <cell r="B1096" t="str">
            <v>Property Disposition Gain or Loss</v>
          </cell>
        </row>
        <row r="1097">
          <cell r="A1097" t="str">
            <v>78101</v>
          </cell>
          <cell r="B1097" t="str">
            <v>Gain/Loss On Sale Of Furniture</v>
          </cell>
        </row>
        <row r="1098">
          <cell r="A1098" t="str">
            <v>78200</v>
          </cell>
          <cell r="B1098" t="str">
            <v>Escrow Distributions</v>
          </cell>
        </row>
        <row r="1099">
          <cell r="A1099" t="str">
            <v>78300</v>
          </cell>
          <cell r="B1099" t="str">
            <v>Interest Expense Non-Operating</v>
          </cell>
        </row>
        <row r="1100">
          <cell r="A1100" t="str">
            <v>78400</v>
          </cell>
          <cell r="B1100" t="str">
            <v>Grant Expense</v>
          </cell>
        </row>
        <row r="1101">
          <cell r="A1101" t="str">
            <v>78401</v>
          </cell>
          <cell r="B1101" t="str">
            <v>FLPP Client Foundation</v>
          </cell>
        </row>
        <row r="1102">
          <cell r="A1102" t="str">
            <v>78500</v>
          </cell>
          <cell r="B1102" t="str">
            <v>Amortization and Fiscal Charges</v>
          </cell>
        </row>
        <row r="1103">
          <cell r="A1103" t="str">
            <v>78501</v>
          </cell>
          <cell r="B1103" t="str">
            <v>Fiscal Charges Non-Operating</v>
          </cell>
        </row>
        <row r="1104">
          <cell r="A1104" t="str">
            <v>78502</v>
          </cell>
          <cell r="B1104" t="str">
            <v>Sec Lending Bank Fees 785Xx</v>
          </cell>
        </row>
        <row r="1105">
          <cell r="A1105" t="str">
            <v>78503</v>
          </cell>
          <cell r="B1105" t="str">
            <v>Receivership Impaired Assets Expense</v>
          </cell>
        </row>
        <row r="1106">
          <cell r="A1106" t="str">
            <v>78509</v>
          </cell>
          <cell r="B1106" t="str">
            <v>Investment Mgmt Fees 785XX</v>
          </cell>
        </row>
        <row r="1107">
          <cell r="A1107" t="str">
            <v>78510</v>
          </cell>
          <cell r="B1107" t="str">
            <v>Administrative Fees - State Treasury Investments</v>
          </cell>
        </row>
        <row r="1108">
          <cell r="A1108" t="str">
            <v>78537</v>
          </cell>
          <cell r="B1108" t="str">
            <v>DEP Administrative Fees</v>
          </cell>
        </row>
        <row r="1109">
          <cell r="A1109" t="str">
            <v>78555</v>
          </cell>
          <cell r="B1109" t="str">
            <v>DOT Administrative Fees</v>
          </cell>
        </row>
        <row r="1110">
          <cell r="A1110" t="str">
            <v>78600</v>
          </cell>
          <cell r="B1110" t="str">
            <v>Amortization - Non-Operating</v>
          </cell>
        </row>
        <row r="1111">
          <cell r="A1111" t="str">
            <v>78700</v>
          </cell>
          <cell r="B1111" t="str">
            <v>Special Item</v>
          </cell>
        </row>
        <row r="1112">
          <cell r="A1112" t="str">
            <v>78800</v>
          </cell>
          <cell r="B1112" t="str">
            <v>Extraordinary Gain/Loss</v>
          </cell>
        </row>
        <row r="1113">
          <cell r="A1113" t="str">
            <v>78900</v>
          </cell>
          <cell r="B1113" t="str">
            <v>Other Non-Operating Expenses</v>
          </cell>
        </row>
        <row r="1114">
          <cell r="A1114" t="str">
            <v>78901</v>
          </cell>
          <cell r="B1114" t="str">
            <v>Other Non-Operating Expense</v>
          </cell>
        </row>
        <row r="1115">
          <cell r="A1115" t="str">
            <v>78912</v>
          </cell>
          <cell r="B1115" t="str">
            <v>Service Charges</v>
          </cell>
        </row>
        <row r="1116">
          <cell r="A1116" t="str">
            <v>78920</v>
          </cell>
          <cell r="B1116" t="str">
            <v>Payments To Unclaimed Property Claimants</v>
          </cell>
        </row>
        <row r="1117">
          <cell r="A1117" t="str">
            <v>78921</v>
          </cell>
          <cell r="B1117" t="str">
            <v>Distribution To State School Fund</v>
          </cell>
        </row>
        <row r="1118">
          <cell r="A1118" t="str">
            <v>78922</v>
          </cell>
          <cell r="B1118" t="str">
            <v>DOE Payments - Estimated Liability</v>
          </cell>
        </row>
        <row r="1119">
          <cell r="A1119" t="str">
            <v>78940</v>
          </cell>
          <cell r="B1119" t="str">
            <v>Refunds Of Contributions</v>
          </cell>
        </row>
        <row r="1120">
          <cell r="A1120" t="str">
            <v>78950</v>
          </cell>
          <cell r="B1120" t="str">
            <v>Other Non-Operating Expenses - Payroll Adjustments</v>
          </cell>
        </row>
        <row r="1121">
          <cell r="A1121" t="str">
            <v>79100</v>
          </cell>
          <cell r="B1121" t="str">
            <v>Non-Appropriated Expenditures</v>
          </cell>
        </row>
        <row r="1122">
          <cell r="A1122" t="str">
            <v>79120</v>
          </cell>
          <cell r="B1122" t="str">
            <v>Purchase of Short Term Investments</v>
          </cell>
        </row>
        <row r="1123">
          <cell r="A1123" t="str">
            <v>79121</v>
          </cell>
          <cell r="B1123" t="str">
            <v>Purchase Of Stip-Offset</v>
          </cell>
        </row>
        <row r="1124">
          <cell r="A1124" t="str">
            <v>79128</v>
          </cell>
          <cell r="B1124" t="str">
            <v>Purch. Of Options-Fi</v>
          </cell>
        </row>
        <row r="1125">
          <cell r="A1125" t="str">
            <v>79130</v>
          </cell>
          <cell r="B1125" t="str">
            <v>Purch. Of Equity Inv.</v>
          </cell>
        </row>
        <row r="1126">
          <cell r="A1126" t="str">
            <v>79131</v>
          </cell>
          <cell r="B1126" t="str">
            <v>Purch. Of Fixed Inc. Inv</v>
          </cell>
        </row>
        <row r="1127">
          <cell r="A1127" t="str">
            <v>79160</v>
          </cell>
          <cell r="B1127" t="str">
            <v>Purch. Of Real Estate</v>
          </cell>
        </row>
        <row r="1128">
          <cell r="A1128" t="str">
            <v>79181</v>
          </cell>
          <cell r="B1128" t="str">
            <v>Frgn Currency - Apprec/Deprec</v>
          </cell>
        </row>
        <row r="1129">
          <cell r="A1129" t="str">
            <v>79182</v>
          </cell>
          <cell r="B1129" t="str">
            <v>Short Term-Apprec/Deprec</v>
          </cell>
        </row>
        <row r="1130">
          <cell r="A1130" t="str">
            <v>79183</v>
          </cell>
          <cell r="B1130" t="str">
            <v>Fixed Income-Apprec/Deprec</v>
          </cell>
        </row>
        <row r="1131">
          <cell r="A1131" t="str">
            <v>79184</v>
          </cell>
          <cell r="B1131" t="str">
            <v>Equities - Apprec/Deprec</v>
          </cell>
        </row>
        <row r="1132">
          <cell r="A1132" t="str">
            <v>79186</v>
          </cell>
          <cell r="B1132" t="str">
            <v>Fi Options - Apprec/Deprec</v>
          </cell>
        </row>
        <row r="1133">
          <cell r="A1133" t="str">
            <v>79192</v>
          </cell>
          <cell r="B1133" t="str">
            <v>Investment Purch Offset</v>
          </cell>
        </row>
        <row r="1134">
          <cell r="A1134" t="str">
            <v>79195</v>
          </cell>
          <cell r="B1134" t="str">
            <v>Purch. Of Foreign Currency</v>
          </cell>
        </row>
        <row r="1135">
          <cell r="A1135" t="str">
            <v>79300</v>
          </cell>
          <cell r="B1135" t="str">
            <v>Change in Reserve for Prepaids (NOT VALID FOR FINA</v>
          </cell>
        </row>
        <row r="1136">
          <cell r="A1136" t="str">
            <v>79400</v>
          </cell>
          <cell r="B1136" t="str">
            <v>ERROR</v>
          </cell>
        </row>
        <row r="1137">
          <cell r="A1137" t="str">
            <v>79500</v>
          </cell>
          <cell r="B1137" t="str">
            <v>Payments to Refunded Bond Escrow Agent</v>
          </cell>
        </row>
        <row r="1138">
          <cell r="A1138" t="str">
            <v>79501</v>
          </cell>
          <cell r="B1138" t="str">
            <v>Pmt - Refund. Bd Esc Agt - Ofu</v>
          </cell>
        </row>
        <row r="1139">
          <cell r="A1139" t="str">
            <v>79600</v>
          </cell>
          <cell r="B1139" t="str">
            <v>Capitalized Transfers</v>
          </cell>
        </row>
        <row r="1140">
          <cell r="A1140" t="str">
            <v>79900</v>
          </cell>
          <cell r="B1140" t="str">
            <v>Purchase Of Foreign Currency</v>
          </cell>
        </row>
        <row r="1141">
          <cell r="A1141" t="str">
            <v>81100</v>
          </cell>
          <cell r="B1141" t="str">
            <v>Est. Taxes</v>
          </cell>
        </row>
        <row r="1142">
          <cell r="A1142" t="str">
            <v>81200</v>
          </cell>
          <cell r="B1142" t="str">
            <v>Est. Licenses And Permits</v>
          </cell>
        </row>
        <row r="1143">
          <cell r="A1143" t="str">
            <v>81300</v>
          </cell>
          <cell r="B1143" t="str">
            <v>Est. Fees</v>
          </cell>
        </row>
        <row r="1144">
          <cell r="A1144" t="str">
            <v>81301</v>
          </cell>
          <cell r="B1144" t="str">
            <v>ERROR</v>
          </cell>
        </row>
        <row r="1145">
          <cell r="A1145" t="str">
            <v>81400</v>
          </cell>
          <cell r="B1145" t="str">
            <v>Est. Grants and Donations Non Capital</v>
          </cell>
        </row>
        <row r="1146">
          <cell r="A1146" t="str">
            <v>81500</v>
          </cell>
          <cell r="B1146" t="str">
            <v>Est. Interest</v>
          </cell>
        </row>
        <row r="1147">
          <cell r="A1147" t="str">
            <v>81600</v>
          </cell>
          <cell r="B1147" t="str">
            <v>Est. Fines, Forfeits, Judgments and Settlements</v>
          </cell>
        </row>
        <row r="1148">
          <cell r="A1148" t="str">
            <v>81700</v>
          </cell>
          <cell r="B1148" t="str">
            <v>Est. Insurance Contributions</v>
          </cell>
        </row>
        <row r="1149">
          <cell r="A1149" t="str">
            <v>81800</v>
          </cell>
          <cell r="B1149" t="str">
            <v>Est. Refunds</v>
          </cell>
        </row>
        <row r="1150">
          <cell r="A1150" t="str">
            <v>81900</v>
          </cell>
          <cell r="B1150" t="str">
            <v>Est. Other Revenues</v>
          </cell>
        </row>
        <row r="1151">
          <cell r="A1151" t="str">
            <v>82100</v>
          </cell>
          <cell r="B1151" t="str">
            <v>Est. Capital Grants and Donations</v>
          </cell>
        </row>
        <row r="1152">
          <cell r="A1152" t="str">
            <v>82200</v>
          </cell>
          <cell r="B1152" t="str">
            <v>Est. Sale of Fixed Assets</v>
          </cell>
        </row>
        <row r="1153">
          <cell r="A1153" t="str">
            <v>83100</v>
          </cell>
          <cell r="B1153" t="str">
            <v>Est-Released Gen Rev Appropriations</v>
          </cell>
        </row>
        <row r="1154">
          <cell r="A1154" t="str">
            <v>83300</v>
          </cell>
          <cell r="B1154" t="str">
            <v>Est Released Working Capital Approp</v>
          </cell>
        </row>
        <row r="1155">
          <cell r="A1155" t="str">
            <v>85100</v>
          </cell>
          <cell r="B1155" t="str">
            <v>Est. Transfers in from Component Units</v>
          </cell>
        </row>
        <row r="1156">
          <cell r="A1156" t="str">
            <v>85500</v>
          </cell>
          <cell r="B1156" t="str">
            <v>Est Federal Funds Transfers in From within Agency</v>
          </cell>
        </row>
        <row r="1157">
          <cell r="A1157" t="str">
            <v>85600</v>
          </cell>
          <cell r="B1157" t="str">
            <v>Est Federal Funds Trans in From Other Agencies</v>
          </cell>
        </row>
        <row r="1158">
          <cell r="A1158" t="str">
            <v>85700</v>
          </cell>
          <cell r="B1158" t="str">
            <v>Est. Trans. in From  within The Agency</v>
          </cell>
        </row>
        <row r="1159">
          <cell r="A1159" t="str">
            <v>85800</v>
          </cell>
          <cell r="B1159" t="str">
            <v>Est. Gen Revenue Transfers In</v>
          </cell>
        </row>
        <row r="1160">
          <cell r="A1160" t="str">
            <v>85900</v>
          </cell>
          <cell r="B1160" t="str">
            <v>Est. Transfers in From Other Agencies</v>
          </cell>
        </row>
        <row r="1161">
          <cell r="A1161" t="str">
            <v>86100</v>
          </cell>
          <cell r="B1161" t="str">
            <v>Est Toll Facilities Revenue</v>
          </cell>
        </row>
        <row r="1162">
          <cell r="A1162" t="str">
            <v>86200</v>
          </cell>
          <cell r="B1162" t="str">
            <v>Est Interest on Loans</v>
          </cell>
        </row>
        <row r="1163">
          <cell r="A1163" t="str">
            <v>86300</v>
          </cell>
          <cell r="B1163" t="str">
            <v>Est Pension Fund Contrib. - State</v>
          </cell>
        </row>
        <row r="1164">
          <cell r="A1164" t="str">
            <v>86400</v>
          </cell>
          <cell r="B1164" t="str">
            <v>Est Pension Fund Contrib. - Non-state</v>
          </cell>
        </row>
        <row r="1165">
          <cell r="A1165" t="str">
            <v>86700</v>
          </cell>
          <cell r="B1165" t="str">
            <v>Est Fees</v>
          </cell>
        </row>
        <row r="1166">
          <cell r="A1166" t="str">
            <v>87100</v>
          </cell>
          <cell r="B1166" t="str">
            <v>Est. Sale of Goods &amp; Services - State</v>
          </cell>
        </row>
        <row r="1167">
          <cell r="A1167" t="str">
            <v>87200</v>
          </cell>
          <cell r="B1167" t="str">
            <v>Est. Sale of Goods &amp; Services - Non-State</v>
          </cell>
        </row>
        <row r="1168">
          <cell r="A1168" t="str">
            <v>87300</v>
          </cell>
          <cell r="B1168" t="str">
            <v>Est. Fines, Forfeits, Judgments and Settlements</v>
          </cell>
        </row>
        <row r="1169">
          <cell r="A1169" t="str">
            <v>87400</v>
          </cell>
          <cell r="B1169" t="str">
            <v>Est. Rent - State</v>
          </cell>
        </row>
        <row r="1170">
          <cell r="A1170" t="str">
            <v>87500</v>
          </cell>
          <cell r="B1170" t="str">
            <v>Est. Rents and Royalties - Non-State</v>
          </cell>
        </row>
        <row r="1171">
          <cell r="A1171" t="str">
            <v>87600</v>
          </cell>
          <cell r="B1171" t="str">
            <v>Est. Interest</v>
          </cell>
        </row>
        <row r="1172">
          <cell r="A1172" t="str">
            <v>87700</v>
          </cell>
          <cell r="B1172" t="str">
            <v>Est Gain on Sale of Investments (NOT VALID FOR FIN</v>
          </cell>
        </row>
        <row r="1173">
          <cell r="A1173" t="str">
            <v>87900</v>
          </cell>
          <cell r="B1173" t="str">
            <v>Est. Other Operating Revenue</v>
          </cell>
        </row>
        <row r="1174">
          <cell r="A1174" t="str">
            <v>88300</v>
          </cell>
          <cell r="B1174" t="str">
            <v>Est. Non-Capital Grants and Donations</v>
          </cell>
        </row>
        <row r="1175">
          <cell r="A1175" t="str">
            <v>88400</v>
          </cell>
          <cell r="B1175" t="str">
            <v>Est. Non-Op Rents-State</v>
          </cell>
        </row>
        <row r="1176">
          <cell r="A1176" t="str">
            <v>88500</v>
          </cell>
          <cell r="B1176" t="str">
            <v>Est. Non-Op Rents &amp; Royalties- Non-State</v>
          </cell>
        </row>
        <row r="1177">
          <cell r="A1177" t="str">
            <v>88600</v>
          </cell>
          <cell r="B1177" t="str">
            <v>Est. Non-Operating  Interest</v>
          </cell>
        </row>
        <row r="1178">
          <cell r="A1178" t="str">
            <v>88700</v>
          </cell>
          <cell r="B1178" t="str">
            <v>Est Capital Grants and Donations</v>
          </cell>
        </row>
        <row r="1179">
          <cell r="A1179" t="str">
            <v>88900</v>
          </cell>
          <cell r="B1179" t="str">
            <v>Est. Other Non-Operating Revenues</v>
          </cell>
        </row>
        <row r="1180">
          <cell r="A1180" t="str">
            <v>89100</v>
          </cell>
          <cell r="B1180" t="str">
            <v>Est. Bond Proceeds</v>
          </cell>
        </row>
        <row r="1181">
          <cell r="A1181" t="str">
            <v>89300</v>
          </cell>
          <cell r="B1181" t="str">
            <v>Est Installment Purch. Note Proceeds</v>
          </cell>
        </row>
        <row r="1182">
          <cell r="A1182" t="str">
            <v>89400</v>
          </cell>
          <cell r="B1182" t="str">
            <v>Est Capital Lease Inceptions</v>
          </cell>
        </row>
        <row r="1183">
          <cell r="A1183" t="str">
            <v>91100</v>
          </cell>
          <cell r="B1183" t="str">
            <v>Appropriations (NOT VALID FOR FINANCIAL STATEMENTS</v>
          </cell>
        </row>
        <row r="1184">
          <cell r="A1184" t="str">
            <v>91200</v>
          </cell>
          <cell r="B1184" t="str">
            <v>Appropriations, Allocated (NOT VALID FOR FINANCIAL</v>
          </cell>
        </row>
        <row r="1185">
          <cell r="A1185" t="str">
            <v>92100</v>
          </cell>
          <cell r="B1185" t="str">
            <v>Approved Budget (NOT VALID FOR FINANCIAL STATEMENT</v>
          </cell>
        </row>
        <row r="1186">
          <cell r="A1186" t="str">
            <v>92200</v>
          </cell>
          <cell r="B1186" t="str">
            <v>Approved Budget, Allotted (NOT VALID FOR FINANCIAL</v>
          </cell>
        </row>
        <row r="1187">
          <cell r="A1187" t="str">
            <v>92300</v>
          </cell>
          <cell r="B1187" t="str">
            <v>Budget Allotted, C &amp; G Subsystem (NOT VALID FOR FI</v>
          </cell>
        </row>
        <row r="1188">
          <cell r="A1188" t="str">
            <v>93100</v>
          </cell>
          <cell r="B1188" t="str">
            <v>Allotments (NOT VALID FOR FINANCIAL STATEMENTS)</v>
          </cell>
        </row>
        <row r="1189">
          <cell r="A1189" t="str">
            <v>93200</v>
          </cell>
          <cell r="B1189" t="str">
            <v>Allotments, C &amp; G Subsystem (NOT VALID FOR FINANCI</v>
          </cell>
        </row>
        <row r="1190">
          <cell r="A1190" t="str">
            <v>94100</v>
          </cell>
          <cell r="B1190" t="str">
            <v>Encumbrances (NOT VALID FOR FINANCIAL STATEMENTS)</v>
          </cell>
        </row>
        <row r="1191">
          <cell r="A1191" t="str">
            <v>98100</v>
          </cell>
          <cell r="B1191" t="str">
            <v>Budgetary Fund Bal Reserved/Encumbrance (NOT VALID</v>
          </cell>
        </row>
        <row r="1192">
          <cell r="A1192" t="str">
            <v>99100</v>
          </cell>
          <cell r="B1192" t="str">
            <v>Budgetary Fund Balance</v>
          </cell>
        </row>
      </sheetData>
    </sheetDataSet>
  </externalBook>
</externalLink>
</file>

<file path=xl/tables/table1.xml><?xml version="1.0" encoding="utf-8"?>
<table xmlns="http://schemas.openxmlformats.org/spreadsheetml/2006/main" id="2" name="Table13" displayName="Table13" ref="A1:B1192" totalsRowShown="0">
  <autoFilter ref="A1:B1192"/>
  <sortState ref="A2:B1189">
    <sortCondition ref="A1:A1189"/>
  </sortState>
  <tableColumns count="2">
    <tableColumn id="1" name="GL"/>
    <tableColumn id="2" name="GLName"/>
  </tableColumns>
  <tableStyleInfo name="TableStyleMedium9" showFirstColumn="0" showLastColumn="0" showRowStripes="1" showColumnStripes="0"/>
</table>
</file>

<file path=xl/tables/table2.xml><?xml version="1.0" encoding="utf-8"?>
<table xmlns="http://schemas.openxmlformats.org/spreadsheetml/2006/main" id="3" name="Table2" displayName="Table2" ref="D1:F177" totalsRowShown="0" headerRowDxfId="440" headerRowBorderDxfId="439" tableBorderDxfId="438" totalsRowBorderDxfId="437">
  <autoFilter ref="D1:F177"/>
  <sortState ref="D2:F177">
    <sortCondition ref="D1:D177"/>
  </sortState>
  <tableColumns count="3">
    <tableColumn id="1" name="GL Code" dataDxfId="436"/>
    <tableColumn id="3" name="Form Name" dataDxfId="435"/>
    <tableColumn id="2" name="Form Name2" dataDxfId="434"/>
  </tableColumns>
  <tableStyleInfo name="TableStyleMedium9" showFirstColumn="0" showLastColumn="0" showRowStripes="1" showColumnStripes="0"/>
</table>
</file>

<file path=xl/tables/table3.xml><?xml version="1.0" encoding="utf-8"?>
<table xmlns="http://schemas.openxmlformats.org/spreadsheetml/2006/main" id="4" name="Table3" displayName="Table3" ref="H1:I1070" totalsRowShown="0" headerRowDxfId="433" headerRowBorderDxfId="432" tableBorderDxfId="431" totalsRowBorderDxfId="430">
  <autoFilter ref="H1:I1070"/>
  <sortState ref="H2:I1053">
    <sortCondition ref="H1:H1053"/>
  </sortState>
  <tableColumns count="2">
    <tableColumn id="1" name="FUND" dataDxfId="429"/>
    <tableColumn id="2" name="SWF" dataDxfId="428"/>
  </tableColumns>
  <tableStyleInfo name="TableStyleMedium9" showFirstColumn="0" showLastColumn="0" showRowStripes="1" showColumnStripes="0"/>
</table>
</file>

<file path=xl/tables/table4.xml><?xml version="1.0" encoding="utf-8"?>
<table xmlns="http://schemas.openxmlformats.org/spreadsheetml/2006/main" id="5" name="Table4" displayName="Table4" ref="K1:L68" totalsRowShown="0" headerRowDxfId="427" headerRowBorderDxfId="426" tableBorderDxfId="425" totalsRowBorderDxfId="424">
  <autoFilter ref="K1:L68"/>
  <tableColumns count="2">
    <tableColumn id="1" name="GL Code" dataDxfId="423"/>
    <tableColumn id="2" name="Form Name" dataDxfId="422"/>
  </tableColumns>
  <tableStyleInfo name="TableStyleMedium9" showFirstColumn="0" showLastColumn="0" showRowStripes="1" showColumnStripes="0"/>
</table>
</file>

<file path=xl/tables/table5.xml><?xml version="1.0" encoding="utf-8"?>
<table xmlns="http://schemas.openxmlformats.org/spreadsheetml/2006/main" id="1" name="Table1" displayName="Table1" ref="A6:O7" totalsRowShown="0" headerRowDxfId="251" headerRowBorderDxfId="250" tableBorderDxfId="249" totalsRowBorderDxfId="248">
  <autoFilter ref="A6:O7"/>
  <tableColumns count="15">
    <tableColumn id="1" name="OLO" dataDxfId="247"/>
    <tableColumn id="2" name="Agency _x000a_name" dataDxfId="246"/>
    <tableColumn id="3" name="Fund _x000a_number" dataDxfId="245"/>
    <tableColumn id="4" name="Does an ARO Exist for your entity as of 6/30/2021?" dataDxfId="244"/>
    <tableColumn id="11" name="General _x000a_Description of _x000a_Asset having ARO" dataDxfId="243"/>
    <tableColumn id="5" name=" Current Value _x000a_of ARO as of _x000a_6/30/2021" dataDxfId="242"/>
    <tableColumn id="6" name="Method Used _x000a_to measure the _x000a_liability value?" dataDxfId="241"/>
    <tableColumn id="7" name="Assumptions _x000a_Used?" dataDxfId="240"/>
    <tableColumn id="12" name="Estimated _x000a_Remaining useful _x000a_life of Asset" dataDxfId="239"/>
    <tableColumn id="8" name="External obligating _x000a_event creating _x000a_this ARO. " dataDxfId="238"/>
    <tableColumn id="9" name="Internal obligating _x000a_event creating _x000a_this ARO. " dataDxfId="237"/>
    <tableColumn id="15" name="Funding or assurance provisions exist?" dataDxfId="236"/>
    <tableColumn id="16" name="How are funding or Assurance provisions being met?" dataDxfId="235"/>
    <tableColumn id="14" name="Amount of _x000a_Restricted Assets _x000a_for payment?" dataDxfId="234"/>
    <tableColumn id="10" name="Additional _x000a_Comments" dataDxfId="233"/>
  </tableColumns>
  <tableStyleInfo name="TableStyleMedium2" showFirstColumn="0" showLastColumn="0" showRowStripes="1" showColumnStripes="0"/>
  <extLst>
    <ext xmlns:x14="http://schemas.microsoft.com/office/spreadsheetml/2009/9/main" uri="{504A1905-F514-4f6f-8877-14C23A59335A}">
      <x14:table altText="FSC ASSET RETIREMENT OBLIGATION" altTextSummary="FSC ASSET RETIREMENT OBLIGATION"/>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2010 Report Theme">
    <a:dk1>
      <a:srgbClr val="00007F"/>
    </a:dk1>
    <a:lt1>
      <a:srgbClr val="000000"/>
    </a:lt1>
    <a:dk2>
      <a:srgbClr val="BECEE4"/>
    </a:dk2>
    <a:lt2>
      <a:srgbClr val="FEF1C6"/>
    </a:lt2>
    <a:accent1>
      <a:srgbClr val="BECEE4"/>
    </a:accent1>
    <a:accent2>
      <a:srgbClr val="FEF1C6"/>
    </a:accent2>
    <a:accent3>
      <a:srgbClr val="336600"/>
    </a:accent3>
    <a:accent4>
      <a:srgbClr val="00007F"/>
    </a:accent4>
    <a:accent5>
      <a:srgbClr val="800000"/>
    </a:accent5>
    <a:accent6>
      <a:srgbClr val="F79646"/>
    </a:accent6>
    <a:hlink>
      <a:srgbClr val="0000FF"/>
    </a:hlink>
    <a:folHlink>
      <a:srgbClr val="0000FF"/>
    </a:folHlink>
  </a:clrScheme>
  <a:fontScheme name="2010 Fonts">
    <a:majorFont>
      <a:latin typeface="Garamond"/>
      <a:ea typeface=""/>
      <a:cs typeface=""/>
    </a:majorFont>
    <a:minorFont>
      <a:latin typeface="Garamond"/>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 Id="rId5" Type="http://schemas.openxmlformats.org/officeDocument/2006/relationships/table" Target="../tables/table4.xml"/><Relationship Id="rId4" Type="http://schemas.openxmlformats.org/officeDocument/2006/relationships/table" Target="../tables/table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7"/>
    <pageSetUpPr fitToPage="1"/>
  </sheetPr>
  <dimension ref="A1:L153"/>
  <sheetViews>
    <sheetView zoomScaleNormal="100" workbookViewId="0"/>
  </sheetViews>
  <sheetFormatPr defaultRowHeight="12.75"/>
  <cols>
    <col min="1" max="1" width="8.140625" style="1387" bestFit="1" customWidth="1"/>
    <col min="2" max="4" width="9.140625" style="1387"/>
    <col min="5" max="5" width="18.42578125" style="1387" customWidth="1"/>
    <col min="6" max="6" width="46.5703125" style="1387" customWidth="1"/>
    <col min="7" max="8" width="17.85546875" style="1387" bestFit="1" customWidth="1"/>
    <col min="9" max="9" width="47.140625" style="1846" customWidth="1"/>
    <col min="10" max="10" width="23.140625" style="1388" bestFit="1" customWidth="1"/>
    <col min="11" max="11" width="9.140625" style="1387"/>
    <col min="12" max="12" width="17" style="1387" customWidth="1"/>
    <col min="13" max="262" width="9.140625" style="1387"/>
    <col min="263" max="264" width="17.85546875" style="1387" bestFit="1" customWidth="1"/>
    <col min="265" max="265" width="47.140625" style="1387" customWidth="1"/>
    <col min="266" max="266" width="11.85546875" style="1387" bestFit="1" customWidth="1"/>
    <col min="267" max="267" width="9.140625" style="1387"/>
    <col min="268" max="268" width="17" style="1387" customWidth="1"/>
    <col min="269" max="518" width="9.140625" style="1387"/>
    <col min="519" max="520" width="17.85546875" style="1387" bestFit="1" customWidth="1"/>
    <col min="521" max="521" width="47.140625" style="1387" customWidth="1"/>
    <col min="522" max="522" width="11.85546875" style="1387" bestFit="1" customWidth="1"/>
    <col min="523" max="523" width="9.140625" style="1387"/>
    <col min="524" max="524" width="17" style="1387" customWidth="1"/>
    <col min="525" max="774" width="9.140625" style="1387"/>
    <col min="775" max="776" width="17.85546875" style="1387" bestFit="1" customWidth="1"/>
    <col min="777" max="777" width="47.140625" style="1387" customWidth="1"/>
    <col min="778" max="778" width="11.85546875" style="1387" bestFit="1" customWidth="1"/>
    <col min="779" max="779" width="9.140625" style="1387"/>
    <col min="780" max="780" width="17" style="1387" customWidth="1"/>
    <col min="781" max="1030" width="9.140625" style="1387"/>
    <col min="1031" max="1032" width="17.85546875" style="1387" bestFit="1" customWidth="1"/>
    <col min="1033" max="1033" width="47.140625" style="1387" customWidth="1"/>
    <col min="1034" max="1034" width="11.85546875" style="1387" bestFit="1" customWidth="1"/>
    <col min="1035" max="1035" width="9.140625" style="1387"/>
    <col min="1036" max="1036" width="17" style="1387" customWidth="1"/>
    <col min="1037" max="1286" width="9.140625" style="1387"/>
    <col min="1287" max="1288" width="17.85546875" style="1387" bestFit="1" customWidth="1"/>
    <col min="1289" max="1289" width="47.140625" style="1387" customWidth="1"/>
    <col min="1290" max="1290" width="11.85546875" style="1387" bestFit="1" customWidth="1"/>
    <col min="1291" max="1291" width="9.140625" style="1387"/>
    <col min="1292" max="1292" width="17" style="1387" customWidth="1"/>
    <col min="1293" max="1542" width="9.140625" style="1387"/>
    <col min="1543" max="1544" width="17.85546875" style="1387" bestFit="1" customWidth="1"/>
    <col min="1545" max="1545" width="47.140625" style="1387" customWidth="1"/>
    <col min="1546" max="1546" width="11.85546875" style="1387" bestFit="1" customWidth="1"/>
    <col min="1547" max="1547" width="9.140625" style="1387"/>
    <col min="1548" max="1548" width="17" style="1387" customWidth="1"/>
    <col min="1549" max="1798" width="9.140625" style="1387"/>
    <col min="1799" max="1800" width="17.85546875" style="1387" bestFit="1" customWidth="1"/>
    <col min="1801" max="1801" width="47.140625" style="1387" customWidth="1"/>
    <col min="1802" max="1802" width="11.85546875" style="1387" bestFit="1" customWidth="1"/>
    <col min="1803" max="1803" width="9.140625" style="1387"/>
    <col min="1804" max="1804" width="17" style="1387" customWidth="1"/>
    <col min="1805" max="2054" width="9.140625" style="1387"/>
    <col min="2055" max="2056" width="17.85546875" style="1387" bestFit="1" customWidth="1"/>
    <col min="2057" max="2057" width="47.140625" style="1387" customWidth="1"/>
    <col min="2058" max="2058" width="11.85546875" style="1387" bestFit="1" customWidth="1"/>
    <col min="2059" max="2059" width="9.140625" style="1387"/>
    <col min="2060" max="2060" width="17" style="1387" customWidth="1"/>
    <col min="2061" max="2310" width="9.140625" style="1387"/>
    <col min="2311" max="2312" width="17.85546875" style="1387" bestFit="1" customWidth="1"/>
    <col min="2313" max="2313" width="47.140625" style="1387" customWidth="1"/>
    <col min="2314" max="2314" width="11.85546875" style="1387" bestFit="1" customWidth="1"/>
    <col min="2315" max="2315" width="9.140625" style="1387"/>
    <col min="2316" max="2316" width="17" style="1387" customWidth="1"/>
    <col min="2317" max="2566" width="9.140625" style="1387"/>
    <col min="2567" max="2568" width="17.85546875" style="1387" bestFit="1" customWidth="1"/>
    <col min="2569" max="2569" width="47.140625" style="1387" customWidth="1"/>
    <col min="2570" max="2570" width="11.85546875" style="1387" bestFit="1" customWidth="1"/>
    <col min="2571" max="2571" width="9.140625" style="1387"/>
    <col min="2572" max="2572" width="17" style="1387" customWidth="1"/>
    <col min="2573" max="2822" width="9.140625" style="1387"/>
    <col min="2823" max="2824" width="17.85546875" style="1387" bestFit="1" customWidth="1"/>
    <col min="2825" max="2825" width="47.140625" style="1387" customWidth="1"/>
    <col min="2826" max="2826" width="11.85546875" style="1387" bestFit="1" customWidth="1"/>
    <col min="2827" max="2827" width="9.140625" style="1387"/>
    <col min="2828" max="2828" width="17" style="1387" customWidth="1"/>
    <col min="2829" max="3078" width="9.140625" style="1387"/>
    <col min="3079" max="3080" width="17.85546875" style="1387" bestFit="1" customWidth="1"/>
    <col min="3081" max="3081" width="47.140625" style="1387" customWidth="1"/>
    <col min="3082" max="3082" width="11.85546875" style="1387" bestFit="1" customWidth="1"/>
    <col min="3083" max="3083" width="9.140625" style="1387"/>
    <col min="3084" max="3084" width="17" style="1387" customWidth="1"/>
    <col min="3085" max="3334" width="9.140625" style="1387"/>
    <col min="3335" max="3336" width="17.85546875" style="1387" bestFit="1" customWidth="1"/>
    <col min="3337" max="3337" width="47.140625" style="1387" customWidth="1"/>
    <col min="3338" max="3338" width="11.85546875" style="1387" bestFit="1" customWidth="1"/>
    <col min="3339" max="3339" width="9.140625" style="1387"/>
    <col min="3340" max="3340" width="17" style="1387" customWidth="1"/>
    <col min="3341" max="3590" width="9.140625" style="1387"/>
    <col min="3591" max="3592" width="17.85546875" style="1387" bestFit="1" customWidth="1"/>
    <col min="3593" max="3593" width="47.140625" style="1387" customWidth="1"/>
    <col min="3594" max="3594" width="11.85546875" style="1387" bestFit="1" customWidth="1"/>
    <col min="3595" max="3595" width="9.140625" style="1387"/>
    <col min="3596" max="3596" width="17" style="1387" customWidth="1"/>
    <col min="3597" max="3846" width="9.140625" style="1387"/>
    <col min="3847" max="3848" width="17.85546875" style="1387" bestFit="1" customWidth="1"/>
    <col min="3849" max="3849" width="47.140625" style="1387" customWidth="1"/>
    <col min="3850" max="3850" width="11.85546875" style="1387" bestFit="1" customWidth="1"/>
    <col min="3851" max="3851" width="9.140625" style="1387"/>
    <col min="3852" max="3852" width="17" style="1387" customWidth="1"/>
    <col min="3853" max="4102" width="9.140625" style="1387"/>
    <col min="4103" max="4104" width="17.85546875" style="1387" bestFit="1" customWidth="1"/>
    <col min="4105" max="4105" width="47.140625" style="1387" customWidth="1"/>
    <col min="4106" max="4106" width="11.85546875" style="1387" bestFit="1" customWidth="1"/>
    <col min="4107" max="4107" width="9.140625" style="1387"/>
    <col min="4108" max="4108" width="17" style="1387" customWidth="1"/>
    <col min="4109" max="4358" width="9.140625" style="1387"/>
    <col min="4359" max="4360" width="17.85546875" style="1387" bestFit="1" customWidth="1"/>
    <col min="4361" max="4361" width="47.140625" style="1387" customWidth="1"/>
    <col min="4362" max="4362" width="11.85546875" style="1387" bestFit="1" customWidth="1"/>
    <col min="4363" max="4363" width="9.140625" style="1387"/>
    <col min="4364" max="4364" width="17" style="1387" customWidth="1"/>
    <col min="4365" max="4614" width="9.140625" style="1387"/>
    <col min="4615" max="4616" width="17.85546875" style="1387" bestFit="1" customWidth="1"/>
    <col min="4617" max="4617" width="47.140625" style="1387" customWidth="1"/>
    <col min="4618" max="4618" width="11.85546875" style="1387" bestFit="1" customWidth="1"/>
    <col min="4619" max="4619" width="9.140625" style="1387"/>
    <col min="4620" max="4620" width="17" style="1387" customWidth="1"/>
    <col min="4621" max="4870" width="9.140625" style="1387"/>
    <col min="4871" max="4872" width="17.85546875" style="1387" bestFit="1" customWidth="1"/>
    <col min="4873" max="4873" width="47.140625" style="1387" customWidth="1"/>
    <col min="4874" max="4874" width="11.85546875" style="1387" bestFit="1" customWidth="1"/>
    <col min="4875" max="4875" width="9.140625" style="1387"/>
    <col min="4876" max="4876" width="17" style="1387" customWidth="1"/>
    <col min="4877" max="5126" width="9.140625" style="1387"/>
    <col min="5127" max="5128" width="17.85546875" style="1387" bestFit="1" customWidth="1"/>
    <col min="5129" max="5129" width="47.140625" style="1387" customWidth="1"/>
    <col min="5130" max="5130" width="11.85546875" style="1387" bestFit="1" customWidth="1"/>
    <col min="5131" max="5131" width="9.140625" style="1387"/>
    <col min="5132" max="5132" width="17" style="1387" customWidth="1"/>
    <col min="5133" max="5382" width="9.140625" style="1387"/>
    <col min="5383" max="5384" width="17.85546875" style="1387" bestFit="1" customWidth="1"/>
    <col min="5385" max="5385" width="47.140625" style="1387" customWidth="1"/>
    <col min="5386" max="5386" width="11.85546875" style="1387" bestFit="1" customWidth="1"/>
    <col min="5387" max="5387" width="9.140625" style="1387"/>
    <col min="5388" max="5388" width="17" style="1387" customWidth="1"/>
    <col min="5389" max="5638" width="9.140625" style="1387"/>
    <col min="5639" max="5640" width="17.85546875" style="1387" bestFit="1" customWidth="1"/>
    <col min="5641" max="5641" width="47.140625" style="1387" customWidth="1"/>
    <col min="5642" max="5642" width="11.85546875" style="1387" bestFit="1" customWidth="1"/>
    <col min="5643" max="5643" width="9.140625" style="1387"/>
    <col min="5644" max="5644" width="17" style="1387" customWidth="1"/>
    <col min="5645" max="5894" width="9.140625" style="1387"/>
    <col min="5895" max="5896" width="17.85546875" style="1387" bestFit="1" customWidth="1"/>
    <col min="5897" max="5897" width="47.140625" style="1387" customWidth="1"/>
    <col min="5898" max="5898" width="11.85546875" style="1387" bestFit="1" customWidth="1"/>
    <col min="5899" max="5899" width="9.140625" style="1387"/>
    <col min="5900" max="5900" width="17" style="1387" customWidth="1"/>
    <col min="5901" max="6150" width="9.140625" style="1387"/>
    <col min="6151" max="6152" width="17.85546875" style="1387" bestFit="1" customWidth="1"/>
    <col min="6153" max="6153" width="47.140625" style="1387" customWidth="1"/>
    <col min="6154" max="6154" width="11.85546875" style="1387" bestFit="1" customWidth="1"/>
    <col min="6155" max="6155" width="9.140625" style="1387"/>
    <col min="6156" max="6156" width="17" style="1387" customWidth="1"/>
    <col min="6157" max="6406" width="9.140625" style="1387"/>
    <col min="6407" max="6408" width="17.85546875" style="1387" bestFit="1" customWidth="1"/>
    <col min="6409" max="6409" width="47.140625" style="1387" customWidth="1"/>
    <col min="6410" max="6410" width="11.85546875" style="1387" bestFit="1" customWidth="1"/>
    <col min="6411" max="6411" width="9.140625" style="1387"/>
    <col min="6412" max="6412" width="17" style="1387" customWidth="1"/>
    <col min="6413" max="6662" width="9.140625" style="1387"/>
    <col min="6663" max="6664" width="17.85546875" style="1387" bestFit="1" customWidth="1"/>
    <col min="6665" max="6665" width="47.140625" style="1387" customWidth="1"/>
    <col min="6666" max="6666" width="11.85546875" style="1387" bestFit="1" customWidth="1"/>
    <col min="6667" max="6667" width="9.140625" style="1387"/>
    <col min="6668" max="6668" width="17" style="1387" customWidth="1"/>
    <col min="6669" max="6918" width="9.140625" style="1387"/>
    <col min="6919" max="6920" width="17.85546875" style="1387" bestFit="1" customWidth="1"/>
    <col min="6921" max="6921" width="47.140625" style="1387" customWidth="1"/>
    <col min="6922" max="6922" width="11.85546875" style="1387" bestFit="1" customWidth="1"/>
    <col min="6923" max="6923" width="9.140625" style="1387"/>
    <col min="6924" max="6924" width="17" style="1387" customWidth="1"/>
    <col min="6925" max="7174" width="9.140625" style="1387"/>
    <col min="7175" max="7176" width="17.85546875" style="1387" bestFit="1" customWidth="1"/>
    <col min="7177" max="7177" width="47.140625" style="1387" customWidth="1"/>
    <col min="7178" max="7178" width="11.85546875" style="1387" bestFit="1" customWidth="1"/>
    <col min="7179" max="7179" width="9.140625" style="1387"/>
    <col min="7180" max="7180" width="17" style="1387" customWidth="1"/>
    <col min="7181" max="7430" width="9.140625" style="1387"/>
    <col min="7431" max="7432" width="17.85546875" style="1387" bestFit="1" customWidth="1"/>
    <col min="7433" max="7433" width="47.140625" style="1387" customWidth="1"/>
    <col min="7434" max="7434" width="11.85546875" style="1387" bestFit="1" customWidth="1"/>
    <col min="7435" max="7435" width="9.140625" style="1387"/>
    <col min="7436" max="7436" width="17" style="1387" customWidth="1"/>
    <col min="7437" max="7686" width="9.140625" style="1387"/>
    <col min="7687" max="7688" width="17.85546875" style="1387" bestFit="1" customWidth="1"/>
    <col min="7689" max="7689" width="47.140625" style="1387" customWidth="1"/>
    <col min="7690" max="7690" width="11.85546875" style="1387" bestFit="1" customWidth="1"/>
    <col min="7691" max="7691" width="9.140625" style="1387"/>
    <col min="7692" max="7692" width="17" style="1387" customWidth="1"/>
    <col min="7693" max="7942" width="9.140625" style="1387"/>
    <col min="7943" max="7944" width="17.85546875" style="1387" bestFit="1" customWidth="1"/>
    <col min="7945" max="7945" width="47.140625" style="1387" customWidth="1"/>
    <col min="7946" max="7946" width="11.85546875" style="1387" bestFit="1" customWidth="1"/>
    <col min="7947" max="7947" width="9.140625" style="1387"/>
    <col min="7948" max="7948" width="17" style="1387" customWidth="1"/>
    <col min="7949" max="8198" width="9.140625" style="1387"/>
    <col min="8199" max="8200" width="17.85546875" style="1387" bestFit="1" customWidth="1"/>
    <col min="8201" max="8201" width="47.140625" style="1387" customWidth="1"/>
    <col min="8202" max="8202" width="11.85546875" style="1387" bestFit="1" customWidth="1"/>
    <col min="8203" max="8203" width="9.140625" style="1387"/>
    <col min="8204" max="8204" width="17" style="1387" customWidth="1"/>
    <col min="8205" max="8454" width="9.140625" style="1387"/>
    <col min="8455" max="8456" width="17.85546875" style="1387" bestFit="1" customWidth="1"/>
    <col min="8457" max="8457" width="47.140625" style="1387" customWidth="1"/>
    <col min="8458" max="8458" width="11.85546875" style="1387" bestFit="1" customWidth="1"/>
    <col min="8459" max="8459" width="9.140625" style="1387"/>
    <col min="8460" max="8460" width="17" style="1387" customWidth="1"/>
    <col min="8461" max="8710" width="9.140625" style="1387"/>
    <col min="8711" max="8712" width="17.85546875" style="1387" bestFit="1" customWidth="1"/>
    <col min="8713" max="8713" width="47.140625" style="1387" customWidth="1"/>
    <col min="8714" max="8714" width="11.85546875" style="1387" bestFit="1" customWidth="1"/>
    <col min="8715" max="8715" width="9.140625" style="1387"/>
    <col min="8716" max="8716" width="17" style="1387" customWidth="1"/>
    <col min="8717" max="8966" width="9.140625" style="1387"/>
    <col min="8967" max="8968" width="17.85546875" style="1387" bestFit="1" customWidth="1"/>
    <col min="8969" max="8969" width="47.140625" style="1387" customWidth="1"/>
    <col min="8970" max="8970" width="11.85546875" style="1387" bestFit="1" customWidth="1"/>
    <col min="8971" max="8971" width="9.140625" style="1387"/>
    <col min="8972" max="8972" width="17" style="1387" customWidth="1"/>
    <col min="8973" max="9222" width="9.140625" style="1387"/>
    <col min="9223" max="9224" width="17.85546875" style="1387" bestFit="1" customWidth="1"/>
    <col min="9225" max="9225" width="47.140625" style="1387" customWidth="1"/>
    <col min="9226" max="9226" width="11.85546875" style="1387" bestFit="1" customWidth="1"/>
    <col min="9227" max="9227" width="9.140625" style="1387"/>
    <col min="9228" max="9228" width="17" style="1387" customWidth="1"/>
    <col min="9229" max="9478" width="9.140625" style="1387"/>
    <col min="9479" max="9480" width="17.85546875" style="1387" bestFit="1" customWidth="1"/>
    <col min="9481" max="9481" width="47.140625" style="1387" customWidth="1"/>
    <col min="9482" max="9482" width="11.85546875" style="1387" bestFit="1" customWidth="1"/>
    <col min="9483" max="9483" width="9.140625" style="1387"/>
    <col min="9484" max="9484" width="17" style="1387" customWidth="1"/>
    <col min="9485" max="9734" width="9.140625" style="1387"/>
    <col min="9735" max="9736" width="17.85546875" style="1387" bestFit="1" customWidth="1"/>
    <col min="9737" max="9737" width="47.140625" style="1387" customWidth="1"/>
    <col min="9738" max="9738" width="11.85546875" style="1387" bestFit="1" customWidth="1"/>
    <col min="9739" max="9739" width="9.140625" style="1387"/>
    <col min="9740" max="9740" width="17" style="1387" customWidth="1"/>
    <col min="9741" max="9990" width="9.140625" style="1387"/>
    <col min="9991" max="9992" width="17.85546875" style="1387" bestFit="1" customWidth="1"/>
    <col min="9993" max="9993" width="47.140625" style="1387" customWidth="1"/>
    <col min="9994" max="9994" width="11.85546875" style="1387" bestFit="1" customWidth="1"/>
    <col min="9995" max="9995" width="9.140625" style="1387"/>
    <col min="9996" max="9996" width="17" style="1387" customWidth="1"/>
    <col min="9997" max="10246" width="9.140625" style="1387"/>
    <col min="10247" max="10248" width="17.85546875" style="1387" bestFit="1" customWidth="1"/>
    <col min="10249" max="10249" width="47.140625" style="1387" customWidth="1"/>
    <col min="10250" max="10250" width="11.85546875" style="1387" bestFit="1" customWidth="1"/>
    <col min="10251" max="10251" width="9.140625" style="1387"/>
    <col min="10252" max="10252" width="17" style="1387" customWidth="1"/>
    <col min="10253" max="10502" width="9.140625" style="1387"/>
    <col min="10503" max="10504" width="17.85546875" style="1387" bestFit="1" customWidth="1"/>
    <col min="10505" max="10505" width="47.140625" style="1387" customWidth="1"/>
    <col min="10506" max="10506" width="11.85546875" style="1387" bestFit="1" customWidth="1"/>
    <col min="10507" max="10507" width="9.140625" style="1387"/>
    <col min="10508" max="10508" width="17" style="1387" customWidth="1"/>
    <col min="10509" max="10758" width="9.140625" style="1387"/>
    <col min="10759" max="10760" width="17.85546875" style="1387" bestFit="1" customWidth="1"/>
    <col min="10761" max="10761" width="47.140625" style="1387" customWidth="1"/>
    <col min="10762" max="10762" width="11.85546875" style="1387" bestFit="1" customWidth="1"/>
    <col min="10763" max="10763" width="9.140625" style="1387"/>
    <col min="10764" max="10764" width="17" style="1387" customWidth="1"/>
    <col min="10765" max="11014" width="9.140625" style="1387"/>
    <col min="11015" max="11016" width="17.85546875" style="1387" bestFit="1" customWidth="1"/>
    <col min="11017" max="11017" width="47.140625" style="1387" customWidth="1"/>
    <col min="11018" max="11018" width="11.85546875" style="1387" bestFit="1" customWidth="1"/>
    <col min="11019" max="11019" width="9.140625" style="1387"/>
    <col min="11020" max="11020" width="17" style="1387" customWidth="1"/>
    <col min="11021" max="11270" width="9.140625" style="1387"/>
    <col min="11271" max="11272" width="17.85546875" style="1387" bestFit="1" customWidth="1"/>
    <col min="11273" max="11273" width="47.140625" style="1387" customWidth="1"/>
    <col min="11274" max="11274" width="11.85546875" style="1387" bestFit="1" customWidth="1"/>
    <col min="11275" max="11275" width="9.140625" style="1387"/>
    <col min="11276" max="11276" width="17" style="1387" customWidth="1"/>
    <col min="11277" max="11526" width="9.140625" style="1387"/>
    <col min="11527" max="11528" width="17.85546875" style="1387" bestFit="1" customWidth="1"/>
    <col min="11529" max="11529" width="47.140625" style="1387" customWidth="1"/>
    <col min="11530" max="11530" width="11.85546875" style="1387" bestFit="1" customWidth="1"/>
    <col min="11531" max="11531" width="9.140625" style="1387"/>
    <col min="11532" max="11532" width="17" style="1387" customWidth="1"/>
    <col min="11533" max="11782" width="9.140625" style="1387"/>
    <col min="11783" max="11784" width="17.85546875" style="1387" bestFit="1" customWidth="1"/>
    <col min="11785" max="11785" width="47.140625" style="1387" customWidth="1"/>
    <col min="11786" max="11786" width="11.85546875" style="1387" bestFit="1" customWidth="1"/>
    <col min="11787" max="11787" width="9.140625" style="1387"/>
    <col min="11788" max="11788" width="17" style="1387" customWidth="1"/>
    <col min="11789" max="12038" width="9.140625" style="1387"/>
    <col min="12039" max="12040" width="17.85546875" style="1387" bestFit="1" customWidth="1"/>
    <col min="12041" max="12041" width="47.140625" style="1387" customWidth="1"/>
    <col min="12042" max="12042" width="11.85546875" style="1387" bestFit="1" customWidth="1"/>
    <col min="12043" max="12043" width="9.140625" style="1387"/>
    <col min="12044" max="12044" width="17" style="1387" customWidth="1"/>
    <col min="12045" max="12294" width="9.140625" style="1387"/>
    <col min="12295" max="12296" width="17.85546875" style="1387" bestFit="1" customWidth="1"/>
    <col min="12297" max="12297" width="47.140625" style="1387" customWidth="1"/>
    <col min="12298" max="12298" width="11.85546875" style="1387" bestFit="1" customWidth="1"/>
    <col min="12299" max="12299" width="9.140625" style="1387"/>
    <col min="12300" max="12300" width="17" style="1387" customWidth="1"/>
    <col min="12301" max="12550" width="9.140625" style="1387"/>
    <col min="12551" max="12552" width="17.85546875" style="1387" bestFit="1" customWidth="1"/>
    <col min="12553" max="12553" width="47.140625" style="1387" customWidth="1"/>
    <col min="12554" max="12554" width="11.85546875" style="1387" bestFit="1" customWidth="1"/>
    <col min="12555" max="12555" width="9.140625" style="1387"/>
    <col min="12556" max="12556" width="17" style="1387" customWidth="1"/>
    <col min="12557" max="12806" width="9.140625" style="1387"/>
    <col min="12807" max="12808" width="17.85546875" style="1387" bestFit="1" customWidth="1"/>
    <col min="12809" max="12809" width="47.140625" style="1387" customWidth="1"/>
    <col min="12810" max="12810" width="11.85546875" style="1387" bestFit="1" customWidth="1"/>
    <col min="12811" max="12811" width="9.140625" style="1387"/>
    <col min="12812" max="12812" width="17" style="1387" customWidth="1"/>
    <col min="12813" max="13062" width="9.140625" style="1387"/>
    <col min="13063" max="13064" width="17.85546875" style="1387" bestFit="1" customWidth="1"/>
    <col min="13065" max="13065" width="47.140625" style="1387" customWidth="1"/>
    <col min="13066" max="13066" width="11.85546875" style="1387" bestFit="1" customWidth="1"/>
    <col min="13067" max="13067" width="9.140625" style="1387"/>
    <col min="13068" max="13068" width="17" style="1387" customWidth="1"/>
    <col min="13069" max="13318" width="9.140625" style="1387"/>
    <col min="13319" max="13320" width="17.85546875" style="1387" bestFit="1" customWidth="1"/>
    <col min="13321" max="13321" width="47.140625" style="1387" customWidth="1"/>
    <col min="13322" max="13322" width="11.85546875" style="1387" bestFit="1" customWidth="1"/>
    <col min="13323" max="13323" width="9.140625" style="1387"/>
    <col min="13324" max="13324" width="17" style="1387" customWidth="1"/>
    <col min="13325" max="13574" width="9.140625" style="1387"/>
    <col min="13575" max="13576" width="17.85546875" style="1387" bestFit="1" customWidth="1"/>
    <col min="13577" max="13577" width="47.140625" style="1387" customWidth="1"/>
    <col min="13578" max="13578" width="11.85546875" style="1387" bestFit="1" customWidth="1"/>
    <col min="13579" max="13579" width="9.140625" style="1387"/>
    <col min="13580" max="13580" width="17" style="1387" customWidth="1"/>
    <col min="13581" max="13830" width="9.140625" style="1387"/>
    <col min="13831" max="13832" width="17.85546875" style="1387" bestFit="1" customWidth="1"/>
    <col min="13833" max="13833" width="47.140625" style="1387" customWidth="1"/>
    <col min="13834" max="13834" width="11.85546875" style="1387" bestFit="1" customWidth="1"/>
    <col min="13835" max="13835" width="9.140625" style="1387"/>
    <col min="13836" max="13836" width="17" style="1387" customWidth="1"/>
    <col min="13837" max="14086" width="9.140625" style="1387"/>
    <col min="14087" max="14088" width="17.85546875" style="1387" bestFit="1" customWidth="1"/>
    <col min="14089" max="14089" width="47.140625" style="1387" customWidth="1"/>
    <col min="14090" max="14090" width="11.85546875" style="1387" bestFit="1" customWidth="1"/>
    <col min="14091" max="14091" width="9.140625" style="1387"/>
    <col min="14092" max="14092" width="17" style="1387" customWidth="1"/>
    <col min="14093" max="14342" width="9.140625" style="1387"/>
    <col min="14343" max="14344" width="17.85546875" style="1387" bestFit="1" customWidth="1"/>
    <col min="14345" max="14345" width="47.140625" style="1387" customWidth="1"/>
    <col min="14346" max="14346" width="11.85546875" style="1387" bestFit="1" customWidth="1"/>
    <col min="14347" max="14347" width="9.140625" style="1387"/>
    <col min="14348" max="14348" width="17" style="1387" customWidth="1"/>
    <col min="14349" max="14598" width="9.140625" style="1387"/>
    <col min="14599" max="14600" width="17.85546875" style="1387" bestFit="1" customWidth="1"/>
    <col min="14601" max="14601" width="47.140625" style="1387" customWidth="1"/>
    <col min="14602" max="14602" width="11.85546875" style="1387" bestFit="1" customWidth="1"/>
    <col min="14603" max="14603" width="9.140625" style="1387"/>
    <col min="14604" max="14604" width="17" style="1387" customWidth="1"/>
    <col min="14605" max="14854" width="9.140625" style="1387"/>
    <col min="14855" max="14856" width="17.85546875" style="1387" bestFit="1" customWidth="1"/>
    <col min="14857" max="14857" width="47.140625" style="1387" customWidth="1"/>
    <col min="14858" max="14858" width="11.85546875" style="1387" bestFit="1" customWidth="1"/>
    <col min="14859" max="14859" width="9.140625" style="1387"/>
    <col min="14860" max="14860" width="17" style="1387" customWidth="1"/>
    <col min="14861" max="15110" width="9.140625" style="1387"/>
    <col min="15111" max="15112" width="17.85546875" style="1387" bestFit="1" customWidth="1"/>
    <col min="15113" max="15113" width="47.140625" style="1387" customWidth="1"/>
    <col min="15114" max="15114" width="11.85546875" style="1387" bestFit="1" customWidth="1"/>
    <col min="15115" max="15115" width="9.140625" style="1387"/>
    <col min="15116" max="15116" width="17" style="1387" customWidth="1"/>
    <col min="15117" max="15366" width="9.140625" style="1387"/>
    <col min="15367" max="15368" width="17.85546875" style="1387" bestFit="1" customWidth="1"/>
    <col min="15369" max="15369" width="47.140625" style="1387" customWidth="1"/>
    <col min="15370" max="15370" width="11.85546875" style="1387" bestFit="1" customWidth="1"/>
    <col min="15371" max="15371" width="9.140625" style="1387"/>
    <col min="15372" max="15372" width="17" style="1387" customWidth="1"/>
    <col min="15373" max="15622" width="9.140625" style="1387"/>
    <col min="15623" max="15624" width="17.85546875" style="1387" bestFit="1" customWidth="1"/>
    <col min="15625" max="15625" width="47.140625" style="1387" customWidth="1"/>
    <col min="15626" max="15626" width="11.85546875" style="1387" bestFit="1" customWidth="1"/>
    <col min="15627" max="15627" width="9.140625" style="1387"/>
    <col min="15628" max="15628" width="17" style="1387" customWidth="1"/>
    <col min="15629" max="15878" width="9.140625" style="1387"/>
    <col min="15879" max="15880" width="17.85546875" style="1387" bestFit="1" customWidth="1"/>
    <col min="15881" max="15881" width="47.140625" style="1387" customWidth="1"/>
    <col min="15882" max="15882" width="11.85546875" style="1387" bestFit="1" customWidth="1"/>
    <col min="15883" max="15883" width="9.140625" style="1387"/>
    <col min="15884" max="15884" width="17" style="1387" customWidth="1"/>
    <col min="15885" max="16134" width="9.140625" style="1387"/>
    <col min="16135" max="16136" width="17.85546875" style="1387" bestFit="1" customWidth="1"/>
    <col min="16137" max="16137" width="47.140625" style="1387" customWidth="1"/>
    <col min="16138" max="16138" width="11.85546875" style="1387" bestFit="1" customWidth="1"/>
    <col min="16139" max="16139" width="9.140625" style="1387"/>
    <col min="16140" max="16140" width="17" style="1387" customWidth="1"/>
    <col min="16141" max="16384" width="9.140625" style="1387"/>
  </cols>
  <sheetData>
    <row r="1" spans="1:12" s="1859" customFormat="1" ht="12.75" customHeight="1">
      <c r="B1" s="2891"/>
      <c r="C1" s="2891"/>
      <c r="D1" s="2891"/>
      <c r="E1" s="2891"/>
      <c r="F1" s="2983" t="s">
        <v>0</v>
      </c>
      <c r="G1" s="2891"/>
      <c r="H1" s="2891"/>
      <c r="I1" s="1848" t="s">
        <v>1</v>
      </c>
      <c r="J1" s="1388"/>
    </row>
    <row r="2" spans="1:12" s="1859" customFormat="1" ht="12.75" customHeight="1">
      <c r="B2" s="2891"/>
      <c r="C2" s="2891"/>
      <c r="D2" s="2891"/>
      <c r="E2" s="2891"/>
      <c r="F2" s="2983" t="s">
        <v>2</v>
      </c>
      <c r="G2" s="2891"/>
      <c r="H2" s="2891"/>
      <c r="I2" s="1883"/>
      <c r="J2" s="1388"/>
    </row>
    <row r="3" spans="1:12" s="1859" customFormat="1" ht="12.75" customHeight="1">
      <c r="B3" s="2892"/>
      <c r="C3" s="2892"/>
      <c r="D3" s="2892"/>
      <c r="E3" s="2892"/>
      <c r="F3" s="2984" t="str">
        <f>SNP!K6</f>
        <v>For the Fiscal Year Ended June 30, 2021</v>
      </c>
      <c r="G3" s="2892"/>
      <c r="H3" s="2892"/>
      <c r="I3" s="1883"/>
      <c r="J3" s="1388"/>
    </row>
    <row r="4" spans="1:12" ht="12.75" customHeight="1">
      <c r="A4" s="2891"/>
      <c r="B4" s="2891"/>
      <c r="C4" s="2891"/>
      <c r="D4" s="2891"/>
      <c r="E4" s="2891"/>
      <c r="F4" s="2891"/>
      <c r="G4" s="43" t="s">
        <v>3</v>
      </c>
      <c r="H4" s="2953" t="str">
        <f>'Contact Information'!C3</f>
        <v>2021.v01</v>
      </c>
      <c r="I4" s="1883"/>
      <c r="K4" s="1859"/>
      <c r="L4" s="1859"/>
    </row>
    <row r="5" spans="1:12">
      <c r="A5" s="1389"/>
      <c r="B5" s="1390"/>
      <c r="C5" s="1859"/>
      <c r="D5" s="1391"/>
      <c r="E5" s="1391"/>
      <c r="F5" s="1391"/>
      <c r="G5" s="3708" t="s">
        <v>4</v>
      </c>
      <c r="H5" s="3709"/>
      <c r="I5" s="1883"/>
      <c r="K5" s="1859"/>
      <c r="L5" s="1859"/>
    </row>
    <row r="6" spans="1:12">
      <c r="A6" s="1389" t="s">
        <v>5</v>
      </c>
      <c r="B6" s="1390"/>
      <c r="C6" s="1859"/>
      <c r="D6" s="1391"/>
      <c r="E6" s="1391"/>
      <c r="F6" s="1391"/>
      <c r="G6" s="1392"/>
      <c r="H6" s="1393" t="s">
        <v>6</v>
      </c>
      <c r="I6" s="1883"/>
      <c r="K6" s="1859"/>
      <c r="L6" s="1859"/>
    </row>
    <row r="7" spans="1:12">
      <c r="A7" s="1389"/>
      <c r="B7" s="1394" t="str">
        <f>SNP!K3</f>
        <v>SAMPLE STATE COLLEGE</v>
      </c>
      <c r="C7" s="1859"/>
      <c r="D7" s="1395"/>
      <c r="E7" s="1395"/>
      <c r="F7" s="1395"/>
      <c r="G7" s="1396"/>
      <c r="H7" s="1397"/>
      <c r="I7" s="1883"/>
      <c r="K7" s="1859"/>
      <c r="L7" s="1859"/>
    </row>
    <row r="8" spans="1:12">
      <c r="A8" s="1398"/>
      <c r="B8" s="1390"/>
      <c r="C8" s="1859"/>
      <c r="D8" s="1395"/>
      <c r="E8" s="1391"/>
      <c r="F8" s="1395"/>
      <c r="G8" s="1399"/>
      <c r="H8" s="1399"/>
      <c r="I8" s="1883"/>
      <c r="K8" s="1859"/>
      <c r="L8" s="1859"/>
    </row>
    <row r="9" spans="1:12">
      <c r="A9" s="1400"/>
      <c r="B9" s="1614" t="e">
        <f>VLOOKUP(B7,I126:J153,2,FALSE)</f>
        <v>#N/A</v>
      </c>
      <c r="C9" s="3098"/>
      <c r="D9" s="1401"/>
      <c r="E9" s="2985"/>
      <c r="F9" s="1395"/>
      <c r="G9" s="1399"/>
      <c r="H9" s="1399"/>
      <c r="I9" s="1883"/>
      <c r="K9" s="1859"/>
      <c r="L9" s="1859"/>
    </row>
    <row r="10" spans="1:12">
      <c r="A10" s="1403"/>
      <c r="B10" s="1390" t="s">
        <v>7</v>
      </c>
      <c r="C10" s="1859" t="s">
        <v>8</v>
      </c>
      <c r="D10" s="1859" t="s">
        <v>9</v>
      </c>
      <c r="E10" s="2986" t="s">
        <v>10</v>
      </c>
      <c r="F10" s="1395"/>
      <c r="G10" s="1399"/>
      <c r="H10" s="1399"/>
      <c r="I10" s="1883"/>
      <c r="K10" s="1859"/>
      <c r="L10" s="1859"/>
    </row>
    <row r="11" spans="1:12">
      <c r="A11" s="1400" t="s">
        <v>11</v>
      </c>
      <c r="B11" s="1404" t="s">
        <v>12</v>
      </c>
      <c r="C11" s="1404"/>
      <c r="D11" s="1404"/>
      <c r="E11" s="1859"/>
      <c r="F11" s="1859"/>
      <c r="G11" s="1405" t="s">
        <v>13</v>
      </c>
      <c r="H11" s="1405" t="s">
        <v>14</v>
      </c>
      <c r="I11" s="1883"/>
      <c r="K11" s="1859"/>
      <c r="L11" s="1859"/>
    </row>
    <row r="12" spans="1:12">
      <c r="A12" s="1403"/>
      <c r="B12" s="1394"/>
      <c r="C12" s="1859"/>
      <c r="D12" s="1859"/>
      <c r="E12" s="1859"/>
      <c r="F12" s="1859"/>
      <c r="G12" s="1399"/>
      <c r="H12" s="1399"/>
      <c r="I12" s="1849"/>
      <c r="J12" s="1406"/>
      <c r="K12" s="1407"/>
      <c r="L12" s="1407"/>
    </row>
    <row r="13" spans="1:12">
      <c r="A13" s="1862">
        <v>111</v>
      </c>
      <c r="B13" s="1408" t="s">
        <v>15</v>
      </c>
      <c r="C13" s="1409"/>
      <c r="D13" s="1409"/>
      <c r="E13" s="1409"/>
      <c r="F13" s="1409"/>
      <c r="G13" s="3272">
        <f>DOEFSDownload!F110</f>
        <v>0</v>
      </c>
      <c r="H13" s="3273"/>
      <c r="I13" s="1850"/>
      <c r="J13" s="1399"/>
      <c r="K13" s="1410"/>
      <c r="L13" s="1410"/>
    </row>
    <row r="14" spans="1:12">
      <c r="A14" s="1889">
        <v>112</v>
      </c>
      <c r="B14" s="1887" t="s">
        <v>16</v>
      </c>
      <c r="C14" s="1888"/>
      <c r="D14" s="1888"/>
      <c r="E14" s="1888"/>
      <c r="F14" s="1888"/>
      <c r="G14" s="3272">
        <f>IF((DOEFSDownload!F111&lt;0),((DOEFSDownload!F111)*0),(DOEFSDownload!F111))</f>
        <v>0</v>
      </c>
      <c r="H14" s="3274" t="str">
        <f>IF((DOEFSDownload!F111&lt;0),ABS(((DOEFSDownload!F111))),"")</f>
        <v/>
      </c>
      <c r="I14" s="1850"/>
      <c r="J14" s="1399"/>
      <c r="K14" s="1410"/>
      <c r="L14" s="1410"/>
    </row>
    <row r="15" spans="1:12">
      <c r="A15" s="1889">
        <v>113</v>
      </c>
      <c r="B15" s="1887" t="s">
        <v>17</v>
      </c>
      <c r="C15" s="1888"/>
      <c r="D15" s="1888"/>
      <c r="E15" s="1888"/>
      <c r="F15" s="1888"/>
      <c r="G15" s="3272">
        <f>DOEFSDownload!F113</f>
        <v>0</v>
      </c>
      <c r="H15" s="3274"/>
      <c r="I15" s="1850"/>
      <c r="J15" s="1399"/>
      <c r="K15" s="1410"/>
      <c r="L15" s="1410"/>
    </row>
    <row r="16" spans="1:12">
      <c r="A16" s="1889">
        <v>123</v>
      </c>
      <c r="B16" s="1887" t="s">
        <v>18</v>
      </c>
      <c r="C16" s="1888"/>
      <c r="D16" s="1888"/>
      <c r="E16" s="1888"/>
      <c r="F16" s="1888"/>
      <c r="G16" s="3272">
        <f>DOEFSDownload!F115</f>
        <v>0</v>
      </c>
      <c r="H16" s="3274"/>
      <c r="I16" s="1850"/>
      <c r="J16" s="1399"/>
      <c r="K16" s="1410"/>
      <c r="L16" s="1410"/>
    </row>
    <row r="17" spans="1:12">
      <c r="A17" s="1889">
        <v>142</v>
      </c>
      <c r="B17" s="1887" t="s">
        <v>19</v>
      </c>
      <c r="C17" s="1888"/>
      <c r="D17" s="1888"/>
      <c r="E17" s="1888"/>
      <c r="F17" s="1888"/>
      <c r="G17" s="3272">
        <f>DOEFSDownload!F117</f>
        <v>0</v>
      </c>
      <c r="H17" s="3274"/>
      <c r="I17" s="1850"/>
      <c r="J17" s="1399"/>
      <c r="K17" s="1410"/>
      <c r="L17" s="1410"/>
    </row>
    <row r="18" spans="1:12">
      <c r="A18" s="1889">
        <v>147</v>
      </c>
      <c r="B18" s="1887" t="s">
        <v>20</v>
      </c>
      <c r="C18" s="1888"/>
      <c r="D18" s="1888"/>
      <c r="E18" s="1888"/>
      <c r="F18" s="1888"/>
      <c r="G18" s="3272">
        <f>DOEFSDownload!F119</f>
        <v>0</v>
      </c>
      <c r="H18" s="3274"/>
      <c r="I18" s="1850"/>
      <c r="J18" s="1399"/>
      <c r="K18" s="1410"/>
      <c r="L18" s="1410"/>
    </row>
    <row r="19" spans="1:12">
      <c r="A19" s="1889">
        <v>151</v>
      </c>
      <c r="B19" s="1887" t="s">
        <v>21</v>
      </c>
      <c r="C19" s="1888"/>
      <c r="D19" s="1888"/>
      <c r="E19" s="1888"/>
      <c r="F19" s="1888"/>
      <c r="G19" s="3272">
        <f>DOEFSDownload!F137</f>
        <v>0</v>
      </c>
      <c r="H19" s="3274"/>
      <c r="I19" s="1850"/>
      <c r="J19" s="1399"/>
      <c r="K19" s="1410"/>
      <c r="L19" s="1410"/>
    </row>
    <row r="20" spans="1:12">
      <c r="A20" s="1889">
        <v>154</v>
      </c>
      <c r="B20" s="1887" t="s">
        <v>22</v>
      </c>
      <c r="C20" s="1888"/>
      <c r="D20" s="1888"/>
      <c r="E20" s="1888"/>
      <c r="F20" s="1888"/>
      <c r="G20" s="3272">
        <f>DOEFSDownload!F139</f>
        <v>0</v>
      </c>
      <c r="H20" s="3274"/>
      <c r="I20" s="1850"/>
      <c r="J20" s="1399"/>
      <c r="K20" s="1410"/>
      <c r="L20" s="1410"/>
    </row>
    <row r="21" spans="1:12">
      <c r="A21" s="1889">
        <v>159</v>
      </c>
      <c r="B21" s="1887" t="s">
        <v>23</v>
      </c>
      <c r="C21" s="1888"/>
      <c r="D21" s="1888"/>
      <c r="E21" s="1888"/>
      <c r="F21" s="1888"/>
      <c r="G21" s="3272">
        <f>DOEFSDownload!F138+DOEFSDownload!F140</f>
        <v>0</v>
      </c>
      <c r="H21" s="3275"/>
      <c r="I21" s="1850"/>
      <c r="J21" s="1399"/>
      <c r="K21" s="1410"/>
      <c r="L21" s="1410"/>
    </row>
    <row r="22" spans="1:12" s="67" customFormat="1" ht="15">
      <c r="A22" s="1457">
        <v>165</v>
      </c>
      <c r="B22" s="1411" t="s">
        <v>24</v>
      </c>
      <c r="C22" s="1412"/>
      <c r="D22" s="1412"/>
      <c r="E22" s="1412"/>
      <c r="F22" s="1412"/>
      <c r="G22" s="3272">
        <f>DOEFSDownload!F7</f>
        <v>0</v>
      </c>
      <c r="H22" s="3276"/>
      <c r="I22" s="1850"/>
      <c r="J22" s="1399"/>
      <c r="K22" s="1413"/>
      <c r="L22" s="1413"/>
    </row>
    <row r="23" spans="1:12" s="67" customFormat="1" ht="15">
      <c r="A23" s="1457">
        <v>167</v>
      </c>
      <c r="B23" s="1411" t="s">
        <v>25</v>
      </c>
      <c r="C23" s="1412"/>
      <c r="D23" s="1412"/>
      <c r="E23" s="1412"/>
      <c r="F23" s="1412"/>
      <c r="G23" s="3272">
        <f>DOEFSDownload!F8</f>
        <v>0</v>
      </c>
      <c r="H23" s="3276"/>
      <c r="I23" s="1850"/>
      <c r="J23" s="1399"/>
      <c r="K23" s="1413"/>
      <c r="L23" s="1413"/>
    </row>
    <row r="24" spans="1:12">
      <c r="A24" s="1889">
        <v>171</v>
      </c>
      <c r="B24" s="1887" t="s">
        <v>26</v>
      </c>
      <c r="C24" s="1888"/>
      <c r="D24" s="1888"/>
      <c r="E24" s="1888"/>
      <c r="F24" s="1888"/>
      <c r="G24" s="3272">
        <f>DOEFSDownload!F9</f>
        <v>0</v>
      </c>
      <c r="H24" s="3274"/>
      <c r="I24" s="1850"/>
      <c r="J24" s="1399"/>
      <c r="K24" s="1886"/>
      <c r="L24" s="1886"/>
    </row>
    <row r="25" spans="1:12">
      <c r="A25" s="1889">
        <v>191</v>
      </c>
      <c r="B25" s="1887" t="s">
        <v>27</v>
      </c>
      <c r="C25" s="1888"/>
      <c r="D25" s="1888"/>
      <c r="E25" s="1888"/>
      <c r="F25" s="1888"/>
      <c r="G25" s="3272">
        <f>DOEFSDownload!F10</f>
        <v>0</v>
      </c>
      <c r="H25" s="3274"/>
      <c r="I25" s="1850"/>
      <c r="J25" s="1399"/>
      <c r="K25" s="1886"/>
      <c r="L25" s="1886"/>
    </row>
    <row r="26" spans="1:12">
      <c r="A26" s="1889">
        <v>192</v>
      </c>
      <c r="B26" s="1887" t="s">
        <v>28</v>
      </c>
      <c r="C26" s="1888"/>
      <c r="D26" s="1888"/>
      <c r="E26" s="1888"/>
      <c r="F26" s="1888"/>
      <c r="G26" s="3272">
        <f>DOEFSDownload!F11</f>
        <v>0</v>
      </c>
      <c r="H26" s="3274"/>
      <c r="I26" s="1851"/>
      <c r="J26" s="1399"/>
      <c r="K26" s="1886"/>
      <c r="L26" s="1886"/>
    </row>
    <row r="27" spans="1:12">
      <c r="A27" s="1889">
        <v>199</v>
      </c>
      <c r="B27" s="1887" t="s">
        <v>29</v>
      </c>
      <c r="C27" s="1888"/>
      <c r="D27" s="1888"/>
      <c r="E27" s="1888"/>
      <c r="F27" s="1888"/>
      <c r="G27" s="3272">
        <f>IF((DOEFSDownload!F12&lt;0),((DOEFSDownload!F12)*0),(DOEFSDownload!F12))</f>
        <v>0</v>
      </c>
      <c r="H27" s="3274" t="str">
        <f>IF((DOEFSDownload!F12&lt;0),ABS(((DOEFSDownload!F12))),"")</f>
        <v/>
      </c>
      <c r="I27" s="1851"/>
      <c r="J27" s="1399"/>
      <c r="K27" s="1410"/>
      <c r="L27" s="1410"/>
    </row>
    <row r="28" spans="1:12">
      <c r="A28" s="1889">
        <v>222</v>
      </c>
      <c r="B28" s="1887" t="s">
        <v>30</v>
      </c>
      <c r="C28" s="1888"/>
      <c r="D28" s="1888"/>
      <c r="E28" s="1888"/>
      <c r="F28" s="1888"/>
      <c r="G28" s="3272">
        <f>DOEFSDownload!F112</f>
        <v>0</v>
      </c>
      <c r="H28" s="3277"/>
      <c r="I28" s="1890"/>
      <c r="J28" s="1399"/>
      <c r="K28" s="1886"/>
      <c r="L28" s="1886"/>
    </row>
    <row r="29" spans="1:12">
      <c r="A29" s="1889">
        <v>223</v>
      </c>
      <c r="B29" s="1887" t="s">
        <v>31</v>
      </c>
      <c r="C29" s="1888"/>
      <c r="D29" s="1888"/>
      <c r="E29" s="1888"/>
      <c r="F29" s="1888"/>
      <c r="G29" s="3272">
        <f>DOEFSDownload!F114</f>
        <v>0</v>
      </c>
      <c r="H29" s="3277"/>
      <c r="I29" s="1890"/>
      <c r="J29" s="1399"/>
      <c r="K29" s="1886"/>
      <c r="L29" s="1886"/>
    </row>
    <row r="30" spans="1:12">
      <c r="A30" s="1889">
        <v>224</v>
      </c>
      <c r="B30" s="1887" t="s">
        <v>32</v>
      </c>
      <c r="C30" s="1888"/>
      <c r="D30" s="1888"/>
      <c r="E30" s="1888"/>
      <c r="F30" s="1888"/>
      <c r="G30" s="3272">
        <f>DOEFSDownload!F116</f>
        <v>0</v>
      </c>
      <c r="H30" s="3277"/>
      <c r="I30" s="1890"/>
      <c r="J30" s="1399"/>
      <c r="K30" s="1886"/>
      <c r="L30" s="1886"/>
    </row>
    <row r="31" spans="1:12">
      <c r="A31" s="1889">
        <v>226</v>
      </c>
      <c r="B31" s="1887" t="s">
        <v>33</v>
      </c>
      <c r="C31" s="1888"/>
      <c r="D31" s="1888"/>
      <c r="E31" s="1888"/>
      <c r="F31" s="1888"/>
      <c r="G31" s="3272">
        <f>DOEFSDownload!F118</f>
        <v>0</v>
      </c>
      <c r="H31" s="3277"/>
      <c r="I31" s="1890"/>
      <c r="J31" s="1399"/>
      <c r="K31" s="1886"/>
      <c r="L31" s="1886"/>
    </row>
    <row r="32" spans="1:12">
      <c r="A32" s="1889">
        <v>227</v>
      </c>
      <c r="B32" s="1887" t="s">
        <v>34</v>
      </c>
      <c r="C32" s="1888"/>
      <c r="D32" s="1888"/>
      <c r="E32" s="1888"/>
      <c r="F32" s="1888"/>
      <c r="G32" s="3278">
        <f>DOEFSDownload!F120</f>
        <v>0</v>
      </c>
      <c r="H32" s="3277"/>
      <c r="I32" s="1890"/>
      <c r="J32" s="1399"/>
      <c r="K32" s="1886"/>
      <c r="L32" s="1886"/>
    </row>
    <row r="33" spans="1:12" s="1844" customFormat="1" ht="15">
      <c r="A33" s="1889">
        <v>235</v>
      </c>
      <c r="B33" s="1887" t="s">
        <v>35</v>
      </c>
      <c r="C33" s="1888"/>
      <c r="D33" s="1888"/>
      <c r="E33" s="1888"/>
      <c r="F33" s="1888"/>
      <c r="G33" s="3278">
        <f>DOEFSDownload!F23</f>
        <v>0</v>
      </c>
      <c r="H33" s="3277"/>
      <c r="I33" s="1890"/>
      <c r="J33" s="1863"/>
      <c r="K33" s="1886"/>
      <c r="L33" s="1886"/>
    </row>
    <row r="34" spans="1:12" s="1844" customFormat="1" ht="15">
      <c r="A34" s="1889">
        <v>236</v>
      </c>
      <c r="B34" s="1887" t="s">
        <v>36</v>
      </c>
      <c r="C34" s="1888"/>
      <c r="D34" s="1888"/>
      <c r="E34" s="1888"/>
      <c r="F34" s="1888"/>
      <c r="G34" s="3278">
        <f>DOEFSDownload!F24</f>
        <v>0</v>
      </c>
      <c r="H34" s="3277"/>
      <c r="I34" s="1890"/>
      <c r="J34" s="1863"/>
      <c r="K34" s="1886"/>
      <c r="L34" s="1886"/>
    </row>
    <row r="35" spans="1:12" s="1859" customFormat="1" ht="15">
      <c r="A35" s="1889">
        <v>238</v>
      </c>
      <c r="B35" s="1887" t="s">
        <v>37</v>
      </c>
      <c r="C35" s="1888"/>
      <c r="D35" s="1888"/>
      <c r="E35" s="1888"/>
      <c r="F35" s="1888"/>
      <c r="G35" s="3278">
        <f>DOEFSDownload!F25</f>
        <v>0</v>
      </c>
      <c r="H35" s="3277"/>
      <c r="I35" s="1890"/>
      <c r="J35" s="1863"/>
      <c r="K35" s="1886"/>
      <c r="L35" s="1886"/>
    </row>
    <row r="36" spans="1:12" s="1859" customFormat="1" ht="15">
      <c r="A36" s="1889">
        <v>239</v>
      </c>
      <c r="B36" s="1887" t="s">
        <v>38</v>
      </c>
      <c r="C36" s="1888"/>
      <c r="D36" s="1888"/>
      <c r="E36" s="1888"/>
      <c r="F36" s="1888"/>
      <c r="G36" s="3278">
        <f>DOEFSDownload!F26</f>
        <v>0</v>
      </c>
      <c r="H36" s="3277"/>
      <c r="I36" s="1890"/>
      <c r="J36" s="1863"/>
      <c r="K36" s="1886"/>
      <c r="L36" s="1886"/>
    </row>
    <row r="37" spans="1:12" s="1859" customFormat="1" ht="15">
      <c r="A37" s="1889">
        <v>252</v>
      </c>
      <c r="B37" s="1887" t="s">
        <v>39</v>
      </c>
      <c r="C37" s="1888"/>
      <c r="D37" s="1888"/>
      <c r="E37" s="1888"/>
      <c r="F37" s="1888"/>
      <c r="G37" s="3278">
        <f>DOEFSDownload!F17</f>
        <v>0</v>
      </c>
      <c r="H37" s="3277"/>
      <c r="I37" s="1890"/>
      <c r="J37" s="1863"/>
      <c r="K37" s="1886"/>
      <c r="L37" s="1886"/>
    </row>
    <row r="38" spans="1:12">
      <c r="A38" s="1889">
        <v>266</v>
      </c>
      <c r="B38" s="1414" t="s">
        <v>40</v>
      </c>
      <c r="C38" s="1415"/>
      <c r="D38" s="1415"/>
      <c r="E38" s="1415"/>
      <c r="F38" s="1415"/>
      <c r="G38" s="3278" t="e">
        <f>DOEFSDownload!F122</f>
        <v>#N/A</v>
      </c>
      <c r="H38" s="3275"/>
      <c r="I38" s="1852"/>
      <c r="K38" s="1859"/>
      <c r="L38" s="1859"/>
    </row>
    <row r="39" spans="1:12">
      <c r="A39" s="1889">
        <v>267</v>
      </c>
      <c r="B39" s="1414" t="s">
        <v>41</v>
      </c>
      <c r="C39" s="1415"/>
      <c r="D39" s="1415"/>
      <c r="E39" s="1415"/>
      <c r="F39" s="1415"/>
      <c r="G39" s="3278" t="e">
        <f>DOEFSDownload!F128</f>
        <v>#N/A</v>
      </c>
      <c r="H39" s="3275"/>
      <c r="I39" s="1852"/>
      <c r="K39" s="1859"/>
      <c r="L39" s="1859"/>
    </row>
    <row r="40" spans="1:12">
      <c r="A40" s="1889">
        <v>268</v>
      </c>
      <c r="B40" s="1414" t="s">
        <v>42</v>
      </c>
      <c r="C40" s="1415"/>
      <c r="D40" s="1415"/>
      <c r="E40" s="1415"/>
      <c r="F40" s="1415"/>
      <c r="G40" s="3279"/>
      <c r="H40" s="3278" t="e">
        <f>-DOEFSDownload!F134</f>
        <v>#N/A</v>
      </c>
      <c r="I40" s="1852"/>
      <c r="K40" s="1859"/>
      <c r="L40" s="1859"/>
    </row>
    <row r="41" spans="1:12">
      <c r="A41" s="1889">
        <v>271</v>
      </c>
      <c r="B41" s="1414" t="s">
        <v>43</v>
      </c>
      <c r="C41" s="1415"/>
      <c r="D41" s="1415"/>
      <c r="E41" s="1415"/>
      <c r="F41" s="1415"/>
      <c r="G41" s="3278" t="e">
        <f>DOEFSDownload!F121+DOEFSDownload!F123</f>
        <v>#N/A</v>
      </c>
      <c r="H41" s="3275"/>
      <c r="I41" s="1852"/>
      <c r="K41" s="1859"/>
      <c r="L41" s="1859"/>
    </row>
    <row r="42" spans="1:12">
      <c r="A42" s="1889">
        <v>272</v>
      </c>
      <c r="B42" s="1414" t="s">
        <v>44</v>
      </c>
      <c r="C42" s="1415"/>
      <c r="D42" s="1415"/>
      <c r="E42" s="1415"/>
      <c r="F42" s="1415"/>
      <c r="G42" s="3278" t="e">
        <f>DOEFSDownload!F125</f>
        <v>#N/A</v>
      </c>
      <c r="H42" s="3275"/>
      <c r="I42" s="1852"/>
      <c r="K42" s="1859"/>
      <c r="L42" s="1859"/>
    </row>
    <row r="43" spans="1:12">
      <c r="A43" s="1889">
        <v>273</v>
      </c>
      <c r="B43" s="1414" t="s">
        <v>45</v>
      </c>
      <c r="C43" s="1415"/>
      <c r="D43" s="1415"/>
      <c r="E43" s="1415"/>
      <c r="F43" s="1415"/>
      <c r="G43" s="3279"/>
      <c r="H43" s="3278" t="e">
        <f>-DOEFSDownload!F131</f>
        <v>#N/A</v>
      </c>
      <c r="I43" s="1852"/>
      <c r="K43" s="1859"/>
      <c r="L43" s="1859"/>
    </row>
    <row r="44" spans="1:12">
      <c r="A44" s="1889">
        <v>274</v>
      </c>
      <c r="B44" s="1414" t="s">
        <v>46</v>
      </c>
      <c r="C44" s="1415"/>
      <c r="D44" s="1415"/>
      <c r="E44" s="1415"/>
      <c r="F44" s="1415"/>
      <c r="G44" s="3278" t="e">
        <f>DOEFSDownload!F126</f>
        <v>#N/A</v>
      </c>
      <c r="H44" s="3275"/>
      <c r="I44" s="1852"/>
      <c r="K44" s="1859"/>
      <c r="L44" s="1859"/>
    </row>
    <row r="45" spans="1:12">
      <c r="A45" s="1889">
        <v>275</v>
      </c>
      <c r="B45" s="1414" t="s">
        <v>47</v>
      </c>
      <c r="C45" s="1415"/>
      <c r="D45" s="1415"/>
      <c r="E45" s="1415"/>
      <c r="F45" s="1415"/>
      <c r="G45" s="3279"/>
      <c r="H45" s="3278" t="e">
        <f>-DOEFSDownload!F132</f>
        <v>#N/A</v>
      </c>
      <c r="I45" s="1852"/>
      <c r="K45" s="1859"/>
      <c r="L45" s="1859"/>
    </row>
    <row r="46" spans="1:12">
      <c r="A46" s="1889">
        <v>276</v>
      </c>
      <c r="B46" s="1414" t="s">
        <v>48</v>
      </c>
      <c r="C46" s="1415"/>
      <c r="D46" s="1415"/>
      <c r="E46" s="1415"/>
      <c r="F46" s="1415"/>
      <c r="G46" s="3278" t="e">
        <f>DOEFSDownload!F127</f>
        <v>#N/A</v>
      </c>
      <c r="H46" s="3275"/>
      <c r="I46" s="1852"/>
      <c r="K46" s="1859"/>
      <c r="L46" s="1859"/>
    </row>
    <row r="47" spans="1:12">
      <c r="A47" s="1889">
        <v>277</v>
      </c>
      <c r="B47" s="1414" t="s">
        <v>49</v>
      </c>
      <c r="C47" s="1415"/>
      <c r="D47" s="1415"/>
      <c r="E47" s="1415"/>
      <c r="F47" s="1415"/>
      <c r="G47" s="3279"/>
      <c r="H47" s="3278" t="e">
        <f>-DOEFSDownload!F133</f>
        <v>#N/A</v>
      </c>
      <c r="I47" s="1852"/>
      <c r="K47" s="1859"/>
      <c r="L47" s="1859"/>
    </row>
    <row r="48" spans="1:12">
      <c r="A48" s="1889">
        <v>278</v>
      </c>
      <c r="B48" s="1414" t="s">
        <v>50</v>
      </c>
      <c r="C48" s="1415"/>
      <c r="D48" s="1415"/>
      <c r="E48" s="1415"/>
      <c r="F48" s="1415"/>
      <c r="G48" s="3278" t="e">
        <f>DOEFSDownload!F124</f>
        <v>#N/A</v>
      </c>
      <c r="H48" s="3275"/>
      <c r="I48" s="1852"/>
      <c r="K48" s="1859"/>
      <c r="L48" s="1859"/>
    </row>
    <row r="49" spans="1:12">
      <c r="A49" s="1889">
        <v>284</v>
      </c>
      <c r="B49" s="1414" t="s">
        <v>51</v>
      </c>
      <c r="C49" s="1415"/>
      <c r="D49" s="1415"/>
      <c r="E49" s="1415"/>
      <c r="F49" s="1415"/>
      <c r="G49" s="3278" t="e">
        <f>DOEFSDownload!F129</f>
        <v>#N/A</v>
      </c>
      <c r="H49" s="3275"/>
      <c r="I49" s="1852"/>
      <c r="K49" s="1859"/>
      <c r="L49" s="1859"/>
    </row>
    <row r="50" spans="1:12">
      <c r="A50" s="1889">
        <v>285</v>
      </c>
      <c r="B50" s="1414" t="s">
        <v>52</v>
      </c>
      <c r="C50" s="1415"/>
      <c r="D50" s="1415"/>
      <c r="E50" s="1415"/>
      <c r="F50" s="1415"/>
      <c r="G50" s="3279"/>
      <c r="H50" s="3278" t="e">
        <f>-DOEFSDownload!F135</f>
        <v>#N/A</v>
      </c>
      <c r="I50" s="1852"/>
      <c r="K50" s="1859"/>
      <c r="L50" s="1859"/>
    </row>
    <row r="51" spans="1:12">
      <c r="A51" s="1889">
        <v>288</v>
      </c>
      <c r="B51" s="1414" t="s">
        <v>53</v>
      </c>
      <c r="C51" s="1415"/>
      <c r="D51" s="1415"/>
      <c r="E51" s="1415"/>
      <c r="F51" s="1415"/>
      <c r="G51" s="3278" t="e">
        <f>DOEFSDownload!F130</f>
        <v>#N/A</v>
      </c>
      <c r="H51" s="3275"/>
      <c r="I51" s="1852"/>
      <c r="K51" s="1859"/>
      <c r="L51" s="1859"/>
    </row>
    <row r="52" spans="1:12">
      <c r="A52" s="1889">
        <v>289</v>
      </c>
      <c r="B52" s="1414" t="s">
        <v>54</v>
      </c>
      <c r="C52" s="1415"/>
      <c r="D52" s="1415"/>
      <c r="E52" s="1415"/>
      <c r="F52" s="1415"/>
      <c r="G52" s="3279"/>
      <c r="H52" s="3278" t="e">
        <f>-DOEFSDownload!F136</f>
        <v>#N/A</v>
      </c>
      <c r="I52" s="1852"/>
      <c r="K52" s="1859"/>
      <c r="L52" s="1859"/>
    </row>
    <row r="53" spans="1:12">
      <c r="A53" s="1458">
        <v>299</v>
      </c>
      <c r="B53" s="1417" t="s">
        <v>55</v>
      </c>
      <c r="C53" s="1418"/>
      <c r="D53" s="1418"/>
      <c r="E53" s="1418"/>
      <c r="F53" s="1418"/>
      <c r="G53" s="3272">
        <f>DOEFSDownload!F21</f>
        <v>0</v>
      </c>
      <c r="H53" s="3275"/>
      <c r="I53" s="1917">
        <f>SNP!P51</f>
        <v>0</v>
      </c>
      <c r="J53" s="1423"/>
      <c r="K53" s="1859"/>
      <c r="L53" s="1859"/>
    </row>
    <row r="54" spans="1:12">
      <c r="A54" s="1862">
        <v>311</v>
      </c>
      <c r="B54" s="1414" t="s">
        <v>56</v>
      </c>
      <c r="C54" s="1409"/>
      <c r="D54" s="1409"/>
      <c r="E54" s="1409"/>
      <c r="F54" s="1409"/>
      <c r="G54" s="3279"/>
      <c r="H54" s="3272">
        <f>DOEFSDownload!F28</f>
        <v>0</v>
      </c>
      <c r="I54" s="1850" t="e">
        <f>SUM(G13:G53)-SUM(H13:H53)</f>
        <v>#N/A</v>
      </c>
      <c r="J54" s="1893" t="e">
        <f>I53-I54</f>
        <v>#N/A</v>
      </c>
      <c r="K54" s="1886"/>
      <c r="L54" s="1886"/>
    </row>
    <row r="55" spans="1:12">
      <c r="A55" s="1862">
        <v>313</v>
      </c>
      <c r="B55" s="1414" t="s">
        <v>57</v>
      </c>
      <c r="C55" s="1409"/>
      <c r="D55" s="1409"/>
      <c r="E55" s="1409"/>
      <c r="F55" s="1409"/>
      <c r="G55" s="3279"/>
      <c r="H55" s="3272">
        <f>DOEFSDownload!F31</f>
        <v>0</v>
      </c>
      <c r="I55" s="1890"/>
      <c r="J55" s="1399"/>
      <c r="K55" s="1886"/>
      <c r="L55" s="1886"/>
    </row>
    <row r="56" spans="1:12">
      <c r="A56" s="1889">
        <v>314</v>
      </c>
      <c r="B56" s="1414" t="s">
        <v>58</v>
      </c>
      <c r="C56" s="1888"/>
      <c r="D56" s="1888"/>
      <c r="E56" s="1888"/>
      <c r="F56" s="1888"/>
      <c r="G56" s="3279"/>
      <c r="H56" s="3272">
        <f>DOEFSDownload!F35</f>
        <v>0</v>
      </c>
      <c r="I56" s="1890"/>
      <c r="J56" s="1399"/>
      <c r="K56" s="1886"/>
      <c r="L56" s="1886"/>
    </row>
    <row r="57" spans="1:12">
      <c r="A57" s="1889">
        <v>321</v>
      </c>
      <c r="B57" s="1414" t="s">
        <v>59</v>
      </c>
      <c r="C57" s="1888"/>
      <c r="D57" s="1888"/>
      <c r="E57" s="1888"/>
      <c r="F57" s="1888"/>
      <c r="G57" s="3279"/>
      <c r="H57" s="3272">
        <f>DOEFSDownload!F30</f>
        <v>0</v>
      </c>
      <c r="I57" s="1890"/>
      <c r="J57" s="1399"/>
      <c r="K57" s="1886"/>
      <c r="L57" s="1886"/>
    </row>
    <row r="58" spans="1:12">
      <c r="A58" s="1889">
        <v>329</v>
      </c>
      <c r="B58" s="1414" t="s">
        <v>60</v>
      </c>
      <c r="C58" s="1888"/>
      <c r="D58" s="1888"/>
      <c r="E58" s="1888"/>
      <c r="F58" s="1888"/>
      <c r="G58" s="3279"/>
      <c r="H58" s="3272">
        <f>DOEFSDownload!F29</f>
        <v>0</v>
      </c>
      <c r="I58" s="1890"/>
      <c r="J58" s="1399"/>
      <c r="K58" s="1886"/>
      <c r="L58" s="1886"/>
    </row>
    <row r="59" spans="1:12">
      <c r="A59" s="1889">
        <v>331</v>
      </c>
      <c r="B59" s="1414" t="s">
        <v>61</v>
      </c>
      <c r="C59" s="1888"/>
      <c r="D59" s="1888"/>
      <c r="E59" s="1888"/>
      <c r="F59" s="1888"/>
      <c r="G59" s="3279"/>
      <c r="H59" s="3272">
        <f>DOEFSDownload!F36</f>
        <v>0</v>
      </c>
      <c r="I59" s="1890"/>
      <c r="J59" s="1399"/>
      <c r="K59" s="1886"/>
      <c r="L59" s="1886"/>
    </row>
    <row r="60" spans="1:12">
      <c r="A60" s="1889">
        <v>355</v>
      </c>
      <c r="B60" s="1414" t="s">
        <v>62</v>
      </c>
      <c r="C60" s="1888"/>
      <c r="D60" s="1888"/>
      <c r="E60" s="1888"/>
      <c r="F60" s="1888"/>
      <c r="G60" s="3279"/>
      <c r="H60" s="3272">
        <f>DOEFSDownload!F32</f>
        <v>0</v>
      </c>
      <c r="I60" s="1890"/>
      <c r="J60" s="1399"/>
      <c r="K60" s="1886"/>
      <c r="L60" s="1886"/>
    </row>
    <row r="61" spans="1:12">
      <c r="A61" s="1889">
        <v>357</v>
      </c>
      <c r="B61" s="1414" t="s">
        <v>63</v>
      </c>
      <c r="C61" s="1888"/>
      <c r="D61" s="1888"/>
      <c r="E61" s="1888"/>
      <c r="F61" s="1888"/>
      <c r="G61" s="3279"/>
      <c r="H61" s="3272">
        <f>DOEFSDownload!F33</f>
        <v>0</v>
      </c>
      <c r="I61" s="1890"/>
      <c r="J61" s="1399"/>
      <c r="K61" s="1886"/>
      <c r="L61" s="1886"/>
    </row>
    <row r="62" spans="1:12">
      <c r="A62" s="1862">
        <v>371</v>
      </c>
      <c r="B62" s="1408" t="s">
        <v>64</v>
      </c>
      <c r="C62" s="1409"/>
      <c r="D62" s="1409"/>
      <c r="E62" s="1409"/>
      <c r="F62" s="1409"/>
      <c r="G62" s="3279"/>
      <c r="H62" s="3272">
        <f>DOEFSDownload!F37</f>
        <v>0</v>
      </c>
      <c r="I62" s="1890"/>
      <c r="J62" s="1399"/>
      <c r="K62" s="1886"/>
      <c r="L62" s="1886"/>
    </row>
    <row r="63" spans="1:12" s="1859" customFormat="1">
      <c r="A63" s="1862">
        <v>384</v>
      </c>
      <c r="B63" s="1408" t="s">
        <v>65</v>
      </c>
      <c r="C63" s="1409"/>
      <c r="D63" s="1409"/>
      <c r="E63" s="1409"/>
      <c r="F63" s="1409"/>
      <c r="G63" s="3279"/>
      <c r="H63" s="3272">
        <f>DOEFSDownload!F41</f>
        <v>0</v>
      </c>
      <c r="I63" s="1890"/>
      <c r="J63" s="1399"/>
      <c r="K63" s="1886"/>
      <c r="L63" s="1886"/>
    </row>
    <row r="64" spans="1:12">
      <c r="A64" s="1889">
        <v>385</v>
      </c>
      <c r="B64" s="1887" t="s">
        <v>66</v>
      </c>
      <c r="C64" s="1888"/>
      <c r="D64" s="1888"/>
      <c r="E64" s="1888"/>
      <c r="F64" s="1888"/>
      <c r="G64" s="3279"/>
      <c r="H64" s="3272">
        <f>DOEFSDownload!F39</f>
        <v>0</v>
      </c>
      <c r="I64" s="1890"/>
      <c r="J64" s="1399"/>
      <c r="K64" s="1886"/>
      <c r="L64" s="1886"/>
    </row>
    <row r="65" spans="1:12">
      <c r="A65" s="1889">
        <v>386</v>
      </c>
      <c r="B65" s="1887" t="s">
        <v>67</v>
      </c>
      <c r="C65" s="1888"/>
      <c r="D65" s="1888"/>
      <c r="E65" s="1888"/>
      <c r="F65" s="1888"/>
      <c r="G65" s="3279"/>
      <c r="H65" s="3272">
        <f>DOEFSDownload!F43</f>
        <v>0</v>
      </c>
      <c r="I65" s="1890"/>
      <c r="J65" s="1399"/>
      <c r="K65" s="1886"/>
      <c r="L65" s="1886"/>
    </row>
    <row r="66" spans="1:12" s="1859" customFormat="1">
      <c r="A66" s="1889">
        <v>391</v>
      </c>
      <c r="B66" s="1887" t="s">
        <v>68</v>
      </c>
      <c r="C66" s="1888"/>
      <c r="D66" s="1888"/>
      <c r="E66" s="1888"/>
      <c r="F66" s="1888"/>
      <c r="G66" s="3279"/>
      <c r="H66" s="3272">
        <f>DOEFSDownload!F46</f>
        <v>0</v>
      </c>
      <c r="I66" s="1890"/>
      <c r="J66" s="1399"/>
      <c r="K66" s="1886"/>
      <c r="L66" s="1886"/>
    </row>
    <row r="67" spans="1:12" s="1859" customFormat="1" ht="15">
      <c r="A67" s="1889" t="s">
        <v>69</v>
      </c>
      <c r="B67" s="1887" t="s">
        <v>70</v>
      </c>
      <c r="C67" s="1888"/>
      <c r="D67" s="1888"/>
      <c r="E67" s="1888"/>
      <c r="F67" s="1888"/>
      <c r="G67" s="3279"/>
      <c r="H67" s="3272">
        <f>DOEFSDownload!F44</f>
        <v>0</v>
      </c>
      <c r="I67" s="1890"/>
      <c r="J67" s="1863"/>
      <c r="K67" s="1886"/>
      <c r="L67" s="1886"/>
    </row>
    <row r="68" spans="1:12" s="1859" customFormat="1" ht="15">
      <c r="A68" s="1889">
        <v>395</v>
      </c>
      <c r="B68" s="1887" t="s">
        <v>71</v>
      </c>
      <c r="C68" s="1888"/>
      <c r="D68" s="1888"/>
      <c r="E68" s="1888"/>
      <c r="F68" s="1888"/>
      <c r="G68" s="3279"/>
      <c r="H68" s="3272">
        <f>DOEFSDownload!F45</f>
        <v>0</v>
      </c>
      <c r="I68" s="1890"/>
      <c r="J68" s="1863"/>
      <c r="K68" s="1886"/>
      <c r="L68" s="1886"/>
    </row>
    <row r="69" spans="1:12">
      <c r="A69" s="1889">
        <v>387</v>
      </c>
      <c r="B69" s="1414" t="s">
        <v>72</v>
      </c>
      <c r="C69" s="1415"/>
      <c r="D69" s="1415"/>
      <c r="E69" s="1888"/>
      <c r="F69" s="1888"/>
      <c r="G69" s="3279"/>
      <c r="H69" s="3272">
        <f>DOEFSDownload!F40</f>
        <v>0</v>
      </c>
      <c r="I69" s="1890"/>
      <c r="J69" s="1399"/>
      <c r="K69" s="1886"/>
      <c r="L69" s="1886"/>
    </row>
    <row r="70" spans="1:12">
      <c r="A70" s="1459">
        <v>389</v>
      </c>
      <c r="B70" s="1414" t="s">
        <v>73</v>
      </c>
      <c r="C70" s="1419"/>
      <c r="D70" s="1419"/>
      <c r="E70" s="1419"/>
      <c r="F70" s="1419"/>
      <c r="G70" s="3279"/>
      <c r="H70" s="3272">
        <f>DOEFSDownload!F34</f>
        <v>0</v>
      </c>
      <c r="I70" s="1890"/>
      <c r="J70" s="1399"/>
      <c r="K70" s="1886"/>
      <c r="L70" s="1886"/>
    </row>
    <row r="71" spans="1:12">
      <c r="A71" s="1889">
        <v>399</v>
      </c>
      <c r="B71" s="1887" t="s">
        <v>74</v>
      </c>
      <c r="C71" s="1888"/>
      <c r="D71" s="1888"/>
      <c r="E71" s="1888"/>
      <c r="F71" s="1888"/>
      <c r="G71" s="3279"/>
      <c r="H71" s="3272">
        <f>DOEFSDownload!F38+DOEFSDownload!F42+DOEFSDownload!F47</f>
        <v>0</v>
      </c>
      <c r="I71" s="1890"/>
      <c r="K71" s="1886"/>
      <c r="L71" s="1886"/>
    </row>
    <row r="72" spans="1:12">
      <c r="A72" s="1862">
        <v>461</v>
      </c>
      <c r="B72" s="1860" t="s">
        <v>75</v>
      </c>
      <c r="C72" s="1861"/>
      <c r="D72" s="1861"/>
      <c r="E72" s="1861"/>
      <c r="F72" s="1861"/>
      <c r="G72" s="3279"/>
      <c r="H72" s="3272">
        <f>DOEFSDownload!F49</f>
        <v>0</v>
      </c>
      <c r="I72" s="1890"/>
      <c r="J72" s="1399"/>
      <c r="K72" s="1886"/>
      <c r="L72" s="1886"/>
    </row>
    <row r="73" spans="1:12" s="1859" customFormat="1">
      <c r="A73" s="1862">
        <v>471</v>
      </c>
      <c r="B73" s="1860" t="s">
        <v>76</v>
      </c>
      <c r="C73" s="1861"/>
      <c r="D73" s="1861"/>
      <c r="E73" s="1861"/>
      <c r="F73" s="1861"/>
      <c r="G73" s="3279"/>
      <c r="H73" s="3272">
        <f>DOEFSDownload!F71</f>
        <v>0</v>
      </c>
      <c r="I73" s="1890"/>
      <c r="J73" s="1399"/>
      <c r="K73" s="1886"/>
      <c r="L73" s="1886"/>
    </row>
    <row r="74" spans="1:12" s="1859" customFormat="1">
      <c r="A74" s="1862">
        <v>472</v>
      </c>
      <c r="B74" s="1860" t="s">
        <v>77</v>
      </c>
      <c r="C74" s="1861"/>
      <c r="D74" s="1861"/>
      <c r="E74" s="1861"/>
      <c r="F74" s="1861"/>
      <c r="G74" s="3279"/>
      <c r="H74" s="3272">
        <f>DOEFSDownload!F76</f>
        <v>0</v>
      </c>
      <c r="I74" s="1890"/>
      <c r="J74" s="1399"/>
      <c r="K74" s="1886"/>
      <c r="L74" s="1886"/>
    </row>
    <row r="75" spans="1:12" s="1858" customFormat="1" ht="15">
      <c r="A75" s="1862">
        <v>477</v>
      </c>
      <c r="B75" s="1860" t="s">
        <v>78</v>
      </c>
      <c r="C75" s="1861"/>
      <c r="D75" s="1861"/>
      <c r="E75" s="1861"/>
      <c r="F75" s="1861"/>
      <c r="G75" s="3279"/>
      <c r="H75" s="3272">
        <f>DOEFSDownload!F72</f>
        <v>0</v>
      </c>
      <c r="I75" s="1890"/>
      <c r="J75" s="1863"/>
      <c r="K75" s="1886"/>
      <c r="L75" s="1886"/>
    </row>
    <row r="76" spans="1:12" s="1858" customFormat="1" ht="15">
      <c r="A76" s="1862">
        <v>478</v>
      </c>
      <c r="B76" s="1860" t="s">
        <v>79</v>
      </c>
      <c r="C76" s="1861"/>
      <c r="D76" s="1861"/>
      <c r="E76" s="1861"/>
      <c r="F76" s="1861"/>
      <c r="G76" s="3279"/>
      <c r="H76" s="3272">
        <f>DOEFSDownload!F73</f>
        <v>0</v>
      </c>
      <c r="I76" s="1890"/>
      <c r="J76" s="1863"/>
      <c r="K76" s="1862"/>
      <c r="L76" s="1860"/>
    </row>
    <row r="77" spans="1:12" s="1859" customFormat="1" ht="15">
      <c r="A77" s="1862">
        <v>481</v>
      </c>
      <c r="B77" s="1860" t="s">
        <v>80</v>
      </c>
      <c r="C77" s="1861"/>
      <c r="D77" s="1861"/>
      <c r="E77" s="1861"/>
      <c r="F77" s="1861"/>
      <c r="G77" s="3279"/>
      <c r="H77" s="3272">
        <f>DOEFSDownload!F75</f>
        <v>0</v>
      </c>
      <c r="I77" s="1890"/>
      <c r="J77" s="1863"/>
      <c r="K77" s="1886"/>
      <c r="L77" s="1886"/>
    </row>
    <row r="78" spans="1:12" s="1859" customFormat="1" ht="15">
      <c r="A78" s="1862">
        <v>482</v>
      </c>
      <c r="B78" s="1860" t="s">
        <v>81</v>
      </c>
      <c r="C78" s="1861"/>
      <c r="D78" s="1861"/>
      <c r="E78" s="1861"/>
      <c r="F78" s="1861"/>
      <c r="G78" s="3279"/>
      <c r="H78" s="3272">
        <f>DOEFSDownload!F74</f>
        <v>0</v>
      </c>
      <c r="I78" s="1890"/>
      <c r="J78" s="1863"/>
      <c r="K78" s="1886"/>
      <c r="L78" s="1886"/>
    </row>
    <row r="79" spans="1:12" s="1859" customFormat="1" ht="15">
      <c r="A79" s="1862">
        <v>484</v>
      </c>
      <c r="B79" s="1860" t="s">
        <v>82</v>
      </c>
      <c r="C79" s="1861"/>
      <c r="D79" s="1861"/>
      <c r="E79" s="1861"/>
      <c r="F79" s="1861"/>
      <c r="G79" s="3279"/>
      <c r="H79" s="3272">
        <f>DOEFSDownload!F53</f>
        <v>0</v>
      </c>
      <c r="I79" s="1890"/>
      <c r="J79" s="1863"/>
      <c r="K79" s="1886"/>
      <c r="L79" s="1886"/>
    </row>
    <row r="80" spans="1:12">
      <c r="A80" s="1889">
        <v>485</v>
      </c>
      <c r="B80" s="1887" t="s">
        <v>83</v>
      </c>
      <c r="C80" s="1888"/>
      <c r="D80" s="1888"/>
      <c r="E80" s="1888"/>
      <c r="F80" s="1888"/>
      <c r="G80" s="3279"/>
      <c r="H80" s="3272">
        <f>DOEFSDownload!F51</f>
        <v>0</v>
      </c>
      <c r="I80" s="1890"/>
      <c r="J80" s="1420"/>
      <c r="K80" s="1886"/>
      <c r="L80" s="1886"/>
    </row>
    <row r="81" spans="1:12">
      <c r="A81" s="1889">
        <v>486</v>
      </c>
      <c r="B81" s="1887" t="s">
        <v>84</v>
      </c>
      <c r="C81" s="1888"/>
      <c r="D81" s="1888"/>
      <c r="E81" s="1888"/>
      <c r="F81" s="1888"/>
      <c r="G81" s="3279"/>
      <c r="H81" s="3272">
        <f>DOEFSDownload!F55</f>
        <v>0</v>
      </c>
      <c r="I81" s="1890"/>
      <c r="J81" s="1399"/>
      <c r="K81" s="1886"/>
      <c r="L81" s="1886"/>
    </row>
    <row r="82" spans="1:12">
      <c r="A82" s="1889">
        <v>487</v>
      </c>
      <c r="B82" s="1887" t="s">
        <v>85</v>
      </c>
      <c r="C82" s="1888"/>
      <c r="D82" s="1888"/>
      <c r="E82" s="1888"/>
      <c r="F82" s="1888"/>
      <c r="G82" s="3279"/>
      <c r="H82" s="3272">
        <f>DOEFSDownload!F52</f>
        <v>0</v>
      </c>
      <c r="I82" s="1890"/>
      <c r="J82" s="1399"/>
      <c r="K82" s="1886"/>
      <c r="L82" s="1886"/>
    </row>
    <row r="83" spans="1:12" s="1859" customFormat="1">
      <c r="A83" s="1889">
        <v>491</v>
      </c>
      <c r="B83" s="1887" t="s">
        <v>86</v>
      </c>
      <c r="C83" s="1888"/>
      <c r="D83" s="1888"/>
      <c r="E83" s="1888"/>
      <c r="F83" s="1888"/>
      <c r="G83" s="3279"/>
      <c r="H83" s="3272">
        <f>DOEFSDownload!F58</f>
        <v>0</v>
      </c>
      <c r="I83" s="1890"/>
      <c r="J83" s="1399"/>
      <c r="K83" s="1886"/>
      <c r="L83" s="1886"/>
    </row>
    <row r="84" spans="1:12" s="1847" customFormat="1" ht="15">
      <c r="A84" s="1889">
        <v>494</v>
      </c>
      <c r="B84" s="1887" t="s">
        <v>87</v>
      </c>
      <c r="C84" s="1888"/>
      <c r="D84" s="1888"/>
      <c r="E84" s="1888"/>
      <c r="F84" s="1888"/>
      <c r="G84" s="3279"/>
      <c r="H84" s="3272">
        <f>DOEFSDownload!F56</f>
        <v>0</v>
      </c>
      <c r="I84" s="1890"/>
      <c r="J84" s="1863"/>
      <c r="K84" s="1886"/>
      <c r="L84" s="1886"/>
    </row>
    <row r="85" spans="1:12" s="1847" customFormat="1">
      <c r="A85" s="1889">
        <v>495</v>
      </c>
      <c r="B85" s="1887" t="s">
        <v>88</v>
      </c>
      <c r="C85" s="1888"/>
      <c r="D85" s="1888"/>
      <c r="E85" s="1888"/>
      <c r="F85" s="1888"/>
      <c r="G85" s="3279"/>
      <c r="H85" s="3272">
        <f>DOEFSDownload!F57</f>
        <v>0</v>
      </c>
      <c r="I85" s="1917">
        <f>SNP!P113</f>
        <v>0</v>
      </c>
      <c r="J85" s="1423"/>
      <c r="K85" s="1886"/>
      <c r="L85" s="1886"/>
    </row>
    <row r="86" spans="1:12">
      <c r="A86" s="1889">
        <v>499</v>
      </c>
      <c r="B86" s="1414" t="s">
        <v>89</v>
      </c>
      <c r="C86" s="1415"/>
      <c r="D86" s="1415"/>
      <c r="E86" s="1415"/>
      <c r="F86" s="1888"/>
      <c r="G86" s="3279"/>
      <c r="H86" s="3272">
        <f>DOEFSDownload!F50+DOEFSDownload!F54+DOEFSDownload!F59</f>
        <v>0</v>
      </c>
      <c r="I86" s="1850">
        <f>SUM(H54:H86)</f>
        <v>0</v>
      </c>
      <c r="J86" s="1893">
        <f>I85-I86</f>
        <v>0</v>
      </c>
      <c r="K86" s="1886"/>
      <c r="L86" s="1886"/>
    </row>
    <row r="87" spans="1:12">
      <c r="A87" s="1615">
        <v>532</v>
      </c>
      <c r="B87" s="1414" t="s">
        <v>90</v>
      </c>
      <c r="C87" s="1415"/>
      <c r="D87" s="1415"/>
      <c r="E87" s="1415"/>
      <c r="F87" s="1617" t="s">
        <v>91</v>
      </c>
      <c r="G87" s="3272">
        <f>IF((DOEFSDownload!F109&lt;0),ABS(((DOEFSDownload!F109))),0)</f>
        <v>0</v>
      </c>
      <c r="H87" s="3272">
        <f>IF((DOEFSDownload!F109&lt;0),((DOEFSDownload!F109)*0),(DOEFSDownload!F109))</f>
        <v>0</v>
      </c>
      <c r="I87" s="1852"/>
      <c r="J87" s="1399"/>
      <c r="K87" s="1886"/>
      <c r="L87" s="1886"/>
    </row>
    <row r="88" spans="1:12">
      <c r="A88" s="1616">
        <v>533</v>
      </c>
      <c r="B88" s="1414" t="s">
        <v>92</v>
      </c>
      <c r="C88" s="1415"/>
      <c r="D88" s="1415"/>
      <c r="E88" s="1415"/>
      <c r="F88" s="1415"/>
      <c r="G88" s="3279"/>
      <c r="H88" s="3272">
        <f>DOEFSDownload!F67</f>
        <v>0</v>
      </c>
      <c r="I88" s="1890"/>
      <c r="J88" s="1399"/>
      <c r="K88" s="1886"/>
      <c r="L88" s="1886"/>
    </row>
    <row r="89" spans="1:12">
      <c r="A89" s="1616">
        <v>534</v>
      </c>
      <c r="B89" s="1414" t="s">
        <v>93</v>
      </c>
      <c r="C89" s="1415"/>
      <c r="D89" s="1415"/>
      <c r="E89" s="1415"/>
      <c r="F89" s="1415"/>
      <c r="G89" s="3279"/>
      <c r="H89" s="3272">
        <f>DOEFSDownload!F63</f>
        <v>0</v>
      </c>
      <c r="I89" s="1890"/>
      <c r="J89" s="1399"/>
      <c r="K89" s="1886"/>
      <c r="L89" s="1886"/>
    </row>
    <row r="90" spans="1:12">
      <c r="A90" s="1616">
        <v>535</v>
      </c>
      <c r="B90" s="1414" t="s">
        <v>94</v>
      </c>
      <c r="C90" s="1415"/>
      <c r="D90" s="1415"/>
      <c r="E90" s="1415"/>
      <c r="F90" s="1415"/>
      <c r="G90" s="3279"/>
      <c r="H90" s="3272">
        <f>DOEFSDownload!F62</f>
        <v>0</v>
      </c>
      <c r="I90" s="1890"/>
      <c r="J90" s="1399"/>
      <c r="K90" s="1886"/>
      <c r="L90" s="1886"/>
    </row>
    <row r="91" spans="1:12">
      <c r="A91" s="1616">
        <v>536</v>
      </c>
      <c r="B91" s="1414" t="s">
        <v>95</v>
      </c>
      <c r="C91" s="1415"/>
      <c r="D91" s="1415"/>
      <c r="E91" s="1415"/>
      <c r="F91" s="1415"/>
      <c r="G91" s="3279"/>
      <c r="H91" s="3272">
        <f>DOEFSDownload!F61</f>
        <v>0</v>
      </c>
      <c r="I91" s="1890"/>
      <c r="J91" s="1399"/>
      <c r="K91" s="1886"/>
      <c r="L91" s="1886"/>
    </row>
    <row r="92" spans="1:12">
      <c r="A92" s="1616">
        <v>538</v>
      </c>
      <c r="B92" s="1414" t="s">
        <v>96</v>
      </c>
      <c r="C92" s="1415"/>
      <c r="D92" s="1415"/>
      <c r="E92" s="1415"/>
      <c r="F92" s="1415"/>
      <c r="G92" s="3279"/>
      <c r="H92" s="3272">
        <f>DOEFSDownload!F64+DOEFSDownload!F65+DOEFSDownload!F66+DOEFSDownload!F68</f>
        <v>0</v>
      </c>
      <c r="I92" s="1890">
        <f>SNP!P129</f>
        <v>0</v>
      </c>
      <c r="J92" s="1399"/>
      <c r="K92" s="1886"/>
      <c r="L92" s="1886"/>
    </row>
    <row r="93" spans="1:12" ht="12.75" customHeight="1">
      <c r="A93" s="1616">
        <v>539</v>
      </c>
      <c r="B93" s="1414" t="s">
        <v>97</v>
      </c>
      <c r="C93" s="1415"/>
      <c r="D93" s="1415"/>
      <c r="E93" s="1415"/>
      <c r="F93" s="1415"/>
      <c r="G93" s="3279"/>
      <c r="H93" s="3272">
        <f>DOEFSDownload!F69+G87-I102</f>
        <v>0</v>
      </c>
      <c r="I93" s="1890">
        <f>SUM(H87:H93)-SUM(G87:G93)</f>
        <v>0</v>
      </c>
      <c r="J93" s="1893">
        <f>I92-I93</f>
        <v>0</v>
      </c>
      <c r="K93" s="1421"/>
      <c r="L93" s="1422"/>
    </row>
    <row r="94" spans="1:12">
      <c r="A94" s="1862">
        <v>614</v>
      </c>
      <c r="B94" s="1860" t="s">
        <v>98</v>
      </c>
      <c r="C94" s="1861"/>
      <c r="D94" s="1861"/>
      <c r="E94" s="1861"/>
      <c r="F94" s="1861"/>
      <c r="G94" s="3279"/>
      <c r="H94" s="3272">
        <f>DOEFSDownload!F94+DOEFSDownload!F95+DOEFSDownload!F78+DOEFSDownload!F79+DOEFSDownload!F80</f>
        <v>0</v>
      </c>
      <c r="I94" s="1890"/>
      <c r="J94" s="1423"/>
      <c r="K94" s="1886"/>
      <c r="L94" s="1886"/>
    </row>
    <row r="95" spans="1:12">
      <c r="A95" s="1889">
        <v>621</v>
      </c>
      <c r="B95" s="1414" t="s">
        <v>99</v>
      </c>
      <c r="C95" s="1424"/>
      <c r="D95" s="1424"/>
      <c r="E95" s="1424"/>
      <c r="F95" s="1424"/>
      <c r="G95" s="3279"/>
      <c r="H95" s="3272">
        <f>DOEFSDownload!F104+DOEFSDownload!F103</f>
        <v>0</v>
      </c>
      <c r="I95" s="1850"/>
      <c r="J95" s="1423"/>
      <c r="K95" s="1886"/>
      <c r="L95" s="1886"/>
    </row>
    <row r="96" spans="1:12">
      <c r="A96" s="1889">
        <v>671</v>
      </c>
      <c r="B96" s="1414" t="s">
        <v>100</v>
      </c>
      <c r="C96" s="1424"/>
      <c r="D96" s="1424"/>
      <c r="E96" s="1424"/>
      <c r="F96" s="1424"/>
      <c r="G96" s="3279"/>
      <c r="H96" s="3272">
        <f>DOEFSDownload!F77+DOEFSDownload!F81+DOEFSDownload!F82</f>
        <v>0</v>
      </c>
      <c r="I96" s="1851"/>
      <c r="J96" s="1423"/>
      <c r="K96" s="1425"/>
      <c r="L96" s="1425"/>
    </row>
    <row r="97" spans="1:12">
      <c r="A97" s="1889">
        <v>684</v>
      </c>
      <c r="B97" s="1414" t="s">
        <v>101</v>
      </c>
      <c r="C97" s="1424"/>
      <c r="D97" s="1424"/>
      <c r="E97" s="1424"/>
      <c r="F97" s="1424"/>
      <c r="G97" s="3279"/>
      <c r="H97" s="3272">
        <f>DOEFSDownload!F93</f>
        <v>0</v>
      </c>
      <c r="I97" s="1850"/>
      <c r="J97" s="1423"/>
      <c r="K97" s="1425"/>
      <c r="L97" s="1425"/>
    </row>
    <row r="98" spans="1:12">
      <c r="A98" s="1889">
        <v>686</v>
      </c>
      <c r="B98" s="1414" t="s">
        <v>102</v>
      </c>
      <c r="C98" s="1424"/>
      <c r="D98" s="1424"/>
      <c r="E98" s="1424"/>
      <c r="F98" s="1424"/>
      <c r="G98" s="3279"/>
      <c r="H98" s="3272">
        <f>DOEFSDownload!F96+DOEFSDownload!F97</f>
        <v>0</v>
      </c>
      <c r="I98" s="1852"/>
      <c r="J98" s="1426"/>
      <c r="K98" s="1425"/>
      <c r="L98" s="1425"/>
    </row>
    <row r="99" spans="1:12">
      <c r="A99" s="1889">
        <v>689</v>
      </c>
      <c r="B99" s="1414" t="s">
        <v>103</v>
      </c>
      <c r="C99" s="1424"/>
      <c r="D99" s="1424"/>
      <c r="E99" s="1424"/>
      <c r="F99" s="1424"/>
      <c r="G99" s="3279"/>
      <c r="H99" s="3272">
        <f>DOEFSDownload!F98+DOEFSDownload!F83</f>
        <v>0</v>
      </c>
      <c r="I99" s="1850"/>
      <c r="J99" s="1423"/>
      <c r="K99" s="1425"/>
      <c r="L99" s="1425"/>
    </row>
    <row r="100" spans="1:12">
      <c r="A100" s="1889">
        <v>698</v>
      </c>
      <c r="B100" s="1416" t="s">
        <v>104</v>
      </c>
      <c r="C100" s="1424"/>
      <c r="D100" s="1424"/>
      <c r="E100" s="1424"/>
      <c r="F100" s="1424"/>
      <c r="G100" s="3279"/>
      <c r="H100" s="3272">
        <f>DOEFSDownload!F105</f>
        <v>0</v>
      </c>
      <c r="I100" s="1850"/>
      <c r="J100" s="1423"/>
      <c r="K100" s="1425"/>
      <c r="L100" s="1425"/>
    </row>
    <row r="101" spans="1:12">
      <c r="A101" s="1889">
        <v>726</v>
      </c>
      <c r="B101" s="1416" t="s">
        <v>105</v>
      </c>
      <c r="C101" s="1424"/>
      <c r="D101" s="1424"/>
      <c r="E101" s="1424"/>
      <c r="F101" s="1424"/>
      <c r="G101" s="3279"/>
      <c r="H101" s="3272">
        <f>DOEFSDownload!F99</f>
        <v>0</v>
      </c>
      <c r="I101" s="1850"/>
      <c r="J101" s="1423"/>
      <c r="K101" s="1425"/>
      <c r="L101" s="1425"/>
    </row>
    <row r="102" spans="1:12">
      <c r="A102" s="1889">
        <v>771</v>
      </c>
      <c r="B102" s="1414" t="s">
        <v>106</v>
      </c>
      <c r="C102" s="1424"/>
      <c r="D102" s="1424"/>
      <c r="E102" s="1424"/>
      <c r="F102" s="1424"/>
      <c r="G102" s="3280">
        <f>DOEFSDownload!F100*-1+DOEFSDownload!F101*-1+DOEFSDownload!F85+DOEFSDownload!F86+DOEFSDownload!F87+DOEFSDownload!F88+DOEFSDownload!F89+DOEFSDownload!F90+DOEFSDownload!F106</f>
        <v>0</v>
      </c>
      <c r="H102" s="3273"/>
      <c r="I102" s="1852">
        <f>SRECNP!O59</f>
        <v>0</v>
      </c>
      <c r="J102" s="1423"/>
      <c r="K102" s="1886"/>
      <c r="L102" s="1886"/>
    </row>
    <row r="103" spans="1:12">
      <c r="A103" s="1459">
        <v>775</v>
      </c>
      <c r="B103" s="1427" t="s">
        <v>107</v>
      </c>
      <c r="C103" s="1428"/>
      <c r="D103" s="1428"/>
      <c r="E103" s="1428"/>
      <c r="F103" s="1428"/>
      <c r="G103" s="3272">
        <f>DOEFSDownload!F91</f>
        <v>0</v>
      </c>
      <c r="H103" s="3274"/>
      <c r="I103" s="1850">
        <f>SUM(H94:H101)-SUM(G102:G103)</f>
        <v>0</v>
      </c>
      <c r="J103" s="1893">
        <f>I102-I103</f>
        <v>0</v>
      </c>
      <c r="K103" s="1886"/>
      <c r="L103" s="1886"/>
    </row>
    <row r="104" spans="1:12">
      <c r="A104" s="1429"/>
      <c r="B104" s="1430"/>
      <c r="C104" s="1428"/>
      <c r="D104" s="1428"/>
      <c r="E104" s="1428"/>
      <c r="F104" s="1428"/>
      <c r="G104" s="3281"/>
      <c r="H104" s="3282"/>
      <c r="I104" s="1850"/>
      <c r="J104" s="1423"/>
      <c r="K104" s="1886"/>
      <c r="L104" s="1886"/>
    </row>
    <row r="105" spans="1:12" ht="13.5" thickBot="1">
      <c r="A105" s="1431" t="s">
        <v>108</v>
      </c>
      <c r="B105" s="1390"/>
      <c r="C105" s="1859"/>
      <c r="D105" s="1859"/>
      <c r="E105" s="1859"/>
      <c r="F105" s="1859"/>
      <c r="G105" s="1432" t="e">
        <f>SUM(G13:G103)</f>
        <v>#N/A</v>
      </c>
      <c r="H105" s="1433" t="e">
        <f>SUM(H13:H103)</f>
        <v>#N/A</v>
      </c>
      <c r="I105" s="1894" t="e">
        <f>G105-H105</f>
        <v>#N/A</v>
      </c>
      <c r="J105" s="1399"/>
      <c r="K105" s="1886"/>
      <c r="L105" s="1886"/>
    </row>
    <row r="106" spans="1:12" ht="13.5" thickTop="1">
      <c r="A106" s="1434"/>
      <c r="B106" s="1435"/>
      <c r="C106" s="1436"/>
      <c r="D106" s="1436"/>
      <c r="E106" s="1436"/>
      <c r="F106" s="1436"/>
      <c r="G106" s="1437"/>
      <c r="H106" s="1438"/>
      <c r="I106" s="1850"/>
      <c r="J106" s="1399"/>
      <c r="K106" s="1886"/>
      <c r="L106" s="1886"/>
    </row>
    <row r="107" spans="1:12">
      <c r="A107" s="1434"/>
      <c r="B107" s="1435"/>
      <c r="C107" s="1436"/>
      <c r="D107" s="1436"/>
      <c r="E107" s="1436"/>
      <c r="F107" s="1436"/>
      <c r="G107" s="1437"/>
      <c r="H107" s="1438"/>
      <c r="I107" s="1853" t="s">
        <v>109</v>
      </c>
      <c r="J107" s="1399"/>
      <c r="K107" s="1425"/>
      <c r="L107" s="1425"/>
    </row>
    <row r="108" spans="1:12">
      <c r="A108" s="1434"/>
      <c r="B108" s="1435"/>
      <c r="C108" s="1436"/>
      <c r="D108" s="1436"/>
      <c r="E108" s="3710"/>
      <c r="F108" s="3711"/>
      <c r="G108" s="3711"/>
      <c r="H108" s="3712"/>
      <c r="I108" s="1854"/>
      <c r="J108" s="1439"/>
      <c r="K108" s="1440"/>
      <c r="L108" s="1440"/>
    </row>
    <row r="109" spans="1:12">
      <c r="A109" s="1434"/>
      <c r="B109" s="1435"/>
      <c r="C109" s="1436"/>
      <c r="D109" s="1436"/>
      <c r="E109" s="3099"/>
      <c r="F109" s="1441"/>
      <c r="G109" s="1441"/>
      <c r="H109" s="1442"/>
      <c r="I109" s="1855"/>
      <c r="J109" s="1443"/>
      <c r="K109" s="1440"/>
      <c r="L109" s="1440"/>
    </row>
    <row r="110" spans="1:12">
      <c r="A110" s="1434"/>
      <c r="B110" s="1435"/>
      <c r="C110" s="1436"/>
      <c r="D110" s="1436"/>
      <c r="E110" s="3100" t="s">
        <v>110</v>
      </c>
      <c r="F110" s="1444"/>
      <c r="G110" s="1444"/>
      <c r="H110" s="1445"/>
      <c r="I110" s="1855"/>
      <c r="J110" s="1443"/>
      <c r="K110" s="1440"/>
      <c r="L110" s="1440"/>
    </row>
    <row r="111" spans="1:12">
      <c r="A111" s="1434"/>
      <c r="B111" s="1435"/>
      <c r="C111" s="1436"/>
      <c r="D111" s="1436"/>
      <c r="E111" s="3099"/>
      <c r="F111" s="1446" t="s">
        <v>111</v>
      </c>
      <c r="G111" s="1446"/>
      <c r="H111" s="1447"/>
      <c r="I111" s="1855"/>
      <c r="J111" s="1443"/>
      <c r="K111" s="1440"/>
      <c r="L111" s="1440"/>
    </row>
    <row r="112" spans="1:12">
      <c r="A112" s="1434"/>
      <c r="B112" s="1435"/>
      <c r="C112" s="1436"/>
      <c r="D112" s="1436"/>
      <c r="E112" s="3101"/>
      <c r="F112" s="1441" t="s">
        <v>112</v>
      </c>
      <c r="G112" s="1448"/>
      <c r="H112" s="1449"/>
      <c r="I112" s="1855"/>
      <c r="J112" s="1443"/>
      <c r="K112" s="1440"/>
      <c r="L112" s="1440"/>
    </row>
    <row r="113" spans="1:12">
      <c r="A113" s="1434"/>
      <c r="B113" s="1435"/>
      <c r="C113" s="1436"/>
      <c r="D113" s="1436"/>
      <c r="E113" s="3101"/>
      <c r="F113" s="1450"/>
      <c r="G113" s="1450"/>
      <c r="H113" s="1449"/>
      <c r="I113" s="1855"/>
      <c r="J113" s="1443"/>
      <c r="K113" s="1440"/>
      <c r="L113" s="1440"/>
    </row>
    <row r="114" spans="1:12">
      <c r="A114" s="1434"/>
      <c r="B114" s="1435"/>
      <c r="C114" s="1436"/>
      <c r="D114" s="1436"/>
      <c r="E114" s="3099" t="s">
        <v>113</v>
      </c>
      <c r="F114" s="1441"/>
      <c r="G114" s="1402"/>
      <c r="H114" s="1451"/>
      <c r="I114" s="1855"/>
      <c r="J114" s="1443"/>
      <c r="K114" s="1440"/>
      <c r="L114" s="1440"/>
    </row>
    <row r="115" spans="1:12">
      <c r="A115" s="1434"/>
      <c r="B115" s="1435"/>
      <c r="C115" s="1436"/>
      <c r="D115" s="1436"/>
      <c r="E115" s="3099" t="s">
        <v>114</v>
      </c>
      <c r="F115" s="1441"/>
      <c r="G115" s="1402"/>
      <c r="H115" s="1451"/>
      <c r="I115" s="1855"/>
      <c r="J115" s="1443"/>
      <c r="K115" s="1440"/>
      <c r="L115" s="1440"/>
    </row>
    <row r="116" spans="1:12">
      <c r="A116" s="1434"/>
      <c r="B116" s="1435"/>
      <c r="C116" s="1436"/>
      <c r="D116" s="1436"/>
      <c r="E116" s="3102"/>
      <c r="F116" s="1859"/>
      <c r="G116" s="1452"/>
      <c r="H116" s="1453"/>
      <c r="I116" s="1845"/>
      <c r="J116" s="1443"/>
      <c r="K116" s="1440"/>
      <c r="L116" s="1440"/>
    </row>
    <row r="117" spans="1:12">
      <c r="A117" s="1434"/>
      <c r="B117" s="1435"/>
      <c r="C117" s="1436"/>
      <c r="D117" s="1436"/>
      <c r="E117" s="3099" t="s">
        <v>115</v>
      </c>
      <c r="F117" s="1441"/>
      <c r="G117" s="1455"/>
      <c r="H117" s="1456"/>
      <c r="I117" s="1845"/>
      <c r="J117" s="1443"/>
      <c r="K117" s="1440"/>
      <c r="L117" s="1440"/>
    </row>
    <row r="118" spans="1:12">
      <c r="A118" s="1434"/>
      <c r="B118" s="1435"/>
      <c r="C118" s="1436"/>
      <c r="D118" s="1436"/>
      <c r="E118" s="3099" t="s">
        <v>116</v>
      </c>
      <c r="F118" s="1441"/>
      <c r="G118" s="1455"/>
      <c r="H118" s="1456"/>
      <c r="I118" s="1845"/>
      <c r="J118" s="1443"/>
      <c r="K118" s="1454"/>
      <c r="L118" s="1454"/>
    </row>
    <row r="119" spans="1:12">
      <c r="A119" s="1434"/>
      <c r="B119" s="1435"/>
      <c r="C119" s="1436"/>
      <c r="D119" s="1436"/>
      <c r="E119" s="3099" t="s">
        <v>117</v>
      </c>
      <c r="F119" s="1441"/>
      <c r="G119" s="1455"/>
      <c r="H119" s="1456"/>
      <c r="I119" s="1845"/>
      <c r="J119" s="1443"/>
      <c r="K119" s="1454"/>
      <c r="L119" s="1454"/>
    </row>
    <row r="120" spans="1:12">
      <c r="A120" s="1434"/>
      <c r="B120" s="1435"/>
      <c r="C120" s="1436"/>
      <c r="D120" s="1436"/>
      <c r="E120" s="3102"/>
      <c r="F120" s="1859"/>
      <c r="G120" s="1452"/>
      <c r="H120" s="1453"/>
      <c r="I120" s="1845"/>
      <c r="J120" s="1443"/>
      <c r="K120" s="1454"/>
      <c r="L120" s="1454"/>
    </row>
    <row r="121" spans="1:12">
      <c r="A121" s="1434"/>
      <c r="B121" s="1435"/>
      <c r="C121" s="1436"/>
      <c r="D121" s="1436"/>
      <c r="E121" s="3103"/>
      <c r="F121" s="1455"/>
      <c r="G121" s="1455"/>
      <c r="H121" s="1456"/>
      <c r="I121" s="1845"/>
      <c r="J121" s="1443"/>
      <c r="K121" s="1454"/>
      <c r="L121" s="1454"/>
    </row>
    <row r="122" spans="1:12">
      <c r="A122" s="1431"/>
      <c r="B122" s="1390"/>
      <c r="C122" s="1859"/>
      <c r="D122" s="1859"/>
      <c r="E122" s="1859"/>
      <c r="F122" s="1859"/>
      <c r="G122" s="1452"/>
      <c r="H122" s="1399"/>
      <c r="I122" s="1883"/>
      <c r="K122" s="1859"/>
      <c r="L122" s="1859"/>
    </row>
    <row r="123" spans="1:12">
      <c r="A123" s="1431"/>
      <c r="B123" s="1390"/>
      <c r="C123" s="1859"/>
      <c r="D123" s="1859"/>
      <c r="E123" s="1859"/>
      <c r="F123" s="1859"/>
      <c r="G123" s="1452"/>
      <c r="H123" s="1399"/>
      <c r="I123" s="1883"/>
      <c r="K123" s="1859"/>
      <c r="L123" s="1859"/>
    </row>
    <row r="125" spans="1:12" ht="31.5">
      <c r="A125" s="1859"/>
      <c r="B125" s="1859"/>
      <c r="C125" s="1859"/>
      <c r="D125" s="1462"/>
      <c r="E125" s="1462"/>
      <c r="F125" s="1462"/>
      <c r="G125" s="1462"/>
      <c r="H125" s="1859"/>
      <c r="I125" s="1856" t="s">
        <v>118</v>
      </c>
      <c r="J125" s="1463" t="s">
        <v>119</v>
      </c>
      <c r="K125" s="1859"/>
      <c r="L125" s="1859"/>
    </row>
    <row r="126" spans="1:12" ht="15">
      <c r="A126" s="1859"/>
      <c r="B126" s="1859"/>
      <c r="C126" s="1859"/>
      <c r="D126" s="1462"/>
      <c r="E126" s="1462"/>
      <c r="F126" s="1462"/>
      <c r="G126" s="1462"/>
      <c r="H126" s="1859"/>
      <c r="I126" s="1857" t="s">
        <v>120</v>
      </c>
      <c r="J126" s="1464" t="s">
        <v>121</v>
      </c>
      <c r="K126" s="1859"/>
      <c r="L126" s="1859"/>
    </row>
    <row r="127" spans="1:12" ht="15">
      <c r="A127" s="1859"/>
      <c r="B127" s="1859"/>
      <c r="C127" s="1859"/>
      <c r="D127" s="1462"/>
      <c r="E127" s="1462"/>
      <c r="F127" s="1462"/>
      <c r="G127" s="1462"/>
      <c r="H127" s="1859"/>
      <c r="I127" s="1857" t="s">
        <v>122</v>
      </c>
      <c r="J127" s="1464" t="s">
        <v>123</v>
      </c>
      <c r="K127" s="1859"/>
      <c r="L127" s="1859"/>
    </row>
    <row r="128" spans="1:12" ht="15">
      <c r="A128" s="1859"/>
      <c r="B128" s="1859"/>
      <c r="C128" s="1859"/>
      <c r="D128" s="1462"/>
      <c r="E128" s="1462"/>
      <c r="F128" s="1462"/>
      <c r="G128" s="1462"/>
      <c r="H128" s="1859"/>
      <c r="I128" s="1857" t="s">
        <v>124</v>
      </c>
      <c r="J128" s="1464" t="s">
        <v>125</v>
      </c>
      <c r="K128" s="1859"/>
      <c r="L128" s="1859"/>
    </row>
    <row r="129" spans="4:10" ht="15">
      <c r="D129" s="1462"/>
      <c r="E129" s="1462"/>
      <c r="F129" s="1462"/>
      <c r="G129" s="1462"/>
      <c r="H129" s="1859"/>
      <c r="I129" s="1857" t="s">
        <v>126</v>
      </c>
      <c r="J129" s="1464" t="s">
        <v>127</v>
      </c>
    </row>
    <row r="130" spans="4:10" ht="15">
      <c r="D130" s="1462"/>
      <c r="E130" s="1462"/>
      <c r="F130" s="1462"/>
      <c r="G130" s="1462"/>
      <c r="H130" s="1859"/>
      <c r="I130" s="1857" t="s">
        <v>128</v>
      </c>
      <c r="J130" s="1464" t="s">
        <v>129</v>
      </c>
    </row>
    <row r="131" spans="4:10" ht="15">
      <c r="D131" s="1462"/>
      <c r="E131" s="1462"/>
      <c r="F131" s="1462"/>
      <c r="G131" s="1462"/>
      <c r="H131" s="1859"/>
      <c r="I131" s="1857" t="s">
        <v>130</v>
      </c>
      <c r="J131" s="1464" t="s">
        <v>131</v>
      </c>
    </row>
    <row r="132" spans="4:10" ht="15">
      <c r="D132" s="1462"/>
      <c r="E132" s="1462"/>
      <c r="F132" s="1462"/>
      <c r="G132" s="1462"/>
      <c r="H132" s="1859"/>
      <c r="I132" s="1857" t="s">
        <v>132</v>
      </c>
      <c r="J132" s="1464" t="s">
        <v>133</v>
      </c>
    </row>
    <row r="133" spans="4:10" ht="15">
      <c r="D133" s="1462"/>
      <c r="E133" s="1462"/>
      <c r="F133" s="1462"/>
      <c r="G133" s="1462"/>
      <c r="H133" s="1859"/>
      <c r="I133" s="1857" t="s">
        <v>4104</v>
      </c>
      <c r="J133" s="1464" t="s">
        <v>135</v>
      </c>
    </row>
    <row r="134" spans="4:10" ht="15">
      <c r="D134" s="1462"/>
      <c r="E134" s="1462"/>
      <c r="F134" s="1462"/>
      <c r="G134" s="1462"/>
      <c r="H134" s="1859"/>
      <c r="I134" s="1857" t="s">
        <v>136</v>
      </c>
      <c r="J134" s="1464" t="s">
        <v>137</v>
      </c>
    </row>
    <row r="135" spans="4:10" ht="15">
      <c r="D135" s="1462"/>
      <c r="E135" s="1462"/>
      <c r="F135" s="1462"/>
      <c r="G135" s="1462"/>
      <c r="H135" s="1859"/>
      <c r="I135" s="1857" t="s">
        <v>138</v>
      </c>
      <c r="J135" s="1464" t="s">
        <v>139</v>
      </c>
    </row>
    <row r="136" spans="4:10" ht="15">
      <c r="D136" s="1462"/>
      <c r="E136" s="1462"/>
      <c r="F136" s="1462"/>
      <c r="G136" s="1462"/>
      <c r="H136" s="1859"/>
      <c r="I136" s="1857" t="s">
        <v>140</v>
      </c>
      <c r="J136" s="1464" t="s">
        <v>141</v>
      </c>
    </row>
    <row r="137" spans="4:10" ht="15">
      <c r="D137" s="1462"/>
      <c r="E137" s="1462"/>
      <c r="F137" s="1462"/>
      <c r="G137" s="1462"/>
      <c r="H137" s="1859"/>
      <c r="I137" s="1857" t="s">
        <v>142</v>
      </c>
      <c r="J137" s="1464" t="s">
        <v>143</v>
      </c>
    </row>
    <row r="138" spans="4:10" ht="15">
      <c r="D138" s="1462"/>
      <c r="E138" s="1462"/>
      <c r="F138" s="1462"/>
      <c r="G138" s="1462"/>
      <c r="H138" s="1859"/>
      <c r="I138" s="1857" t="s">
        <v>144</v>
      </c>
      <c r="J138" s="1464" t="s">
        <v>145</v>
      </c>
    </row>
    <row r="139" spans="4:10" ht="15">
      <c r="D139" s="1462"/>
      <c r="E139" s="1462"/>
      <c r="F139" s="1462"/>
      <c r="G139" s="1462"/>
      <c r="H139" s="1859"/>
      <c r="I139" s="1857" t="s">
        <v>146</v>
      </c>
      <c r="J139" s="1464" t="s">
        <v>147</v>
      </c>
    </row>
    <row r="140" spans="4:10" ht="15">
      <c r="D140" s="1462"/>
      <c r="E140" s="1462"/>
      <c r="F140" s="1462"/>
      <c r="G140" s="1462"/>
      <c r="H140" s="1859"/>
      <c r="I140" s="1857" t="s">
        <v>764</v>
      </c>
      <c r="J140" s="1464" t="s">
        <v>149</v>
      </c>
    </row>
    <row r="141" spans="4:10" ht="15">
      <c r="D141" s="1462"/>
      <c r="E141" s="1462"/>
      <c r="F141" s="1462"/>
      <c r="G141" s="1462"/>
      <c r="H141" s="1859"/>
      <c r="I141" s="1857" t="s">
        <v>150</v>
      </c>
      <c r="J141" s="1464" t="s">
        <v>151</v>
      </c>
    </row>
    <row r="142" spans="4:10" ht="15">
      <c r="D142" s="1462"/>
      <c r="E142" s="1462"/>
      <c r="F142" s="1462"/>
      <c r="G142" s="1462"/>
      <c r="H142" s="1859"/>
      <c r="I142" s="1857" t="s">
        <v>152</v>
      </c>
      <c r="J142" s="1464" t="s">
        <v>153</v>
      </c>
    </row>
    <row r="143" spans="4:10" ht="15">
      <c r="D143" s="1462"/>
      <c r="E143" s="1462"/>
      <c r="F143" s="1462"/>
      <c r="G143" s="1462"/>
      <c r="H143" s="1859"/>
      <c r="I143" s="1857" t="s">
        <v>154</v>
      </c>
      <c r="J143" s="1464" t="s">
        <v>155</v>
      </c>
    </row>
    <row r="144" spans="4:10" ht="15">
      <c r="D144" s="1462"/>
      <c r="E144" s="1462"/>
      <c r="F144" s="1462"/>
      <c r="G144" s="1462"/>
      <c r="H144" s="1859"/>
      <c r="I144" s="1857" t="s">
        <v>156</v>
      </c>
      <c r="J144" s="1464" t="s">
        <v>157</v>
      </c>
    </row>
    <row r="145" spans="4:10" ht="15">
      <c r="D145" s="1462"/>
      <c r="E145" s="1462"/>
      <c r="F145" s="1462"/>
      <c r="G145" s="1462"/>
      <c r="H145" s="1859"/>
      <c r="I145" s="1857" t="s">
        <v>158</v>
      </c>
      <c r="J145" s="1464" t="s">
        <v>159</v>
      </c>
    </row>
    <row r="146" spans="4:10" ht="15">
      <c r="D146" s="1462"/>
      <c r="E146" s="1462"/>
      <c r="F146" s="1462"/>
      <c r="G146" s="1462"/>
      <c r="H146" s="1859"/>
      <c r="I146" s="1857" t="s">
        <v>160</v>
      </c>
      <c r="J146" s="1464" t="s">
        <v>161</v>
      </c>
    </row>
    <row r="147" spans="4:10" ht="15">
      <c r="D147" s="1462"/>
      <c r="E147" s="1462"/>
      <c r="F147" s="1462"/>
      <c r="G147" s="1462"/>
      <c r="H147" s="1859"/>
      <c r="I147" s="1857" t="s">
        <v>162</v>
      </c>
      <c r="J147" s="1464" t="s">
        <v>163</v>
      </c>
    </row>
    <row r="148" spans="4:10" ht="15">
      <c r="D148" s="1462"/>
      <c r="E148" s="1462"/>
      <c r="F148" s="1462"/>
      <c r="G148" s="1462"/>
      <c r="H148" s="1859"/>
      <c r="I148" s="1857" t="s">
        <v>164</v>
      </c>
      <c r="J148" s="1464" t="s">
        <v>165</v>
      </c>
    </row>
    <row r="149" spans="4:10" ht="15">
      <c r="D149" s="1462"/>
      <c r="E149" s="1462"/>
      <c r="F149" s="1462"/>
      <c r="G149" s="1462"/>
      <c r="H149" s="1859"/>
      <c r="I149" s="1857" t="s">
        <v>166</v>
      </c>
      <c r="J149" s="1464" t="s">
        <v>167</v>
      </c>
    </row>
    <row r="150" spans="4:10" ht="15">
      <c r="D150" s="1462"/>
      <c r="E150" s="1462"/>
      <c r="F150" s="1462"/>
      <c r="G150" s="1462"/>
      <c r="H150" s="1859"/>
      <c r="I150" s="1857" t="s">
        <v>168</v>
      </c>
      <c r="J150" s="1464" t="s">
        <v>169</v>
      </c>
    </row>
    <row r="151" spans="4:10" ht="15">
      <c r="D151" s="1462"/>
      <c r="E151" s="1462"/>
      <c r="F151" s="1462"/>
      <c r="G151" s="1462"/>
      <c r="H151" s="1859"/>
      <c r="I151" s="1857" t="s">
        <v>170</v>
      </c>
      <c r="J151" s="1464" t="s">
        <v>171</v>
      </c>
    </row>
    <row r="152" spans="4:10" ht="15">
      <c r="D152" s="1462"/>
      <c r="E152" s="1462"/>
      <c r="F152" s="1462"/>
      <c r="G152" s="1462"/>
      <c r="H152" s="1859"/>
      <c r="I152" s="1857" t="s">
        <v>172</v>
      </c>
      <c r="J152" s="1464" t="s">
        <v>173</v>
      </c>
    </row>
    <row r="153" spans="4:10" ht="15">
      <c r="D153" s="1859"/>
      <c r="E153" s="1859"/>
      <c r="F153" s="1859"/>
      <c r="G153" s="1859"/>
      <c r="H153" s="1859"/>
      <c r="I153" s="1857" t="s">
        <v>174</v>
      </c>
      <c r="J153" s="1464" t="s">
        <v>175</v>
      </c>
    </row>
  </sheetData>
  <sheetProtection algorithmName="SHA-512" hashValue="x2WvZ1OU8HjpwcHY1GxUC2Kr1STuNVIXoJxs8/EbL9S84ZlvMiIhcdTLk8Psc/yeRMH7SZFdFzk5+kw0oZO0TQ==" saltValue="9hZNcovpYGLKw/krRTCL3Q==" spinCount="100000" sheet="1" objects="1" scenarios="1"/>
  <sortState ref="I107:J134">
    <sortCondition ref="I107"/>
  </sortState>
  <conditionalFormatting sqref="G105">
    <cfRule type="cellIs" dxfId="462" priority="3" stopIfTrue="1" operator="lessThan">
      <formula>$H$105</formula>
    </cfRule>
    <cfRule type="cellIs" dxfId="461" priority="4" stopIfTrue="1" operator="greaterThan">
      <formula>$H$105</formula>
    </cfRule>
    <cfRule type="cellIs" dxfId="460" priority="6" stopIfTrue="1" operator="equal">
      <formula>$H$105</formula>
    </cfRule>
  </conditionalFormatting>
  <conditionalFormatting sqref="H105">
    <cfRule type="cellIs" dxfId="459" priority="1" stopIfTrue="1" operator="lessThan">
      <formula>$G$105</formula>
    </cfRule>
    <cfRule type="cellIs" dxfId="458" priority="2" stopIfTrue="1" operator="greaterThan">
      <formula>$G$105</formula>
    </cfRule>
    <cfRule type="cellIs" dxfId="457" priority="5" stopIfTrue="1" operator="equal">
      <formula>$G$105</formula>
    </cfRule>
  </conditionalFormatting>
  <printOptions horizontalCentered="1" verticalCentered="1"/>
  <pageMargins left="0.7" right="0.7" top="0.75" bottom="0.75" header="0.3" footer="0.3"/>
  <pageSetup scale="74" fitToHeight="0" orientation="portrait" verticalDpi="2" r:id="rId1"/>
  <headerFooter>
    <oddHeader>&amp;L&amp;8&amp;K000000File Name: &amp;F  Tab Name: &amp;A</oddHeader>
    <oddFooter>&amp;L&amp;Z&amp;F&amp;RPage &amp;P of &amp;N</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C000"/>
    <pageSetUpPr fitToPage="1"/>
  </sheetPr>
  <dimension ref="A1:AA179"/>
  <sheetViews>
    <sheetView topLeftCell="D1" zoomScaleNormal="100" workbookViewId="0">
      <selection activeCell="S10" sqref="S10"/>
    </sheetView>
  </sheetViews>
  <sheetFormatPr defaultColWidth="11.140625" defaultRowHeight="12.75"/>
  <cols>
    <col min="1" max="1" width="3.28515625" style="103" hidden="1" customWidth="1"/>
    <col min="2" max="2" width="7.42578125" style="106" hidden="1" customWidth="1"/>
    <col min="3" max="3" width="2.7109375" style="106" hidden="1" customWidth="1"/>
    <col min="4" max="4" width="5.42578125" style="46" customWidth="1"/>
    <col min="5" max="5" width="2" style="46" customWidth="1"/>
    <col min="6" max="7" width="11.140625" style="46"/>
    <col min="8" max="8" width="44.28515625" style="46" customWidth="1"/>
    <col min="9" max="9" width="1.7109375" style="46" customWidth="1"/>
    <col min="10" max="10" width="21" style="1821" hidden="1" customWidth="1"/>
    <col min="11" max="11" width="17.140625" style="1821" customWidth="1"/>
    <col min="12" max="12" width="19" style="99" customWidth="1"/>
    <col min="13" max="13" width="15.7109375" style="46" customWidth="1"/>
    <col min="14" max="14" width="0.85546875" style="46" customWidth="1"/>
    <col min="15" max="16" width="14.85546875" style="46" customWidth="1"/>
    <col min="17" max="17" width="14.85546875" style="1821" customWidth="1"/>
    <col min="18" max="18" width="1.28515625" style="46" customWidth="1"/>
    <col min="19" max="19" width="24.7109375" style="46" customWidth="1"/>
    <col min="20" max="20" width="1.42578125" style="511" customWidth="1"/>
    <col min="21" max="21" width="14.5703125" style="796" customWidth="1"/>
    <col min="22" max="22" width="8.85546875" style="796" customWidth="1"/>
    <col min="23" max="23" width="14.5703125" style="796" customWidth="1"/>
    <col min="24" max="24" width="11.5703125" style="796" customWidth="1"/>
    <col min="25" max="16384" width="11.140625" style="46"/>
  </cols>
  <sheetData>
    <row r="1" spans="1:27" ht="28.5" customHeight="1" thickTop="1" thickBot="1">
      <c r="A1" s="277"/>
      <c r="B1" s="278"/>
      <c r="C1" s="2592" t="s">
        <v>2294</v>
      </c>
      <c r="D1" s="2834"/>
      <c r="E1" s="2833"/>
      <c r="F1" s="2592"/>
      <c r="G1" s="2592"/>
      <c r="H1" s="2592"/>
      <c r="I1" s="2592"/>
      <c r="J1" s="2592"/>
      <c r="K1" s="2834" t="s">
        <v>2295</v>
      </c>
      <c r="L1" s="2592"/>
      <c r="M1" s="2592"/>
      <c r="N1" s="2592"/>
      <c r="O1" s="2592"/>
      <c r="P1" s="2592"/>
      <c r="Q1" s="2994"/>
      <c r="R1" s="841"/>
      <c r="S1" s="785"/>
      <c r="T1" s="793"/>
      <c r="U1" s="793"/>
      <c r="V1" s="793"/>
      <c r="W1" s="793"/>
      <c r="X1" s="793"/>
      <c r="Y1" s="785"/>
      <c r="Z1" s="1821"/>
      <c r="AA1" s="1821"/>
    </row>
    <row r="2" spans="1:27" ht="15" customHeight="1" thickTop="1">
      <c r="A2" s="1823"/>
      <c r="C2" s="1825"/>
      <c r="D2" s="220"/>
      <c r="E2" s="220"/>
      <c r="F2" s="220"/>
      <c r="G2" s="220"/>
      <c r="H2" s="220"/>
      <c r="I2" s="220"/>
      <c r="J2" s="220"/>
      <c r="K2" s="220"/>
      <c r="L2" s="269"/>
      <c r="M2" s="220"/>
      <c r="N2" s="220"/>
      <c r="O2" s="1349" t="s">
        <v>3</v>
      </c>
      <c r="P2" s="2955" t="str">
        <f>'Contact Information'!$C$3</f>
        <v>2021.v01</v>
      </c>
      <c r="Q2" s="2955"/>
      <c r="R2" s="99"/>
      <c r="S2" s="1821"/>
      <c r="T2" s="1826"/>
      <c r="U2" s="2836" t="s">
        <v>2296</v>
      </c>
      <c r="V2" s="2597"/>
      <c r="W2" s="2597"/>
      <c r="X2" s="2597"/>
      <c r="Y2" s="787"/>
      <c r="Z2" s="1821"/>
      <c r="AA2" s="1821"/>
    </row>
    <row r="3" spans="1:27" ht="15" customHeight="1">
      <c r="A3" s="1823"/>
      <c r="B3" s="104"/>
      <c r="C3" s="280"/>
      <c r="D3" s="1821"/>
      <c r="E3" s="2593"/>
      <c r="F3" s="2593"/>
      <c r="G3" s="2593"/>
      <c r="H3" s="2593"/>
      <c r="I3" s="2593"/>
      <c r="J3" s="2593"/>
      <c r="K3" s="697" t="str">
        <f>'Contact Information'!$C$5</f>
        <v>SAMPLE STATE COLLEGE</v>
      </c>
      <c r="L3" s="2593"/>
      <c r="M3" s="2593"/>
      <c r="N3" s="2593"/>
      <c r="O3" s="2593"/>
      <c r="P3" s="2593"/>
      <c r="Q3" s="2593"/>
      <c r="R3" s="844"/>
      <c r="S3" s="1821"/>
      <c r="T3" s="1826"/>
      <c r="U3" s="2836" t="s">
        <v>2297</v>
      </c>
      <c r="V3" s="2597"/>
      <c r="W3" s="2597"/>
      <c r="X3" s="2597"/>
      <c r="Y3" s="787"/>
      <c r="Z3" s="1821"/>
      <c r="AA3" s="784"/>
    </row>
    <row r="4" spans="1:27" ht="12.75" customHeight="1">
      <c r="A4" s="1823"/>
      <c r="B4" s="104"/>
      <c r="C4" s="280"/>
      <c r="D4" s="1821"/>
      <c r="E4" s="2593"/>
      <c r="F4" s="2593"/>
      <c r="G4" s="2593"/>
      <c r="H4" s="2593"/>
      <c r="I4" s="2593"/>
      <c r="J4" s="2593"/>
      <c r="K4" s="697" t="s">
        <v>2298</v>
      </c>
      <c r="L4" s="2593"/>
      <c r="M4" s="2593"/>
      <c r="N4" s="2593"/>
      <c r="O4" s="2593"/>
      <c r="P4" s="2593"/>
      <c r="Q4" s="2593"/>
      <c r="R4" s="844"/>
      <c r="S4" s="787"/>
      <c r="T4" s="1826"/>
      <c r="U4" s="2837" t="s">
        <v>2299</v>
      </c>
      <c r="V4" s="2597"/>
      <c r="W4" s="2597"/>
      <c r="X4" s="2597"/>
      <c r="Y4" s="787"/>
      <c r="Z4" s="1821"/>
      <c r="AA4" s="1821"/>
    </row>
    <row r="5" spans="1:27" ht="12.75" customHeight="1">
      <c r="A5" s="1823"/>
      <c r="B5" s="104"/>
      <c r="C5" s="280"/>
      <c r="D5" s="1821"/>
      <c r="E5" s="252"/>
      <c r="F5" s="252"/>
      <c r="G5" s="252"/>
      <c r="H5" s="252"/>
      <c r="I5" s="252"/>
      <c r="J5" s="252"/>
      <c r="K5" s="696" t="s">
        <v>2300</v>
      </c>
      <c r="L5" s="252"/>
      <c r="M5" s="252"/>
      <c r="N5" s="252"/>
      <c r="O5" s="252"/>
      <c r="P5" s="252"/>
      <c r="Q5" s="252"/>
      <c r="R5" s="822"/>
      <c r="S5" s="787"/>
      <c r="T5" s="1826"/>
      <c r="U5" s="2837" t="s">
        <v>2301</v>
      </c>
      <c r="V5" s="2597"/>
      <c r="W5" s="2597"/>
      <c r="X5" s="2597"/>
      <c r="Y5" s="787"/>
      <c r="Z5" s="1821"/>
      <c r="AA5" s="1821"/>
    </row>
    <row r="6" spans="1:27" ht="12.75" customHeight="1">
      <c r="A6" s="1823"/>
      <c r="B6" s="104"/>
      <c r="C6" s="280"/>
      <c r="D6" s="1821"/>
      <c r="E6" s="2590"/>
      <c r="F6" s="2590"/>
      <c r="G6" s="2590"/>
      <c r="H6" s="2590"/>
      <c r="I6" s="2590"/>
      <c r="J6" s="2590"/>
      <c r="K6" s="2996" t="s">
        <v>4056</v>
      </c>
      <c r="L6" s="2590"/>
      <c r="M6" s="2590"/>
      <c r="N6" s="2590"/>
      <c r="O6" s="2590"/>
      <c r="P6" s="2590"/>
      <c r="Q6" s="2590"/>
      <c r="R6" s="845"/>
      <c r="S6" s="1821"/>
      <c r="T6" s="1826"/>
      <c r="U6" s="2836" t="s">
        <v>2302</v>
      </c>
      <c r="V6" s="2597"/>
      <c r="W6" s="2597"/>
      <c r="X6" s="2597"/>
      <c r="Y6" s="788"/>
      <c r="Z6" s="1821"/>
      <c r="AA6" s="1821"/>
    </row>
    <row r="7" spans="1:27" s="96" customFormat="1" ht="7.5" customHeight="1">
      <c r="A7" s="1798"/>
      <c r="B7" s="105"/>
      <c r="C7" s="1816"/>
      <c r="D7" s="1811"/>
      <c r="E7" s="1811"/>
      <c r="F7" s="1811"/>
      <c r="G7" s="1811"/>
      <c r="H7" s="1811"/>
      <c r="I7" s="1811"/>
      <c r="J7" s="1811"/>
      <c r="K7" s="1811"/>
      <c r="L7" s="1812"/>
      <c r="M7" s="1812"/>
      <c r="N7" s="1812"/>
      <c r="O7" s="1813"/>
      <c r="P7" s="1813"/>
      <c r="Q7" s="1813"/>
      <c r="R7" s="1820"/>
      <c r="S7" s="788"/>
      <c r="T7" s="1810"/>
      <c r="U7" s="2597"/>
      <c r="V7" s="2597"/>
      <c r="W7" s="2597"/>
      <c r="X7" s="2597"/>
      <c r="Y7" s="788"/>
      <c r="Z7" s="1810"/>
      <c r="AA7" s="1810"/>
    </row>
    <row r="8" spans="1:27">
      <c r="A8" s="1823"/>
      <c r="C8" s="1825"/>
      <c r="D8" s="224"/>
      <c r="E8" s="224"/>
      <c r="F8" s="224"/>
      <c r="G8" s="224"/>
      <c r="H8" s="224"/>
      <c r="I8" s="224"/>
      <c r="J8" s="224"/>
      <c r="K8" s="240" t="s">
        <v>2303</v>
      </c>
      <c r="L8" s="1962"/>
      <c r="M8" s="227" t="s">
        <v>2303</v>
      </c>
      <c r="N8" s="228"/>
      <c r="O8" s="227" t="s">
        <v>849</v>
      </c>
      <c r="P8" s="227" t="s">
        <v>2304</v>
      </c>
      <c r="Q8" s="227"/>
      <c r="R8" s="842"/>
      <c r="S8" s="1821"/>
      <c r="T8" s="1826"/>
      <c r="U8" s="2597"/>
      <c r="V8" s="2597"/>
      <c r="W8" s="2597"/>
      <c r="X8" s="2597"/>
      <c r="Y8" s="788"/>
      <c r="Z8" s="1821"/>
      <c r="AA8" s="1821"/>
    </row>
    <row r="9" spans="1:27" ht="15" customHeight="1">
      <c r="A9" s="1823"/>
      <c r="C9" s="1825"/>
      <c r="D9" s="224"/>
      <c r="E9" s="224"/>
      <c r="F9" s="224"/>
      <c r="G9" s="224"/>
      <c r="H9" s="224"/>
      <c r="I9" s="224"/>
      <c r="J9" s="224"/>
      <c r="K9" s="230" t="s">
        <v>2305</v>
      </c>
      <c r="L9" s="1947" t="s">
        <v>2306</v>
      </c>
      <c r="M9" s="229"/>
      <c r="N9" s="228"/>
      <c r="O9" s="230" t="s">
        <v>2307</v>
      </c>
      <c r="P9" s="230"/>
      <c r="Q9" s="279"/>
      <c r="R9" s="825"/>
      <c r="S9" s="804" t="s">
        <v>2308</v>
      </c>
      <c r="T9" s="794"/>
      <c r="U9" s="1817"/>
      <c r="V9" s="2594"/>
      <c r="W9" s="2594"/>
      <c r="X9" s="2594"/>
      <c r="Y9" s="788"/>
      <c r="Z9" s="1821"/>
      <c r="AA9" s="1821"/>
    </row>
    <row r="10" spans="1:27">
      <c r="A10" s="1823"/>
      <c r="C10" s="1825"/>
      <c r="D10" s="219" t="s">
        <v>924</v>
      </c>
      <c r="E10" s="220"/>
      <c r="F10" s="1811"/>
      <c r="G10" s="1811"/>
      <c r="H10" s="1811"/>
      <c r="I10" s="1811"/>
      <c r="J10" s="1811"/>
      <c r="K10" s="1811"/>
      <c r="L10" s="221"/>
      <c r="M10" s="231"/>
      <c r="N10" s="228"/>
      <c r="O10" s="231"/>
      <c r="P10" s="231"/>
      <c r="Q10" s="231"/>
      <c r="R10" s="846"/>
      <c r="S10" s="1827"/>
      <c r="T10" s="795"/>
      <c r="U10" s="2595"/>
      <c r="V10" s="2838" t="s">
        <v>2309</v>
      </c>
      <c r="W10" s="2595"/>
      <c r="X10" s="2595"/>
      <c r="Y10" s="1821"/>
      <c r="Z10" s="1821"/>
      <c r="AA10" s="1821"/>
    </row>
    <row r="11" spans="1:27">
      <c r="A11" s="3294" t="s">
        <v>2310</v>
      </c>
      <c r="B11" s="3295" t="s">
        <v>2311</v>
      </c>
      <c r="C11" s="244"/>
      <c r="D11" s="1811" t="s">
        <v>2312</v>
      </c>
      <c r="E11" s="220"/>
      <c r="F11" s="1811"/>
      <c r="G11" s="1811"/>
      <c r="H11" s="1811"/>
      <c r="I11" s="1811"/>
      <c r="J11" s="1811"/>
      <c r="K11" s="3258"/>
      <c r="L11" s="221"/>
      <c r="M11" s="97"/>
      <c r="N11" s="228"/>
      <c r="O11" s="231"/>
      <c r="P11" s="231"/>
      <c r="Q11" s="231"/>
      <c r="R11" s="846"/>
      <c r="S11" s="1827"/>
      <c r="T11" s="1826"/>
      <c r="U11" s="3296" t="s">
        <v>2303</v>
      </c>
      <c r="V11" s="3297" t="s">
        <v>2313</v>
      </c>
      <c r="W11" s="3298" t="s">
        <v>2314</v>
      </c>
      <c r="X11" s="3747" t="s">
        <v>2313</v>
      </c>
      <c r="Y11" s="1821"/>
      <c r="Z11" s="1821"/>
      <c r="AA11" s="1821"/>
    </row>
    <row r="12" spans="1:27">
      <c r="A12" s="1823" t="s">
        <v>176</v>
      </c>
      <c r="B12" s="107" t="s">
        <v>2315</v>
      </c>
      <c r="C12" s="266"/>
      <c r="D12" s="222"/>
      <c r="E12" s="1811" t="s">
        <v>177</v>
      </c>
      <c r="F12" s="220"/>
      <c r="G12" s="220"/>
      <c r="H12" s="220"/>
      <c r="I12" s="220"/>
      <c r="J12" s="220"/>
      <c r="K12" s="2390">
        <f>SUM('Accounts by GL'!D6:D14)-'Accounts by GL'!D10+SUM('Accounts by GL'!F6:F9)+SUM('Accounts by GL'!F11:F14)+'Accounts by GL'!N6</f>
        <v>0</v>
      </c>
      <c r="L12" s="2325"/>
      <c r="M12" s="1805">
        <f>+K12+L12</f>
        <v>0</v>
      </c>
      <c r="N12" s="232"/>
      <c r="O12" s="425">
        <v>0</v>
      </c>
      <c r="P12" s="1805">
        <f>ROUND(O12,0)+ROUND(M12,0)</f>
        <v>0</v>
      </c>
      <c r="Q12" s="1805"/>
      <c r="R12" s="851"/>
      <c r="S12" s="1827"/>
      <c r="T12" s="1826"/>
      <c r="U12" s="808">
        <f t="shared" ref="U12:U23" si="0">M12</f>
        <v>0</v>
      </c>
      <c r="V12" s="1817">
        <f>ROUND(U12,0)-U12</f>
        <v>0</v>
      </c>
      <c r="W12" s="3748">
        <f t="shared" ref="W12:W23" si="1">O12</f>
        <v>0</v>
      </c>
      <c r="X12" s="1817">
        <f>ROUND(W12,0)-W12</f>
        <v>0</v>
      </c>
      <c r="Y12" s="1821"/>
      <c r="Z12" s="1821"/>
      <c r="AA12" s="1821"/>
    </row>
    <row r="13" spans="1:27">
      <c r="A13" s="1823" t="s">
        <v>180</v>
      </c>
      <c r="B13" s="107" t="s">
        <v>2315</v>
      </c>
      <c r="C13" s="266"/>
      <c r="D13" s="222"/>
      <c r="E13" s="1811" t="s">
        <v>181</v>
      </c>
      <c r="F13" s="220"/>
      <c r="G13" s="220"/>
      <c r="H13" s="220"/>
      <c r="I13" s="220"/>
      <c r="J13" s="220"/>
      <c r="K13" s="2390">
        <f>SUM('Accounts by GL'!E6:E9)+SUM('Accounts by GL'!G6:I9)+SUM('Accounts by GL'!K6:L9)+SUM('Accounts by GL'!G11:L14)+SUM('Accounts by GL'!E11:E14)+'Accounts by GL'!N7+'Accounts by GL'!J156</f>
        <v>0</v>
      </c>
      <c r="L13" s="1809">
        <v>0</v>
      </c>
      <c r="M13" s="1805">
        <f>+K13+L13</f>
        <v>0</v>
      </c>
      <c r="N13" s="1800"/>
      <c r="O13" s="1809">
        <v>0</v>
      </c>
      <c r="P13" s="1805">
        <f t="shared" ref="P13:P23" si="2">ROUND(O13,0)+ROUND(M13,0)</f>
        <v>0</v>
      </c>
      <c r="Q13" s="1805"/>
      <c r="R13" s="1805"/>
      <c r="S13" s="1827"/>
      <c r="T13" s="1826"/>
      <c r="U13" s="1817">
        <f t="shared" si="0"/>
        <v>0</v>
      </c>
      <c r="V13" s="1817">
        <f t="shared" ref="V13:V23" si="3">ROUND(U13,0)-U13</f>
        <v>0</v>
      </c>
      <c r="W13" s="1833">
        <f t="shared" si="1"/>
        <v>0</v>
      </c>
      <c r="X13" s="1817">
        <f t="shared" ref="X13:X23" si="4">ROUND(W13,0)-W13</f>
        <v>0</v>
      </c>
      <c r="Y13" s="1821"/>
      <c r="Z13" s="1821"/>
      <c r="AA13" s="1821"/>
    </row>
    <row r="14" spans="1:27">
      <c r="A14" s="1823" t="s">
        <v>183</v>
      </c>
      <c r="B14" s="107" t="s">
        <v>2315</v>
      </c>
      <c r="C14" s="266"/>
      <c r="D14" s="222"/>
      <c r="E14" s="1811" t="s">
        <v>184</v>
      </c>
      <c r="F14" s="220"/>
      <c r="G14" s="220"/>
      <c r="H14" s="220"/>
      <c r="I14" s="220"/>
      <c r="J14" s="220"/>
      <c r="K14" s="2390">
        <f>+'Accounts by GL'!D31+'Accounts by GL'!F31+'Accounts by GL'!N31</f>
        <v>0</v>
      </c>
      <c r="L14" s="1809">
        <v>0</v>
      </c>
      <c r="M14" s="1805">
        <f t="shared" ref="M14:M23" si="5">+K14+L14</f>
        <v>0</v>
      </c>
      <c r="N14" s="1800"/>
      <c r="O14" s="1809">
        <v>0</v>
      </c>
      <c r="P14" s="1805">
        <f t="shared" si="2"/>
        <v>0</v>
      </c>
      <c r="Q14" s="1805"/>
      <c r="R14" s="1805"/>
      <c r="S14" s="1827"/>
      <c r="T14" s="1826"/>
      <c r="U14" s="1817">
        <f t="shared" si="0"/>
        <v>0</v>
      </c>
      <c r="V14" s="1817">
        <f t="shared" si="3"/>
        <v>0</v>
      </c>
      <c r="W14" s="1833">
        <f t="shared" si="1"/>
        <v>0</v>
      </c>
      <c r="X14" s="1817">
        <f t="shared" si="4"/>
        <v>0</v>
      </c>
      <c r="Y14" s="1821"/>
      <c r="Z14" s="1821"/>
      <c r="AA14" s="1821"/>
    </row>
    <row r="15" spans="1:27">
      <c r="A15" s="1823" t="s">
        <v>186</v>
      </c>
      <c r="B15" s="107" t="s">
        <v>2315</v>
      </c>
      <c r="C15" s="266"/>
      <c r="D15" s="222"/>
      <c r="E15" s="1811" t="s">
        <v>187</v>
      </c>
      <c r="F15" s="220"/>
      <c r="G15" s="220"/>
      <c r="H15" s="220"/>
      <c r="I15" s="220"/>
      <c r="J15" s="220"/>
      <c r="K15" s="2390">
        <f>+'Accounts by GL'!E31+SUM('Accounts by GL'!G31:L31)+'Accounts by GL'!O32</f>
        <v>0</v>
      </c>
      <c r="L15" s="1809">
        <v>0</v>
      </c>
      <c r="M15" s="1805">
        <f t="shared" si="5"/>
        <v>0</v>
      </c>
      <c r="N15" s="1800"/>
      <c r="O15" s="1809">
        <v>0</v>
      </c>
      <c r="P15" s="1805">
        <f t="shared" si="2"/>
        <v>0</v>
      </c>
      <c r="Q15" s="1805"/>
      <c r="R15" s="1805"/>
      <c r="S15" s="1827"/>
      <c r="T15" s="1826"/>
      <c r="U15" s="1817">
        <f t="shared" si="0"/>
        <v>0</v>
      </c>
      <c r="V15" s="1817">
        <f t="shared" si="3"/>
        <v>0</v>
      </c>
      <c r="W15" s="1833">
        <f t="shared" si="1"/>
        <v>0</v>
      </c>
      <c r="X15" s="1817">
        <f t="shared" si="4"/>
        <v>0</v>
      </c>
      <c r="Y15" s="1821"/>
      <c r="Z15" s="1821"/>
      <c r="AA15" s="1821"/>
    </row>
    <row r="16" spans="1:27">
      <c r="A16" s="1823" t="s">
        <v>189</v>
      </c>
      <c r="B16" s="107" t="s">
        <v>2315</v>
      </c>
      <c r="C16" s="266"/>
      <c r="D16" s="222"/>
      <c r="E16" s="1811" t="s">
        <v>190</v>
      </c>
      <c r="F16" s="220"/>
      <c r="G16" s="220"/>
      <c r="H16" s="220"/>
      <c r="I16" s="220"/>
      <c r="J16" s="220"/>
      <c r="K16" s="2390">
        <f>+'Accounts by GL'!O10+SUM('Accounts by GL'!O16:O20)</f>
        <v>0</v>
      </c>
      <c r="L16" s="1809">
        <v>0</v>
      </c>
      <c r="M16" s="1805">
        <f t="shared" si="5"/>
        <v>0</v>
      </c>
      <c r="N16" s="1800"/>
      <c r="O16" s="1809">
        <v>0</v>
      </c>
      <c r="P16" s="1805">
        <f t="shared" si="2"/>
        <v>0</v>
      </c>
      <c r="Q16" s="1805"/>
      <c r="R16" s="1805"/>
      <c r="S16" s="1827"/>
      <c r="T16" s="1826"/>
      <c r="U16" s="1817">
        <f t="shared" si="0"/>
        <v>0</v>
      </c>
      <c r="V16" s="1817">
        <f t="shared" si="3"/>
        <v>0</v>
      </c>
      <c r="W16" s="1833">
        <f t="shared" si="1"/>
        <v>0</v>
      </c>
      <c r="X16" s="1817">
        <f t="shared" si="4"/>
        <v>0</v>
      </c>
      <c r="Y16" s="1821"/>
      <c r="Z16" s="1821"/>
      <c r="AA16" s="1821"/>
    </row>
    <row r="17" spans="1:24">
      <c r="A17" s="1823" t="s">
        <v>192</v>
      </c>
      <c r="B17" s="107" t="s">
        <v>2315</v>
      </c>
      <c r="C17" s="266"/>
      <c r="D17" s="222"/>
      <c r="E17" s="1811" t="s">
        <v>193</v>
      </c>
      <c r="F17" s="220"/>
      <c r="G17" s="220"/>
      <c r="H17" s="220"/>
      <c r="I17" s="220"/>
      <c r="J17" s="220"/>
      <c r="K17" s="2390">
        <f>+'Accounts by GL'!O21+'Accounts by GL'!O23+'Accounts by GL'!O24</f>
        <v>0</v>
      </c>
      <c r="L17" s="1809">
        <v>0</v>
      </c>
      <c r="M17" s="1805">
        <f t="shared" si="5"/>
        <v>0</v>
      </c>
      <c r="N17" s="1800"/>
      <c r="O17" s="1809">
        <v>0</v>
      </c>
      <c r="P17" s="1805">
        <f t="shared" si="2"/>
        <v>0</v>
      </c>
      <c r="Q17" s="1805"/>
      <c r="R17" s="1805"/>
      <c r="S17" s="1827"/>
      <c r="T17" s="1826"/>
      <c r="U17" s="1817">
        <f t="shared" si="0"/>
        <v>0</v>
      </c>
      <c r="V17" s="1817">
        <f t="shared" si="3"/>
        <v>0</v>
      </c>
      <c r="W17" s="1833">
        <f t="shared" si="1"/>
        <v>0</v>
      </c>
      <c r="X17" s="1817">
        <f t="shared" si="4"/>
        <v>0</v>
      </c>
    </row>
    <row r="18" spans="1:24">
      <c r="A18" s="1823" t="s">
        <v>196</v>
      </c>
      <c r="B18" s="1824" t="s">
        <v>198</v>
      </c>
      <c r="C18" s="1825"/>
      <c r="D18" s="223"/>
      <c r="E18" s="1811" t="s">
        <v>197</v>
      </c>
      <c r="F18" s="220"/>
      <c r="G18" s="220"/>
      <c r="H18" s="220"/>
      <c r="I18" s="220"/>
      <c r="J18" s="220"/>
      <c r="K18" s="2390">
        <f>+'Accounts by GL'!O36+'Accounts by GL'!O37</f>
        <v>0</v>
      </c>
      <c r="L18" s="1809">
        <v>0</v>
      </c>
      <c r="M18" s="1805">
        <f t="shared" si="5"/>
        <v>0</v>
      </c>
      <c r="N18" s="1800"/>
      <c r="O18" s="1809">
        <v>0</v>
      </c>
      <c r="P18" s="1805">
        <f t="shared" si="2"/>
        <v>0</v>
      </c>
      <c r="Q18" s="1805"/>
      <c r="R18" s="1805"/>
      <c r="S18" s="1827"/>
      <c r="T18" s="1826"/>
      <c r="U18" s="1817">
        <f t="shared" si="0"/>
        <v>0</v>
      </c>
      <c r="V18" s="1817">
        <f t="shared" si="3"/>
        <v>0</v>
      </c>
      <c r="W18" s="1833">
        <f t="shared" si="1"/>
        <v>0</v>
      </c>
      <c r="X18" s="1817">
        <f t="shared" si="4"/>
        <v>0</v>
      </c>
    </row>
    <row r="19" spans="1:24">
      <c r="A19" s="1823" t="s">
        <v>201</v>
      </c>
      <c r="B19" s="1824" t="s">
        <v>203</v>
      </c>
      <c r="C19" s="1825"/>
      <c r="D19" s="223"/>
      <c r="E19" s="1811" t="s">
        <v>202</v>
      </c>
      <c r="F19" s="220"/>
      <c r="G19" s="220"/>
      <c r="H19" s="220"/>
      <c r="I19" s="220"/>
      <c r="J19" s="220"/>
      <c r="K19" s="2390">
        <f>+'Accounts by GL'!O38</f>
        <v>0</v>
      </c>
      <c r="L19" s="1809">
        <v>0</v>
      </c>
      <c r="M19" s="1805">
        <f t="shared" si="5"/>
        <v>0</v>
      </c>
      <c r="N19" s="1800"/>
      <c r="O19" s="1809">
        <v>0</v>
      </c>
      <c r="P19" s="1805">
        <f t="shared" si="2"/>
        <v>0</v>
      </c>
      <c r="Q19" s="1805"/>
      <c r="R19" s="1805"/>
      <c r="S19" s="1827"/>
      <c r="T19" s="1826"/>
      <c r="U19" s="1817">
        <f t="shared" si="0"/>
        <v>0</v>
      </c>
      <c r="V19" s="1817">
        <f t="shared" si="3"/>
        <v>0</v>
      </c>
      <c r="W19" s="1833">
        <f t="shared" si="1"/>
        <v>0</v>
      </c>
      <c r="X19" s="1817">
        <f t="shared" si="4"/>
        <v>0</v>
      </c>
    </row>
    <row r="20" spans="1:24">
      <c r="A20" s="1823" t="s">
        <v>204</v>
      </c>
      <c r="B20" s="107" t="s">
        <v>206</v>
      </c>
      <c r="C20" s="266"/>
      <c r="D20" s="222"/>
      <c r="E20" s="1811" t="s">
        <v>205</v>
      </c>
      <c r="F20" s="220"/>
      <c r="G20" s="220"/>
      <c r="H20" s="220"/>
      <c r="I20" s="220"/>
      <c r="J20" s="220"/>
      <c r="K20" s="2390">
        <f>+'Accounts by GL'!O35</f>
        <v>0</v>
      </c>
      <c r="L20" s="1809">
        <v>0</v>
      </c>
      <c r="M20" s="1805">
        <f t="shared" si="5"/>
        <v>0</v>
      </c>
      <c r="N20" s="1800"/>
      <c r="O20" s="1809">
        <v>0</v>
      </c>
      <c r="P20" s="1805">
        <f t="shared" si="2"/>
        <v>0</v>
      </c>
      <c r="Q20" s="1805"/>
      <c r="R20" s="1805"/>
      <c r="S20" s="1827"/>
      <c r="T20" s="1826"/>
      <c r="U20" s="1817">
        <f t="shared" si="0"/>
        <v>0</v>
      </c>
      <c r="V20" s="1817">
        <f t="shared" si="3"/>
        <v>0</v>
      </c>
      <c r="W20" s="1833">
        <f t="shared" si="1"/>
        <v>0</v>
      </c>
      <c r="X20" s="1817">
        <f t="shared" si="4"/>
        <v>0</v>
      </c>
    </row>
    <row r="21" spans="1:24">
      <c r="A21" s="1823" t="s">
        <v>209</v>
      </c>
      <c r="B21" s="107" t="s">
        <v>211</v>
      </c>
      <c r="C21" s="266"/>
      <c r="D21" s="222"/>
      <c r="E21" s="1811" t="s">
        <v>210</v>
      </c>
      <c r="F21" s="220"/>
      <c r="G21" s="220"/>
      <c r="H21" s="220"/>
      <c r="I21" s="220"/>
      <c r="J21" s="220"/>
      <c r="K21" s="2390">
        <f>+'Accounts by GL'!O25+'Accounts by GL'!O15</f>
        <v>0</v>
      </c>
      <c r="L21" s="1809">
        <v>0</v>
      </c>
      <c r="M21" s="1805">
        <f t="shared" si="5"/>
        <v>0</v>
      </c>
      <c r="N21" s="1800"/>
      <c r="O21" s="1809">
        <v>0</v>
      </c>
      <c r="P21" s="1805">
        <f t="shared" si="2"/>
        <v>0</v>
      </c>
      <c r="Q21" s="1805"/>
      <c r="R21" s="1805"/>
      <c r="S21" s="1827"/>
      <c r="T21" s="1826"/>
      <c r="U21" s="1817">
        <f t="shared" si="0"/>
        <v>0</v>
      </c>
      <c r="V21" s="1817">
        <f t="shared" si="3"/>
        <v>0</v>
      </c>
      <c r="W21" s="1833">
        <f t="shared" si="1"/>
        <v>0</v>
      </c>
      <c r="X21" s="1817">
        <f t="shared" si="4"/>
        <v>0</v>
      </c>
    </row>
    <row r="22" spans="1:24">
      <c r="A22" s="1823" t="s">
        <v>214</v>
      </c>
      <c r="B22" s="107" t="s">
        <v>215</v>
      </c>
      <c r="C22" s="266"/>
      <c r="D22" s="222"/>
      <c r="E22" s="1811" t="s">
        <v>28</v>
      </c>
      <c r="F22" s="220"/>
      <c r="G22" s="220"/>
      <c r="H22" s="220"/>
      <c r="I22" s="220"/>
      <c r="J22" s="220"/>
      <c r="K22" s="2390">
        <f>'Accounts by GL'!O28+'Accounts by GL'!O30</f>
        <v>0</v>
      </c>
      <c r="L22" s="1809">
        <v>0</v>
      </c>
      <c r="M22" s="1805">
        <f t="shared" si="5"/>
        <v>0</v>
      </c>
      <c r="N22" s="1800"/>
      <c r="O22" s="1809">
        <v>0</v>
      </c>
      <c r="P22" s="1805">
        <f t="shared" si="2"/>
        <v>0</v>
      </c>
      <c r="Q22" s="1805"/>
      <c r="R22" s="1805"/>
      <c r="S22" s="1827"/>
      <c r="T22" s="1826"/>
      <c r="U22" s="1817">
        <f t="shared" si="0"/>
        <v>0</v>
      </c>
      <c r="V22" s="1817">
        <f t="shared" si="3"/>
        <v>0</v>
      </c>
      <c r="W22" s="1833">
        <f t="shared" si="1"/>
        <v>0</v>
      </c>
      <c r="X22" s="1817">
        <f t="shared" si="4"/>
        <v>0</v>
      </c>
    </row>
    <row r="23" spans="1:24">
      <c r="A23" s="1823" t="s">
        <v>216</v>
      </c>
      <c r="B23" s="107" t="s">
        <v>218</v>
      </c>
      <c r="C23" s="266"/>
      <c r="D23" s="222"/>
      <c r="E23" s="1811" t="s">
        <v>217</v>
      </c>
      <c r="F23" s="220"/>
      <c r="G23" s="220"/>
      <c r="H23" s="220"/>
      <c r="I23" s="220"/>
      <c r="J23" s="220"/>
      <c r="K23" s="2391">
        <f>+'Accounts by GL'!O27</f>
        <v>0</v>
      </c>
      <c r="L23" s="89">
        <v>0</v>
      </c>
      <c r="M23" s="2081">
        <f t="shared" si="5"/>
        <v>0</v>
      </c>
      <c r="N23" s="1800"/>
      <c r="O23" s="89">
        <v>0</v>
      </c>
      <c r="P23" s="2081">
        <f t="shared" si="2"/>
        <v>0</v>
      </c>
      <c r="Q23" s="1805"/>
      <c r="R23" s="1805"/>
      <c r="S23" s="1827"/>
      <c r="T23" s="1826"/>
      <c r="U23" s="1817">
        <f t="shared" si="0"/>
        <v>0</v>
      </c>
      <c r="V23" s="1817">
        <f t="shared" si="3"/>
        <v>0</v>
      </c>
      <c r="W23" s="1833">
        <f t="shared" si="1"/>
        <v>0</v>
      </c>
      <c r="X23" s="1817">
        <f t="shared" si="4"/>
        <v>0</v>
      </c>
    </row>
    <row r="24" spans="1:24" s="96" customFormat="1" ht="7.5" customHeight="1">
      <c r="A24" s="1798"/>
      <c r="B24" s="1799"/>
      <c r="C24" s="1816"/>
      <c r="D24" s="1811"/>
      <c r="E24" s="1811"/>
      <c r="F24" s="1811"/>
      <c r="G24" s="1811"/>
      <c r="H24" s="1811"/>
      <c r="I24" s="1811"/>
      <c r="J24" s="1811"/>
      <c r="K24" s="95"/>
      <c r="L24" s="1813"/>
      <c r="M24" s="95"/>
      <c r="N24" s="1812"/>
      <c r="O24" s="1813"/>
      <c r="P24" s="1813"/>
      <c r="Q24" s="1813"/>
      <c r="R24" s="1820"/>
      <c r="S24" s="1819"/>
      <c r="T24" s="1818"/>
      <c r="U24" s="798"/>
      <c r="V24" s="1817"/>
      <c r="W24" s="799"/>
      <c r="X24" s="798"/>
    </row>
    <row r="25" spans="1:24">
      <c r="A25" s="1823" t="s">
        <v>221</v>
      </c>
      <c r="B25" s="1824"/>
      <c r="C25" s="1825"/>
      <c r="D25" s="223"/>
      <c r="E25" s="219" t="s">
        <v>222</v>
      </c>
      <c r="F25" s="220"/>
      <c r="G25" s="220"/>
      <c r="H25" s="220"/>
      <c r="I25" s="220"/>
      <c r="J25" s="220"/>
      <c r="K25" s="3299">
        <f>SUM(K12:K23)</f>
        <v>0</v>
      </c>
      <c r="L25" s="3300">
        <f>SUM(L12:L23)</f>
        <v>0</v>
      </c>
      <c r="M25" s="3301">
        <f>ROUND(SUM(M12:M23),0)</f>
        <v>0</v>
      </c>
      <c r="N25" s="1814"/>
      <c r="O25" s="3301">
        <f>ROUND(SUM(O12:O23),0)</f>
        <v>0</v>
      </c>
      <c r="P25" s="3301">
        <f>ROUND(SUM(P12:P23),0)</f>
        <v>0</v>
      </c>
      <c r="Q25" s="2995"/>
      <c r="R25" s="1805"/>
      <c r="S25" s="1827"/>
      <c r="T25" s="1826"/>
      <c r="U25" s="3302">
        <f>SUM(U12:U23)</f>
        <v>0</v>
      </c>
      <c r="V25" s="3302">
        <f>M25-U25</f>
        <v>0</v>
      </c>
      <c r="W25" s="3303">
        <f>SUM(W12:W23)</f>
        <v>0</v>
      </c>
      <c r="X25" s="3302">
        <f>W25-O25</f>
        <v>0</v>
      </c>
    </row>
    <row r="26" spans="1:24" s="96" customFormat="1" ht="7.5" customHeight="1">
      <c r="A26" s="1798"/>
      <c r="B26" s="1799"/>
      <c r="C26" s="1816"/>
      <c r="D26" s="1811"/>
      <c r="E26" s="1811"/>
      <c r="F26" s="1811"/>
      <c r="G26" s="1811"/>
      <c r="H26" s="1811"/>
      <c r="I26" s="1811"/>
      <c r="J26" s="1811"/>
      <c r="K26" s="233"/>
      <c r="L26" s="236"/>
      <c r="M26" s="233"/>
      <c r="N26" s="233"/>
      <c r="O26" s="238"/>
      <c r="P26" s="238"/>
      <c r="Q26" s="238"/>
      <c r="R26" s="847"/>
      <c r="S26" s="1819"/>
      <c r="T26" s="1818"/>
      <c r="U26" s="798"/>
      <c r="V26" s="798"/>
      <c r="W26" s="799"/>
      <c r="X26" s="798"/>
    </row>
    <row r="27" spans="1:24">
      <c r="A27" s="1823"/>
      <c r="B27" s="1824"/>
      <c r="C27" s="1825"/>
      <c r="D27" s="1811" t="s">
        <v>2316</v>
      </c>
      <c r="E27" s="224"/>
      <c r="F27" s="225"/>
      <c r="G27" s="220"/>
      <c r="H27" s="220"/>
      <c r="I27" s="1811"/>
      <c r="J27" s="1811"/>
      <c r="K27" s="234"/>
      <c r="L27" s="236"/>
      <c r="M27" s="234"/>
      <c r="N27" s="234"/>
      <c r="O27" s="234"/>
      <c r="P27" s="234"/>
      <c r="Q27" s="234"/>
      <c r="R27" s="843"/>
      <c r="S27" s="1827"/>
      <c r="T27" s="1826"/>
      <c r="U27" s="1817"/>
      <c r="V27" s="1817"/>
      <c r="W27" s="1833"/>
      <c r="X27" s="1817"/>
    </row>
    <row r="28" spans="1:24">
      <c r="A28" s="1823" t="s">
        <v>223</v>
      </c>
      <c r="B28" s="107" t="s">
        <v>2315</v>
      </c>
      <c r="C28" s="266"/>
      <c r="D28" s="1811"/>
      <c r="E28" s="1811" t="s">
        <v>181</v>
      </c>
      <c r="F28" s="225"/>
      <c r="G28" s="220"/>
      <c r="H28" s="220"/>
      <c r="I28" s="220"/>
      <c r="J28" s="220"/>
      <c r="K28" s="2390">
        <f>SUM('Accounts by GL'!J6:J9)-'Accounts by GL'!J156+'Accounts by GL'!N8</f>
        <v>0</v>
      </c>
      <c r="L28" s="2326">
        <v>0</v>
      </c>
      <c r="M28" s="1805">
        <f t="shared" ref="M28:M35" si="6">+K28+L28</f>
        <v>0</v>
      </c>
      <c r="N28" s="1800"/>
      <c r="O28" s="1809">
        <v>0</v>
      </c>
      <c r="P28" s="1805">
        <f t="shared" ref="P28:P35" si="7">ROUND(O28,0)+ROUND(M28,0)</f>
        <v>0</v>
      </c>
      <c r="Q28" s="1805"/>
      <c r="R28" s="1805"/>
      <c r="S28" s="1827"/>
      <c r="T28" s="1826"/>
      <c r="U28" s="1817">
        <f t="shared" ref="U28:U35" si="8">M28</f>
        <v>0</v>
      </c>
      <c r="V28" s="1817">
        <f t="shared" ref="V28:V35" si="9">ROUND(U28,0)-U28</f>
        <v>0</v>
      </c>
      <c r="W28" s="1833">
        <f t="shared" ref="W28:W35" si="10">O28</f>
        <v>0</v>
      </c>
      <c r="X28" s="1817">
        <f t="shared" ref="X28:X35" si="11">ROUND(W28,0)-W28</f>
        <v>0</v>
      </c>
    </row>
    <row r="29" spans="1:24">
      <c r="A29" s="1823" t="s">
        <v>225</v>
      </c>
      <c r="B29" s="1824" t="s">
        <v>2315</v>
      </c>
      <c r="C29" s="1825"/>
      <c r="D29" s="1811"/>
      <c r="E29" s="1811" t="s">
        <v>184</v>
      </c>
      <c r="F29" s="225"/>
      <c r="G29" s="220"/>
      <c r="H29" s="220"/>
      <c r="I29" s="220"/>
      <c r="J29" s="220"/>
      <c r="K29" s="2390">
        <f>+'Accounts by GL'!D33+'Accounts by GL'!F33+'Accounts by GL'!N33</f>
        <v>0</v>
      </c>
      <c r="L29" s="1809">
        <v>0</v>
      </c>
      <c r="M29" s="1805">
        <f t="shared" si="6"/>
        <v>0</v>
      </c>
      <c r="N29" s="1800"/>
      <c r="O29" s="1809">
        <v>0</v>
      </c>
      <c r="P29" s="1805">
        <f t="shared" si="7"/>
        <v>0</v>
      </c>
      <c r="Q29" s="1805"/>
      <c r="R29" s="1805"/>
      <c r="S29" s="1827"/>
      <c r="T29" s="1826"/>
      <c r="U29" s="1817">
        <f t="shared" si="8"/>
        <v>0</v>
      </c>
      <c r="V29" s="1817">
        <f t="shared" si="9"/>
        <v>0</v>
      </c>
      <c r="W29" s="1833">
        <f t="shared" si="10"/>
        <v>0</v>
      </c>
      <c r="X29" s="1817">
        <f t="shared" si="11"/>
        <v>0</v>
      </c>
    </row>
    <row r="30" spans="1:24">
      <c r="A30" s="1823" t="s">
        <v>226</v>
      </c>
      <c r="B30" s="107" t="s">
        <v>2315</v>
      </c>
      <c r="C30" s="266"/>
      <c r="D30" s="1811"/>
      <c r="E30" s="1811" t="s">
        <v>187</v>
      </c>
      <c r="F30" s="225"/>
      <c r="G30" s="220"/>
      <c r="H30" s="220"/>
      <c r="I30" s="220"/>
      <c r="J30" s="220"/>
      <c r="K30" s="2390">
        <f>+'Accounts by GL'!E33+SUM('Accounts by GL'!G33:L33)+'Accounts by GL'!M34+'Accounts by GL'!N34</f>
        <v>0</v>
      </c>
      <c r="L30" s="1809">
        <v>0</v>
      </c>
      <c r="M30" s="1805">
        <f t="shared" si="6"/>
        <v>0</v>
      </c>
      <c r="N30" s="1800"/>
      <c r="O30" s="1809">
        <v>0</v>
      </c>
      <c r="P30" s="1805">
        <f t="shared" si="7"/>
        <v>0</v>
      </c>
      <c r="Q30" s="1805"/>
      <c r="R30" s="1805"/>
      <c r="S30" s="1827"/>
      <c r="T30" s="1826"/>
      <c r="U30" s="1817">
        <f t="shared" si="8"/>
        <v>0</v>
      </c>
      <c r="V30" s="1817">
        <f t="shared" si="9"/>
        <v>0</v>
      </c>
      <c r="W30" s="1833">
        <f t="shared" si="10"/>
        <v>0</v>
      </c>
      <c r="X30" s="1817">
        <f t="shared" si="11"/>
        <v>0</v>
      </c>
    </row>
    <row r="31" spans="1:24" s="1821" customFormat="1">
      <c r="A31" s="1892" t="s">
        <v>228</v>
      </c>
      <c r="B31" s="107" t="s">
        <v>2315</v>
      </c>
      <c r="C31" s="266"/>
      <c r="D31" s="1811"/>
      <c r="E31" s="1811" t="s">
        <v>210</v>
      </c>
      <c r="F31" s="225"/>
      <c r="G31" s="220"/>
      <c r="H31" s="220"/>
      <c r="I31" s="220"/>
      <c r="J31" s="220"/>
      <c r="K31" s="2390">
        <f>+'Accounts by GL'!O26</f>
        <v>0</v>
      </c>
      <c r="L31" s="1809">
        <v>0</v>
      </c>
      <c r="M31" s="1805">
        <f t="shared" si="6"/>
        <v>0</v>
      </c>
      <c r="N31" s="1800"/>
      <c r="O31" s="1809">
        <v>0</v>
      </c>
      <c r="P31" s="1805">
        <f>ROUND(O31,0)+ROUND(M31,0)</f>
        <v>0</v>
      </c>
      <c r="Q31" s="1805"/>
      <c r="R31" s="1805"/>
      <c r="S31" s="1827"/>
      <c r="T31" s="1826"/>
      <c r="U31" s="1817">
        <f t="shared" si="8"/>
        <v>0</v>
      </c>
      <c r="V31" s="1817">
        <f>ROUND(U31,0)-U31</f>
        <v>0</v>
      </c>
      <c r="W31" s="1833">
        <f t="shared" si="10"/>
        <v>0</v>
      </c>
      <c r="X31" s="1817">
        <f>ROUND(W31,0)-W31</f>
        <v>0</v>
      </c>
    </row>
    <row r="32" spans="1:24">
      <c r="A32" s="1823" t="s">
        <v>229</v>
      </c>
      <c r="B32" s="107" t="s">
        <v>2315</v>
      </c>
      <c r="C32" s="266"/>
      <c r="D32" s="1811"/>
      <c r="E32" s="1811" t="s">
        <v>230</v>
      </c>
      <c r="F32" s="225"/>
      <c r="G32" s="220"/>
      <c r="H32" s="220"/>
      <c r="I32" s="220"/>
      <c r="J32" s="220"/>
      <c r="K32" s="2390">
        <f>+'Accounts by GL'!O22</f>
        <v>0</v>
      </c>
      <c r="L32" s="1809">
        <v>0</v>
      </c>
      <c r="M32" s="1805">
        <f t="shared" si="6"/>
        <v>0</v>
      </c>
      <c r="N32" s="1800"/>
      <c r="O32" s="1809">
        <v>0</v>
      </c>
      <c r="P32" s="1805">
        <f t="shared" si="7"/>
        <v>0</v>
      </c>
      <c r="Q32" s="1805"/>
      <c r="R32" s="1805"/>
      <c r="S32" s="1827"/>
      <c r="T32" s="1826"/>
      <c r="U32" s="1817">
        <f t="shared" si="8"/>
        <v>0</v>
      </c>
      <c r="V32" s="1817">
        <f t="shared" si="9"/>
        <v>0</v>
      </c>
      <c r="W32" s="1833">
        <f t="shared" si="10"/>
        <v>0</v>
      </c>
      <c r="X32" s="1817">
        <f t="shared" si="11"/>
        <v>0</v>
      </c>
    </row>
    <row r="33" spans="1:24">
      <c r="A33" s="1823" t="s">
        <v>231</v>
      </c>
      <c r="B33" s="1824" t="s">
        <v>2315</v>
      </c>
      <c r="C33" s="1825"/>
      <c r="D33" s="1811"/>
      <c r="E33" s="1811" t="s">
        <v>232</v>
      </c>
      <c r="F33" s="225"/>
      <c r="G33" s="220"/>
      <c r="H33" s="220"/>
      <c r="I33" s="220"/>
      <c r="J33" s="220"/>
      <c r="K33" s="2390">
        <f>SUM('Accounts by GL'!O47:O50)+SUM('Accounts by GL'!O52:O77)</f>
        <v>0</v>
      </c>
      <c r="L33" s="1809">
        <v>0</v>
      </c>
      <c r="M33" s="1805">
        <f t="shared" si="6"/>
        <v>0</v>
      </c>
      <c r="N33" s="1800"/>
      <c r="O33" s="1809">
        <v>0</v>
      </c>
      <c r="P33" s="1805">
        <f t="shared" si="7"/>
        <v>0</v>
      </c>
      <c r="Q33" s="1805"/>
      <c r="R33" s="1805"/>
      <c r="S33" s="1827"/>
      <c r="T33" s="1826"/>
      <c r="U33" s="1817">
        <f t="shared" si="8"/>
        <v>0</v>
      </c>
      <c r="V33" s="1817">
        <f t="shared" si="9"/>
        <v>0</v>
      </c>
      <c r="W33" s="1833">
        <f t="shared" si="10"/>
        <v>0</v>
      </c>
      <c r="X33" s="1817">
        <f t="shared" si="11"/>
        <v>0</v>
      </c>
    </row>
    <row r="34" spans="1:24">
      <c r="A34" s="1823" t="s">
        <v>233</v>
      </c>
      <c r="B34" s="1824" t="s">
        <v>2315</v>
      </c>
      <c r="C34" s="1825"/>
      <c r="D34" s="1811"/>
      <c r="E34" s="1811" t="s">
        <v>234</v>
      </c>
      <c r="F34" s="225"/>
      <c r="G34" s="220"/>
      <c r="H34" s="220"/>
      <c r="I34" s="220"/>
      <c r="J34" s="220"/>
      <c r="K34" s="2390">
        <f>+'Accounts by GL'!O51+SUM('Accounts by GL'!O78:O80)</f>
        <v>0</v>
      </c>
      <c r="L34" s="1809">
        <v>0</v>
      </c>
      <c r="M34" s="1805">
        <f t="shared" si="6"/>
        <v>0</v>
      </c>
      <c r="N34" s="1800"/>
      <c r="O34" s="1809">
        <v>0</v>
      </c>
      <c r="P34" s="1805">
        <f t="shared" si="7"/>
        <v>0</v>
      </c>
      <c r="Q34" s="1805"/>
      <c r="R34" s="1805"/>
      <c r="S34" s="1827"/>
      <c r="T34" s="1826"/>
      <c r="U34" s="1817">
        <f t="shared" si="8"/>
        <v>0</v>
      </c>
      <c r="V34" s="1817">
        <f t="shared" si="9"/>
        <v>0</v>
      </c>
      <c r="W34" s="1833">
        <f t="shared" si="10"/>
        <v>0</v>
      </c>
      <c r="X34" s="1817">
        <f t="shared" si="11"/>
        <v>0</v>
      </c>
    </row>
    <row r="35" spans="1:24">
      <c r="A35" s="1823" t="s">
        <v>235</v>
      </c>
      <c r="B35" s="1824" t="s">
        <v>236</v>
      </c>
      <c r="C35" s="1825"/>
      <c r="D35" s="1811"/>
      <c r="E35" s="1811" t="s">
        <v>217</v>
      </c>
      <c r="F35" s="225"/>
      <c r="G35" s="220"/>
      <c r="H35" s="220"/>
      <c r="I35" s="220"/>
      <c r="J35" s="220"/>
      <c r="K35" s="2391">
        <f>+'Accounts by GL'!O29</f>
        <v>0</v>
      </c>
      <c r="L35" s="89">
        <v>0</v>
      </c>
      <c r="M35" s="2081">
        <f t="shared" si="6"/>
        <v>0</v>
      </c>
      <c r="N35" s="1800"/>
      <c r="O35" s="89">
        <v>0</v>
      </c>
      <c r="P35" s="2081">
        <f t="shared" si="7"/>
        <v>0</v>
      </c>
      <c r="Q35" s="1805"/>
      <c r="R35" s="1805"/>
      <c r="S35" s="1827"/>
      <c r="T35" s="1826"/>
      <c r="U35" s="1817">
        <f t="shared" si="8"/>
        <v>0</v>
      </c>
      <c r="V35" s="1817">
        <f t="shared" si="9"/>
        <v>0</v>
      </c>
      <c r="W35" s="1833">
        <f t="shared" si="10"/>
        <v>0</v>
      </c>
      <c r="X35" s="1817">
        <f t="shared" si="11"/>
        <v>0</v>
      </c>
    </row>
    <row r="36" spans="1:24" s="96" customFormat="1" ht="7.5" customHeight="1">
      <c r="A36" s="1798"/>
      <c r="B36" s="1799"/>
      <c r="C36" s="1816"/>
      <c r="D36" s="1811"/>
      <c r="E36" s="1811"/>
      <c r="F36" s="1811"/>
      <c r="G36" s="1811"/>
      <c r="H36" s="1811"/>
      <c r="I36" s="1811"/>
      <c r="J36" s="1811"/>
      <c r="K36" s="2390"/>
      <c r="L36" s="236"/>
      <c r="M36" s="1805"/>
      <c r="N36" s="1803"/>
      <c r="O36" s="1800"/>
      <c r="P36" s="1800"/>
      <c r="Q36" s="1800"/>
      <c r="R36" s="1805"/>
      <c r="S36" s="1819"/>
      <c r="T36" s="1818"/>
      <c r="U36" s="798"/>
      <c r="V36" s="798"/>
      <c r="W36" s="799"/>
      <c r="X36" s="798"/>
    </row>
    <row r="37" spans="1:24">
      <c r="A37" s="1823" t="s">
        <v>239</v>
      </c>
      <c r="B37" s="1824"/>
      <c r="C37" s="1825"/>
      <c r="D37" s="219"/>
      <c r="E37" s="219" t="s">
        <v>240</v>
      </c>
      <c r="F37" s="225"/>
      <c r="G37" s="220"/>
      <c r="H37" s="220"/>
      <c r="I37" s="220"/>
      <c r="J37" s="220"/>
      <c r="K37" s="3304">
        <f>SUM(K28:K35)</f>
        <v>0</v>
      </c>
      <c r="L37" s="3300">
        <f>SUM(L28:L35)</f>
        <v>0</v>
      </c>
      <c r="M37" s="3305">
        <f>ROUND(SUM(M28:M35),0)</f>
        <v>0</v>
      </c>
      <c r="N37" s="1800"/>
      <c r="O37" s="3305">
        <f>ROUND(SUM(O28:O35),0)</f>
        <v>0</v>
      </c>
      <c r="P37" s="3305">
        <f>ROUND(SUM(P28:P35),0)</f>
        <v>0</v>
      </c>
      <c r="Q37" s="1800"/>
      <c r="R37" s="1805"/>
      <c r="S37" s="1827"/>
      <c r="T37" s="1826"/>
      <c r="U37" s="3302">
        <f>SUM(U28:U35)</f>
        <v>0</v>
      </c>
      <c r="V37" s="3302">
        <f>M37-U37</f>
        <v>0</v>
      </c>
      <c r="W37" s="3303">
        <f>SUM(W28:W35)</f>
        <v>0</v>
      </c>
      <c r="X37" s="3302">
        <f>W37-O37</f>
        <v>0</v>
      </c>
    </row>
    <row r="38" spans="1:24" s="96" customFormat="1" ht="7.5" customHeight="1">
      <c r="A38" s="1798"/>
      <c r="B38" s="1799"/>
      <c r="C38" s="1816"/>
      <c r="D38" s="1811"/>
      <c r="E38" s="1811"/>
      <c r="F38" s="1811"/>
      <c r="G38" s="1811"/>
      <c r="H38" s="1811"/>
      <c r="I38" s="1811"/>
      <c r="J38" s="1811"/>
      <c r="K38" s="2392"/>
      <c r="L38" s="232"/>
      <c r="M38" s="234"/>
      <c r="N38" s="235"/>
      <c r="O38" s="239"/>
      <c r="P38" s="239"/>
      <c r="Q38" s="239"/>
      <c r="R38" s="1820"/>
      <c r="S38" s="1819"/>
      <c r="T38" s="1818"/>
      <c r="U38" s="798"/>
      <c r="V38" s="798"/>
      <c r="W38" s="799"/>
      <c r="X38" s="798"/>
    </row>
    <row r="39" spans="1:24" ht="13.5" thickBot="1">
      <c r="A39" s="1823"/>
      <c r="B39" s="1824"/>
      <c r="C39" s="1825"/>
      <c r="D39" s="219" t="s">
        <v>1169</v>
      </c>
      <c r="E39" s="1811"/>
      <c r="F39" s="225"/>
      <c r="G39" s="220"/>
      <c r="H39" s="220"/>
      <c r="I39" s="220"/>
      <c r="J39" s="220"/>
      <c r="K39" s="2393">
        <f>(SUM(K25+K37))</f>
        <v>0</v>
      </c>
      <c r="L39" s="2327">
        <f>(SUM(L25+L37))</f>
        <v>0</v>
      </c>
      <c r="M39" s="550">
        <f>ROUND(SUM(M25+M37),0)</f>
        <v>0</v>
      </c>
      <c r="N39" s="236"/>
      <c r="O39" s="551">
        <f>SUM(O25+O37)</f>
        <v>0</v>
      </c>
      <c r="P39" s="551">
        <f>SUM(P25+P37)</f>
        <v>0</v>
      </c>
      <c r="Q39" s="1348"/>
      <c r="R39" s="1828"/>
      <c r="S39" s="1827"/>
      <c r="T39" s="1826"/>
      <c r="U39" s="3302">
        <f>U25+U37</f>
        <v>0</v>
      </c>
      <c r="V39" s="3302">
        <f>M39-U39</f>
        <v>0</v>
      </c>
      <c r="W39" s="3303">
        <f>W25+W37</f>
        <v>0</v>
      </c>
      <c r="X39" s="3302">
        <f>W39-O39</f>
        <v>0</v>
      </c>
    </row>
    <row r="40" spans="1:24" ht="13.5" thickTop="1">
      <c r="A40" s="1823"/>
      <c r="B40" s="1824"/>
      <c r="C40" s="1825"/>
      <c r="D40" s="219"/>
      <c r="E40" s="1811"/>
      <c r="F40" s="225"/>
      <c r="G40" s="220"/>
      <c r="H40" s="220"/>
      <c r="I40" s="220"/>
      <c r="J40" s="220"/>
      <c r="K40" s="1347"/>
      <c r="L40" s="1811"/>
      <c r="M40" s="1347"/>
      <c r="N40" s="236"/>
      <c r="O40" s="1348"/>
      <c r="P40" s="1348"/>
      <c r="Q40" s="1348"/>
      <c r="R40" s="1828"/>
      <c r="S40" s="1827"/>
      <c r="T40" s="1826"/>
      <c r="U40" s="1834"/>
      <c r="V40" s="1834"/>
      <c r="W40" s="1833"/>
      <c r="X40" s="1834"/>
    </row>
    <row r="41" spans="1:24">
      <c r="A41" s="1823"/>
      <c r="B41" s="1824"/>
      <c r="C41" s="1825"/>
      <c r="D41" s="1351" t="s">
        <v>2317</v>
      </c>
      <c r="E41" s="1829"/>
      <c r="F41" s="1808"/>
      <c r="G41" s="1822"/>
      <c r="H41" s="1822"/>
      <c r="I41" s="1822"/>
      <c r="J41" s="1822"/>
      <c r="K41" s="1352"/>
      <c r="L41" s="1829"/>
      <c r="M41" s="1352"/>
      <c r="N41" s="1830"/>
      <c r="O41" s="1352"/>
      <c r="P41" s="1348"/>
      <c r="Q41" s="1348"/>
      <c r="R41" s="1828"/>
      <c r="S41" s="1827"/>
      <c r="T41" s="1826"/>
      <c r="U41" s="1834"/>
      <c r="V41" s="1834"/>
      <c r="W41" s="1833"/>
      <c r="X41" s="1834"/>
    </row>
    <row r="42" spans="1:24">
      <c r="A42" s="1823"/>
      <c r="B42" s="1824"/>
      <c r="C42" s="1825"/>
      <c r="D42" s="1829" t="s">
        <v>2318</v>
      </c>
      <c r="E42" s="1829"/>
      <c r="F42" s="1808"/>
      <c r="G42" s="1822"/>
      <c r="H42" s="1822"/>
      <c r="I42" s="1822"/>
      <c r="J42" s="1822"/>
      <c r="K42" s="2390">
        <f>+'Accounts by GL'!O81</f>
        <v>0</v>
      </c>
      <c r="L42" s="1864">
        <v>0</v>
      </c>
      <c r="M42" s="1805">
        <f t="shared" ref="M42:M48" si="12">+K42+L42</f>
        <v>0</v>
      </c>
      <c r="N42" s="1800"/>
      <c r="O42" s="1809">
        <v>0</v>
      </c>
      <c r="P42" s="1805">
        <f t="shared" ref="P42:P48" si="13">ROUND(O42,0)+ROUND(M42,0)</f>
        <v>0</v>
      </c>
      <c r="Q42" s="1805"/>
      <c r="R42" s="1828"/>
      <c r="S42" s="1827"/>
      <c r="T42" s="1826"/>
      <c r="U42" s="1834">
        <f t="shared" ref="U42:U48" si="14">M42</f>
        <v>0</v>
      </c>
      <c r="V42" s="1834"/>
      <c r="W42" s="1833"/>
      <c r="X42" s="1834"/>
    </row>
    <row r="43" spans="1:24" ht="13.5" customHeight="1">
      <c r="A43" s="1823" t="s">
        <v>241</v>
      </c>
      <c r="B43" s="1824" t="s">
        <v>242</v>
      </c>
      <c r="C43" s="1825"/>
      <c r="D43" s="1829" t="s">
        <v>35</v>
      </c>
      <c r="E43" s="1829"/>
      <c r="F43" s="1808"/>
      <c r="G43" s="1822"/>
      <c r="H43" s="1822"/>
      <c r="I43" s="1822"/>
      <c r="J43" s="1822"/>
      <c r="K43" s="2390">
        <f>+'Accounts by GL'!O83</f>
        <v>0</v>
      </c>
      <c r="L43" s="1864">
        <v>0</v>
      </c>
      <c r="M43" s="1805">
        <f t="shared" si="12"/>
        <v>0</v>
      </c>
      <c r="N43" s="1800"/>
      <c r="O43" s="1809">
        <v>0</v>
      </c>
      <c r="P43" s="1805">
        <f t="shared" si="13"/>
        <v>0</v>
      </c>
      <c r="Q43" s="1805"/>
      <c r="R43" s="1828"/>
      <c r="S43" s="1827"/>
      <c r="T43" s="1826"/>
      <c r="U43" s="1834">
        <f t="shared" si="14"/>
        <v>0</v>
      </c>
      <c r="V43" s="1834"/>
      <c r="W43" s="1833"/>
      <c r="X43" s="1834"/>
    </row>
    <row r="44" spans="1:24" s="1792" customFormat="1">
      <c r="A44" s="1823" t="s">
        <v>243</v>
      </c>
      <c r="B44" s="1824" t="s">
        <v>244</v>
      </c>
      <c r="C44" s="1825"/>
      <c r="D44" s="1829" t="s">
        <v>36</v>
      </c>
      <c r="E44" s="1829"/>
      <c r="F44" s="1808"/>
      <c r="G44" s="1822"/>
      <c r="H44" s="1822"/>
      <c r="I44" s="1822"/>
      <c r="J44" s="1822"/>
      <c r="K44" s="2390">
        <f>+'Accounts by GL'!O84</f>
        <v>0</v>
      </c>
      <c r="L44" s="1864">
        <v>0</v>
      </c>
      <c r="M44" s="1805">
        <f t="shared" si="12"/>
        <v>0</v>
      </c>
      <c r="N44" s="1800"/>
      <c r="O44" s="1809">
        <v>0</v>
      </c>
      <c r="P44" s="1805">
        <f t="shared" si="13"/>
        <v>0</v>
      </c>
      <c r="Q44" s="1805"/>
      <c r="R44" s="1828"/>
      <c r="S44" s="1827"/>
      <c r="T44" s="1826"/>
      <c r="U44" s="1834">
        <f t="shared" si="14"/>
        <v>0</v>
      </c>
      <c r="V44" s="1834"/>
      <c r="W44" s="1833"/>
      <c r="X44" s="1834"/>
    </row>
    <row r="45" spans="1:24" s="1821" customFormat="1">
      <c r="A45" s="1823" t="s">
        <v>245</v>
      </c>
      <c r="B45" s="1824" t="s">
        <v>246</v>
      </c>
      <c r="C45" s="1825"/>
      <c r="D45" s="1829" t="s">
        <v>1161</v>
      </c>
      <c r="E45" s="1829"/>
      <c r="F45" s="1808"/>
      <c r="G45" s="1822"/>
      <c r="H45" s="1822"/>
      <c r="I45" s="1822"/>
      <c r="J45" s="2362"/>
      <c r="K45" s="2390">
        <f>'Accounts by GL'!O85</f>
        <v>0</v>
      </c>
      <c r="L45" s="1864">
        <v>0</v>
      </c>
      <c r="M45" s="1805">
        <f t="shared" si="12"/>
        <v>0</v>
      </c>
      <c r="N45" s="1800"/>
      <c r="O45" s="1809">
        <v>0</v>
      </c>
      <c r="P45" s="1805">
        <f t="shared" si="13"/>
        <v>0</v>
      </c>
      <c r="Q45" s="1805"/>
      <c r="R45" s="1828"/>
      <c r="S45" s="1827"/>
      <c r="T45" s="1826"/>
      <c r="U45" s="1834">
        <f t="shared" si="14"/>
        <v>0</v>
      </c>
      <c r="V45" s="1834"/>
      <c r="W45" s="1833"/>
      <c r="X45" s="1834"/>
    </row>
    <row r="46" spans="1:24" s="1821" customFormat="1">
      <c r="A46" s="1823" t="s">
        <v>247</v>
      </c>
      <c r="B46" s="1824" t="s">
        <v>249</v>
      </c>
      <c r="C46" s="1825"/>
      <c r="D46" s="3079" t="s">
        <v>248</v>
      </c>
      <c r="E46" s="3079"/>
      <c r="F46" s="3079"/>
      <c r="G46" s="3079"/>
      <c r="H46" s="3079"/>
      <c r="I46" s="3079"/>
      <c r="J46" s="2362"/>
      <c r="K46" s="2390">
        <f>'Accounts by GL'!O87</f>
        <v>0</v>
      </c>
      <c r="L46" s="1864"/>
      <c r="M46" s="1805">
        <f t="shared" si="12"/>
        <v>0</v>
      </c>
      <c r="N46" s="1800"/>
      <c r="O46" s="1809">
        <v>0</v>
      </c>
      <c r="P46" s="1805">
        <f t="shared" si="13"/>
        <v>0</v>
      </c>
      <c r="Q46" s="1805"/>
      <c r="R46" s="1828"/>
      <c r="S46" s="1827"/>
      <c r="T46" s="1826"/>
      <c r="U46" s="1834">
        <f t="shared" si="14"/>
        <v>0</v>
      </c>
      <c r="V46" s="1834"/>
      <c r="W46" s="1833"/>
      <c r="X46" s="1834"/>
    </row>
    <row r="47" spans="1:24" s="1821" customFormat="1">
      <c r="A47" s="1823"/>
      <c r="B47" s="1824"/>
      <c r="C47" s="1825"/>
      <c r="D47" s="1829" t="s">
        <v>2319</v>
      </c>
      <c r="E47" s="1829"/>
      <c r="F47" s="1808"/>
      <c r="G47" s="1822"/>
      <c r="H47" s="1822"/>
      <c r="I47" s="1822"/>
      <c r="J47" s="2362"/>
      <c r="K47" s="2390">
        <f>'Accounts by GL'!O86</f>
        <v>0</v>
      </c>
      <c r="L47" s="1864">
        <v>0</v>
      </c>
      <c r="M47" s="1805">
        <f t="shared" si="12"/>
        <v>0</v>
      </c>
      <c r="N47" s="1800"/>
      <c r="O47" s="1809">
        <v>0</v>
      </c>
      <c r="P47" s="1805">
        <f t="shared" si="13"/>
        <v>0</v>
      </c>
      <c r="Q47" s="1805"/>
      <c r="R47" s="1828"/>
      <c r="S47" s="1827"/>
      <c r="T47" s="1826"/>
      <c r="U47" s="1834">
        <f t="shared" si="14"/>
        <v>0</v>
      </c>
      <c r="V47" s="1834"/>
      <c r="W47" s="1833"/>
      <c r="X47" s="1834"/>
    </row>
    <row r="48" spans="1:24">
      <c r="A48" s="1823"/>
      <c r="B48" s="1824"/>
      <c r="C48" s="1825"/>
      <c r="D48" s="1829" t="s">
        <v>2320</v>
      </c>
      <c r="E48" s="1829"/>
      <c r="F48" s="1829"/>
      <c r="G48" s="1829"/>
      <c r="H48" s="1829"/>
      <c r="I48" s="1829"/>
      <c r="J48" s="1829"/>
      <c r="K48" s="2391">
        <f>+'Accounts by GL'!O82</f>
        <v>0</v>
      </c>
      <c r="L48" s="110">
        <v>0</v>
      </c>
      <c r="M48" s="2081">
        <f t="shared" si="12"/>
        <v>0</v>
      </c>
      <c r="N48" s="1800"/>
      <c r="O48" s="89">
        <v>0</v>
      </c>
      <c r="P48" s="2081">
        <f t="shared" si="13"/>
        <v>0</v>
      </c>
      <c r="Q48" s="1805"/>
      <c r="R48" s="1828"/>
      <c r="S48" s="1827"/>
      <c r="T48" s="1826"/>
      <c r="U48" s="1834">
        <f t="shared" si="14"/>
        <v>0</v>
      </c>
      <c r="V48" s="1834"/>
      <c r="W48" s="1833"/>
      <c r="X48" s="1834"/>
    </row>
    <row r="49" spans="1:24">
      <c r="A49" s="1823"/>
      <c r="B49" s="1824"/>
      <c r="C49" s="1825"/>
      <c r="D49" s="1351"/>
      <c r="E49" s="1829"/>
      <c r="F49" s="1808"/>
      <c r="G49" s="1822"/>
      <c r="H49" s="1822"/>
      <c r="I49" s="1822"/>
      <c r="J49" s="1822"/>
      <c r="K49" s="829"/>
      <c r="L49" s="2328"/>
      <c r="M49" s="1352"/>
      <c r="N49" s="1830"/>
      <c r="O49" s="1352"/>
      <c r="P49" s="1800"/>
      <c r="Q49" s="1800"/>
      <c r="R49" s="1828"/>
      <c r="S49" s="1827"/>
      <c r="T49" s="1826"/>
      <c r="U49" s="1834"/>
      <c r="V49" s="1834"/>
      <c r="W49" s="1833"/>
      <c r="X49" s="1834"/>
    </row>
    <row r="50" spans="1:24" ht="13.5" thickBot="1">
      <c r="A50" s="1823"/>
      <c r="B50" s="1824"/>
      <c r="C50" s="1825"/>
      <c r="D50" s="1351" t="s">
        <v>2321</v>
      </c>
      <c r="E50" s="1829"/>
      <c r="F50" s="1808"/>
      <c r="G50" s="1822"/>
      <c r="H50" s="1822"/>
      <c r="I50" s="1822"/>
      <c r="J50" s="1822"/>
      <c r="K50" s="2394">
        <f>SUM(K42:K48)</f>
        <v>0</v>
      </c>
      <c r="L50" s="2329">
        <f>SUM(L42:L48)</f>
        <v>0</v>
      </c>
      <c r="M50" s="1831">
        <f>ROUND(SUM(M42:M48),0)</f>
        <v>0</v>
      </c>
      <c r="N50" s="1830"/>
      <c r="O50" s="1831">
        <f>ROUND(SUM(O42:O48),0)</f>
        <v>0</v>
      </c>
      <c r="P50" s="1831">
        <f>ROUND(SUM(P42:P48),0)</f>
        <v>0</v>
      </c>
      <c r="Q50" s="1352"/>
      <c r="R50" s="1828"/>
      <c r="S50" s="1827"/>
      <c r="T50" s="1826"/>
      <c r="U50" s="3302">
        <f>SUM(U42:U48)</f>
        <v>0</v>
      </c>
      <c r="V50" s="3302">
        <f>M50-U50</f>
        <v>0</v>
      </c>
      <c r="W50" s="3303">
        <f>SUM(W41:W48)</f>
        <v>0</v>
      </c>
      <c r="X50" s="3302">
        <f>W50-O50</f>
        <v>0</v>
      </c>
    </row>
    <row r="51" spans="1:24" s="96" customFormat="1" ht="14.25" thickTop="1" thickBot="1">
      <c r="A51" s="1798"/>
      <c r="B51" s="1799"/>
      <c r="C51" s="1816"/>
      <c r="D51" s="1351" t="s">
        <v>2322</v>
      </c>
      <c r="E51" s="1829"/>
      <c r="F51" s="1808"/>
      <c r="G51" s="1822"/>
      <c r="H51" s="1822"/>
      <c r="I51" s="1822"/>
      <c r="J51" s="1822"/>
      <c r="K51" s="2394">
        <f>K39+K50</f>
        <v>0</v>
      </c>
      <c r="L51" s="2329">
        <f>L39+L50</f>
        <v>0</v>
      </c>
      <c r="M51" s="1831">
        <f>M39+M50</f>
        <v>0</v>
      </c>
      <c r="N51" s="1830"/>
      <c r="O51" s="1831">
        <f>O39+O50</f>
        <v>0</v>
      </c>
      <c r="P51" s="551">
        <f>SUM(P39+P50)</f>
        <v>0</v>
      </c>
      <c r="Q51" s="1348"/>
      <c r="R51" s="1820"/>
      <c r="S51" s="1819"/>
      <c r="T51" s="1818"/>
      <c r="U51" s="1834">
        <f>U39+U50</f>
        <v>0</v>
      </c>
      <c r="V51" s="1834">
        <f>M51-U51</f>
        <v>0</v>
      </c>
      <c r="W51" s="1833">
        <f>W39+W50</f>
        <v>0</v>
      </c>
      <c r="X51" s="1834">
        <f>O51-W51</f>
        <v>0</v>
      </c>
    </row>
    <row r="52" spans="1:24" s="96" customFormat="1" ht="13.5" thickTop="1">
      <c r="A52" s="1798"/>
      <c r="B52" s="1799"/>
      <c r="C52" s="1816"/>
      <c r="D52" s="1811"/>
      <c r="E52" s="1811"/>
      <c r="F52" s="1811"/>
      <c r="G52" s="1811"/>
      <c r="H52" s="1811"/>
      <c r="I52" s="1811"/>
      <c r="J52" s="1811"/>
      <c r="K52" s="235"/>
      <c r="L52" s="1812"/>
      <c r="M52" s="235"/>
      <c r="N52" s="235"/>
      <c r="O52" s="239"/>
      <c r="P52" s="239"/>
      <c r="Q52" s="239"/>
      <c r="R52" s="1820"/>
      <c r="S52" s="1819"/>
      <c r="T52" s="1818"/>
      <c r="U52" s="798"/>
      <c r="V52" s="798"/>
      <c r="W52" s="799"/>
      <c r="X52" s="798"/>
    </row>
    <row r="53" spans="1:24">
      <c r="A53" s="1823"/>
      <c r="B53" s="1824"/>
      <c r="C53" s="1825"/>
      <c r="D53" s="219" t="s">
        <v>1170</v>
      </c>
      <c r="E53" s="1811"/>
      <c r="F53" s="1811"/>
      <c r="G53" s="1811"/>
      <c r="H53" s="1811"/>
      <c r="I53" s="1811"/>
      <c r="J53" s="1811"/>
      <c r="K53" s="237"/>
      <c r="L53" s="1811"/>
      <c r="M53" s="237"/>
      <c r="N53" s="237"/>
      <c r="O53" s="237"/>
      <c r="P53" s="237"/>
      <c r="Q53" s="237"/>
      <c r="R53" s="848"/>
      <c r="S53" s="1827"/>
      <c r="T53" s="800"/>
      <c r="U53" s="1817"/>
      <c r="V53" s="1817"/>
      <c r="W53" s="1833"/>
      <c r="X53" s="1817"/>
    </row>
    <row r="54" spans="1:24">
      <c r="A54" s="1823"/>
      <c r="B54" s="108"/>
      <c r="C54" s="281"/>
      <c r="D54" s="1811" t="s">
        <v>2323</v>
      </c>
      <c r="E54" s="1811"/>
      <c r="F54" s="1811"/>
      <c r="G54" s="1811"/>
      <c r="H54" s="1811"/>
      <c r="I54" s="1811"/>
      <c r="J54" s="1811"/>
      <c r="K54" s="98"/>
      <c r="L54" s="1811"/>
      <c r="M54" s="98"/>
      <c r="N54" s="237"/>
      <c r="O54" s="237"/>
      <c r="P54" s="237"/>
      <c r="Q54" s="237"/>
      <c r="R54" s="848"/>
      <c r="S54" s="1827"/>
      <c r="T54" s="800"/>
      <c r="U54" s="1817"/>
      <c r="V54" s="1817"/>
      <c r="W54" s="1833"/>
      <c r="X54" s="1817"/>
    </row>
    <row r="55" spans="1:24">
      <c r="A55" s="1823" t="s">
        <v>250</v>
      </c>
      <c r="B55" s="1824" t="s">
        <v>251</v>
      </c>
      <c r="C55" s="1825"/>
      <c r="D55" s="1811"/>
      <c r="E55" s="1811" t="s">
        <v>56</v>
      </c>
      <c r="F55" s="1811"/>
      <c r="G55" s="1811"/>
      <c r="H55" s="1811"/>
      <c r="I55" s="1811"/>
      <c r="J55" s="1811"/>
      <c r="K55" s="2395">
        <f>+'Accounts by GL'!O98+'Accounts by GL'!O103+'Accounts by GL'!O113+'Accounts by GL'!O117+'Accounts by GL'!O119+'Accounts by GL'!O121</f>
        <v>0</v>
      </c>
      <c r="L55" s="1864">
        <v>0</v>
      </c>
      <c r="M55" s="2082">
        <f>+K55+L55</f>
        <v>0</v>
      </c>
      <c r="N55" s="232"/>
      <c r="O55" s="425">
        <v>0</v>
      </c>
      <c r="P55" s="1805">
        <f t="shared" ref="P55:P64" si="15">ROUND(O55,0)+ROUND(M55,0)</f>
        <v>0</v>
      </c>
      <c r="Q55" s="1805"/>
      <c r="R55" s="851"/>
      <c r="S55" s="1827"/>
      <c r="T55" s="800"/>
      <c r="U55" s="1817">
        <f t="shared" ref="U55:U75" si="16">M55</f>
        <v>0</v>
      </c>
      <c r="V55" s="1817">
        <f t="shared" ref="V55:V75" si="17">ROUND(U55,0)-U55</f>
        <v>0</v>
      </c>
      <c r="W55" s="1833">
        <f t="shared" ref="W55:W75" si="18">O55</f>
        <v>0</v>
      </c>
      <c r="X55" s="1817">
        <f t="shared" ref="X55:X71" si="19">ROUND(W55,0)-W55</f>
        <v>0</v>
      </c>
    </row>
    <row r="56" spans="1:24">
      <c r="A56" s="1823" t="s">
        <v>252</v>
      </c>
      <c r="B56" s="1824" t="s">
        <v>254</v>
      </c>
      <c r="C56" s="1825"/>
      <c r="D56" s="1811"/>
      <c r="E56" s="1811" t="s">
        <v>253</v>
      </c>
      <c r="F56" s="1811"/>
      <c r="G56" s="1811"/>
      <c r="H56" s="1811"/>
      <c r="I56" s="1811"/>
      <c r="J56" s="1811"/>
      <c r="K56" s="2390">
        <f>+'Accounts by GL'!O126</f>
        <v>0</v>
      </c>
      <c r="L56" s="1864">
        <v>0</v>
      </c>
      <c r="M56" s="1805">
        <f>+K56+L56</f>
        <v>0</v>
      </c>
      <c r="N56" s="1814"/>
      <c r="O56" s="1809">
        <v>0</v>
      </c>
      <c r="P56" s="1805">
        <f t="shared" si="15"/>
        <v>0</v>
      </c>
      <c r="Q56" s="1805"/>
      <c r="R56" s="1805"/>
      <c r="S56" s="1827"/>
      <c r="T56" s="800"/>
      <c r="U56" s="1817">
        <f t="shared" si="16"/>
        <v>0</v>
      </c>
      <c r="V56" s="1817">
        <f t="shared" si="17"/>
        <v>0</v>
      </c>
      <c r="W56" s="1833">
        <f t="shared" si="18"/>
        <v>0</v>
      </c>
      <c r="X56" s="1817">
        <f t="shared" si="19"/>
        <v>0</v>
      </c>
    </row>
    <row r="57" spans="1:24">
      <c r="A57" s="1823" t="s">
        <v>255</v>
      </c>
      <c r="B57" s="1824" t="s">
        <v>257</v>
      </c>
      <c r="C57" s="1825"/>
      <c r="D57" s="1811"/>
      <c r="E57" s="1811" t="s">
        <v>256</v>
      </c>
      <c r="F57" s="1811"/>
      <c r="G57" s="1811"/>
      <c r="H57" s="1811"/>
      <c r="I57" s="1811"/>
      <c r="J57" s="1811"/>
      <c r="K57" s="2390">
        <f>+SUM('Accounts by GL'!O95:O97)+SUM('Accounts by GL'!O99:O102)+'Accounts by GL'!O104</f>
        <v>0</v>
      </c>
      <c r="L57" s="1864">
        <v>0</v>
      </c>
      <c r="M57" s="1805">
        <f t="shared" ref="M57:M73" si="20">+K57+L57</f>
        <v>0</v>
      </c>
      <c r="N57" s="1814"/>
      <c r="O57" s="1809">
        <v>0</v>
      </c>
      <c r="P57" s="1805">
        <f t="shared" si="15"/>
        <v>0</v>
      </c>
      <c r="Q57" s="1805"/>
      <c r="R57" s="1805"/>
      <c r="S57" s="1827"/>
      <c r="T57" s="800"/>
      <c r="U57" s="1817">
        <f t="shared" si="16"/>
        <v>0</v>
      </c>
      <c r="V57" s="1817">
        <f t="shared" si="17"/>
        <v>0</v>
      </c>
      <c r="W57" s="1833">
        <f t="shared" si="18"/>
        <v>0</v>
      </c>
      <c r="X57" s="1817">
        <f t="shared" si="19"/>
        <v>0</v>
      </c>
    </row>
    <row r="58" spans="1:24">
      <c r="A58" s="1823" t="s">
        <v>258</v>
      </c>
      <c r="B58" s="1824" t="s">
        <v>260</v>
      </c>
      <c r="C58" s="1825"/>
      <c r="D58" s="1811"/>
      <c r="E58" s="1811" t="s">
        <v>259</v>
      </c>
      <c r="F58" s="1811"/>
      <c r="G58" s="1811"/>
      <c r="H58" s="1811"/>
      <c r="I58" s="1811"/>
      <c r="J58" s="1811"/>
      <c r="K58" s="2390">
        <f>+'Accounts by GL'!O116</f>
        <v>0</v>
      </c>
      <c r="L58" s="1864">
        <v>0</v>
      </c>
      <c r="M58" s="1805">
        <f t="shared" si="20"/>
        <v>0</v>
      </c>
      <c r="N58" s="1814"/>
      <c r="O58" s="1809">
        <v>0</v>
      </c>
      <c r="P58" s="1805">
        <f t="shared" si="15"/>
        <v>0</v>
      </c>
      <c r="Q58" s="1805"/>
      <c r="R58" s="1805"/>
      <c r="S58" s="1827"/>
      <c r="T58" s="800"/>
      <c r="U58" s="1817">
        <f t="shared" si="16"/>
        <v>0</v>
      </c>
      <c r="V58" s="1817">
        <f t="shared" si="17"/>
        <v>0</v>
      </c>
      <c r="W58" s="1833">
        <f t="shared" si="18"/>
        <v>0</v>
      </c>
      <c r="X58" s="1817">
        <f t="shared" si="19"/>
        <v>0</v>
      </c>
    </row>
    <row r="59" spans="1:24">
      <c r="A59" s="1823" t="s">
        <v>261</v>
      </c>
      <c r="B59" s="1824" t="s">
        <v>262</v>
      </c>
      <c r="C59" s="1825"/>
      <c r="D59" s="1811"/>
      <c r="E59" s="1811" t="s">
        <v>62</v>
      </c>
      <c r="F59" s="1811"/>
      <c r="G59" s="1811"/>
      <c r="H59" s="1811"/>
      <c r="I59" s="1811"/>
      <c r="J59" s="1811"/>
      <c r="K59" s="2390">
        <f>+'Accounts by GL'!O137+'Accounts by GL'!O138</f>
        <v>0</v>
      </c>
      <c r="L59" s="1864">
        <v>0</v>
      </c>
      <c r="M59" s="1805">
        <f t="shared" si="20"/>
        <v>0</v>
      </c>
      <c r="N59" s="1814"/>
      <c r="O59" s="1809">
        <v>0</v>
      </c>
      <c r="P59" s="1805">
        <f t="shared" si="15"/>
        <v>0</v>
      </c>
      <c r="Q59" s="1805"/>
      <c r="R59" s="1805"/>
      <c r="S59" s="1827"/>
      <c r="T59" s="1826"/>
      <c r="U59" s="1817">
        <f t="shared" si="16"/>
        <v>0</v>
      </c>
      <c r="V59" s="1817">
        <f t="shared" si="17"/>
        <v>0</v>
      </c>
      <c r="W59" s="1833">
        <f t="shared" si="18"/>
        <v>0</v>
      </c>
      <c r="X59" s="1817">
        <f t="shared" si="19"/>
        <v>0</v>
      </c>
    </row>
    <row r="60" spans="1:24">
      <c r="A60" s="1823" t="s">
        <v>263</v>
      </c>
      <c r="B60" s="1824" t="s">
        <v>265</v>
      </c>
      <c r="C60" s="1825"/>
      <c r="D60" s="1811"/>
      <c r="E60" s="1811" t="s">
        <v>264</v>
      </c>
      <c r="F60" s="1811"/>
      <c r="G60" s="1811"/>
      <c r="H60" s="1811"/>
      <c r="I60" s="1811"/>
      <c r="J60" s="1811"/>
      <c r="K60" s="2390">
        <f>+'Accounts by GL'!O139</f>
        <v>0</v>
      </c>
      <c r="L60" s="1864"/>
      <c r="M60" s="1805">
        <f t="shared" si="20"/>
        <v>0</v>
      </c>
      <c r="N60" s="1814"/>
      <c r="O60" s="1809">
        <v>0</v>
      </c>
      <c r="P60" s="1805">
        <f t="shared" si="15"/>
        <v>0</v>
      </c>
      <c r="Q60" s="1805"/>
      <c r="R60" s="1805"/>
      <c r="S60" s="1827"/>
      <c r="T60" s="800"/>
      <c r="U60" s="1817">
        <f t="shared" si="16"/>
        <v>0</v>
      </c>
      <c r="V60" s="1817">
        <f t="shared" si="17"/>
        <v>0</v>
      </c>
      <c r="W60" s="1833">
        <f t="shared" si="18"/>
        <v>0</v>
      </c>
      <c r="X60" s="1817">
        <f t="shared" si="19"/>
        <v>0</v>
      </c>
    </row>
    <row r="61" spans="1:24">
      <c r="A61" s="1823" t="s">
        <v>266</v>
      </c>
      <c r="B61" s="1824" t="s">
        <v>268</v>
      </c>
      <c r="C61" s="1825"/>
      <c r="D61" s="1811"/>
      <c r="E61" s="1829" t="s">
        <v>73</v>
      </c>
      <c r="F61" s="1829"/>
      <c r="G61" s="1829"/>
      <c r="H61" s="1811"/>
      <c r="I61" s="1811"/>
      <c r="J61" s="1811"/>
      <c r="K61" s="2390">
        <f>+'Accounts by GL'!O136</f>
        <v>0</v>
      </c>
      <c r="L61" s="1864">
        <v>0</v>
      </c>
      <c r="M61" s="1805">
        <f t="shared" si="20"/>
        <v>0</v>
      </c>
      <c r="N61" s="1814"/>
      <c r="O61" s="1809">
        <v>0</v>
      </c>
      <c r="P61" s="1805">
        <f t="shared" si="15"/>
        <v>0</v>
      </c>
      <c r="Q61" s="1805"/>
      <c r="R61" s="1805"/>
      <c r="S61" s="1827"/>
      <c r="T61" s="800"/>
      <c r="U61" s="1817">
        <f t="shared" si="16"/>
        <v>0</v>
      </c>
      <c r="V61" s="1817">
        <f t="shared" si="17"/>
        <v>0</v>
      </c>
      <c r="W61" s="1833">
        <f t="shared" si="18"/>
        <v>0</v>
      </c>
      <c r="X61" s="1817">
        <f t="shared" si="19"/>
        <v>0</v>
      </c>
    </row>
    <row r="62" spans="1:24">
      <c r="A62" s="1823" t="s">
        <v>269</v>
      </c>
      <c r="B62" s="1824" t="s">
        <v>271</v>
      </c>
      <c r="C62" s="1825"/>
      <c r="D62" s="1811"/>
      <c r="E62" s="1811" t="s">
        <v>270</v>
      </c>
      <c r="F62" s="1811"/>
      <c r="G62" s="1811"/>
      <c r="H62" s="1811"/>
      <c r="I62" s="1811"/>
      <c r="J62" s="1811"/>
      <c r="K62" s="2390">
        <f>+'Accounts by GL'!O118</f>
        <v>0</v>
      </c>
      <c r="L62" s="1864">
        <v>0</v>
      </c>
      <c r="M62" s="1805">
        <f t="shared" si="20"/>
        <v>0</v>
      </c>
      <c r="N62" s="1814"/>
      <c r="O62" s="1809">
        <v>0</v>
      </c>
      <c r="P62" s="1805">
        <f t="shared" si="15"/>
        <v>0</v>
      </c>
      <c r="Q62" s="1805"/>
      <c r="R62" s="1805"/>
      <c r="S62" s="1827"/>
      <c r="T62" s="800"/>
      <c r="U62" s="1817">
        <f t="shared" si="16"/>
        <v>0</v>
      </c>
      <c r="V62" s="1817">
        <f t="shared" si="17"/>
        <v>0</v>
      </c>
      <c r="W62" s="1833">
        <f t="shared" si="18"/>
        <v>0</v>
      </c>
      <c r="X62" s="1817">
        <f t="shared" si="19"/>
        <v>0</v>
      </c>
    </row>
    <row r="63" spans="1:24">
      <c r="A63" s="1823" t="s">
        <v>272</v>
      </c>
      <c r="B63" s="1824">
        <v>33100</v>
      </c>
      <c r="C63" s="1825"/>
      <c r="D63" s="1811"/>
      <c r="E63" s="1811" t="s">
        <v>61</v>
      </c>
      <c r="F63" s="1811"/>
      <c r="G63" s="1811"/>
      <c r="H63" s="1811"/>
      <c r="I63" s="1811"/>
      <c r="J63" s="1811"/>
      <c r="K63" s="2390">
        <f>+'Accounts by GL'!O93+'Accounts by GL'!O120</f>
        <v>0</v>
      </c>
      <c r="L63" s="1864">
        <v>0</v>
      </c>
      <c r="M63" s="1805">
        <f t="shared" si="20"/>
        <v>0</v>
      </c>
      <c r="N63" s="1814"/>
      <c r="O63" s="1809">
        <v>0</v>
      </c>
      <c r="P63" s="1805">
        <f t="shared" si="15"/>
        <v>0</v>
      </c>
      <c r="Q63" s="1805"/>
      <c r="R63" s="1805"/>
      <c r="S63" s="1827"/>
      <c r="T63" s="800"/>
      <c r="U63" s="1817">
        <f t="shared" si="16"/>
        <v>0</v>
      </c>
      <c r="V63" s="1817">
        <f t="shared" si="17"/>
        <v>0</v>
      </c>
      <c r="W63" s="1833">
        <f t="shared" si="18"/>
        <v>0</v>
      </c>
      <c r="X63" s="1817">
        <f t="shared" si="19"/>
        <v>0</v>
      </c>
    </row>
    <row r="64" spans="1:24">
      <c r="A64" s="1823"/>
      <c r="B64" s="1824"/>
      <c r="C64" s="1825"/>
      <c r="D64" s="1811"/>
      <c r="E64" s="1811" t="s">
        <v>2324</v>
      </c>
      <c r="F64" s="1811"/>
      <c r="G64" s="1811"/>
      <c r="H64" s="1811"/>
      <c r="I64" s="1811"/>
      <c r="J64" s="1811"/>
      <c r="K64" s="2390"/>
      <c r="L64" s="1864">
        <v>0</v>
      </c>
      <c r="M64" s="1805">
        <f t="shared" si="20"/>
        <v>0</v>
      </c>
      <c r="N64" s="1814"/>
      <c r="O64" s="1805">
        <v>0</v>
      </c>
      <c r="P64" s="1805">
        <f t="shared" si="15"/>
        <v>0</v>
      </c>
      <c r="Q64" s="1805"/>
      <c r="R64" s="1805"/>
      <c r="S64" s="1827"/>
      <c r="T64" s="800"/>
      <c r="U64" s="1817">
        <f t="shared" si="16"/>
        <v>0</v>
      </c>
      <c r="V64" s="1817">
        <f t="shared" si="17"/>
        <v>0</v>
      </c>
      <c r="W64" s="1833">
        <f t="shared" si="18"/>
        <v>0</v>
      </c>
      <c r="X64" s="1817">
        <f t="shared" si="19"/>
        <v>0</v>
      </c>
    </row>
    <row r="65" spans="1:24">
      <c r="A65" s="1823" t="s">
        <v>274</v>
      </c>
      <c r="B65" s="1824" t="s">
        <v>275</v>
      </c>
      <c r="C65" s="1825"/>
      <c r="D65" s="1811"/>
      <c r="E65" s="1811"/>
      <c r="F65" s="1811" t="s">
        <v>75</v>
      </c>
      <c r="G65" s="1811"/>
      <c r="H65" s="1811"/>
      <c r="I65" s="1811"/>
      <c r="J65" s="1811"/>
      <c r="K65" s="2390">
        <f>+'Accounts by GL'!O122</f>
        <v>0</v>
      </c>
      <c r="L65" s="1864">
        <v>0</v>
      </c>
      <c r="M65" s="1805">
        <f t="shared" si="20"/>
        <v>0</v>
      </c>
      <c r="N65" s="1814"/>
      <c r="O65" s="1809">
        <v>0</v>
      </c>
      <c r="P65" s="1805">
        <f t="shared" ref="P65:P75" si="21">ROUND(O65,0)+ROUND(M65,0)</f>
        <v>0</v>
      </c>
      <c r="Q65" s="1805"/>
      <c r="R65" s="1805"/>
      <c r="S65" s="1827"/>
      <c r="T65" s="800"/>
      <c r="U65" s="1817">
        <f t="shared" si="16"/>
        <v>0</v>
      </c>
      <c r="V65" s="1817">
        <f t="shared" si="17"/>
        <v>0</v>
      </c>
      <c r="W65" s="1833">
        <f t="shared" si="18"/>
        <v>0</v>
      </c>
      <c r="X65" s="1817">
        <f t="shared" si="19"/>
        <v>0</v>
      </c>
    </row>
    <row r="66" spans="1:24">
      <c r="A66" s="1823" t="s">
        <v>276</v>
      </c>
      <c r="B66" s="1824" t="s">
        <v>278</v>
      </c>
      <c r="C66" s="1825"/>
      <c r="D66" s="1811"/>
      <c r="E66" s="1811"/>
      <c r="F66" s="1811" t="s">
        <v>277</v>
      </c>
      <c r="G66" s="1811"/>
      <c r="H66" s="1811"/>
      <c r="I66" s="1811"/>
      <c r="J66" s="1811"/>
      <c r="K66" s="2390">
        <f>+'Accounts by GL'!O124</f>
        <v>0</v>
      </c>
      <c r="L66" s="1864">
        <v>0</v>
      </c>
      <c r="M66" s="1805">
        <f t="shared" si="20"/>
        <v>0</v>
      </c>
      <c r="N66" s="1814"/>
      <c r="O66" s="1809">
        <v>0</v>
      </c>
      <c r="P66" s="1805">
        <f t="shared" si="21"/>
        <v>0</v>
      </c>
      <c r="Q66" s="1805"/>
      <c r="R66" s="1805"/>
      <c r="S66" s="1827"/>
      <c r="T66" s="1826"/>
      <c r="U66" s="1817">
        <f t="shared" si="16"/>
        <v>0</v>
      </c>
      <c r="V66" s="1817">
        <f t="shared" si="17"/>
        <v>0</v>
      </c>
      <c r="W66" s="1833">
        <f t="shared" si="18"/>
        <v>0</v>
      </c>
      <c r="X66" s="1817">
        <f t="shared" si="19"/>
        <v>0</v>
      </c>
    </row>
    <row r="67" spans="1:24">
      <c r="A67" s="1823" t="s">
        <v>279</v>
      </c>
      <c r="B67" s="1824" t="s">
        <v>281</v>
      </c>
      <c r="C67" s="1825"/>
      <c r="D67" s="1811"/>
      <c r="E67" s="1811"/>
      <c r="F67" s="1811" t="s">
        <v>83</v>
      </c>
      <c r="G67" s="1811"/>
      <c r="H67" s="1811"/>
      <c r="I67" s="1811"/>
      <c r="J67" s="1811"/>
      <c r="K67" s="2390">
        <f>+'Accounts by GL'!O128</f>
        <v>0</v>
      </c>
      <c r="L67" s="1864">
        <v>0</v>
      </c>
      <c r="M67" s="1805">
        <f t="shared" si="20"/>
        <v>0</v>
      </c>
      <c r="N67" s="1814"/>
      <c r="O67" s="1809">
        <v>0</v>
      </c>
      <c r="P67" s="1805">
        <f t="shared" si="21"/>
        <v>0</v>
      </c>
      <c r="Q67" s="1805"/>
      <c r="R67" s="1805"/>
      <c r="S67" s="1827"/>
      <c r="T67" s="1826"/>
      <c r="U67" s="1817">
        <f t="shared" si="16"/>
        <v>0</v>
      </c>
      <c r="V67" s="1817">
        <f t="shared" si="17"/>
        <v>0</v>
      </c>
      <c r="W67" s="1833">
        <f t="shared" si="18"/>
        <v>0</v>
      </c>
      <c r="X67" s="1817">
        <f t="shared" si="19"/>
        <v>0</v>
      </c>
    </row>
    <row r="68" spans="1:24">
      <c r="A68" s="1823" t="s">
        <v>282</v>
      </c>
      <c r="B68" s="1824" t="s">
        <v>284</v>
      </c>
      <c r="C68" s="1825"/>
      <c r="D68" s="1811"/>
      <c r="E68" s="1811"/>
      <c r="F68" s="1811" t="s">
        <v>283</v>
      </c>
      <c r="G68" s="1811"/>
      <c r="H68" s="1811"/>
      <c r="I68" s="1811"/>
      <c r="J68" s="1811"/>
      <c r="K68" s="2390">
        <f>+'Accounts by GL'!O132</f>
        <v>0</v>
      </c>
      <c r="L68" s="1864">
        <v>0</v>
      </c>
      <c r="M68" s="1805">
        <f t="shared" si="20"/>
        <v>0</v>
      </c>
      <c r="N68" s="1814"/>
      <c r="O68" s="1809">
        <v>0</v>
      </c>
      <c r="P68" s="1805">
        <f t="shared" si="21"/>
        <v>0</v>
      </c>
      <c r="Q68" s="1805"/>
      <c r="R68" s="1805"/>
      <c r="S68" s="1827"/>
      <c r="T68" s="1826"/>
      <c r="U68" s="1817">
        <f t="shared" si="16"/>
        <v>0</v>
      </c>
      <c r="V68" s="1817">
        <f t="shared" si="17"/>
        <v>0</v>
      </c>
      <c r="W68" s="1833">
        <f t="shared" si="18"/>
        <v>0</v>
      </c>
      <c r="X68" s="1817">
        <f t="shared" si="19"/>
        <v>0</v>
      </c>
    </row>
    <row r="69" spans="1:24" s="1821" customFormat="1">
      <c r="A69" s="1823" t="s">
        <v>285</v>
      </c>
      <c r="B69" s="1824" t="s">
        <v>287</v>
      </c>
      <c r="C69" s="1825"/>
      <c r="D69" s="1811"/>
      <c r="E69" s="1811"/>
      <c r="F69" s="868" t="s">
        <v>65</v>
      </c>
      <c r="G69" s="1829"/>
      <c r="H69" s="1829"/>
      <c r="I69" s="1829"/>
      <c r="J69" s="1811"/>
      <c r="K69" s="2390">
        <f>+'Accounts by GL'!O134</f>
        <v>0</v>
      </c>
      <c r="L69" s="1864">
        <v>0</v>
      </c>
      <c r="M69" s="1805">
        <f t="shared" si="20"/>
        <v>0</v>
      </c>
      <c r="N69" s="1814"/>
      <c r="O69" s="1809">
        <v>0</v>
      </c>
      <c r="P69" s="1805">
        <f t="shared" si="21"/>
        <v>0</v>
      </c>
      <c r="Q69" s="1805"/>
      <c r="R69" s="1805"/>
      <c r="S69" s="1827"/>
      <c r="T69" s="1826"/>
      <c r="U69" s="1817">
        <f t="shared" si="16"/>
        <v>0</v>
      </c>
      <c r="V69" s="1817">
        <f t="shared" si="17"/>
        <v>0</v>
      </c>
      <c r="W69" s="1833">
        <f t="shared" si="18"/>
        <v>0</v>
      </c>
      <c r="X69" s="1817">
        <f t="shared" si="19"/>
        <v>0</v>
      </c>
    </row>
    <row r="70" spans="1:24">
      <c r="A70" s="1823" t="s">
        <v>288</v>
      </c>
      <c r="B70" s="1824" t="s">
        <v>278</v>
      </c>
      <c r="C70" s="1825"/>
      <c r="D70" s="1811"/>
      <c r="E70" s="1811"/>
      <c r="F70" s="1811" t="s">
        <v>289</v>
      </c>
      <c r="G70" s="1811"/>
      <c r="H70" s="1811"/>
      <c r="I70" s="1811"/>
      <c r="J70" s="1811"/>
      <c r="K70" s="2390">
        <f>+'Accounts by GL'!O130</f>
        <v>0</v>
      </c>
      <c r="L70" s="1864">
        <v>0</v>
      </c>
      <c r="M70" s="1805">
        <f t="shared" si="20"/>
        <v>0</v>
      </c>
      <c r="N70" s="1814"/>
      <c r="O70" s="1809">
        <v>0</v>
      </c>
      <c r="P70" s="1805">
        <f t="shared" si="21"/>
        <v>0</v>
      </c>
      <c r="Q70" s="1805"/>
      <c r="R70" s="1805"/>
      <c r="S70" s="1827"/>
      <c r="T70" s="1826"/>
      <c r="U70" s="1817">
        <f t="shared" si="16"/>
        <v>0</v>
      </c>
      <c r="V70" s="1817">
        <f t="shared" si="17"/>
        <v>0</v>
      </c>
      <c r="W70" s="1833">
        <f t="shared" si="18"/>
        <v>0</v>
      </c>
      <c r="X70" s="1817">
        <f t="shared" si="19"/>
        <v>0</v>
      </c>
    </row>
    <row r="71" spans="1:24">
      <c r="A71" s="1823" t="s">
        <v>290</v>
      </c>
      <c r="B71" s="1824" t="s">
        <v>292</v>
      </c>
      <c r="C71" s="1825"/>
      <c r="D71" s="1811"/>
      <c r="E71" s="1811"/>
      <c r="F71" s="1811" t="s">
        <v>291</v>
      </c>
      <c r="G71" s="1811"/>
      <c r="H71" s="1811"/>
      <c r="I71" s="1811"/>
      <c r="J71" s="1811"/>
      <c r="K71" s="2390">
        <f>+'Accounts by GL'!O105</f>
        <v>0</v>
      </c>
      <c r="L71" s="1864">
        <v>0</v>
      </c>
      <c r="M71" s="1805">
        <f t="shared" si="20"/>
        <v>0</v>
      </c>
      <c r="N71" s="1803"/>
      <c r="O71" s="1809">
        <v>0</v>
      </c>
      <c r="P71" s="1805">
        <f t="shared" si="21"/>
        <v>0</v>
      </c>
      <c r="Q71" s="1805"/>
      <c r="R71" s="1805"/>
      <c r="S71" s="1827"/>
      <c r="T71" s="1826"/>
      <c r="U71" s="1817">
        <f t="shared" si="16"/>
        <v>0</v>
      </c>
      <c r="V71" s="1817">
        <f t="shared" si="17"/>
        <v>0</v>
      </c>
      <c r="W71" s="1833">
        <f t="shared" si="18"/>
        <v>0</v>
      </c>
      <c r="X71" s="1817">
        <f t="shared" si="19"/>
        <v>0</v>
      </c>
    </row>
    <row r="72" spans="1:24" s="1801" customFormat="1">
      <c r="A72" s="1823" t="s">
        <v>293</v>
      </c>
      <c r="B72" s="1824" t="s">
        <v>294</v>
      </c>
      <c r="C72" s="1825"/>
      <c r="D72" s="1811"/>
      <c r="E72" s="1811"/>
      <c r="F72" s="1811" t="s">
        <v>2325</v>
      </c>
      <c r="G72" s="1811"/>
      <c r="H72" s="1811"/>
      <c r="I72" s="1811"/>
      <c r="J72" s="1811"/>
      <c r="K72" s="2390">
        <f>+'Accounts by GL'!O109</f>
        <v>0</v>
      </c>
      <c r="L72" s="1864">
        <v>0</v>
      </c>
      <c r="M72" s="1805">
        <f t="shared" si="20"/>
        <v>0</v>
      </c>
      <c r="N72" s="1803"/>
      <c r="O72" s="1809">
        <v>0</v>
      </c>
      <c r="P72" s="1805">
        <f>ROUND(O72,0)+ROUND(M72,0)</f>
        <v>0</v>
      </c>
      <c r="Q72" s="1805"/>
      <c r="R72" s="1805"/>
      <c r="S72" s="1827"/>
      <c r="T72" s="1826"/>
      <c r="U72" s="1817">
        <f t="shared" si="16"/>
        <v>0</v>
      </c>
      <c r="V72" s="1817">
        <f>ROUND(U72,0)-U72</f>
        <v>0</v>
      </c>
      <c r="W72" s="1833">
        <f t="shared" si="18"/>
        <v>0</v>
      </c>
      <c r="X72" s="1817">
        <f>ROUND(W72,0)-W72</f>
        <v>0</v>
      </c>
    </row>
    <row r="73" spans="1:24" s="1801" customFormat="1">
      <c r="A73" s="1823" t="s">
        <v>295</v>
      </c>
      <c r="B73" s="1824" t="s">
        <v>297</v>
      </c>
      <c r="C73" s="1825"/>
      <c r="D73" s="1811"/>
      <c r="E73" s="1811"/>
      <c r="F73" s="1811" t="s">
        <v>2326</v>
      </c>
      <c r="G73" s="1811"/>
      <c r="H73" s="1811"/>
      <c r="I73" s="1811"/>
      <c r="J73" s="1811"/>
      <c r="K73" s="2390">
        <f>+'Accounts by GL'!O110</f>
        <v>0</v>
      </c>
      <c r="L73" s="1864">
        <v>0</v>
      </c>
      <c r="M73" s="1805">
        <f t="shared" si="20"/>
        <v>0</v>
      </c>
      <c r="N73" s="1803"/>
      <c r="O73" s="1809">
        <v>0</v>
      </c>
      <c r="P73" s="1805">
        <f>ROUND(O73,0)+ROUND(M73,0)</f>
        <v>0</v>
      </c>
      <c r="Q73" s="1805"/>
      <c r="R73" s="1805"/>
      <c r="S73" s="1827"/>
      <c r="T73" s="1826"/>
      <c r="U73" s="1817">
        <f t="shared" si="16"/>
        <v>0</v>
      </c>
      <c r="V73" s="1817">
        <f>ROUND(U73,0)-U73</f>
        <v>0</v>
      </c>
      <c r="W73" s="1833">
        <f t="shared" si="18"/>
        <v>0</v>
      </c>
      <c r="X73" s="1817">
        <f>ROUND(W73,0)-W73</f>
        <v>0</v>
      </c>
    </row>
    <row r="74" spans="1:24" s="1821" customFormat="1">
      <c r="A74" s="1823" t="s">
        <v>298</v>
      </c>
      <c r="B74" s="1824" t="s">
        <v>299</v>
      </c>
      <c r="C74" s="1825"/>
      <c r="D74" s="1811"/>
      <c r="E74" s="1811"/>
      <c r="F74" s="1811" t="s">
        <v>2327</v>
      </c>
      <c r="G74" s="1811"/>
      <c r="H74" s="1811"/>
      <c r="I74" s="1811"/>
      <c r="J74" s="2358"/>
      <c r="K74" s="2390">
        <f>'Accounts by GL'!O107</f>
        <v>0</v>
      </c>
      <c r="L74" s="1864">
        <v>0</v>
      </c>
      <c r="M74" s="1805">
        <f>+K74+L74</f>
        <v>0</v>
      </c>
      <c r="N74" s="1803"/>
      <c r="O74" s="1809">
        <v>0</v>
      </c>
      <c r="P74" s="1805">
        <f>ROUND(O74,0)+ROUND(M74,0)</f>
        <v>0</v>
      </c>
      <c r="Q74" s="1805"/>
      <c r="R74" s="1805"/>
      <c r="S74" s="1827"/>
      <c r="T74" s="1826"/>
      <c r="U74" s="1817">
        <f t="shared" si="16"/>
        <v>0</v>
      </c>
      <c r="V74" s="1817">
        <f>ROUND(U74,0)-U74</f>
        <v>0</v>
      </c>
      <c r="W74" s="1833">
        <f t="shared" si="18"/>
        <v>0</v>
      </c>
      <c r="X74" s="1817">
        <f>ROUND(W74,0)-W74</f>
        <v>0</v>
      </c>
    </row>
    <row r="75" spans="1:24">
      <c r="A75" s="1823" t="s">
        <v>300</v>
      </c>
      <c r="B75" s="1824" t="s">
        <v>278</v>
      </c>
      <c r="C75" s="1825"/>
      <c r="D75" s="1811"/>
      <c r="E75" s="1811"/>
      <c r="F75" s="2017" t="s">
        <v>89</v>
      </c>
      <c r="G75" s="2017"/>
      <c r="H75" s="2017"/>
      <c r="I75" s="1811"/>
      <c r="J75" s="1811"/>
      <c r="K75" s="2391">
        <f>+'Accounts by GL'!O114</f>
        <v>0</v>
      </c>
      <c r="L75" s="110">
        <v>0</v>
      </c>
      <c r="M75" s="2081">
        <f>+K75+L75</f>
        <v>0</v>
      </c>
      <c r="N75" s="1814"/>
      <c r="O75" s="89">
        <v>0</v>
      </c>
      <c r="P75" s="2081">
        <f t="shared" si="21"/>
        <v>0</v>
      </c>
      <c r="Q75" s="1805"/>
      <c r="R75" s="1805"/>
      <c r="S75" s="1827"/>
      <c r="T75" s="1826"/>
      <c r="U75" s="1817">
        <f t="shared" si="16"/>
        <v>0</v>
      </c>
      <c r="V75" s="1817">
        <f t="shared" si="17"/>
        <v>0</v>
      </c>
      <c r="W75" s="1833">
        <f t="shared" si="18"/>
        <v>0</v>
      </c>
      <c r="X75" s="1817">
        <f>ROUND(W75,0)-W75</f>
        <v>0</v>
      </c>
    </row>
    <row r="76" spans="1:24" s="96" customFormat="1" ht="7.5" customHeight="1">
      <c r="A76" s="1798"/>
      <c r="B76" s="1799"/>
      <c r="C76" s="1816"/>
      <c r="D76" s="1811"/>
      <c r="E76" s="1811"/>
      <c r="F76" s="1811"/>
      <c r="G76" s="1811"/>
      <c r="H76" s="1811"/>
      <c r="I76" s="1811"/>
      <c r="J76" s="1811"/>
      <c r="K76" s="1812"/>
      <c r="L76" s="262"/>
      <c r="M76" s="1812"/>
      <c r="N76" s="1812"/>
      <c r="O76" s="1813"/>
      <c r="P76" s="1813"/>
      <c r="Q76" s="1813"/>
      <c r="R76" s="1820"/>
      <c r="S76" s="1819"/>
      <c r="T76" s="1818"/>
      <c r="U76" s="798"/>
      <c r="V76" s="798"/>
      <c r="W76" s="799"/>
      <c r="X76" s="798"/>
    </row>
    <row r="77" spans="1:24" ht="13.5" thickBot="1">
      <c r="A77" s="1823" t="s">
        <v>303</v>
      </c>
      <c r="B77" s="1824"/>
      <c r="C77" s="1825"/>
      <c r="D77" s="1811"/>
      <c r="E77" s="219" t="s">
        <v>304</v>
      </c>
      <c r="F77" s="1811"/>
      <c r="G77" s="1811"/>
      <c r="H77" s="1811"/>
      <c r="I77" s="1811"/>
      <c r="J77" s="1811"/>
      <c r="K77" s="2397">
        <f>SUM(K55:K75)</f>
        <v>0</v>
      </c>
      <c r="L77" s="2330">
        <f>SUM(L55:L75)</f>
        <v>0</v>
      </c>
      <c r="M77" s="551">
        <f>ROUND(SUM(M55:M75),0)</f>
        <v>0</v>
      </c>
      <c r="N77" s="1814"/>
      <c r="O77" s="551">
        <f>ROUND(SUM(O55:O75),0)</f>
        <v>0</v>
      </c>
      <c r="P77" s="551">
        <f>ROUND(SUM(P55:P75),0)</f>
        <v>0</v>
      </c>
      <c r="Q77" s="1348"/>
      <c r="R77" s="1805"/>
      <c r="S77" s="1827"/>
      <c r="T77" s="1826"/>
      <c r="U77" s="3302">
        <f>SUM(U55:U75)</f>
        <v>0</v>
      </c>
      <c r="V77" s="3302">
        <f>M77-U77</f>
        <v>0</v>
      </c>
      <c r="W77" s="3302">
        <f>SUM(W55:W75)</f>
        <v>0</v>
      </c>
      <c r="X77" s="3302">
        <f>W77-O77</f>
        <v>0</v>
      </c>
    </row>
    <row r="78" spans="1:24" s="96" customFormat="1" ht="13.5" thickTop="1">
      <c r="A78" s="1798"/>
      <c r="B78" s="1799"/>
      <c r="C78" s="1816"/>
      <c r="D78" s="1811"/>
      <c r="E78" s="1811"/>
      <c r="F78" s="1811"/>
      <c r="G78" s="1811"/>
      <c r="H78" s="1811"/>
      <c r="I78" s="1811"/>
      <c r="J78" s="1811"/>
      <c r="K78" s="1811"/>
      <c r="L78" s="1812"/>
      <c r="M78" s="1812"/>
      <c r="N78" s="1812"/>
      <c r="O78" s="1813"/>
      <c r="P78" s="1813"/>
      <c r="Q78" s="1813"/>
      <c r="R78" s="1820"/>
      <c r="S78" s="1819"/>
      <c r="T78" s="1818"/>
      <c r="U78" s="798"/>
      <c r="V78" s="798"/>
      <c r="W78" s="799"/>
      <c r="X78" s="798"/>
    </row>
    <row r="79" spans="1:24">
      <c r="A79" s="1823"/>
      <c r="B79" s="1824"/>
      <c r="C79" s="1825"/>
      <c r="D79" s="1821"/>
      <c r="E79" s="2591"/>
      <c r="F79" s="2591"/>
      <c r="G79" s="2591"/>
      <c r="H79" s="2591"/>
      <c r="I79" s="2591"/>
      <c r="J79" s="2591"/>
      <c r="K79" s="2997" t="str">
        <f>K3</f>
        <v>SAMPLE STATE COLLEGE</v>
      </c>
      <c r="L79" s="2591"/>
      <c r="M79" s="2591"/>
      <c r="N79" s="2591"/>
      <c r="O79" s="2591"/>
      <c r="P79" s="1962"/>
      <c r="Q79" s="1962"/>
      <c r="R79" s="821"/>
      <c r="S79" s="1827"/>
      <c r="T79" s="1826"/>
      <c r="U79" s="1817"/>
      <c r="V79" s="1834"/>
      <c r="W79" s="1834"/>
      <c r="X79" s="1817"/>
    </row>
    <row r="80" spans="1:24">
      <c r="A80" s="1823"/>
      <c r="B80" s="1824"/>
      <c r="C80" s="1825"/>
      <c r="D80" s="1821"/>
      <c r="E80" s="2591"/>
      <c r="F80" s="2591"/>
      <c r="G80" s="2591"/>
      <c r="H80" s="2591"/>
      <c r="I80" s="2591"/>
      <c r="J80" s="2591"/>
      <c r="K80" s="2997" t="s">
        <v>2298</v>
      </c>
      <c r="L80" s="2591"/>
      <c r="M80" s="2591"/>
      <c r="N80" s="2591"/>
      <c r="O80" s="2591"/>
      <c r="P80" s="1962"/>
      <c r="Q80" s="1962"/>
      <c r="R80" s="821"/>
      <c r="S80" s="1827"/>
      <c r="T80" s="1826"/>
      <c r="U80" s="1817"/>
      <c r="V80" s="1834"/>
      <c r="W80" s="1834"/>
      <c r="X80" s="1817"/>
    </row>
    <row r="81" spans="1:24">
      <c r="A81" s="1823"/>
      <c r="B81" s="1824"/>
      <c r="C81" s="1825"/>
      <c r="D81" s="1821"/>
      <c r="E81" s="2591"/>
      <c r="F81" s="2591"/>
      <c r="G81" s="2591"/>
      <c r="H81" s="2591"/>
      <c r="I81" s="2591"/>
      <c r="J81" s="2591"/>
      <c r="K81" s="2997" t="s">
        <v>2328</v>
      </c>
      <c r="L81" s="2591"/>
      <c r="M81" s="2591"/>
      <c r="N81" s="2591"/>
      <c r="O81" s="2591"/>
      <c r="P81" s="1962"/>
      <c r="Q81" s="1962"/>
      <c r="R81" s="821"/>
      <c r="S81" s="1827"/>
      <c r="T81" s="1826"/>
      <c r="U81" s="1817"/>
      <c r="V81" s="1834"/>
      <c r="W81" s="1834"/>
      <c r="X81" s="1817"/>
    </row>
    <row r="82" spans="1:24">
      <c r="A82" s="1823"/>
      <c r="B82" s="1824"/>
      <c r="C82" s="1825"/>
      <c r="D82" s="1821"/>
      <c r="E82" s="2590"/>
      <c r="F82" s="2590"/>
      <c r="G82" s="2590"/>
      <c r="H82" s="2590"/>
      <c r="I82" s="2590"/>
      <c r="J82" s="2590"/>
      <c r="K82" s="2998" t="str">
        <f>K6</f>
        <v>For the Fiscal Year Ended June 30, 2021</v>
      </c>
      <c r="L82" s="2590"/>
      <c r="M82" s="2590"/>
      <c r="N82" s="2590"/>
      <c r="O82" s="2590"/>
      <c r="P82" s="1345"/>
      <c r="Q82" s="1345"/>
      <c r="R82" s="849"/>
      <c r="S82" s="1827"/>
      <c r="T82" s="1826"/>
      <c r="U82" s="1817"/>
      <c r="V82" s="1834"/>
      <c r="W82" s="1834"/>
      <c r="X82" s="1817"/>
    </row>
    <row r="83" spans="1:24" s="96" customFormat="1" ht="12.75" customHeight="1">
      <c r="A83" s="1798"/>
      <c r="B83" s="1799"/>
      <c r="C83" s="1816"/>
      <c r="D83" s="1811"/>
      <c r="E83" s="1811"/>
      <c r="F83" s="1811"/>
      <c r="G83" s="1811"/>
      <c r="H83" s="1811"/>
      <c r="I83" s="1812"/>
      <c r="J83" s="1812"/>
      <c r="K83" s="1812"/>
      <c r="L83" s="1812"/>
      <c r="M83" s="1812"/>
      <c r="N83" s="1813"/>
      <c r="O83" s="1813"/>
      <c r="P83" s="1813"/>
      <c r="Q83" s="1813"/>
      <c r="R83" s="1820"/>
      <c r="S83" s="1819"/>
      <c r="T83" s="1818"/>
      <c r="U83" s="2594" t="s">
        <v>2329</v>
      </c>
      <c r="V83" s="2594"/>
      <c r="W83" s="2594"/>
      <c r="X83" s="2594"/>
    </row>
    <row r="84" spans="1:24">
      <c r="A84" s="1823"/>
      <c r="B84" s="1824"/>
      <c r="C84" s="1825"/>
      <c r="D84" s="1962"/>
      <c r="E84" s="1962"/>
      <c r="F84" s="1962"/>
      <c r="G84" s="1962"/>
      <c r="H84" s="1962"/>
      <c r="I84" s="1962"/>
      <c r="J84" s="1962"/>
      <c r="K84" s="240" t="s">
        <v>2303</v>
      </c>
      <c r="L84" s="1962"/>
      <c r="M84" s="240" t="s">
        <v>2303</v>
      </c>
      <c r="N84" s="241"/>
      <c r="O84" s="242" t="s">
        <v>849</v>
      </c>
      <c r="P84" s="242" t="s">
        <v>2304</v>
      </c>
      <c r="Q84" s="242"/>
      <c r="R84" s="825"/>
      <c r="S84" s="1827"/>
      <c r="T84" s="1826"/>
      <c r="U84" s="2595"/>
      <c r="V84" s="2595"/>
      <c r="W84" s="2595"/>
      <c r="X84" s="2595"/>
    </row>
    <row r="85" spans="1:24">
      <c r="A85" s="1823"/>
      <c r="B85" s="1824"/>
      <c r="C85" s="1825"/>
      <c r="D85" s="219"/>
      <c r="E85" s="219"/>
      <c r="F85" s="219"/>
      <c r="G85" s="219"/>
      <c r="H85" s="219"/>
      <c r="I85" s="219"/>
      <c r="J85" s="219"/>
      <c r="K85" s="230" t="s">
        <v>2305</v>
      </c>
      <c r="L85" s="1947" t="s">
        <v>2306</v>
      </c>
      <c r="M85" s="230"/>
      <c r="N85" s="241"/>
      <c r="O85" s="230" t="str">
        <f>O9</f>
        <v>Unit</v>
      </c>
      <c r="P85" s="230"/>
      <c r="Q85" s="279"/>
      <c r="R85" s="825"/>
      <c r="S85" s="1827"/>
      <c r="T85" s="1826"/>
      <c r="U85" s="3296" t="s">
        <v>2303</v>
      </c>
      <c r="V85" s="3297" t="s">
        <v>2313</v>
      </c>
      <c r="W85" s="3298" t="s">
        <v>2314</v>
      </c>
      <c r="X85" s="3747" t="s">
        <v>2313</v>
      </c>
    </row>
    <row r="86" spans="1:24">
      <c r="A86" s="1823"/>
      <c r="B86" s="1824"/>
      <c r="C86" s="1825"/>
      <c r="D86" s="1811" t="s">
        <v>2330</v>
      </c>
      <c r="E86" s="1811"/>
      <c r="F86" s="1811"/>
      <c r="G86" s="1811"/>
      <c r="H86" s="1811"/>
      <c r="I86" s="1811"/>
      <c r="J86" s="1811"/>
      <c r="K86" s="1811"/>
      <c r="L86" s="1811"/>
      <c r="M86" s="1812"/>
      <c r="N86" s="1812"/>
      <c r="O86" s="1812"/>
      <c r="P86" s="1812"/>
      <c r="Q86" s="1812"/>
      <c r="R86" s="829"/>
      <c r="S86" s="1827"/>
      <c r="T86" s="1826"/>
      <c r="U86" s="1817"/>
      <c r="V86" s="1817"/>
      <c r="W86" s="1833"/>
      <c r="X86" s="1817"/>
    </row>
    <row r="87" spans="1:24">
      <c r="A87" s="1806" t="s">
        <v>305</v>
      </c>
      <c r="B87" s="244" t="s">
        <v>306</v>
      </c>
      <c r="C87" s="244"/>
      <c r="D87" s="1811"/>
      <c r="E87" s="1811" t="s">
        <v>75</v>
      </c>
      <c r="F87" s="1811"/>
      <c r="G87" s="1811"/>
      <c r="H87" s="1811"/>
      <c r="I87" s="1811"/>
      <c r="J87" s="1811"/>
      <c r="K87" s="2395">
        <f>+'Accounts by GL'!O123</f>
        <v>0</v>
      </c>
      <c r="L87" s="1864">
        <v>0</v>
      </c>
      <c r="M87" s="2082">
        <f>+K87+L87</f>
        <v>0</v>
      </c>
      <c r="N87" s="232"/>
      <c r="O87" s="425">
        <v>0</v>
      </c>
      <c r="P87" s="1805">
        <f t="shared" ref="P87:P97" si="22">ROUND(O87,0)+ROUND(M87,0)</f>
        <v>0</v>
      </c>
      <c r="Q87" s="1805"/>
      <c r="R87" s="851"/>
      <c r="S87" s="1827"/>
      <c r="T87" s="1826"/>
      <c r="U87" s="1817">
        <f t="shared" ref="U87:U97" si="23">M87</f>
        <v>0</v>
      </c>
      <c r="V87" s="1817">
        <f t="shared" ref="V87:V96" si="24">ROUND(U87,0)-U87</f>
        <v>0</v>
      </c>
      <c r="W87" s="1833">
        <f t="shared" ref="W87:W97" si="25">O87</f>
        <v>0</v>
      </c>
      <c r="X87" s="1817">
        <f t="shared" ref="X87:X96" si="26">ROUND(W87,0)-W87</f>
        <v>0</v>
      </c>
    </row>
    <row r="88" spans="1:24">
      <c r="A88" s="1806" t="s">
        <v>307</v>
      </c>
      <c r="B88" s="1825" t="s">
        <v>308</v>
      </c>
      <c r="C88" s="1825"/>
      <c r="D88" s="1811"/>
      <c r="E88" s="1811" t="s">
        <v>277</v>
      </c>
      <c r="F88" s="1811"/>
      <c r="G88" s="1811"/>
      <c r="H88" s="1811"/>
      <c r="I88" s="1811"/>
      <c r="J88" s="1811"/>
      <c r="K88" s="2390">
        <f>+'Accounts by GL'!O125</f>
        <v>0</v>
      </c>
      <c r="L88" s="1864">
        <v>0</v>
      </c>
      <c r="M88" s="1805">
        <f t="shared" ref="M88:M97" si="27">+K88+L88</f>
        <v>0</v>
      </c>
      <c r="N88" s="1814"/>
      <c r="O88" s="1809">
        <v>0</v>
      </c>
      <c r="P88" s="1805">
        <f t="shared" si="22"/>
        <v>0</v>
      </c>
      <c r="Q88" s="1805"/>
      <c r="R88" s="1805"/>
      <c r="S88" s="1827"/>
      <c r="T88" s="1826"/>
      <c r="U88" s="1817">
        <f t="shared" si="23"/>
        <v>0</v>
      </c>
      <c r="V88" s="1817">
        <f t="shared" si="24"/>
        <v>0</v>
      </c>
      <c r="W88" s="1833">
        <f t="shared" si="25"/>
        <v>0</v>
      </c>
      <c r="X88" s="1817">
        <f t="shared" si="26"/>
        <v>0</v>
      </c>
    </row>
    <row r="89" spans="1:24">
      <c r="A89" s="1806" t="s">
        <v>309</v>
      </c>
      <c r="B89" s="1825" t="s">
        <v>310</v>
      </c>
      <c r="C89" s="1825"/>
      <c r="D89" s="1811"/>
      <c r="E89" s="1811" t="s">
        <v>83</v>
      </c>
      <c r="F89" s="1811"/>
      <c r="G89" s="1811"/>
      <c r="H89" s="1811"/>
      <c r="I89" s="1811"/>
      <c r="J89" s="1811"/>
      <c r="K89" s="2390">
        <f>+'Accounts by GL'!O129</f>
        <v>0</v>
      </c>
      <c r="L89" s="1864"/>
      <c r="M89" s="1805">
        <f t="shared" si="27"/>
        <v>0</v>
      </c>
      <c r="N89" s="1814"/>
      <c r="O89" s="1809">
        <v>0</v>
      </c>
      <c r="P89" s="1805">
        <f t="shared" si="22"/>
        <v>0</v>
      </c>
      <c r="Q89" s="1805"/>
      <c r="R89" s="1805"/>
      <c r="S89" s="1827"/>
      <c r="T89" s="1826"/>
      <c r="U89" s="1817">
        <f t="shared" si="23"/>
        <v>0</v>
      </c>
      <c r="V89" s="1817">
        <f t="shared" si="24"/>
        <v>0</v>
      </c>
      <c r="W89" s="1833">
        <f t="shared" si="25"/>
        <v>0</v>
      </c>
      <c r="X89" s="1817">
        <f t="shared" si="26"/>
        <v>0</v>
      </c>
    </row>
    <row r="90" spans="1:24">
      <c r="A90" s="1806" t="s">
        <v>311</v>
      </c>
      <c r="B90" s="1825" t="s">
        <v>312</v>
      </c>
      <c r="C90" s="1825"/>
      <c r="D90" s="1811"/>
      <c r="E90" s="1811" t="s">
        <v>283</v>
      </c>
      <c r="F90" s="1811"/>
      <c r="G90" s="1811"/>
      <c r="H90" s="1811"/>
      <c r="I90" s="1811"/>
      <c r="J90" s="1811"/>
      <c r="K90" s="2390">
        <f>+'Accounts by GL'!O133</f>
        <v>0</v>
      </c>
      <c r="L90" s="1864">
        <v>0</v>
      </c>
      <c r="M90" s="1805">
        <f t="shared" si="27"/>
        <v>0</v>
      </c>
      <c r="N90" s="1814"/>
      <c r="O90" s="1809">
        <v>0</v>
      </c>
      <c r="P90" s="1805">
        <f t="shared" si="22"/>
        <v>0</v>
      </c>
      <c r="Q90" s="1805"/>
      <c r="R90" s="1805"/>
      <c r="S90" s="1827"/>
      <c r="T90" s="1826"/>
      <c r="U90" s="1817">
        <f t="shared" si="23"/>
        <v>0</v>
      </c>
      <c r="V90" s="1817">
        <f t="shared" si="24"/>
        <v>0</v>
      </c>
      <c r="W90" s="1833">
        <f t="shared" si="25"/>
        <v>0</v>
      </c>
      <c r="X90" s="1817">
        <f t="shared" si="26"/>
        <v>0</v>
      </c>
    </row>
    <row r="91" spans="1:24" s="1821" customFormat="1">
      <c r="A91" s="1806" t="s">
        <v>313</v>
      </c>
      <c r="B91" s="1825" t="s">
        <v>315</v>
      </c>
      <c r="C91" s="1825"/>
      <c r="D91" s="1811"/>
      <c r="E91" s="868" t="s">
        <v>82</v>
      </c>
      <c r="F91" s="1822"/>
      <c r="G91" s="1829"/>
      <c r="H91" s="1829"/>
      <c r="I91" s="1829"/>
      <c r="J91" s="1811"/>
      <c r="K91" s="2390">
        <f>+'Accounts by GL'!O135</f>
        <v>0</v>
      </c>
      <c r="L91" s="1864">
        <v>0</v>
      </c>
      <c r="M91" s="1805">
        <f t="shared" si="27"/>
        <v>0</v>
      </c>
      <c r="N91" s="1814"/>
      <c r="O91" s="1809">
        <v>0</v>
      </c>
      <c r="P91" s="1805">
        <f t="shared" si="22"/>
        <v>0</v>
      </c>
      <c r="Q91" s="1805"/>
      <c r="R91" s="1805"/>
      <c r="S91" s="1827"/>
      <c r="T91" s="1826"/>
      <c r="U91" s="1817">
        <f t="shared" si="23"/>
        <v>0</v>
      </c>
      <c r="V91" s="1817">
        <f t="shared" si="24"/>
        <v>0</v>
      </c>
      <c r="W91" s="1833">
        <f t="shared" si="25"/>
        <v>0</v>
      </c>
      <c r="X91" s="1817">
        <f t="shared" si="26"/>
        <v>0</v>
      </c>
    </row>
    <row r="92" spans="1:24">
      <c r="A92" s="1806" t="s">
        <v>316</v>
      </c>
      <c r="B92" s="1825" t="s">
        <v>308</v>
      </c>
      <c r="C92" s="1825"/>
      <c r="D92" s="1811"/>
      <c r="E92" s="1811" t="s">
        <v>289</v>
      </c>
      <c r="F92" s="1811"/>
      <c r="G92" s="1811"/>
      <c r="H92" s="1811"/>
      <c r="I92" s="1811"/>
      <c r="J92" s="1811"/>
      <c r="K92" s="2390">
        <f>+'Accounts by GL'!O131</f>
        <v>0</v>
      </c>
      <c r="L92" s="1864">
        <v>0</v>
      </c>
      <c r="M92" s="1805">
        <f t="shared" si="27"/>
        <v>0</v>
      </c>
      <c r="N92" s="1814"/>
      <c r="O92" s="1809">
        <v>0</v>
      </c>
      <c r="P92" s="1805">
        <f t="shared" si="22"/>
        <v>0</v>
      </c>
      <c r="Q92" s="1805"/>
      <c r="R92" s="1805"/>
      <c r="S92" s="1827"/>
      <c r="T92" s="1826"/>
      <c r="U92" s="1817">
        <f t="shared" si="23"/>
        <v>0</v>
      </c>
      <c r="V92" s="1817">
        <f t="shared" si="24"/>
        <v>0</v>
      </c>
      <c r="W92" s="1833">
        <f t="shared" si="25"/>
        <v>0</v>
      </c>
      <c r="X92" s="1817">
        <f t="shared" si="26"/>
        <v>0</v>
      </c>
    </row>
    <row r="93" spans="1:24">
      <c r="A93" s="1806" t="s">
        <v>317</v>
      </c>
      <c r="B93" s="1825" t="s">
        <v>318</v>
      </c>
      <c r="C93" s="1825"/>
      <c r="D93" s="1811"/>
      <c r="E93" s="1811" t="s">
        <v>291</v>
      </c>
      <c r="F93" s="1811"/>
      <c r="G93" s="1811"/>
      <c r="H93" s="1811"/>
      <c r="I93" s="1811"/>
      <c r="J93" s="1811"/>
      <c r="K93" s="2390">
        <f>+'Accounts by GL'!O106</f>
        <v>0</v>
      </c>
      <c r="L93" s="1864">
        <v>0</v>
      </c>
      <c r="M93" s="1805">
        <f t="shared" si="27"/>
        <v>0</v>
      </c>
      <c r="N93" s="1814"/>
      <c r="O93" s="1809">
        <v>0</v>
      </c>
      <c r="P93" s="1805">
        <f t="shared" si="22"/>
        <v>0</v>
      </c>
      <c r="Q93" s="1805"/>
      <c r="R93" s="1805"/>
      <c r="S93" s="1827"/>
      <c r="T93" s="1826"/>
      <c r="U93" s="1817">
        <f t="shared" si="23"/>
        <v>0</v>
      </c>
      <c r="V93" s="1817">
        <f t="shared" si="24"/>
        <v>0</v>
      </c>
      <c r="W93" s="1833">
        <f t="shared" si="25"/>
        <v>0</v>
      </c>
      <c r="X93" s="1817">
        <f t="shared" si="26"/>
        <v>0</v>
      </c>
    </row>
    <row r="94" spans="1:24" s="1802" customFormat="1">
      <c r="A94" s="1806" t="s">
        <v>319</v>
      </c>
      <c r="B94" s="1825" t="s">
        <v>320</v>
      </c>
      <c r="C94" s="1825"/>
      <c r="D94" s="1811"/>
      <c r="E94" s="1811" t="s">
        <v>2325</v>
      </c>
      <c r="F94" s="1811"/>
      <c r="G94" s="1811"/>
      <c r="H94" s="1811"/>
      <c r="I94" s="1811"/>
      <c r="J94" s="1811"/>
      <c r="K94" s="2390">
        <f>+'Accounts by GL'!O111</f>
        <v>0</v>
      </c>
      <c r="L94" s="1864">
        <v>0</v>
      </c>
      <c r="M94" s="1805">
        <f t="shared" si="27"/>
        <v>0</v>
      </c>
      <c r="N94" s="1814"/>
      <c r="O94" s="1809">
        <v>0</v>
      </c>
      <c r="P94" s="1805">
        <f>ROUND(O94,0)+ROUND(M94,0)</f>
        <v>0</v>
      </c>
      <c r="Q94" s="1805"/>
      <c r="R94" s="1805"/>
      <c r="S94" s="1827"/>
      <c r="T94" s="1826"/>
      <c r="U94" s="1817">
        <f t="shared" si="23"/>
        <v>0</v>
      </c>
      <c r="V94" s="1817">
        <f>ROUND(U94,0)-U94</f>
        <v>0</v>
      </c>
      <c r="W94" s="1833">
        <f t="shared" si="25"/>
        <v>0</v>
      </c>
      <c r="X94" s="1817">
        <f>ROUND(W94,0)-W94</f>
        <v>0</v>
      </c>
    </row>
    <row r="95" spans="1:24" s="1802" customFormat="1">
      <c r="A95" s="1806" t="s">
        <v>321</v>
      </c>
      <c r="B95" s="1825" t="s">
        <v>322</v>
      </c>
      <c r="C95" s="1825"/>
      <c r="D95" s="1811"/>
      <c r="E95" s="1811" t="s">
        <v>2326</v>
      </c>
      <c r="F95" s="1811"/>
      <c r="G95" s="1811"/>
      <c r="H95" s="1811"/>
      <c r="I95" s="1811"/>
      <c r="J95" s="1811"/>
      <c r="K95" s="2390">
        <f>+'Accounts by GL'!O112</f>
        <v>0</v>
      </c>
      <c r="L95" s="1864">
        <v>0</v>
      </c>
      <c r="M95" s="1805">
        <f t="shared" si="27"/>
        <v>0</v>
      </c>
      <c r="N95" s="1814"/>
      <c r="O95" s="1809">
        <v>0</v>
      </c>
      <c r="P95" s="1805">
        <f>ROUND(O95,0)+ROUND(M95,0)</f>
        <v>0</v>
      </c>
      <c r="Q95" s="1805"/>
      <c r="R95" s="1805"/>
      <c r="S95" s="1827"/>
      <c r="T95" s="1826"/>
      <c r="U95" s="1817">
        <f t="shared" si="23"/>
        <v>0</v>
      </c>
      <c r="V95" s="1817">
        <f>ROUND(U95,0)-U95</f>
        <v>0</v>
      </c>
      <c r="W95" s="1833">
        <f t="shared" si="25"/>
        <v>0</v>
      </c>
      <c r="X95" s="1817">
        <f>ROUND(W95,0)-W95</f>
        <v>0</v>
      </c>
    </row>
    <row r="96" spans="1:24">
      <c r="A96" s="1806" t="s">
        <v>323</v>
      </c>
      <c r="B96" s="1825" t="s">
        <v>308</v>
      </c>
      <c r="C96" s="1825"/>
      <c r="D96" s="1811"/>
      <c r="E96" s="1811" t="s">
        <v>572</v>
      </c>
      <c r="F96" s="1811"/>
      <c r="G96" s="1811"/>
      <c r="H96" s="1811"/>
      <c r="I96" s="1811"/>
      <c r="J96" s="2358"/>
      <c r="K96" s="2390">
        <f>+'Accounts by GL'!O108</f>
        <v>0</v>
      </c>
      <c r="L96" s="1864">
        <v>0</v>
      </c>
      <c r="M96" s="1805">
        <f t="shared" si="27"/>
        <v>0</v>
      </c>
      <c r="N96" s="1803"/>
      <c r="O96" s="1809">
        <v>0</v>
      </c>
      <c r="P96" s="1805">
        <f t="shared" si="22"/>
        <v>0</v>
      </c>
      <c r="Q96" s="1805"/>
      <c r="R96" s="1805"/>
      <c r="S96" s="1827"/>
      <c r="T96" s="1826"/>
      <c r="U96" s="1817">
        <f t="shared" si="23"/>
        <v>0</v>
      </c>
      <c r="V96" s="1817">
        <f t="shared" si="24"/>
        <v>0</v>
      </c>
      <c r="W96" s="1833">
        <f t="shared" si="25"/>
        <v>0</v>
      </c>
      <c r="X96" s="1817">
        <f t="shared" si="26"/>
        <v>0</v>
      </c>
    </row>
    <row r="97" spans="1:24">
      <c r="A97" s="1806" t="s">
        <v>326</v>
      </c>
      <c r="B97" s="1825" t="s">
        <v>308</v>
      </c>
      <c r="C97" s="1825"/>
      <c r="D97" s="1811"/>
      <c r="E97" s="1811" t="s">
        <v>89</v>
      </c>
      <c r="F97" s="1811"/>
      <c r="G97" s="1811"/>
      <c r="H97" s="1811"/>
      <c r="I97" s="1811"/>
      <c r="J97" s="1811"/>
      <c r="K97" s="2391">
        <f>+'Accounts by GL'!O94+'Accounts by GL'!O115+'Accounts by GL'!O127</f>
        <v>0</v>
      </c>
      <c r="L97" s="110">
        <v>0</v>
      </c>
      <c r="M97" s="2081">
        <f t="shared" si="27"/>
        <v>0</v>
      </c>
      <c r="N97" s="1814"/>
      <c r="O97" s="89">
        <v>0</v>
      </c>
      <c r="P97" s="2081">
        <f t="shared" si="22"/>
        <v>0</v>
      </c>
      <c r="Q97" s="1805"/>
      <c r="R97" s="1805"/>
      <c r="S97" s="1827"/>
      <c r="T97" s="1826"/>
      <c r="U97" s="1817">
        <f t="shared" si="23"/>
        <v>0</v>
      </c>
      <c r="V97" s="1817">
        <f>ROUND(U97,0)-U97</f>
        <v>0</v>
      </c>
      <c r="W97" s="1833">
        <f t="shared" si="25"/>
        <v>0</v>
      </c>
      <c r="X97" s="1817">
        <f>ROUND(W97,0)-W97</f>
        <v>0</v>
      </c>
    </row>
    <row r="98" spans="1:24" s="96" customFormat="1" ht="7.5" customHeight="1">
      <c r="A98" s="1815"/>
      <c r="B98" s="1816"/>
      <c r="C98" s="1816"/>
      <c r="D98" s="1811"/>
      <c r="E98" s="1811"/>
      <c r="F98" s="1811"/>
      <c r="G98" s="1811"/>
      <c r="H98" s="1811"/>
      <c r="I98" s="1811"/>
      <c r="J98" s="1811"/>
      <c r="K98" s="1814"/>
      <c r="L98" s="262"/>
      <c r="M98" s="1814"/>
      <c r="N98" s="1814"/>
      <c r="O98" s="243"/>
      <c r="P98" s="243"/>
      <c r="Q98" s="243"/>
      <c r="R98" s="835"/>
      <c r="S98" s="1819"/>
      <c r="T98" s="1818"/>
      <c r="U98" s="1817"/>
      <c r="V98" s="1817"/>
      <c r="W98" s="1833"/>
      <c r="X98" s="1817"/>
    </row>
    <row r="99" spans="1:24">
      <c r="A99" s="1806" t="s">
        <v>329</v>
      </c>
      <c r="B99" s="1825"/>
      <c r="C99" s="1825"/>
      <c r="D99" s="1811"/>
      <c r="E99" s="219" t="s">
        <v>2331</v>
      </c>
      <c r="F99" s="1811"/>
      <c r="G99" s="1811"/>
      <c r="H99" s="1811"/>
      <c r="I99" s="1811"/>
      <c r="J99" s="1811"/>
      <c r="K99" s="3306">
        <f>SUM(K87:K97)</f>
        <v>0</v>
      </c>
      <c r="L99" s="3305">
        <f>SUM(L87:L97)</f>
        <v>0</v>
      </c>
      <c r="M99" s="3306">
        <f t="array" ref="M99">SUM(ROUND(M87:M97,0))</f>
        <v>0</v>
      </c>
      <c r="N99" s="1814"/>
      <c r="O99" s="3306">
        <f t="array" ref="O99">SUM(ROUND(O87:O97,0))</f>
        <v>0</v>
      </c>
      <c r="P99" s="3306">
        <f t="array" ref="P99">SUM(ROUND(P87:P97,0))</f>
        <v>0</v>
      </c>
      <c r="Q99" s="553"/>
      <c r="R99" s="1805"/>
      <c r="S99" s="1827"/>
      <c r="T99" s="1826"/>
      <c r="U99" s="3302">
        <f>SUM(U87:U97)</f>
        <v>0</v>
      </c>
      <c r="V99" s="3302">
        <f>M99-U99</f>
        <v>0</v>
      </c>
      <c r="W99" s="3302">
        <f>SUM(W87:W97)</f>
        <v>0</v>
      </c>
      <c r="X99" s="3302">
        <f>W99-O99</f>
        <v>0</v>
      </c>
    </row>
    <row r="100" spans="1:24" s="96" customFormat="1" ht="7.5" customHeight="1">
      <c r="A100" s="1815"/>
      <c r="B100" s="1816"/>
      <c r="C100" s="1816"/>
      <c r="D100" s="1811"/>
      <c r="E100" s="1811"/>
      <c r="F100" s="1811"/>
      <c r="G100" s="1811"/>
      <c r="H100" s="1811"/>
      <c r="I100" s="1811"/>
      <c r="J100" s="1811"/>
      <c r="K100" s="1812"/>
      <c r="L100" s="262"/>
      <c r="M100" s="1812"/>
      <c r="N100" s="1812"/>
      <c r="O100" s="1813"/>
      <c r="P100" s="1813"/>
      <c r="Q100" s="1813"/>
      <c r="R100" s="1820"/>
      <c r="S100" s="1819"/>
      <c r="T100" s="1818"/>
      <c r="U100" s="1817"/>
      <c r="V100" s="1817"/>
      <c r="W100" s="1833"/>
      <c r="X100" s="1817"/>
    </row>
    <row r="101" spans="1:24" ht="13.5" thickBot="1">
      <c r="A101" s="1821"/>
      <c r="B101" s="1825"/>
      <c r="C101" s="1825"/>
      <c r="D101" s="219" t="s">
        <v>330</v>
      </c>
      <c r="E101" s="1811"/>
      <c r="F101" s="1811"/>
      <c r="G101" s="1811"/>
      <c r="H101" s="1811"/>
      <c r="I101" s="1811"/>
      <c r="J101" s="1811"/>
      <c r="K101" s="2398">
        <f>+K77+K99</f>
        <v>0</v>
      </c>
      <c r="L101" s="2331">
        <f>+L77+L99</f>
        <v>0</v>
      </c>
      <c r="M101" s="550">
        <f>ROUND(SUM(M77+M99),0)</f>
        <v>0</v>
      </c>
      <c r="N101" s="236"/>
      <c r="O101" s="551">
        <f>SUM(O77+O99)</f>
        <v>0</v>
      </c>
      <c r="P101" s="551">
        <f>SUM(P77+P99)</f>
        <v>0</v>
      </c>
      <c r="Q101" s="1348"/>
      <c r="R101" s="1805"/>
      <c r="S101" s="1827"/>
      <c r="T101" s="1826"/>
      <c r="U101" s="3302">
        <f>U99+U77</f>
        <v>0</v>
      </c>
      <c r="V101" s="3302">
        <f>M101-U101</f>
        <v>0</v>
      </c>
      <c r="W101" s="3303">
        <f>W99+W77</f>
        <v>0</v>
      </c>
      <c r="X101" s="3302">
        <f>W101-O101</f>
        <v>0</v>
      </c>
    </row>
    <row r="102" spans="1:24" ht="13.5" thickTop="1">
      <c r="A102" s="1821"/>
      <c r="B102" s="1825"/>
      <c r="C102" s="1825"/>
      <c r="D102" s="219"/>
      <c r="E102" s="1811"/>
      <c r="F102" s="1811"/>
      <c r="G102" s="1811"/>
      <c r="H102" s="1811"/>
      <c r="I102" s="1811"/>
      <c r="J102" s="1811"/>
      <c r="K102" s="553"/>
      <c r="L102" s="1811"/>
      <c r="M102" s="553"/>
      <c r="N102" s="1803"/>
      <c r="O102" s="553"/>
      <c r="P102" s="553"/>
      <c r="Q102" s="553"/>
      <c r="R102" s="1805"/>
      <c r="S102" s="1827"/>
      <c r="T102" s="1826"/>
      <c r="U102" s="1834"/>
      <c r="V102" s="1834"/>
      <c r="W102" s="1833"/>
      <c r="X102" s="1834"/>
    </row>
    <row r="103" spans="1:24">
      <c r="A103" s="1823"/>
      <c r="B103" s="1824"/>
      <c r="C103" s="1825"/>
      <c r="D103" s="1351" t="s">
        <v>2332</v>
      </c>
      <c r="E103" s="1829"/>
      <c r="F103" s="1808"/>
      <c r="G103" s="1822"/>
      <c r="H103" s="1822"/>
      <c r="I103" s="1822"/>
      <c r="J103" s="1822"/>
      <c r="K103" s="1352"/>
      <c r="L103" s="1829"/>
      <c r="M103" s="1352"/>
      <c r="N103" s="1830"/>
      <c r="O103" s="1352"/>
      <c r="P103" s="1348"/>
      <c r="Q103" s="1348"/>
      <c r="R103" s="1828"/>
      <c r="S103" s="1827"/>
      <c r="T103" s="1826"/>
      <c r="U103" s="1834"/>
      <c r="V103" s="1834"/>
      <c r="W103" s="1833"/>
      <c r="X103" s="1834"/>
    </row>
    <row r="104" spans="1:24">
      <c r="A104" s="1823" t="s">
        <v>352</v>
      </c>
      <c r="B104" s="1824" t="s">
        <v>353</v>
      </c>
      <c r="C104" s="1825"/>
      <c r="D104" s="1829" t="s">
        <v>76</v>
      </c>
      <c r="E104" s="1829"/>
      <c r="F104" s="1808"/>
      <c r="G104" s="1822"/>
      <c r="H104" s="1822"/>
      <c r="I104" s="1822"/>
      <c r="J104" s="1822"/>
      <c r="K104" s="2390">
        <f>+'Accounts by GL'!O149</f>
        <v>0</v>
      </c>
      <c r="L104" s="1864">
        <v>0</v>
      </c>
      <c r="M104" s="1805">
        <f t="shared" ref="M104:M110" si="28">+K104+L104</f>
        <v>0</v>
      </c>
      <c r="N104" s="1814"/>
      <c r="O104" s="1809">
        <v>0</v>
      </c>
      <c r="P104" s="1805">
        <f t="shared" ref="P104:P110" si="29">ROUND(O104,0)+ROUND(M104,0)</f>
        <v>0</v>
      </c>
      <c r="Q104" s="1805"/>
      <c r="R104" s="1828"/>
      <c r="S104" s="1827"/>
      <c r="T104" s="1826"/>
      <c r="U104" s="1834">
        <f t="shared" ref="U104:U110" si="30">M104</f>
        <v>0</v>
      </c>
      <c r="V104" s="1834">
        <f t="shared" ref="V104:V110" si="31">ROUND(U104,0)-U104</f>
        <v>0</v>
      </c>
      <c r="W104" s="1833">
        <f t="shared" ref="W104:W110" si="32">O104</f>
        <v>0</v>
      </c>
      <c r="X104" s="1834">
        <f t="shared" ref="X104:X110" si="33">ROUND(W104,0)-W104</f>
        <v>0</v>
      </c>
    </row>
    <row r="105" spans="1:24">
      <c r="A105" s="1823" t="s">
        <v>354</v>
      </c>
      <c r="B105" s="1824" t="s">
        <v>355</v>
      </c>
      <c r="C105" s="1825"/>
      <c r="D105" s="1829" t="s">
        <v>78</v>
      </c>
      <c r="E105" s="1829"/>
      <c r="F105" s="1808"/>
      <c r="G105" s="1822"/>
      <c r="H105" s="1822"/>
      <c r="I105" s="1822"/>
      <c r="J105" s="1822"/>
      <c r="K105" s="2390">
        <f>+'Accounts by GL'!O151</f>
        <v>0</v>
      </c>
      <c r="L105" s="1864">
        <v>0</v>
      </c>
      <c r="M105" s="1805">
        <f t="shared" si="28"/>
        <v>0</v>
      </c>
      <c r="N105" s="1814"/>
      <c r="O105" s="1809">
        <v>0</v>
      </c>
      <c r="P105" s="1805">
        <f t="shared" si="29"/>
        <v>0</v>
      </c>
      <c r="Q105" s="1805"/>
      <c r="R105" s="1828"/>
      <c r="S105" s="1827"/>
      <c r="T105" s="1826"/>
      <c r="U105" s="1834">
        <f t="shared" si="30"/>
        <v>0</v>
      </c>
      <c r="V105" s="1834">
        <f t="shared" si="31"/>
        <v>0</v>
      </c>
      <c r="W105" s="1833">
        <f t="shared" si="32"/>
        <v>0</v>
      </c>
      <c r="X105" s="1834">
        <f t="shared" si="33"/>
        <v>0</v>
      </c>
    </row>
    <row r="106" spans="1:24" s="1804" customFormat="1">
      <c r="A106" s="1823" t="s">
        <v>356</v>
      </c>
      <c r="B106" s="1824" t="s">
        <v>357</v>
      </c>
      <c r="C106" s="1825"/>
      <c r="D106" s="1829" t="s">
        <v>79</v>
      </c>
      <c r="E106" s="1829"/>
      <c r="F106" s="1808"/>
      <c r="G106" s="1822"/>
      <c r="H106" s="1822"/>
      <c r="I106" s="1822"/>
      <c r="J106" s="1822"/>
      <c r="K106" s="2390">
        <f>+'Accounts by GL'!O152</f>
        <v>0</v>
      </c>
      <c r="L106" s="1864">
        <v>0</v>
      </c>
      <c r="M106" s="1805">
        <f t="shared" si="28"/>
        <v>0</v>
      </c>
      <c r="N106" s="1814"/>
      <c r="O106" s="1809">
        <v>0</v>
      </c>
      <c r="P106" s="1805">
        <f t="shared" si="29"/>
        <v>0</v>
      </c>
      <c r="Q106" s="1805"/>
      <c r="R106" s="1828"/>
      <c r="S106" s="1827"/>
      <c r="T106" s="1826"/>
      <c r="U106" s="1834">
        <f t="shared" si="30"/>
        <v>0</v>
      </c>
      <c r="V106" s="1834">
        <f t="shared" si="31"/>
        <v>0</v>
      </c>
      <c r="W106" s="1833">
        <f t="shared" si="32"/>
        <v>0</v>
      </c>
      <c r="X106" s="1834">
        <f t="shared" si="33"/>
        <v>0</v>
      </c>
    </row>
    <row r="107" spans="1:24" s="1821" customFormat="1">
      <c r="A107" s="1823" t="s">
        <v>358</v>
      </c>
      <c r="B107" s="1824" t="s">
        <v>360</v>
      </c>
      <c r="C107" s="1825"/>
      <c r="D107" s="1829" t="s">
        <v>359</v>
      </c>
      <c r="E107" s="1829"/>
      <c r="F107" s="1808"/>
      <c r="G107" s="1822"/>
      <c r="H107" s="1822"/>
      <c r="I107" s="1822"/>
      <c r="J107" s="2362"/>
      <c r="K107" s="2390">
        <f>+'Accounts by GL'!O153</f>
        <v>0</v>
      </c>
      <c r="L107" s="1864"/>
      <c r="M107" s="1805">
        <f t="shared" si="28"/>
        <v>0</v>
      </c>
      <c r="N107" s="1814"/>
      <c r="O107" s="1809">
        <v>0</v>
      </c>
      <c r="P107" s="1805">
        <f t="shared" si="29"/>
        <v>0</v>
      </c>
      <c r="Q107" s="1805"/>
      <c r="R107" s="1828"/>
      <c r="S107" s="1827"/>
      <c r="T107" s="1826"/>
      <c r="U107" s="1834">
        <f t="shared" si="30"/>
        <v>0</v>
      </c>
      <c r="V107" s="1834">
        <f t="shared" si="31"/>
        <v>0</v>
      </c>
      <c r="W107" s="1833">
        <f t="shared" si="32"/>
        <v>0</v>
      </c>
      <c r="X107" s="1834">
        <f t="shared" si="33"/>
        <v>0</v>
      </c>
    </row>
    <row r="108" spans="1:24" s="1821" customFormat="1">
      <c r="A108" s="1823" t="s">
        <v>361</v>
      </c>
      <c r="B108" s="1824" t="s">
        <v>362</v>
      </c>
      <c r="C108" s="1825"/>
      <c r="D108" s="1829" t="s">
        <v>80</v>
      </c>
      <c r="E108" s="1829"/>
      <c r="F108" s="1808"/>
      <c r="G108" s="1822"/>
      <c r="H108" s="1822"/>
      <c r="I108" s="1822"/>
      <c r="J108" s="2362"/>
      <c r="K108" s="2390">
        <f>+'Accounts by GL'!O155</f>
        <v>0</v>
      </c>
      <c r="L108" s="1864">
        <v>0</v>
      </c>
      <c r="M108" s="1805">
        <f t="shared" si="28"/>
        <v>0</v>
      </c>
      <c r="N108" s="1814"/>
      <c r="O108" s="1809">
        <v>0</v>
      </c>
      <c r="P108" s="1805">
        <f t="shared" si="29"/>
        <v>0</v>
      </c>
      <c r="Q108" s="1805"/>
      <c r="R108" s="1828"/>
      <c r="S108" s="1827"/>
      <c r="T108" s="1826"/>
      <c r="U108" s="1834">
        <f t="shared" si="30"/>
        <v>0</v>
      </c>
      <c r="V108" s="1834">
        <f t="shared" si="31"/>
        <v>0</v>
      </c>
      <c r="W108" s="1833">
        <f t="shared" si="32"/>
        <v>0</v>
      </c>
      <c r="X108" s="1834">
        <f t="shared" si="33"/>
        <v>0</v>
      </c>
    </row>
    <row r="109" spans="1:24" s="1821" customFormat="1">
      <c r="A109" s="1823"/>
      <c r="B109" s="1824"/>
      <c r="C109" s="1825"/>
      <c r="D109" s="1829" t="s">
        <v>2333</v>
      </c>
      <c r="E109" s="1829"/>
      <c r="F109" s="1808"/>
      <c r="G109" s="1822"/>
      <c r="H109" s="1822"/>
      <c r="I109" s="1822"/>
      <c r="J109" s="2362"/>
      <c r="K109" s="2390">
        <f>+'Accounts by GL'!O154</f>
        <v>0</v>
      </c>
      <c r="L109" s="1864">
        <v>0</v>
      </c>
      <c r="M109" s="1805">
        <f>+K109+L109</f>
        <v>0</v>
      </c>
      <c r="N109" s="1814">
        <v>0</v>
      </c>
      <c r="O109" s="1809">
        <v>0</v>
      </c>
      <c r="P109" s="1805">
        <f>ROUND(O109,0)+ROUND(M109,0)</f>
        <v>0</v>
      </c>
      <c r="Q109" s="1805"/>
      <c r="R109" s="1828"/>
      <c r="S109" s="1827"/>
      <c r="T109" s="1826"/>
      <c r="U109" s="1834">
        <f t="shared" si="30"/>
        <v>0</v>
      </c>
      <c r="V109" s="1834">
        <f>ROUND(U109,0)-U109</f>
        <v>0</v>
      </c>
      <c r="W109" s="1833">
        <f t="shared" si="32"/>
        <v>0</v>
      </c>
      <c r="X109" s="1834">
        <f>ROUND(W109,0)-W109</f>
        <v>0</v>
      </c>
    </row>
    <row r="110" spans="1:24">
      <c r="A110" s="1823" t="s">
        <v>363</v>
      </c>
      <c r="B110" s="1824" t="s">
        <v>364</v>
      </c>
      <c r="C110" s="1825"/>
      <c r="D110" s="1829" t="s">
        <v>2334</v>
      </c>
      <c r="E110" s="1829"/>
      <c r="F110" s="1808"/>
      <c r="G110" s="1822"/>
      <c r="H110" s="1822"/>
      <c r="I110" s="1822"/>
      <c r="J110" s="1822"/>
      <c r="K110" s="2391">
        <f>+'Accounts by GL'!O150</f>
        <v>0</v>
      </c>
      <c r="L110" s="110">
        <v>0</v>
      </c>
      <c r="M110" s="2081">
        <f t="shared" si="28"/>
        <v>0</v>
      </c>
      <c r="N110" s="1814"/>
      <c r="O110" s="89">
        <v>0</v>
      </c>
      <c r="P110" s="2081">
        <f t="shared" si="29"/>
        <v>0</v>
      </c>
      <c r="Q110" s="1805"/>
      <c r="R110" s="1828"/>
      <c r="S110" s="1827"/>
      <c r="T110" s="1826"/>
      <c r="U110" s="1834">
        <f t="shared" si="30"/>
        <v>0</v>
      </c>
      <c r="V110" s="1834">
        <f t="shared" si="31"/>
        <v>0</v>
      </c>
      <c r="W110" s="1833">
        <f t="shared" si="32"/>
        <v>0</v>
      </c>
      <c r="X110" s="1834">
        <f t="shared" si="33"/>
        <v>0</v>
      </c>
    </row>
    <row r="111" spans="1:24">
      <c r="A111" s="1823"/>
      <c r="B111" s="1824"/>
      <c r="C111" s="1825"/>
      <c r="D111" s="1351"/>
      <c r="E111" s="1829"/>
      <c r="F111" s="1808"/>
      <c r="G111" s="1822"/>
      <c r="H111" s="1822"/>
      <c r="I111" s="1822"/>
      <c r="J111" s="1822"/>
      <c r="K111" s="1352"/>
      <c r="L111" s="2328"/>
      <c r="M111" s="1352"/>
      <c r="N111" s="1830"/>
      <c r="O111" s="1352"/>
      <c r="P111" s="1800"/>
      <c r="Q111" s="1800"/>
      <c r="R111" s="1828"/>
      <c r="S111" s="1827"/>
      <c r="T111" s="1826"/>
      <c r="U111" s="1834"/>
      <c r="V111" s="1834"/>
      <c r="W111" s="1833"/>
      <c r="X111" s="1834"/>
    </row>
    <row r="112" spans="1:24" ht="13.5" thickBot="1">
      <c r="A112" s="1823"/>
      <c r="B112" s="1824"/>
      <c r="C112" s="1825"/>
      <c r="D112" s="1351" t="s">
        <v>2335</v>
      </c>
      <c r="E112" s="1829"/>
      <c r="F112" s="1808"/>
      <c r="G112" s="1822"/>
      <c r="H112" s="1822"/>
      <c r="I112" s="1822"/>
      <c r="J112" s="1822"/>
      <c r="K112" s="2399">
        <f>SUM(K104:K110)</f>
        <v>0</v>
      </c>
      <c r="L112" s="2329">
        <f>SUM(L104:L110)</f>
        <v>0</v>
      </c>
      <c r="M112" s="1831">
        <f>ROUND(SUM(M104:M110),0)</f>
        <v>0</v>
      </c>
      <c r="N112" s="1830"/>
      <c r="O112" s="1831">
        <f>SUM(O104:O110)</f>
        <v>0</v>
      </c>
      <c r="P112" s="1613">
        <f>SUM(P104:P110,0)</f>
        <v>0</v>
      </c>
      <c r="Q112" s="1800"/>
      <c r="R112" s="1828"/>
      <c r="S112" s="1827"/>
      <c r="T112" s="1826"/>
      <c r="U112" s="1834">
        <f>SUM(U104:U110)</f>
        <v>0</v>
      </c>
      <c r="V112" s="1834">
        <f>M112-U112</f>
        <v>0</v>
      </c>
      <c r="W112" s="1833">
        <f>SUM(W104:W110)</f>
        <v>0</v>
      </c>
      <c r="X112" s="1834">
        <f>O112-W112</f>
        <v>0</v>
      </c>
    </row>
    <row r="113" spans="1:24" s="1821" customFormat="1" ht="14.25" thickTop="1" thickBot="1">
      <c r="A113" s="1823"/>
      <c r="B113" s="1824"/>
      <c r="C113" s="1825"/>
      <c r="D113" s="2599" t="s">
        <v>2336</v>
      </c>
      <c r="E113" s="2599"/>
      <c r="F113" s="2599"/>
      <c r="G113" s="2599"/>
      <c r="H113" s="2599"/>
      <c r="I113" s="2599"/>
      <c r="J113" s="1822"/>
      <c r="K113" s="2399">
        <f>K101+K112</f>
        <v>0</v>
      </c>
      <c r="L113" s="1831">
        <f>L101+L112</f>
        <v>0</v>
      </c>
      <c r="M113" s="1831">
        <f>M101+M112</f>
        <v>0</v>
      </c>
      <c r="N113" s="1830"/>
      <c r="O113" s="1831">
        <f>O101+O112</f>
        <v>0</v>
      </c>
      <c r="P113" s="1831">
        <f>P101+P112</f>
        <v>0</v>
      </c>
      <c r="Q113" s="1352"/>
      <c r="R113" s="1828"/>
      <c r="S113" s="1827"/>
      <c r="T113" s="1826"/>
      <c r="U113" s="1834">
        <f>U101+U112</f>
        <v>0</v>
      </c>
      <c r="V113" s="1834">
        <f>M113-U113</f>
        <v>0</v>
      </c>
      <c r="W113" s="1833">
        <f>W101+W112</f>
        <v>0</v>
      </c>
      <c r="X113" s="1834">
        <f>O113-W113</f>
        <v>0</v>
      </c>
    </row>
    <row r="114" spans="1:24" s="1810" customFormat="1" ht="13.5" thickTop="1">
      <c r="A114" s="1815"/>
      <c r="B114" s="1816"/>
      <c r="C114" s="1816"/>
      <c r="D114" s="1811"/>
      <c r="E114" s="1811"/>
      <c r="F114" s="1811"/>
      <c r="G114" s="1811"/>
      <c r="H114" s="1811"/>
      <c r="I114" s="1811"/>
      <c r="J114" s="1811"/>
      <c r="K114" s="1812"/>
      <c r="L114" s="1812"/>
      <c r="M114" s="1812"/>
      <c r="N114" s="1812"/>
      <c r="O114" s="1813"/>
      <c r="P114" s="1813"/>
      <c r="Q114" s="1813"/>
      <c r="R114" s="1820"/>
      <c r="S114" s="1819"/>
      <c r="T114" s="1818"/>
      <c r="U114" s="1817"/>
      <c r="V114" s="1817"/>
      <c r="W114" s="1833"/>
      <c r="X114" s="1817"/>
    </row>
    <row r="115" spans="1:24">
      <c r="A115" s="1806"/>
      <c r="B115" s="1825"/>
      <c r="C115" s="1825"/>
      <c r="D115" s="219" t="s">
        <v>2337</v>
      </c>
      <c r="E115" s="1811"/>
      <c r="F115" s="1811"/>
      <c r="G115" s="1811"/>
      <c r="H115" s="1811"/>
      <c r="I115" s="1811"/>
      <c r="J115" s="1811"/>
      <c r="K115" s="1812"/>
      <c r="L115" s="1811"/>
      <c r="M115" s="1812"/>
      <c r="N115" s="1812"/>
      <c r="O115" s="1812"/>
      <c r="P115" s="1812"/>
      <c r="Q115" s="1812"/>
      <c r="R115" s="829"/>
      <c r="S115" s="1827"/>
      <c r="T115" s="1826"/>
      <c r="U115" s="1817"/>
      <c r="V115" s="1817"/>
      <c r="W115" s="1833"/>
      <c r="X115" s="1817"/>
    </row>
    <row r="116" spans="1:24">
      <c r="A116" s="1806" t="s">
        <v>331</v>
      </c>
      <c r="B116" s="1825" t="s">
        <v>2338</v>
      </c>
      <c r="C116" s="1825"/>
      <c r="D116" s="1811" t="s">
        <v>95</v>
      </c>
      <c r="E116" s="1811"/>
      <c r="F116" s="1811"/>
      <c r="G116" s="1811"/>
      <c r="H116" s="1811"/>
      <c r="I116" s="1811"/>
      <c r="J116" s="1811"/>
      <c r="K116" s="2390">
        <f>+'Accounts by GL'!L554</f>
        <v>0</v>
      </c>
      <c r="L116" s="1864">
        <v>0</v>
      </c>
      <c r="M116" s="1805">
        <f>+K116+L116</f>
        <v>0</v>
      </c>
      <c r="N116" s="1814"/>
      <c r="O116" s="1809">
        <v>0</v>
      </c>
      <c r="P116" s="1805">
        <f>ROUND(O116,0)+ROUND(M116,0)</f>
        <v>0</v>
      </c>
      <c r="Q116" s="1805"/>
      <c r="R116" s="851"/>
      <c r="S116" s="1827"/>
      <c r="T116" s="1826"/>
      <c r="U116" s="1817">
        <f>M116</f>
        <v>0</v>
      </c>
      <c r="V116" s="1817">
        <f>ROUND(U116,0)-U116</f>
        <v>0</v>
      </c>
      <c r="W116" s="1833">
        <f>O116</f>
        <v>0</v>
      </c>
      <c r="X116" s="1817">
        <f>ROUND(W116,0)-W116</f>
        <v>0</v>
      </c>
    </row>
    <row r="117" spans="1:24">
      <c r="A117" s="1806"/>
      <c r="B117" s="1825"/>
      <c r="C117" s="1825"/>
      <c r="D117" s="1811" t="s">
        <v>2339</v>
      </c>
      <c r="E117" s="1811"/>
      <c r="F117" s="1811"/>
      <c r="G117" s="1811"/>
      <c r="H117" s="1811"/>
      <c r="I117" s="1811"/>
      <c r="J117" s="1811"/>
      <c r="K117" s="2400"/>
      <c r="L117" s="262"/>
      <c r="M117" s="843"/>
      <c r="N117" s="1812"/>
      <c r="O117" s="234"/>
      <c r="P117" s="234"/>
      <c r="Q117" s="234"/>
      <c r="R117" s="843"/>
      <c r="S117" s="1827"/>
      <c r="T117" s="1826"/>
      <c r="U117" s="1817"/>
      <c r="V117" s="1817"/>
      <c r="W117" s="1833"/>
      <c r="X117" s="1817"/>
    </row>
    <row r="118" spans="1:24">
      <c r="A118" s="1806"/>
      <c r="B118" s="1825"/>
      <c r="C118" s="1825"/>
      <c r="D118" s="1811"/>
      <c r="E118" s="1811" t="s">
        <v>2340</v>
      </c>
      <c r="F118" s="1811"/>
      <c r="G118" s="1811"/>
      <c r="H118" s="1811"/>
      <c r="I118" s="1811"/>
      <c r="J118" s="1811"/>
      <c r="K118" s="2400"/>
      <c r="L118" s="262">
        <v>0</v>
      </c>
      <c r="M118" s="843"/>
      <c r="N118" s="1812"/>
      <c r="O118" s="234"/>
      <c r="P118" s="234"/>
      <c r="Q118" s="234"/>
      <c r="R118" s="843"/>
      <c r="S118" s="1827"/>
      <c r="T118" s="1826"/>
      <c r="U118" s="1817"/>
      <c r="V118" s="1817"/>
      <c r="W118" s="1833"/>
      <c r="X118" s="1817"/>
    </row>
    <row r="119" spans="1:24">
      <c r="A119" s="1806" t="s">
        <v>333</v>
      </c>
      <c r="B119" s="1825" t="s">
        <v>1917</v>
      </c>
      <c r="C119" s="1825"/>
      <c r="D119" s="1811"/>
      <c r="E119" s="1811"/>
      <c r="F119" s="1811" t="s">
        <v>334</v>
      </c>
      <c r="G119" s="1811"/>
      <c r="H119" s="1811"/>
      <c r="I119" s="1811"/>
      <c r="J119" s="1811"/>
      <c r="K119" s="2390">
        <f>+'Accounts by GL'!G549</f>
        <v>0</v>
      </c>
      <c r="L119" s="1864">
        <v>0</v>
      </c>
      <c r="M119" s="1805">
        <f>+K119+L119</f>
        <v>0</v>
      </c>
      <c r="N119" s="1814"/>
      <c r="O119" s="1809">
        <v>0</v>
      </c>
      <c r="P119" s="1805">
        <f>ROUND(O119,0)+ROUND(M119,0)</f>
        <v>0</v>
      </c>
      <c r="Q119" s="1805"/>
      <c r="R119" s="1805"/>
      <c r="S119" s="1827"/>
      <c r="T119" s="1826"/>
      <c r="U119" s="1817">
        <f>M119</f>
        <v>0</v>
      </c>
      <c r="V119" s="1817">
        <f>ROUND(U119,0)-U119</f>
        <v>0</v>
      </c>
      <c r="W119" s="1833">
        <f>O119</f>
        <v>0</v>
      </c>
      <c r="X119" s="1817">
        <f>ROUND(W119,0)-W119</f>
        <v>0</v>
      </c>
    </row>
    <row r="120" spans="1:24">
      <c r="A120" s="1806"/>
      <c r="B120" s="1825"/>
      <c r="C120" s="1825"/>
      <c r="D120" s="1811"/>
      <c r="E120" s="1811" t="s">
        <v>2341</v>
      </c>
      <c r="F120" s="1811"/>
      <c r="G120" s="1811"/>
      <c r="H120" s="1811"/>
      <c r="I120" s="1811"/>
      <c r="J120" s="1811"/>
      <c r="K120" s="2390"/>
      <c r="L120" s="262">
        <v>0</v>
      </c>
      <c r="M120" s="1805"/>
      <c r="N120" s="1814"/>
      <c r="O120" s="1807">
        <v>0</v>
      </c>
      <c r="P120" s="1800"/>
      <c r="Q120" s="1800"/>
      <c r="R120" s="1805"/>
      <c r="S120" s="1827"/>
      <c r="T120" s="1826"/>
      <c r="U120" s="1817"/>
      <c r="V120" s="1817"/>
      <c r="W120" s="1833"/>
      <c r="X120" s="1817"/>
    </row>
    <row r="121" spans="1:24">
      <c r="A121" s="1806" t="s">
        <v>335</v>
      </c>
      <c r="B121" s="1825" t="s">
        <v>2342</v>
      </c>
      <c r="C121" s="1825"/>
      <c r="D121" s="1811"/>
      <c r="E121" s="1811"/>
      <c r="F121" s="1811" t="s">
        <v>334</v>
      </c>
      <c r="G121" s="1811"/>
      <c r="H121" s="1811"/>
      <c r="I121" s="1811"/>
      <c r="J121" s="1811"/>
      <c r="K121" s="2390">
        <f>+'Accounts by GL'!G548</f>
        <v>0</v>
      </c>
      <c r="L121" s="1864">
        <v>0</v>
      </c>
      <c r="M121" s="1805">
        <f>+K121+L121</f>
        <v>0</v>
      </c>
      <c r="N121" s="1814"/>
      <c r="O121" s="1809">
        <v>0</v>
      </c>
      <c r="P121" s="1805">
        <f t="shared" ref="P121:P126" si="34">ROUND(O121,0)+ROUND(M121,0)</f>
        <v>0</v>
      </c>
      <c r="Q121" s="1805"/>
      <c r="R121" s="1805"/>
      <c r="S121" s="1827"/>
      <c r="T121" s="1826"/>
      <c r="U121" s="1817">
        <f t="shared" ref="U121:U126" si="35">M121</f>
        <v>0</v>
      </c>
      <c r="V121" s="1817">
        <f t="shared" ref="V121:V127" si="36">ROUND(U121,0)-U121</f>
        <v>0</v>
      </c>
      <c r="W121" s="1833">
        <f t="shared" ref="W121:W127" si="37">O121</f>
        <v>0</v>
      </c>
      <c r="X121" s="1817">
        <f>ROUND(W121,0)-W121</f>
        <v>0</v>
      </c>
    </row>
    <row r="122" spans="1:24">
      <c r="A122" s="1806" t="s">
        <v>336</v>
      </c>
      <c r="B122" s="1825" t="s">
        <v>2343</v>
      </c>
      <c r="C122" s="1825"/>
      <c r="D122" s="1811"/>
      <c r="E122" s="1811"/>
      <c r="F122" s="1811" t="s">
        <v>337</v>
      </c>
      <c r="G122" s="1811"/>
      <c r="H122" s="1811"/>
      <c r="I122" s="1811"/>
      <c r="J122" s="1811"/>
      <c r="K122" s="2390">
        <f>+'Accounts by GL'!E554+'Accounts by GL'!G550</f>
        <v>0</v>
      </c>
      <c r="L122" s="1864">
        <v>0</v>
      </c>
      <c r="M122" s="1805">
        <f t="shared" ref="M122:M127" si="38">+K122+L122</f>
        <v>0</v>
      </c>
      <c r="N122" s="1814"/>
      <c r="O122" s="1809">
        <v>0</v>
      </c>
      <c r="P122" s="1805">
        <f t="shared" si="34"/>
        <v>0</v>
      </c>
      <c r="Q122" s="1805"/>
      <c r="R122" s="1805"/>
      <c r="S122" s="1827"/>
      <c r="T122" s="1826"/>
      <c r="U122" s="1817">
        <f t="shared" si="35"/>
        <v>0</v>
      </c>
      <c r="V122" s="1817">
        <f t="shared" si="36"/>
        <v>0</v>
      </c>
      <c r="W122" s="1833">
        <f t="shared" si="37"/>
        <v>0</v>
      </c>
      <c r="X122" s="1817">
        <f t="shared" ref="X122:X127" si="39">ROUND(W122,0)-W122</f>
        <v>0</v>
      </c>
    </row>
    <row r="123" spans="1:24">
      <c r="A123" s="1806" t="s">
        <v>338</v>
      </c>
      <c r="B123" s="1825" t="s">
        <v>2343</v>
      </c>
      <c r="C123" s="1825"/>
      <c r="D123" s="1811"/>
      <c r="E123" s="1811"/>
      <c r="F123" s="1811" t="s">
        <v>339</v>
      </c>
      <c r="G123" s="1811"/>
      <c r="H123" s="1811"/>
      <c r="I123" s="1811"/>
      <c r="J123" s="1811"/>
      <c r="K123" s="2390">
        <f>+'Accounts by GL'!H554</f>
        <v>0</v>
      </c>
      <c r="L123" s="1864">
        <v>0</v>
      </c>
      <c r="M123" s="1805">
        <f t="shared" si="38"/>
        <v>0</v>
      </c>
      <c r="N123" s="1814"/>
      <c r="O123" s="1809">
        <v>0</v>
      </c>
      <c r="P123" s="1805">
        <f t="shared" si="34"/>
        <v>0</v>
      </c>
      <c r="Q123" s="1805"/>
      <c r="R123" s="1805"/>
      <c r="S123" s="1827"/>
      <c r="T123" s="1826"/>
      <c r="U123" s="1817">
        <f t="shared" si="35"/>
        <v>0</v>
      </c>
      <c r="V123" s="1817">
        <f t="shared" si="36"/>
        <v>0</v>
      </c>
      <c r="W123" s="1833">
        <f t="shared" si="37"/>
        <v>0</v>
      </c>
      <c r="X123" s="1817">
        <f t="shared" si="39"/>
        <v>0</v>
      </c>
    </row>
    <row r="124" spans="1:24">
      <c r="A124" s="1806" t="s">
        <v>340</v>
      </c>
      <c r="B124" s="1825" t="s">
        <v>2343</v>
      </c>
      <c r="C124" s="1825"/>
      <c r="D124" s="1811"/>
      <c r="E124" s="1811"/>
      <c r="F124" s="1811" t="s">
        <v>341</v>
      </c>
      <c r="G124" s="1811"/>
      <c r="H124" s="1811"/>
      <c r="I124" s="1811"/>
      <c r="J124" s="1811"/>
      <c r="K124" s="2390">
        <f>+'Accounts by GL'!J554</f>
        <v>0</v>
      </c>
      <c r="L124" s="1864">
        <v>0</v>
      </c>
      <c r="M124" s="1805">
        <f t="shared" si="38"/>
        <v>0</v>
      </c>
      <c r="N124" s="1814"/>
      <c r="O124" s="1809">
        <v>0</v>
      </c>
      <c r="P124" s="1805">
        <f t="shared" si="34"/>
        <v>0</v>
      </c>
      <c r="Q124" s="1805"/>
      <c r="R124" s="1805"/>
      <c r="S124" s="1827"/>
      <c r="T124" s="1826"/>
      <c r="U124" s="1817">
        <f t="shared" si="35"/>
        <v>0</v>
      </c>
      <c r="V124" s="1817">
        <f t="shared" si="36"/>
        <v>0</v>
      </c>
      <c r="W124" s="1833">
        <f t="shared" si="37"/>
        <v>0</v>
      </c>
      <c r="X124" s="1817">
        <f t="shared" si="39"/>
        <v>0</v>
      </c>
    </row>
    <row r="125" spans="1:24">
      <c r="A125" s="1806" t="s">
        <v>342</v>
      </c>
      <c r="B125" s="1825" t="s">
        <v>1914</v>
      </c>
      <c r="C125" s="1825"/>
      <c r="D125" s="1811"/>
      <c r="E125" s="1811"/>
      <c r="F125" s="1811" t="s">
        <v>343</v>
      </c>
      <c r="G125" s="1811"/>
      <c r="H125" s="1811"/>
      <c r="I125" s="1811"/>
      <c r="J125" s="1811"/>
      <c r="K125" s="2390">
        <f>+'Accounts by GL'!K554</f>
        <v>0</v>
      </c>
      <c r="L125" s="1864">
        <v>0</v>
      </c>
      <c r="M125" s="1805">
        <f t="shared" si="38"/>
        <v>0</v>
      </c>
      <c r="N125" s="1814"/>
      <c r="O125" s="1809">
        <v>0</v>
      </c>
      <c r="P125" s="1805">
        <f t="shared" si="34"/>
        <v>0</v>
      </c>
      <c r="Q125" s="1805"/>
      <c r="R125" s="1805"/>
      <c r="S125" s="1827"/>
      <c r="T125" s="1826"/>
      <c r="U125" s="1817">
        <f t="shared" si="35"/>
        <v>0</v>
      </c>
      <c r="V125" s="1817">
        <f t="shared" si="36"/>
        <v>0</v>
      </c>
      <c r="W125" s="1833">
        <f t="shared" si="37"/>
        <v>0</v>
      </c>
      <c r="X125" s="1817">
        <f t="shared" si="39"/>
        <v>0</v>
      </c>
    </row>
    <row r="126" spans="1:24">
      <c r="A126" s="1806" t="s">
        <v>344</v>
      </c>
      <c r="B126" s="1825" t="s">
        <v>2343</v>
      </c>
      <c r="C126" s="1825"/>
      <c r="D126" s="1811"/>
      <c r="E126" s="1811"/>
      <c r="F126" s="1811" t="s">
        <v>345</v>
      </c>
      <c r="G126" s="1811"/>
      <c r="H126" s="1811"/>
      <c r="I126" s="1811"/>
      <c r="J126" s="1811"/>
      <c r="K126" s="2390">
        <v>0</v>
      </c>
      <c r="L126" s="1864">
        <v>0</v>
      </c>
      <c r="M126" s="1805">
        <f t="shared" si="38"/>
        <v>0</v>
      </c>
      <c r="N126" s="1814"/>
      <c r="O126" s="1809">
        <v>0</v>
      </c>
      <c r="P126" s="1805">
        <f t="shared" si="34"/>
        <v>0</v>
      </c>
      <c r="Q126" s="1805"/>
      <c r="R126" s="1805"/>
      <c r="S126" s="1827"/>
      <c r="T126" s="1826"/>
      <c r="U126" s="1817">
        <f t="shared" si="35"/>
        <v>0</v>
      </c>
      <c r="V126" s="1817">
        <f t="shared" si="36"/>
        <v>0</v>
      </c>
      <c r="W126" s="1833">
        <f t="shared" si="37"/>
        <v>0</v>
      </c>
      <c r="X126" s="1817">
        <f t="shared" si="39"/>
        <v>0</v>
      </c>
    </row>
    <row r="127" spans="1:24">
      <c r="A127" s="1806" t="s">
        <v>346</v>
      </c>
      <c r="B127" s="1825" t="s">
        <v>2344</v>
      </c>
      <c r="C127" s="1825"/>
      <c r="D127" s="1811" t="s">
        <v>347</v>
      </c>
      <c r="E127" s="1811"/>
      <c r="F127" s="1811"/>
      <c r="G127" s="1811"/>
      <c r="H127" s="1811"/>
      <c r="I127" s="1811"/>
      <c r="J127" s="1811"/>
      <c r="K127" s="2391">
        <f>ROUND(K39+K50-K101-K112-SUM(K116:K126),2)</f>
        <v>0</v>
      </c>
      <c r="L127" s="110">
        <v>0</v>
      </c>
      <c r="M127" s="2081">
        <f t="shared" si="38"/>
        <v>0</v>
      </c>
      <c r="N127" s="1814"/>
      <c r="O127" s="3307">
        <f>ROUND(O39+O50-O101-O112-SUM(O116:O126),0)</f>
        <v>0</v>
      </c>
      <c r="P127" s="2081">
        <f>ROUND(P39+P50-P101-P112-SUM(P116:P126),0)</f>
        <v>0</v>
      </c>
      <c r="Q127" s="1805"/>
      <c r="R127" s="1805"/>
      <c r="S127" s="1827"/>
      <c r="T127" s="1826"/>
      <c r="U127" s="801">
        <f>K127</f>
        <v>0</v>
      </c>
      <c r="V127" s="802">
        <f t="shared" si="36"/>
        <v>0</v>
      </c>
      <c r="W127" s="801">
        <f t="shared" si="37"/>
        <v>0</v>
      </c>
      <c r="X127" s="1817">
        <f t="shared" si="39"/>
        <v>0</v>
      </c>
    </row>
    <row r="128" spans="1:24" s="96" customFormat="1" ht="9" customHeight="1">
      <c r="A128" s="1798"/>
      <c r="B128" s="1799"/>
      <c r="C128" s="1816"/>
      <c r="D128" s="1811"/>
      <c r="E128" s="1811"/>
      <c r="F128" s="1811"/>
      <c r="G128" s="1811"/>
      <c r="H128" s="1811"/>
      <c r="I128" s="1812"/>
      <c r="J128" s="1812"/>
      <c r="K128" s="1814"/>
      <c r="L128" s="262"/>
      <c r="M128" s="1814"/>
      <c r="N128" s="243"/>
      <c r="O128" s="243"/>
      <c r="P128" s="243"/>
      <c r="Q128" s="243"/>
      <c r="R128" s="835"/>
      <c r="S128" s="1819"/>
      <c r="T128" s="1818"/>
      <c r="U128" s="1817"/>
      <c r="V128" s="1817"/>
      <c r="W128" s="1833"/>
      <c r="X128" s="1817"/>
    </row>
    <row r="129" spans="1:24" ht="13.5" thickBot="1">
      <c r="A129" s="1823" t="s">
        <v>350</v>
      </c>
      <c r="B129" s="1824"/>
      <c r="C129" s="1825"/>
      <c r="D129" s="219" t="s">
        <v>2345</v>
      </c>
      <c r="E129" s="1811"/>
      <c r="F129" s="1811"/>
      <c r="G129" s="1811"/>
      <c r="H129" s="1811"/>
      <c r="I129" s="1811"/>
      <c r="J129" s="1811"/>
      <c r="K129" s="2398">
        <f>SUM(K116:K127)</f>
        <v>0</v>
      </c>
      <c r="L129" s="2331">
        <f>SUM(L116:L127)</f>
        <v>0</v>
      </c>
      <c r="M129" s="550">
        <f t="array" ref="M129">SUM(ROUND(M116:M127,0))</f>
        <v>0</v>
      </c>
      <c r="N129" s="236"/>
      <c r="O129" s="550">
        <f t="array" ref="O129">SUM(ROUND(O116:O127,0))</f>
        <v>0</v>
      </c>
      <c r="P129" s="550">
        <f t="array" ref="P129">SUM(ROUND(P116:P127,0))</f>
        <v>0</v>
      </c>
      <c r="Q129" s="1347"/>
      <c r="R129" s="1805"/>
      <c r="S129" s="1827"/>
      <c r="T129" s="1826"/>
      <c r="U129" s="3302">
        <f>SUM(U116:U127)</f>
        <v>0</v>
      </c>
      <c r="V129" s="3302">
        <f>M129-U129</f>
        <v>0</v>
      </c>
      <c r="W129" s="3303">
        <f>SUM(W116:W127)</f>
        <v>0</v>
      </c>
      <c r="X129" s="3302">
        <f>W129-O129</f>
        <v>0</v>
      </c>
    </row>
    <row r="130" spans="1:24" s="96" customFormat="1" ht="9" customHeight="1" thickTop="1">
      <c r="A130" s="1798"/>
      <c r="B130" s="1799"/>
      <c r="C130" s="1816"/>
      <c r="D130" s="1811"/>
      <c r="E130" s="1811"/>
      <c r="F130" s="1811"/>
      <c r="G130" s="1811"/>
      <c r="H130" s="1811"/>
      <c r="I130" s="1812"/>
      <c r="J130" s="1812"/>
      <c r="K130" s="2396"/>
      <c r="L130" s="262"/>
      <c r="M130" s="1812"/>
      <c r="N130" s="1813"/>
      <c r="O130" s="1813"/>
      <c r="P130" s="1813"/>
      <c r="Q130" s="1813"/>
      <c r="R130" s="1820"/>
      <c r="S130" s="1819"/>
      <c r="T130" s="1818"/>
      <c r="U130" s="1817"/>
      <c r="V130" s="1817"/>
      <c r="W130" s="1833"/>
      <c r="X130" s="1817"/>
    </row>
    <row r="131" spans="1:24" ht="24.75" customHeight="1" thickBot="1">
      <c r="A131" s="1823"/>
      <c r="B131" s="1824"/>
      <c r="C131" s="1825"/>
      <c r="D131" s="2599" t="s">
        <v>2346</v>
      </c>
      <c r="E131" s="2598"/>
      <c r="F131" s="2598"/>
      <c r="G131" s="2598"/>
      <c r="H131" s="2598"/>
      <c r="I131" s="2598"/>
      <c r="J131" s="1829"/>
      <c r="K131" s="2399">
        <f>K113+K129</f>
        <v>0</v>
      </c>
      <c r="L131" s="2329">
        <f>L113+L129</f>
        <v>0</v>
      </c>
      <c r="M131" s="1831">
        <f>M113+M129</f>
        <v>0</v>
      </c>
      <c r="N131" s="1830"/>
      <c r="O131" s="1831">
        <f>O113+O129</f>
        <v>0</v>
      </c>
      <c r="P131" s="1831">
        <f>P113+P129</f>
        <v>0</v>
      </c>
      <c r="Q131" s="1352"/>
      <c r="R131" s="1828"/>
      <c r="S131" s="1827"/>
      <c r="T131" s="1826"/>
      <c r="U131" s="3302">
        <f>U129+U113</f>
        <v>0</v>
      </c>
      <c r="V131" s="3302">
        <f>M131-U131</f>
        <v>0</v>
      </c>
      <c r="W131" s="3303">
        <f>W129+W113</f>
        <v>0</v>
      </c>
      <c r="X131" s="3302">
        <f>W131-O131</f>
        <v>0</v>
      </c>
    </row>
    <row r="132" spans="1:24" s="96" customFormat="1" ht="9" customHeight="1" thickTop="1">
      <c r="A132" s="1798"/>
      <c r="B132" s="1799"/>
      <c r="C132" s="1816"/>
      <c r="D132" s="1811"/>
      <c r="E132" s="1811"/>
      <c r="F132" s="1811"/>
      <c r="G132" s="1811"/>
      <c r="H132" s="1811"/>
      <c r="I132" s="1812"/>
      <c r="J132" s="1812"/>
      <c r="K132" s="1812"/>
      <c r="L132" s="1812"/>
      <c r="M132" s="1812"/>
      <c r="N132" s="1813"/>
      <c r="O132" s="1813"/>
      <c r="P132" s="1813"/>
      <c r="Q132" s="1813"/>
      <c r="R132" s="1820"/>
      <c r="S132" s="1827"/>
      <c r="T132" s="1818"/>
      <c r="U132" s="798"/>
      <c r="V132" s="798"/>
      <c r="W132" s="798"/>
      <c r="X132" s="798"/>
    </row>
    <row r="133" spans="1:24">
      <c r="A133" s="1823"/>
      <c r="B133" s="1824"/>
      <c r="C133" s="1825"/>
      <c r="D133" s="2519" t="s">
        <v>2347</v>
      </c>
      <c r="E133" s="2519"/>
      <c r="F133" s="2519"/>
      <c r="G133" s="2519"/>
      <c r="H133" s="2519"/>
      <c r="I133" s="2519"/>
      <c r="J133" s="2519"/>
      <c r="K133" s="2519"/>
      <c r="L133" s="2519"/>
      <c r="M133" s="2519"/>
      <c r="N133" s="2519"/>
      <c r="O133" s="2519"/>
      <c r="P133" s="2519"/>
      <c r="Q133" s="2519"/>
      <c r="R133" s="850"/>
      <c r="S133" s="1827"/>
      <c r="T133" s="1826"/>
      <c r="U133" s="1817">
        <f>U51-U113-U129</f>
        <v>0</v>
      </c>
      <c r="V133" s="1817"/>
      <c r="W133" s="1817">
        <f>W51-W113-W129</f>
        <v>0</v>
      </c>
      <c r="X133" s="1817"/>
    </row>
    <row r="134" spans="1:24" s="96" customFormat="1" ht="9" customHeight="1">
      <c r="A134" s="1798"/>
      <c r="B134" s="105"/>
      <c r="C134" s="105"/>
      <c r="D134" s="94"/>
      <c r="E134" s="94"/>
      <c r="F134" s="94"/>
      <c r="G134" s="94"/>
      <c r="H134" s="94"/>
      <c r="I134" s="95"/>
      <c r="J134" s="95"/>
      <c r="K134" s="95"/>
      <c r="L134" s="95"/>
      <c r="M134" s="95"/>
      <c r="N134" s="1813"/>
      <c r="O134" s="1810"/>
      <c r="P134" s="1810"/>
      <c r="Q134" s="1810"/>
      <c r="R134" s="1820"/>
      <c r="S134" s="1810"/>
      <c r="T134" s="1818"/>
      <c r="U134" s="798"/>
      <c r="V134" s="798"/>
      <c r="W134" s="798"/>
      <c r="X134" s="798"/>
    </row>
    <row r="135" spans="1:24" ht="12.75" customHeight="1">
      <c r="A135" s="1823"/>
      <c r="D135" s="1821"/>
      <c r="E135" s="1821"/>
      <c r="F135" s="1821"/>
      <c r="G135" s="1821"/>
      <c r="H135" s="1821"/>
      <c r="I135" s="1821"/>
      <c r="K135" s="91">
        <f>K51-K131</f>
        <v>0</v>
      </c>
      <c r="L135" s="91">
        <f>L51-L131</f>
        <v>0</v>
      </c>
      <c r="M135" s="91">
        <f>M51-M131</f>
        <v>0</v>
      </c>
      <c r="N135" s="220"/>
      <c r="O135" s="91">
        <f>O51-O131</f>
        <v>0</v>
      </c>
      <c r="P135" s="91">
        <f>P51-P131</f>
        <v>0</v>
      </c>
      <c r="Q135" s="91"/>
      <c r="R135" s="587"/>
      <c r="S135" s="1821"/>
      <c r="T135" s="1826"/>
      <c r="U135" s="1817"/>
      <c r="V135" s="1817"/>
      <c r="W135" s="1817"/>
      <c r="X135" s="1817"/>
    </row>
    <row r="136" spans="1:24" ht="12.75" customHeight="1">
      <c r="A136" s="1823"/>
      <c r="C136" s="2596" t="s">
        <v>2348</v>
      </c>
      <c r="D136" s="2596"/>
      <c r="E136" s="2596"/>
      <c r="F136" s="2596"/>
      <c r="G136" s="2596"/>
      <c r="H136" s="2596"/>
      <c r="I136" s="2596"/>
      <c r="J136" s="2596"/>
      <c r="K136" s="2596"/>
      <c r="L136" s="2596"/>
      <c r="M136" s="801"/>
      <c r="N136" s="801"/>
      <c r="O136" s="801"/>
      <c r="P136" s="801"/>
      <c r="Q136" s="801"/>
      <c r="R136" s="801"/>
      <c r="S136" s="801"/>
      <c r="T136" s="1826"/>
      <c r="U136" s="1817"/>
      <c r="V136" s="1817"/>
      <c r="W136" s="1817"/>
      <c r="X136" s="1817"/>
    </row>
    <row r="137" spans="1:24">
      <c r="A137" s="1823"/>
      <c r="D137" s="1821"/>
      <c r="E137" s="1821"/>
      <c r="F137" s="1821"/>
      <c r="G137" s="1821"/>
      <c r="H137" s="1821"/>
      <c r="I137" s="1821"/>
      <c r="L137" s="803" t="s">
        <v>2349</v>
      </c>
      <c r="M137" s="801"/>
      <c r="N137" s="801"/>
      <c r="O137" s="801"/>
      <c r="P137" s="801"/>
      <c r="Q137" s="801"/>
      <c r="R137" s="801"/>
      <c r="S137" s="801"/>
      <c r="T137" s="1826"/>
      <c r="U137" s="1817"/>
      <c r="V137" s="1817"/>
      <c r="W137" s="1817"/>
      <c r="X137" s="1817"/>
    </row>
    <row r="138" spans="1:24">
      <c r="A138" s="1823"/>
      <c r="D138" s="1821"/>
      <c r="E138" s="1821"/>
      <c r="F138" s="1821"/>
      <c r="G138" s="1821"/>
      <c r="H138" s="1821"/>
      <c r="I138" s="1821"/>
      <c r="M138" s="801"/>
      <c r="N138" s="801"/>
      <c r="O138" s="801"/>
      <c r="P138" s="801"/>
      <c r="Q138" s="801"/>
      <c r="R138" s="801"/>
      <c r="S138" s="801"/>
      <c r="T138" s="1826"/>
      <c r="U138" s="1817"/>
      <c r="V138" s="1817"/>
      <c r="W138" s="1817"/>
      <c r="X138" s="1817"/>
    </row>
    <row r="139" spans="1:24">
      <c r="A139" s="1823"/>
      <c r="D139" s="1821"/>
      <c r="E139" s="1821"/>
      <c r="F139" s="1821"/>
      <c r="G139" s="1821"/>
      <c r="H139" s="1821"/>
      <c r="I139" s="1821"/>
      <c r="M139" s="801"/>
      <c r="N139" s="801"/>
      <c r="O139" s="801"/>
      <c r="P139" s="801"/>
      <c r="Q139" s="801"/>
      <c r="R139" s="801"/>
      <c r="S139" s="801"/>
      <c r="T139" s="1826"/>
      <c r="U139" s="1817"/>
      <c r="V139" s="1817"/>
      <c r="W139" s="1817"/>
      <c r="X139" s="1817"/>
    </row>
    <row r="140" spans="1:24">
      <c r="A140" s="1823"/>
      <c r="D140" s="1821"/>
      <c r="E140" s="1821"/>
      <c r="F140" s="1821"/>
      <c r="G140" s="1821"/>
      <c r="H140" s="1821"/>
      <c r="I140" s="1821"/>
      <c r="M140" s="801"/>
      <c r="N140" s="801"/>
      <c r="O140" s="801"/>
      <c r="P140" s="801"/>
      <c r="Q140" s="801"/>
      <c r="R140" s="801"/>
      <c r="S140" s="801"/>
      <c r="T140" s="1826"/>
      <c r="U140" s="1817"/>
      <c r="V140" s="1817"/>
      <c r="W140" s="1817"/>
      <c r="X140" s="1817"/>
    </row>
    <row r="141" spans="1:24">
      <c r="A141" s="1823"/>
      <c r="D141" s="1821"/>
      <c r="E141" s="1821"/>
      <c r="F141" s="1821"/>
      <c r="G141" s="1821"/>
      <c r="H141" s="1821"/>
      <c r="I141" s="1821"/>
      <c r="M141" s="801"/>
      <c r="N141" s="801"/>
      <c r="O141" s="801"/>
      <c r="P141" s="801"/>
      <c r="Q141" s="801"/>
      <c r="R141" s="801"/>
      <c r="S141" s="801"/>
      <c r="T141" s="1826"/>
      <c r="U141" s="1817"/>
      <c r="V141" s="1817"/>
      <c r="W141" s="1817"/>
      <c r="X141" s="1817"/>
    </row>
    <row r="142" spans="1:24">
      <c r="A142" s="1823"/>
      <c r="D142" s="1821"/>
      <c r="E142" s="1821"/>
      <c r="F142" s="1821"/>
      <c r="G142" s="1821"/>
      <c r="H142" s="1821"/>
      <c r="I142" s="1821"/>
      <c r="M142" s="801"/>
      <c r="N142" s="801"/>
      <c r="O142" s="801"/>
      <c r="P142" s="801"/>
      <c r="Q142" s="801"/>
      <c r="R142" s="801"/>
      <c r="S142" s="801"/>
      <c r="T142" s="1826"/>
      <c r="U142" s="1817"/>
      <c r="V142" s="1817"/>
      <c r="W142" s="1817"/>
      <c r="X142" s="1817"/>
    </row>
    <row r="143" spans="1:24">
      <c r="A143" s="1823"/>
      <c r="D143" s="1821"/>
      <c r="E143" s="1821"/>
      <c r="F143" s="1821"/>
      <c r="G143" s="1821"/>
      <c r="H143" s="1821"/>
      <c r="I143" s="1821"/>
      <c r="M143" s="801"/>
      <c r="N143" s="801"/>
      <c r="O143" s="801"/>
      <c r="P143" s="801"/>
      <c r="Q143" s="801"/>
      <c r="R143" s="801"/>
      <c r="S143" s="801"/>
      <c r="T143" s="1826"/>
      <c r="U143" s="1817"/>
      <c r="V143" s="1817"/>
      <c r="W143" s="1817"/>
      <c r="X143" s="1817"/>
    </row>
    <row r="144" spans="1:24">
      <c r="A144" s="1823"/>
      <c r="D144" s="1821"/>
      <c r="E144" s="1821"/>
      <c r="F144" s="1821"/>
      <c r="G144" s="1821"/>
      <c r="H144" s="1821"/>
      <c r="I144" s="1821"/>
      <c r="M144" s="801"/>
      <c r="N144" s="801"/>
      <c r="O144" s="801"/>
      <c r="P144" s="801"/>
      <c r="Q144" s="801"/>
      <c r="R144" s="801"/>
      <c r="S144" s="801"/>
      <c r="T144" s="1826"/>
      <c r="U144" s="1817"/>
      <c r="V144" s="1817"/>
      <c r="W144" s="1817"/>
      <c r="X144" s="1817"/>
    </row>
    <row r="145" spans="13:19">
      <c r="M145" s="801"/>
      <c r="N145" s="801"/>
      <c r="O145" s="801"/>
      <c r="P145" s="801"/>
      <c r="Q145" s="801"/>
      <c r="R145" s="801"/>
      <c r="S145" s="801"/>
    </row>
    <row r="146" spans="13:19">
      <c r="M146" s="801"/>
      <c r="N146" s="801"/>
      <c r="O146" s="801"/>
      <c r="P146" s="801"/>
      <c r="Q146" s="801"/>
      <c r="R146" s="801"/>
      <c r="S146" s="801"/>
    </row>
    <row r="147" spans="13:19">
      <c r="M147" s="801"/>
      <c r="N147" s="801"/>
      <c r="O147" s="801"/>
      <c r="P147" s="801"/>
      <c r="Q147" s="801"/>
      <c r="R147" s="801"/>
      <c r="S147" s="801"/>
    </row>
    <row r="148" spans="13:19">
      <c r="M148" s="801"/>
      <c r="N148" s="801"/>
      <c r="O148" s="801"/>
      <c r="P148" s="801"/>
      <c r="Q148" s="801"/>
      <c r="R148" s="801"/>
      <c r="S148" s="801"/>
    </row>
    <row r="149" spans="13:19">
      <c r="M149" s="801"/>
      <c r="N149" s="801"/>
      <c r="O149" s="801"/>
      <c r="P149" s="801"/>
      <c r="Q149" s="801"/>
      <c r="R149" s="801"/>
      <c r="S149" s="801"/>
    </row>
    <row r="150" spans="13:19">
      <c r="M150" s="801"/>
      <c r="N150" s="801"/>
      <c r="O150" s="801"/>
      <c r="P150" s="801"/>
      <c r="Q150" s="801"/>
      <c r="R150" s="801"/>
      <c r="S150" s="801"/>
    </row>
    <row r="151" spans="13:19">
      <c r="M151" s="801"/>
      <c r="N151" s="801"/>
      <c r="O151" s="801"/>
      <c r="P151" s="801"/>
      <c r="Q151" s="801"/>
      <c r="R151" s="801"/>
      <c r="S151" s="801"/>
    </row>
    <row r="152" spans="13:19">
      <c r="M152" s="801"/>
      <c r="N152" s="801"/>
      <c r="O152" s="801"/>
      <c r="P152" s="801"/>
      <c r="Q152" s="801"/>
      <c r="R152" s="801"/>
      <c r="S152" s="801"/>
    </row>
    <row r="153" spans="13:19">
      <c r="M153" s="801"/>
      <c r="N153" s="801"/>
      <c r="O153" s="801"/>
      <c r="P153" s="801"/>
      <c r="Q153" s="801"/>
      <c r="R153" s="801"/>
      <c r="S153" s="801"/>
    </row>
    <row r="154" spans="13:19">
      <c r="M154" s="801"/>
      <c r="N154" s="801"/>
      <c r="O154" s="801"/>
      <c r="P154" s="801"/>
      <c r="Q154" s="801"/>
      <c r="R154" s="801"/>
      <c r="S154" s="801"/>
    </row>
    <row r="155" spans="13:19">
      <c r="M155" s="801"/>
      <c r="N155" s="801"/>
      <c r="O155" s="801"/>
      <c r="P155" s="801"/>
      <c r="Q155" s="801"/>
      <c r="R155" s="801"/>
      <c r="S155" s="801"/>
    </row>
    <row r="156" spans="13:19">
      <c r="M156" s="801"/>
      <c r="N156" s="801"/>
      <c r="O156" s="801"/>
      <c r="P156" s="801"/>
      <c r="Q156" s="801"/>
      <c r="R156" s="801"/>
      <c r="S156" s="801"/>
    </row>
    <row r="157" spans="13:19">
      <c r="M157" s="801"/>
      <c r="N157" s="801"/>
      <c r="O157" s="801"/>
      <c r="P157" s="801"/>
      <c r="Q157" s="801"/>
      <c r="R157" s="801"/>
      <c r="S157" s="801"/>
    </row>
    <row r="168" spans="8:19">
      <c r="H168" s="1822"/>
      <c r="I168" s="1821"/>
      <c r="M168" s="1821"/>
      <c r="N168" s="1821"/>
      <c r="O168" s="1822"/>
      <c r="P168" s="1822"/>
      <c r="Q168" s="1822"/>
      <c r="R168" s="1822"/>
      <c r="S168" s="1822"/>
    </row>
    <row r="169" spans="8:19">
      <c r="H169" s="1822"/>
      <c r="I169" s="1821"/>
      <c r="M169" s="1821"/>
      <c r="N169" s="1821"/>
      <c r="O169" s="1822"/>
      <c r="P169" s="1822"/>
      <c r="Q169" s="1822"/>
      <c r="R169" s="1822"/>
      <c r="S169" s="1822"/>
    </row>
    <row r="170" spans="8:19">
      <c r="H170" s="1822"/>
      <c r="I170" s="1821"/>
      <c r="M170" s="1821"/>
      <c r="N170" s="1821"/>
      <c r="O170" s="1822"/>
      <c r="P170" s="1822"/>
      <c r="Q170" s="1822"/>
      <c r="R170" s="1822"/>
      <c r="S170" s="1822"/>
    </row>
    <row r="171" spans="8:19">
      <c r="H171" s="1822"/>
      <c r="I171" s="1821"/>
      <c r="M171" s="1821"/>
      <c r="N171" s="1821"/>
      <c r="O171" s="1822"/>
      <c r="P171" s="1822"/>
      <c r="Q171" s="1822"/>
      <c r="R171" s="1822"/>
      <c r="S171" s="1822"/>
    </row>
    <row r="172" spans="8:19">
      <c r="H172" s="1822"/>
      <c r="I172" s="1821"/>
      <c r="M172" s="1821"/>
      <c r="N172" s="1821"/>
      <c r="O172" s="1822"/>
      <c r="P172" s="1822"/>
      <c r="Q172" s="1822"/>
      <c r="R172" s="1822"/>
      <c r="S172" s="1822"/>
    </row>
    <row r="173" spans="8:19">
      <c r="H173" s="1822"/>
      <c r="I173" s="1821"/>
      <c r="M173" s="1821"/>
      <c r="N173" s="1821"/>
      <c r="O173" s="1822"/>
      <c r="P173" s="1822"/>
      <c r="Q173" s="1822"/>
      <c r="R173" s="1822"/>
      <c r="S173" s="1822"/>
    </row>
    <row r="174" spans="8:19">
      <c r="H174" s="1822"/>
      <c r="I174" s="1821"/>
      <c r="M174" s="1821"/>
      <c r="N174" s="1821"/>
      <c r="O174" s="1822"/>
      <c r="P174" s="1822"/>
      <c r="Q174" s="1822"/>
      <c r="R174" s="1822"/>
      <c r="S174" s="1822"/>
    </row>
    <row r="175" spans="8:19">
      <c r="H175" s="1822"/>
      <c r="I175" s="1821"/>
      <c r="M175" s="1821"/>
      <c r="N175" s="1821"/>
      <c r="O175" s="1822"/>
      <c r="P175" s="1822"/>
      <c r="Q175" s="1822"/>
      <c r="R175" s="1822"/>
      <c r="S175" s="1822"/>
    </row>
    <row r="176" spans="8:19">
      <c r="H176" s="1822"/>
      <c r="I176" s="1821"/>
      <c r="M176" s="1821"/>
      <c r="N176" s="1821"/>
      <c r="O176" s="1822"/>
      <c r="P176" s="1822"/>
      <c r="Q176" s="1822"/>
      <c r="R176" s="1822"/>
      <c r="S176" s="1822"/>
    </row>
    <row r="177" spans="8:19">
      <c r="H177" s="1822"/>
      <c r="I177" s="1821"/>
      <c r="M177" s="1821"/>
      <c r="N177" s="1821"/>
      <c r="O177" s="1822"/>
      <c r="P177" s="1822"/>
      <c r="Q177" s="1822"/>
      <c r="R177" s="1822"/>
      <c r="S177" s="1822"/>
    </row>
    <row r="178" spans="8:19">
      <c r="H178" s="1822"/>
      <c r="I178" s="1821"/>
      <c r="M178" s="1821"/>
      <c r="N178" s="1821"/>
      <c r="O178" s="1822"/>
      <c r="P178" s="1822"/>
      <c r="Q178" s="1822"/>
      <c r="R178" s="1822"/>
      <c r="S178" s="1822"/>
    </row>
    <row r="179" spans="8:19">
      <c r="H179" s="1822"/>
      <c r="I179" s="1821"/>
      <c r="M179" s="1821"/>
      <c r="N179" s="1821"/>
      <c r="O179" s="1822"/>
      <c r="P179" s="1822"/>
      <c r="Q179" s="1822"/>
      <c r="R179" s="1822"/>
      <c r="S179" s="1822"/>
    </row>
  </sheetData>
  <sheetProtection formatColumns="0" formatRows="0" selectLockedCells="1"/>
  <conditionalFormatting sqref="O119 M119 O12:O23 M116 O121:O126 O116 O87:O97 M87:M97 M121:M127 M28:M35 O28:O35 M13:M23 O55:O75 M55:M75">
    <cfRule type="cellIs" dxfId="398" priority="263" operator="notEqual">
      <formula>0</formula>
    </cfRule>
    <cfRule type="containsBlanks" dxfId="397" priority="264">
      <formula>LEN(TRIM(M12))=0</formula>
    </cfRule>
  </conditionalFormatting>
  <conditionalFormatting sqref="O12">
    <cfRule type="cellIs" dxfId="396" priority="247" operator="notEqual">
      <formula>O25</formula>
    </cfRule>
  </conditionalFormatting>
  <conditionalFormatting sqref="M55">
    <cfRule type="cellIs" dxfId="395" priority="246" operator="notEqual">
      <formula>M77</formula>
    </cfRule>
  </conditionalFormatting>
  <conditionalFormatting sqref="O55">
    <cfRule type="cellIs" dxfId="394" priority="245" operator="notEqual">
      <formula>O77</formula>
    </cfRule>
  </conditionalFormatting>
  <conditionalFormatting sqref="M92:M95 K92:K95">
    <cfRule type="cellIs" dxfId="393" priority="244" operator="notEqual">
      <formula>K103</formula>
    </cfRule>
  </conditionalFormatting>
  <conditionalFormatting sqref="O87">
    <cfRule type="cellIs" dxfId="392" priority="243" operator="notEqual">
      <formula>O101</formula>
    </cfRule>
  </conditionalFormatting>
  <conditionalFormatting sqref="U133 W133">
    <cfRule type="cellIs" dxfId="391" priority="225" operator="notEqual">
      <formula>0</formula>
    </cfRule>
    <cfRule type="cellIs" dxfId="390" priority="226" operator="equal">
      <formula>0</formula>
    </cfRule>
  </conditionalFormatting>
  <conditionalFormatting sqref="X131 V131 V129 X129 V99 X99 X77 V77 V39:V49 V37 X37 X39:X49 X25 V25 V101:V112 X101:X112">
    <cfRule type="cellIs" dxfId="389" priority="208" operator="between">
      <formula>-0.5</formula>
      <formula>0.5</formula>
    </cfRule>
    <cfRule type="cellIs" dxfId="388" priority="210" operator="notBetween">
      <formula>-0.5</formula>
      <formula>0.5</formula>
    </cfRule>
  </conditionalFormatting>
  <conditionalFormatting sqref="M135 O135">
    <cfRule type="cellIs" dxfId="387" priority="202" operator="notEqual">
      <formula>0</formula>
    </cfRule>
    <cfRule type="cellIs" dxfId="386" priority="203" operator="equal">
      <formula>0</formula>
    </cfRule>
  </conditionalFormatting>
  <conditionalFormatting sqref="P135:Q135">
    <cfRule type="cellIs" dxfId="385" priority="191" operator="notEqual">
      <formula>0</formula>
    </cfRule>
    <cfRule type="cellIs" dxfId="384" priority="192" operator="equal">
      <formula>0</formula>
    </cfRule>
  </conditionalFormatting>
  <conditionalFormatting sqref="V51 X51">
    <cfRule type="cellIs" dxfId="383" priority="159" operator="between">
      <formula>-0.5</formula>
      <formula>0.5</formula>
    </cfRule>
    <cfRule type="cellIs" dxfId="382" priority="160" operator="notBetween">
      <formula>-0.5</formula>
      <formula>0.5</formula>
    </cfRule>
  </conditionalFormatting>
  <conditionalFormatting sqref="V113 X113">
    <cfRule type="cellIs" dxfId="381" priority="153" operator="between">
      <formula>-0.5</formula>
      <formula>0.5</formula>
    </cfRule>
    <cfRule type="cellIs" dxfId="380" priority="154" operator="notBetween">
      <formula>-0.5</formula>
      <formula>0.5</formula>
    </cfRule>
  </conditionalFormatting>
  <conditionalFormatting sqref="V50 X50">
    <cfRule type="cellIs" dxfId="379" priority="147" operator="between">
      <formula>-0.5</formula>
      <formula>0.5</formula>
    </cfRule>
    <cfRule type="cellIs" dxfId="378" priority="148" operator="notBetween">
      <formula>-0.5</formula>
      <formula>0.5</formula>
    </cfRule>
  </conditionalFormatting>
  <conditionalFormatting sqref="K135">
    <cfRule type="cellIs" dxfId="377" priority="107" operator="notEqual">
      <formula>0</formula>
    </cfRule>
    <cfRule type="cellIs" dxfId="376" priority="108" operator="equal">
      <formula>0</formula>
    </cfRule>
  </conditionalFormatting>
  <conditionalFormatting sqref="L135">
    <cfRule type="cellIs" dxfId="375" priority="105" operator="notEqual">
      <formula>0</formula>
    </cfRule>
    <cfRule type="cellIs" dxfId="374" priority="106" operator="equal">
      <formula>0</formula>
    </cfRule>
  </conditionalFormatting>
  <conditionalFormatting sqref="U99 U77 U37 U25 U131 U129 W77 W99 U101:U113 U39:U51">
    <cfRule type="expression" dxfId="373" priority="347">
      <formula>ROUND($U25,0)&lt;&gt;$M25</formula>
    </cfRule>
  </conditionalFormatting>
  <conditionalFormatting sqref="U25 U37 U77 U99 U129 U131 W77 W99 U101:U113 U39:U51">
    <cfRule type="expression" dxfId="372" priority="355">
      <formula>ROUND($U25,0)=$M25</formula>
    </cfRule>
  </conditionalFormatting>
  <conditionalFormatting sqref="W25 W37 W77 W99 W129 W131 W101:W113 W39:W51">
    <cfRule type="expression" dxfId="371" priority="363">
      <formula>ROUND($W25,0)&lt;&gt;$O25</formula>
    </cfRule>
    <cfRule type="expression" dxfId="370" priority="364">
      <formula>ROUND($W25,0)=$O25</formula>
    </cfRule>
  </conditionalFormatting>
  <printOptions horizontalCentered="1"/>
  <pageMargins left="0.7" right="0.7" top="0.75" bottom="0.75" header="0.5" footer="0.5"/>
  <pageSetup scale="58" fitToHeight="0" orientation="portrait" horizontalDpi="300" verticalDpi="300" r:id="rId1"/>
  <headerFooter>
    <oddHeader>&amp;L&amp;"Arial,Regular"&amp;8&amp;F&amp;R&amp;"Arial,Regular"&amp;8&amp;A</oddHeader>
    <oddFooter>&amp;L&amp;"Arial,Regular"&amp;8&amp;D&amp;R&amp;"Arial,Regular"&amp;8&amp;P of &amp;N</oddFooter>
  </headerFooter>
  <rowBreaks count="1" manualBreakCount="1">
    <brk id="78" min="2" max="16" man="1"/>
  </rowBreaks>
  <colBreaks count="1" manualBreakCount="1">
    <brk id="17" max="114" man="1"/>
  </colBreaks>
  <ignoredErrors>
    <ignoredError sqref="V12:V23 V76 V70:V71 V32:V39 V25:V30 V53:V68" formula="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000"/>
    <pageSetUpPr fitToPage="1"/>
  </sheetPr>
  <dimension ref="A1:V97"/>
  <sheetViews>
    <sheetView topLeftCell="C1" workbookViewId="0">
      <selection activeCell="C1" sqref="C1"/>
    </sheetView>
  </sheetViews>
  <sheetFormatPr defaultColWidth="11.140625" defaultRowHeight="12.75"/>
  <cols>
    <col min="1" max="1" width="5.28515625" style="103" hidden="1" customWidth="1"/>
    <col min="2" max="2" width="6.5703125" style="106" hidden="1" customWidth="1"/>
    <col min="3" max="3" width="2" style="46" customWidth="1"/>
    <col min="4" max="4" width="9.140625" style="46" customWidth="1"/>
    <col min="5" max="5" width="14.5703125" style="46" customWidth="1"/>
    <col min="6" max="6" width="14" style="46" customWidth="1"/>
    <col min="7" max="7" width="9.42578125" style="46" customWidth="1"/>
    <col min="8" max="8" width="9.140625" style="46" hidden="1" customWidth="1"/>
    <col min="9" max="9" width="9.140625" style="93" hidden="1" customWidth="1"/>
    <col min="10" max="11" width="16" style="93" customWidth="1"/>
    <col min="12" max="12" width="16" style="46" customWidth="1"/>
    <col min="13" max="13" width="0.7109375" style="93" customWidth="1"/>
    <col min="14" max="15" width="16" style="46" customWidth="1"/>
    <col min="16" max="16" width="11.28515625" style="46" customWidth="1"/>
    <col min="17" max="17" width="24" style="511" customWidth="1"/>
    <col min="18" max="18" width="1.28515625" style="305" customWidth="1"/>
    <col min="19" max="19" width="15.5703125" style="305" bestFit="1" customWidth="1"/>
    <col min="20" max="20" width="12.42578125" style="305" customWidth="1"/>
    <col min="21" max="21" width="14.85546875" style="305" bestFit="1" customWidth="1"/>
    <col min="22" max="22" width="14.5703125" style="305" customWidth="1"/>
    <col min="23" max="16384" width="11.140625" style="46"/>
  </cols>
  <sheetData>
    <row r="1" spans="1:22">
      <c r="A1" s="1823"/>
      <c r="B1" s="104"/>
      <c r="C1" s="2602"/>
      <c r="D1" s="2602"/>
      <c r="E1" s="2602"/>
      <c r="F1" s="2602"/>
      <c r="G1" s="2602"/>
      <c r="H1" s="2602"/>
      <c r="I1" s="2602"/>
      <c r="J1" s="2999" t="str">
        <f>'Contact Information'!$C$5</f>
        <v>SAMPLE STATE COLLEGE</v>
      </c>
      <c r="K1" s="2602"/>
      <c r="L1" s="2602"/>
      <c r="M1" s="2602"/>
      <c r="N1" s="2602"/>
      <c r="O1" s="2602"/>
      <c r="P1" s="820"/>
      <c r="Q1" s="805"/>
      <c r="R1" s="1871"/>
      <c r="S1" s="1871"/>
      <c r="T1" s="1871"/>
      <c r="U1" s="1871"/>
      <c r="V1" s="1871"/>
    </row>
    <row r="2" spans="1:22">
      <c r="A2" s="1823"/>
      <c r="B2" s="104"/>
      <c r="C2" s="2602"/>
      <c r="D2" s="2602"/>
      <c r="E2" s="2602"/>
      <c r="F2" s="2602"/>
      <c r="G2" s="2602"/>
      <c r="H2" s="2602"/>
      <c r="I2" s="2602"/>
      <c r="J2" s="2999" t="s">
        <v>2298</v>
      </c>
      <c r="K2" s="2602"/>
      <c r="L2" s="2602"/>
      <c r="M2" s="2602"/>
      <c r="N2" s="2602"/>
      <c r="O2" s="2602"/>
      <c r="P2" s="821"/>
      <c r="Q2" s="806"/>
      <c r="R2" s="1871"/>
      <c r="S2" s="1871"/>
      <c r="T2" s="1871"/>
      <c r="U2" s="1871"/>
      <c r="V2" s="1871"/>
    </row>
    <row r="3" spans="1:22" ht="12.75" customHeight="1">
      <c r="A3" s="1823"/>
      <c r="B3" s="104"/>
      <c r="C3" s="268"/>
      <c r="D3" s="268"/>
      <c r="E3" s="268"/>
      <c r="F3" s="268"/>
      <c r="G3" s="268"/>
      <c r="H3" s="268"/>
      <c r="I3" s="268"/>
      <c r="J3" s="3000" t="s">
        <v>2350</v>
      </c>
      <c r="K3" s="268"/>
      <c r="L3" s="268"/>
      <c r="M3" s="268"/>
      <c r="N3" s="268"/>
      <c r="O3" s="268"/>
      <c r="P3" s="1350" t="s">
        <v>3</v>
      </c>
      <c r="Q3" s="1826"/>
      <c r="R3" s="1871"/>
      <c r="S3" s="2835" t="s">
        <v>2351</v>
      </c>
      <c r="T3" s="2597"/>
      <c r="U3" s="2597"/>
      <c r="V3" s="2597"/>
    </row>
    <row r="4" spans="1:22">
      <c r="A4" s="1823"/>
      <c r="B4" s="104"/>
      <c r="C4" s="2956"/>
      <c r="D4" s="2603"/>
      <c r="E4" s="2603"/>
      <c r="F4" s="2603"/>
      <c r="G4" s="2603"/>
      <c r="H4" s="2603"/>
      <c r="I4" s="2603"/>
      <c r="J4" s="3001" t="s">
        <v>4056</v>
      </c>
      <c r="K4" s="2603"/>
      <c r="L4" s="2603"/>
      <c r="M4" s="2603"/>
      <c r="N4" s="2603"/>
      <c r="O4" s="2603"/>
      <c r="P4" s="2957" t="str">
        <f>'Contact Information'!$C$3</f>
        <v>2021.v01</v>
      </c>
      <c r="Q4" s="1826"/>
      <c r="R4" s="1871"/>
      <c r="S4" s="2835" t="s">
        <v>2352</v>
      </c>
      <c r="T4" s="2597"/>
      <c r="U4" s="2597"/>
      <c r="V4" s="2597"/>
    </row>
    <row r="5" spans="1:22">
      <c r="A5" s="1798"/>
      <c r="B5" s="105"/>
      <c r="C5" s="224"/>
      <c r="D5" s="224"/>
      <c r="E5" s="224"/>
      <c r="F5" s="224"/>
      <c r="G5" s="224"/>
      <c r="H5" s="224"/>
      <c r="I5" s="226"/>
      <c r="J5" s="1811"/>
      <c r="K5" s="1812"/>
      <c r="L5" s="245"/>
      <c r="M5" s="246"/>
      <c r="N5" s="245"/>
      <c r="O5" s="245"/>
      <c r="P5" s="823"/>
      <c r="Q5" s="807"/>
      <c r="R5" s="1871"/>
      <c r="S5" s="2839" t="s">
        <v>2353</v>
      </c>
      <c r="T5" s="2597"/>
      <c r="U5" s="2597"/>
      <c r="V5" s="2597"/>
    </row>
    <row r="6" spans="1:22">
      <c r="A6" s="1823"/>
      <c r="C6" s="224"/>
      <c r="D6" s="224"/>
      <c r="E6" s="224"/>
      <c r="F6" s="224"/>
      <c r="G6" s="224"/>
      <c r="H6" s="224"/>
      <c r="I6" s="226"/>
      <c r="J6" s="240" t="s">
        <v>2303</v>
      </c>
      <c r="K6" s="1962"/>
      <c r="L6" s="247" t="s">
        <v>2303</v>
      </c>
      <c r="M6" s="248"/>
      <c r="N6" s="249" t="s">
        <v>849</v>
      </c>
      <c r="O6" s="249" t="s">
        <v>2304</v>
      </c>
      <c r="P6" s="824"/>
      <c r="Q6" s="807"/>
      <c r="R6" s="1871"/>
      <c r="S6" s="2840" t="s">
        <v>2302</v>
      </c>
      <c r="T6" s="2597"/>
      <c r="U6" s="2597"/>
      <c r="V6" s="2597"/>
    </row>
    <row r="7" spans="1:22">
      <c r="A7" s="1823"/>
      <c r="C7" s="224"/>
      <c r="D7" s="224"/>
      <c r="E7" s="224"/>
      <c r="F7" s="224"/>
      <c r="G7" s="224"/>
      <c r="H7" s="224"/>
      <c r="I7" s="226"/>
      <c r="J7" s="230" t="s">
        <v>2305</v>
      </c>
      <c r="K7" s="1947" t="s">
        <v>2306</v>
      </c>
      <c r="L7" s="250"/>
      <c r="M7" s="251"/>
      <c r="N7" s="230" t="str">
        <f>SNP!$O$9</f>
        <v>Unit</v>
      </c>
      <c r="O7" s="230"/>
      <c r="P7" s="825"/>
      <c r="Q7" s="804" t="s">
        <v>2308</v>
      </c>
      <c r="R7" s="1871"/>
      <c r="S7" s="2597"/>
      <c r="T7" s="2597"/>
      <c r="U7" s="2597"/>
      <c r="V7" s="2597"/>
    </row>
    <row r="8" spans="1:22">
      <c r="A8" s="1823"/>
      <c r="C8" s="252" t="s">
        <v>2354</v>
      </c>
      <c r="D8" s="224"/>
      <c r="E8" s="224"/>
      <c r="F8" s="224"/>
      <c r="G8" s="224"/>
      <c r="H8" s="224"/>
      <c r="I8" s="226"/>
      <c r="L8" s="251"/>
      <c r="M8" s="251"/>
      <c r="N8" s="251"/>
      <c r="O8" s="251"/>
      <c r="P8" s="826"/>
      <c r="Q8" s="1827"/>
      <c r="R8" s="1871"/>
      <c r="S8" s="2597"/>
      <c r="T8" s="2597"/>
      <c r="U8" s="2597"/>
      <c r="V8" s="2597"/>
    </row>
    <row r="9" spans="1:22">
      <c r="A9" s="3308" t="s">
        <v>2310</v>
      </c>
      <c r="B9" s="3295" t="s">
        <v>2311</v>
      </c>
      <c r="C9" s="224" t="s">
        <v>2355</v>
      </c>
      <c r="D9" s="224"/>
      <c r="E9" s="224"/>
      <c r="F9" s="224"/>
      <c r="G9" s="224"/>
      <c r="H9" s="224"/>
      <c r="I9" s="226"/>
      <c r="J9" s="226"/>
      <c r="K9" s="226"/>
      <c r="L9" s="246"/>
      <c r="M9" s="246"/>
      <c r="N9" s="246"/>
      <c r="O9" s="246"/>
      <c r="P9" s="823"/>
      <c r="Q9" s="1827"/>
      <c r="R9" s="1871"/>
      <c r="S9" s="1871"/>
      <c r="T9" s="2600" t="s">
        <v>2356</v>
      </c>
      <c r="U9" s="2600"/>
      <c r="V9" s="2600"/>
    </row>
    <row r="10" spans="1:22" s="92" customFormat="1">
      <c r="A10" s="1823"/>
      <c r="B10" s="107"/>
      <c r="C10" s="220"/>
      <c r="D10" s="1811" t="s">
        <v>2357</v>
      </c>
      <c r="E10" s="224"/>
      <c r="F10" s="224"/>
      <c r="G10" s="224"/>
      <c r="H10" s="224"/>
      <c r="I10" s="220"/>
      <c r="J10" s="220"/>
      <c r="K10" s="220"/>
      <c r="L10" s="220"/>
      <c r="M10" s="246"/>
      <c r="N10" s="220"/>
      <c r="O10" s="220"/>
      <c r="P10" s="99"/>
      <c r="Q10" s="1827"/>
      <c r="R10" s="504"/>
      <c r="S10" s="3296" t="s">
        <v>2303</v>
      </c>
      <c r="T10" s="3297" t="s">
        <v>2313</v>
      </c>
      <c r="U10" s="3298" t="s">
        <v>2314</v>
      </c>
      <c r="V10" s="3747" t="s">
        <v>2313</v>
      </c>
    </row>
    <row r="11" spans="1:22" s="92" customFormat="1">
      <c r="A11" s="1823" t="s">
        <v>365</v>
      </c>
      <c r="B11" s="107" t="s">
        <v>2358</v>
      </c>
      <c r="C11" s="220"/>
      <c r="D11" s="222" t="s">
        <v>2359</v>
      </c>
      <c r="E11" s="220"/>
      <c r="F11" s="2601">
        <v>0</v>
      </c>
      <c r="G11" s="2601"/>
      <c r="H11" s="267"/>
      <c r="I11" s="1811"/>
      <c r="J11" s="2401">
        <f>SUM('Accounts by GL'!O185:O200)+SUM('Accounts by GL'!O204:O225)+SUM('Accounts by GL'!O230:O239)+'Accounts by GL'!D229</f>
        <v>0</v>
      </c>
      <c r="K11" s="424">
        <v>0</v>
      </c>
      <c r="L11" s="2332">
        <f>+J11+K11</f>
        <v>0</v>
      </c>
      <c r="M11" s="260"/>
      <c r="N11" s="424">
        <v>0</v>
      </c>
      <c r="O11" s="2340">
        <f>ROUND(N11,0)+ROUND(L11,0)</f>
        <v>0</v>
      </c>
      <c r="P11" s="836"/>
      <c r="Q11" s="1827"/>
      <c r="R11" s="504"/>
      <c r="S11" s="808">
        <f>L11</f>
        <v>0</v>
      </c>
      <c r="T11" s="808">
        <f>ROUND(S11,0)-S11</f>
        <v>0</v>
      </c>
      <c r="U11" s="808">
        <f>N11</f>
        <v>0</v>
      </c>
      <c r="V11" s="808">
        <f>ROUND(U11,0)-U11</f>
        <v>0</v>
      </c>
    </row>
    <row r="12" spans="1:22" s="92" customFormat="1">
      <c r="A12" s="1823" t="s">
        <v>368</v>
      </c>
      <c r="B12" s="107" t="s">
        <v>2360</v>
      </c>
      <c r="C12" s="220"/>
      <c r="D12" s="1811" t="s">
        <v>369</v>
      </c>
      <c r="E12" s="224"/>
      <c r="F12" s="256"/>
      <c r="G12" s="1800"/>
      <c r="H12" s="226"/>
      <c r="I12" s="220"/>
      <c r="J12" s="1948">
        <f>+'Accounts by GL'!O297+'Accounts by GL'!O304</f>
        <v>0</v>
      </c>
      <c r="K12" s="100">
        <v>0</v>
      </c>
      <c r="L12" s="2333">
        <f>+J12+K12</f>
        <v>0</v>
      </c>
      <c r="M12" s="261"/>
      <c r="N12" s="100">
        <v>0</v>
      </c>
      <c r="O12" s="2341">
        <f>ROUND(N12,0)+ROUND(L12,0)</f>
        <v>0</v>
      </c>
      <c r="P12" s="839"/>
      <c r="Q12" s="1827"/>
      <c r="R12" s="504"/>
      <c r="S12" s="808">
        <f t="shared" ref="S12:S62" si="0">L12</f>
        <v>0</v>
      </c>
      <c r="T12" s="808">
        <f t="shared" ref="T12:T62" si="1">ROUND(S12,0)-S12</f>
        <v>0</v>
      </c>
      <c r="U12" s="808">
        <f t="shared" ref="U12:U62" si="2">N12</f>
        <v>0</v>
      </c>
      <c r="V12" s="808">
        <f t="shared" ref="V12:V62" si="3">ROUND(U12,0)-U12</f>
        <v>0</v>
      </c>
    </row>
    <row r="13" spans="1:22" s="92" customFormat="1">
      <c r="A13" s="1823" t="s">
        <v>370</v>
      </c>
      <c r="B13" s="107" t="s">
        <v>2360</v>
      </c>
      <c r="C13" s="220"/>
      <c r="D13" s="1811" t="s">
        <v>371</v>
      </c>
      <c r="E13" s="224"/>
      <c r="F13" s="256"/>
      <c r="G13" s="256"/>
      <c r="H13" s="224"/>
      <c r="I13" s="220"/>
      <c r="J13" s="1948">
        <f>+'Accounts by GL'!O247+'Accounts by GL'!O250+'Accounts by GL'!O256+'Accounts by GL'!O284+'Accounts by GL'!O289</f>
        <v>0</v>
      </c>
      <c r="K13" s="100">
        <v>0</v>
      </c>
      <c r="L13" s="2333">
        <f>+J13+K13</f>
        <v>0</v>
      </c>
      <c r="M13" s="261"/>
      <c r="N13" s="100">
        <v>0</v>
      </c>
      <c r="O13" s="2341">
        <f>ROUND(N13,0)+ROUND(L13,0)</f>
        <v>0</v>
      </c>
      <c r="P13" s="839"/>
      <c r="Q13" s="1827"/>
      <c r="R13" s="504"/>
      <c r="S13" s="808">
        <f t="shared" si="0"/>
        <v>0</v>
      </c>
      <c r="T13" s="808">
        <f t="shared" si="1"/>
        <v>0</v>
      </c>
      <c r="U13" s="808">
        <f t="shared" si="2"/>
        <v>0</v>
      </c>
      <c r="V13" s="808">
        <f t="shared" si="3"/>
        <v>0</v>
      </c>
    </row>
    <row r="14" spans="1:22" s="92" customFormat="1">
      <c r="A14" s="1823" t="s">
        <v>372</v>
      </c>
      <c r="B14" s="107" t="s">
        <v>2360</v>
      </c>
      <c r="C14" s="220"/>
      <c r="D14" s="1811" t="s">
        <v>373</v>
      </c>
      <c r="E14" s="224"/>
      <c r="F14" s="256"/>
      <c r="G14" s="256"/>
      <c r="H14" s="224"/>
      <c r="I14" s="220"/>
      <c r="J14" s="1948">
        <f>+'Accounts by GL'!O314+'Accounts by GL'!O318</f>
        <v>0</v>
      </c>
      <c r="K14" s="100">
        <v>0</v>
      </c>
      <c r="L14" s="2333">
        <f>+J14+K14</f>
        <v>0</v>
      </c>
      <c r="M14" s="261"/>
      <c r="N14" s="100">
        <v>0</v>
      </c>
      <c r="O14" s="2341">
        <f>ROUND(N14,0)+ROUND(L14,0)</f>
        <v>0</v>
      </c>
      <c r="P14" s="839"/>
      <c r="Q14" s="1827"/>
      <c r="R14" s="504"/>
      <c r="S14" s="808">
        <f t="shared" si="0"/>
        <v>0</v>
      </c>
      <c r="T14" s="808">
        <f t="shared" si="1"/>
        <v>0</v>
      </c>
      <c r="U14" s="808">
        <f t="shared" si="2"/>
        <v>0</v>
      </c>
      <c r="V14" s="808">
        <f t="shared" si="3"/>
        <v>0</v>
      </c>
    </row>
    <row r="15" spans="1:22" s="92" customFormat="1">
      <c r="A15" s="1823" t="s">
        <v>374</v>
      </c>
      <c r="B15" s="107" t="s">
        <v>2358</v>
      </c>
      <c r="C15" s="220"/>
      <c r="D15" s="1811" t="s">
        <v>375</v>
      </c>
      <c r="E15" s="224"/>
      <c r="F15" s="256"/>
      <c r="G15" s="256"/>
      <c r="H15" s="220"/>
      <c r="I15" s="220"/>
      <c r="J15" s="1948">
        <f>+'Accounts by GL'!D333+'Accounts by GL'!E333+'Accounts by GL'!D335+'Accounts by GL'!E335</f>
        <v>0</v>
      </c>
      <c r="K15" s="100">
        <v>0</v>
      </c>
      <c r="L15" s="2333">
        <f>+J15+K15</f>
        <v>0</v>
      </c>
      <c r="M15" s="261"/>
      <c r="N15" s="100">
        <v>0</v>
      </c>
      <c r="O15" s="2341">
        <f>ROUND(N15,0)+ROUND(L15,0)</f>
        <v>0</v>
      </c>
      <c r="P15" s="839"/>
      <c r="Q15" s="1827"/>
      <c r="R15" s="504"/>
      <c r="S15" s="808">
        <f t="shared" si="0"/>
        <v>0</v>
      </c>
      <c r="T15" s="808">
        <f t="shared" si="1"/>
        <v>0</v>
      </c>
      <c r="U15" s="808">
        <f t="shared" si="2"/>
        <v>0</v>
      </c>
      <c r="V15" s="808">
        <f t="shared" si="3"/>
        <v>0</v>
      </c>
    </row>
    <row r="16" spans="1:22" s="92" customFormat="1">
      <c r="A16" s="1806"/>
      <c r="B16" s="1825"/>
      <c r="C16" s="220"/>
      <c r="D16" s="1811" t="s">
        <v>2361</v>
      </c>
      <c r="E16" s="224"/>
      <c r="F16" s="257"/>
      <c r="G16" s="1800"/>
      <c r="H16" s="258"/>
      <c r="I16" s="220"/>
      <c r="J16" s="2402"/>
      <c r="K16" s="1951">
        <v>0</v>
      </c>
      <c r="L16" s="2086"/>
      <c r="M16" s="261"/>
      <c r="N16" s="220"/>
      <c r="O16" s="2341"/>
      <c r="P16" s="99"/>
      <c r="Q16" s="1827"/>
      <c r="R16" s="504"/>
      <c r="S16" s="808"/>
      <c r="T16" s="808"/>
      <c r="U16" s="808">
        <f t="shared" si="2"/>
        <v>0</v>
      </c>
      <c r="V16" s="808">
        <f t="shared" si="3"/>
        <v>0</v>
      </c>
    </row>
    <row r="17" spans="1:22" s="92" customFormat="1">
      <c r="A17" s="1806" t="s">
        <v>376</v>
      </c>
      <c r="B17" s="1825" t="s">
        <v>2358</v>
      </c>
      <c r="C17" s="220"/>
      <c r="D17" s="222" t="s">
        <v>2359</v>
      </c>
      <c r="E17" s="220"/>
      <c r="F17" s="2601">
        <v>0</v>
      </c>
      <c r="G17" s="2601"/>
      <c r="H17" s="258"/>
      <c r="I17" s="220"/>
      <c r="J17" s="1948">
        <f>SUM('Accounts by GL'!O326:O330)+'Accounts by GL'!F331+'Accounts by GL'!F333+'Accounts by GL'!F335+'Accounts by GL'!F352+'Accounts by GL'!F379+'Accounts by GL'!F332</f>
        <v>0</v>
      </c>
      <c r="K17" s="100">
        <v>0</v>
      </c>
      <c r="L17" s="2333">
        <f>+J17+K17</f>
        <v>0</v>
      </c>
      <c r="M17" s="261"/>
      <c r="N17" s="100">
        <v>0</v>
      </c>
      <c r="O17" s="2341">
        <f>ROUND(N17,0)+ROUND(L17,0)</f>
        <v>0</v>
      </c>
      <c r="P17" s="839"/>
      <c r="Q17" s="1827"/>
      <c r="R17" s="504"/>
      <c r="S17" s="808">
        <f t="shared" si="0"/>
        <v>0</v>
      </c>
      <c r="T17" s="808">
        <f t="shared" si="1"/>
        <v>0</v>
      </c>
      <c r="U17" s="808">
        <f t="shared" si="2"/>
        <v>0</v>
      </c>
      <c r="V17" s="808">
        <f t="shared" si="3"/>
        <v>0</v>
      </c>
    </row>
    <row r="18" spans="1:22" s="92" customFormat="1">
      <c r="A18" s="1806" t="s">
        <v>378</v>
      </c>
      <c r="B18" s="266" t="s">
        <v>2362</v>
      </c>
      <c r="C18" s="220"/>
      <c r="D18" s="253" t="s">
        <v>379</v>
      </c>
      <c r="E18" s="224"/>
      <c r="F18" s="224"/>
      <c r="G18" s="224"/>
      <c r="H18" s="224"/>
      <c r="I18" s="1811"/>
      <c r="J18" s="1949">
        <f>+'Accounts by GL'!O351+'Accounts by GL'!O377+'Accounts by GL'!O379-'Accounts by GL'!F379+'Accounts by GL'!O378+'Accounts by GL'!D331+'Accounts by GL'!O352-'Accounts by GL'!L352-'Accounts by GL'!F352+'Accounts by GL'!D332</f>
        <v>0</v>
      </c>
      <c r="K18" s="101">
        <v>0</v>
      </c>
      <c r="L18" s="2334">
        <f>+J18+K18</f>
        <v>0</v>
      </c>
      <c r="M18" s="261"/>
      <c r="N18" s="101">
        <v>0</v>
      </c>
      <c r="O18" s="2342">
        <f>ROUND(N18,0)+ROUND(L18,0)</f>
        <v>0</v>
      </c>
      <c r="P18" s="839"/>
      <c r="Q18" s="1827"/>
      <c r="R18" s="504"/>
      <c r="S18" s="808">
        <f t="shared" si="0"/>
        <v>0</v>
      </c>
      <c r="T18" s="808">
        <f t="shared" si="1"/>
        <v>0</v>
      </c>
      <c r="U18" s="808">
        <f t="shared" si="2"/>
        <v>0</v>
      </c>
      <c r="V18" s="808">
        <f t="shared" si="3"/>
        <v>0</v>
      </c>
    </row>
    <row r="19" spans="1:22" s="96" customFormat="1">
      <c r="A19" s="1806"/>
      <c r="B19" s="266"/>
      <c r="C19" s="1811"/>
      <c r="D19" s="1811"/>
      <c r="E19" s="1811"/>
      <c r="F19" s="1811"/>
      <c r="G19" s="1811"/>
      <c r="H19" s="1812"/>
      <c r="I19" s="1812"/>
      <c r="J19" s="1812"/>
      <c r="K19" s="1812"/>
      <c r="L19" s="262"/>
      <c r="M19" s="1813"/>
      <c r="N19" s="1813"/>
      <c r="O19" s="2343"/>
      <c r="P19" s="1820"/>
      <c r="Q19" s="1827"/>
      <c r="R19" s="307"/>
      <c r="S19" s="3749"/>
      <c r="T19" s="3749"/>
      <c r="U19" s="3749"/>
      <c r="V19" s="3749"/>
    </row>
    <row r="20" spans="1:22" s="92" customFormat="1" ht="13.5" thickBot="1">
      <c r="A20" s="1806" t="s">
        <v>382</v>
      </c>
      <c r="B20" s="266"/>
      <c r="C20" s="220"/>
      <c r="D20" s="254" t="s">
        <v>383</v>
      </c>
      <c r="E20" s="220"/>
      <c r="F20" s="224"/>
      <c r="G20" s="224"/>
      <c r="H20" s="224"/>
      <c r="I20" s="226"/>
      <c r="J20" s="2403">
        <f>SUM(J11:J18)</f>
        <v>0</v>
      </c>
      <c r="K20" s="2083">
        <f t="array" ref="K20">SUM(ROUND(K11:K18,0))</f>
        <v>0</v>
      </c>
      <c r="L20" s="2335">
        <f t="array" ref="L20">SUM(ROUND(L11:L18,0))</f>
        <v>0</v>
      </c>
      <c r="M20" s="262"/>
      <c r="N20" s="2083">
        <f t="array" ref="N20">SUM(ROUND(N11:N18,0))</f>
        <v>0</v>
      </c>
      <c r="O20" s="2084">
        <f t="array" ref="O20">SUM(ROUND(O11:O18,0))</f>
        <v>0</v>
      </c>
      <c r="P20" s="827"/>
      <c r="Q20" s="1827"/>
      <c r="R20" s="504"/>
      <c r="S20" s="809">
        <f>SUM(S11:S18)</f>
        <v>0</v>
      </c>
      <c r="T20" s="809">
        <f>L20-S20</f>
        <v>0</v>
      </c>
      <c r="U20" s="809">
        <f>SUM(U11:U18)</f>
        <v>0</v>
      </c>
      <c r="V20" s="809">
        <f>N20-U20</f>
        <v>0</v>
      </c>
    </row>
    <row r="21" spans="1:22" s="92" customFormat="1" ht="13.5" thickTop="1">
      <c r="A21" s="1806"/>
      <c r="B21" s="266"/>
      <c r="C21" s="224"/>
      <c r="D21" s="224"/>
      <c r="E21" s="224"/>
      <c r="F21" s="224"/>
      <c r="G21" s="224"/>
      <c r="H21" s="224"/>
      <c r="I21" s="226"/>
      <c r="J21" s="2336"/>
      <c r="K21" s="226"/>
      <c r="L21" s="2336"/>
      <c r="M21" s="246"/>
      <c r="N21" s="246"/>
      <c r="O21" s="260"/>
      <c r="P21" s="823"/>
      <c r="Q21" s="1827"/>
      <c r="R21" s="504"/>
      <c r="S21" s="808"/>
      <c r="T21" s="808"/>
      <c r="U21" s="808"/>
      <c r="V21" s="808"/>
    </row>
    <row r="22" spans="1:22" s="92" customFormat="1">
      <c r="A22" s="1815"/>
      <c r="B22" s="1816"/>
      <c r="C22" s="252" t="s">
        <v>2363</v>
      </c>
      <c r="D22" s="224"/>
      <c r="E22" s="224"/>
      <c r="F22" s="224"/>
      <c r="G22" s="224"/>
      <c r="H22" s="224"/>
      <c r="I22" s="226"/>
      <c r="J22" s="2337"/>
      <c r="K22" s="226"/>
      <c r="L22" s="2337"/>
      <c r="M22" s="246"/>
      <c r="N22" s="245"/>
      <c r="O22" s="2344"/>
      <c r="P22" s="823"/>
      <c r="Q22" s="1827"/>
      <c r="R22" s="504"/>
      <c r="S22" s="808">
        <f t="shared" si="0"/>
        <v>0</v>
      </c>
      <c r="T22" s="808">
        <f t="shared" si="1"/>
        <v>0</v>
      </c>
      <c r="U22" s="808">
        <f t="shared" si="2"/>
        <v>0</v>
      </c>
      <c r="V22" s="808">
        <f t="shared" si="3"/>
        <v>0</v>
      </c>
    </row>
    <row r="23" spans="1:22" s="92" customFormat="1">
      <c r="A23" s="1806"/>
      <c r="B23" s="1825"/>
      <c r="C23" s="224" t="s">
        <v>2364</v>
      </c>
      <c r="D23" s="224"/>
      <c r="E23" s="224"/>
      <c r="F23" s="224"/>
      <c r="G23" s="220"/>
      <c r="H23" s="224"/>
      <c r="I23" s="226"/>
      <c r="J23" s="2337"/>
      <c r="K23" s="226"/>
      <c r="L23" s="2337"/>
      <c r="M23" s="246"/>
      <c r="N23" s="245"/>
      <c r="O23" s="2344"/>
      <c r="P23" s="823"/>
      <c r="Q23" s="1827"/>
      <c r="R23" s="504"/>
      <c r="S23" s="808">
        <f t="shared" si="0"/>
        <v>0</v>
      </c>
      <c r="T23" s="808">
        <f t="shared" si="1"/>
        <v>0</v>
      </c>
      <c r="U23" s="808">
        <f t="shared" si="2"/>
        <v>0</v>
      </c>
      <c r="V23" s="808">
        <f t="shared" si="3"/>
        <v>0</v>
      </c>
    </row>
    <row r="24" spans="1:22" s="92" customFormat="1">
      <c r="A24" s="1798" t="s">
        <v>384</v>
      </c>
      <c r="B24" s="1824" t="s">
        <v>2365</v>
      </c>
      <c r="C24" s="222"/>
      <c r="D24" s="1811" t="s">
        <v>385</v>
      </c>
      <c r="E24" s="224"/>
      <c r="F24" s="224"/>
      <c r="G24" s="220"/>
      <c r="H24" s="224"/>
      <c r="I24" s="226"/>
      <c r="J24" s="2404">
        <f>SUM('Accounts by GL'!O387:O435)</f>
        <v>0</v>
      </c>
      <c r="K24" s="424">
        <v>0</v>
      </c>
      <c r="L24" s="2338">
        <f t="shared" ref="L24:L30" si="4">+J24+K24</f>
        <v>0</v>
      </c>
      <c r="M24" s="261"/>
      <c r="N24" s="424">
        <v>0</v>
      </c>
      <c r="O24" s="2340">
        <f t="shared" ref="O24:O30" si="5">ROUND(N24,0)+ROUND(L24,0)</f>
        <v>0</v>
      </c>
      <c r="P24" s="839"/>
      <c r="Q24" s="1827"/>
      <c r="R24" s="504"/>
      <c r="S24" s="808">
        <f>'Accounts by GL'!O437</f>
        <v>0</v>
      </c>
      <c r="T24" s="808">
        <f>L24-S24</f>
        <v>0</v>
      </c>
      <c r="U24" s="808">
        <f t="shared" si="2"/>
        <v>0</v>
      </c>
      <c r="V24" s="808">
        <f t="shared" si="3"/>
        <v>0</v>
      </c>
    </row>
    <row r="25" spans="1:22" s="92" customFormat="1">
      <c r="A25" s="1823" t="s">
        <v>386</v>
      </c>
      <c r="B25" s="1824" t="s">
        <v>2365</v>
      </c>
      <c r="C25" s="222"/>
      <c r="D25" s="1811" t="s">
        <v>387</v>
      </c>
      <c r="E25" s="224"/>
      <c r="F25" s="224"/>
      <c r="G25" s="220"/>
      <c r="H25" s="224"/>
      <c r="I25" s="226"/>
      <c r="J25" s="1948">
        <f>+'Accounts by GL'!O484</f>
        <v>0</v>
      </c>
      <c r="K25" s="100">
        <v>0</v>
      </c>
      <c r="L25" s="2333">
        <f t="shared" si="4"/>
        <v>0</v>
      </c>
      <c r="M25" s="261"/>
      <c r="N25" s="100">
        <v>0</v>
      </c>
      <c r="O25" s="2341">
        <f t="shared" si="5"/>
        <v>0</v>
      </c>
      <c r="P25" s="839"/>
      <c r="Q25" s="1827"/>
      <c r="R25" s="504"/>
      <c r="S25" s="808">
        <f t="shared" si="0"/>
        <v>0</v>
      </c>
      <c r="T25" s="808">
        <f t="shared" si="1"/>
        <v>0</v>
      </c>
      <c r="U25" s="808">
        <f t="shared" si="2"/>
        <v>0</v>
      </c>
      <c r="V25" s="808">
        <f t="shared" si="3"/>
        <v>0</v>
      </c>
    </row>
    <row r="26" spans="1:22" s="92" customFormat="1">
      <c r="A26" s="1798" t="s">
        <v>388</v>
      </c>
      <c r="B26" s="107" t="s">
        <v>2365</v>
      </c>
      <c r="C26" s="222"/>
      <c r="D26" s="1811" t="s">
        <v>389</v>
      </c>
      <c r="E26" s="224"/>
      <c r="F26" s="224"/>
      <c r="G26" s="220"/>
      <c r="H26" s="224"/>
      <c r="I26" s="226"/>
      <c r="J26" s="1948">
        <f>+'Accounts by GL'!O444+SUM('Accounts by GL'!O458:O465)</f>
        <v>0</v>
      </c>
      <c r="K26" s="100">
        <v>0</v>
      </c>
      <c r="L26" s="2333">
        <f t="shared" si="4"/>
        <v>0</v>
      </c>
      <c r="M26" s="261"/>
      <c r="N26" s="100">
        <v>0</v>
      </c>
      <c r="O26" s="2341">
        <f t="shared" si="5"/>
        <v>0</v>
      </c>
      <c r="P26" s="839"/>
      <c r="Q26" s="1827"/>
      <c r="R26" s="504"/>
      <c r="S26" s="808">
        <f t="shared" si="0"/>
        <v>0</v>
      </c>
      <c r="T26" s="808">
        <f t="shared" si="1"/>
        <v>0</v>
      </c>
      <c r="U26" s="808">
        <f t="shared" si="2"/>
        <v>0</v>
      </c>
      <c r="V26" s="808">
        <f t="shared" si="3"/>
        <v>0</v>
      </c>
    </row>
    <row r="27" spans="1:22" s="92" customFormat="1">
      <c r="A27" s="1823" t="s">
        <v>390</v>
      </c>
      <c r="B27" s="1824" t="s">
        <v>2365</v>
      </c>
      <c r="C27" s="222"/>
      <c r="D27" s="1829" t="s">
        <v>391</v>
      </c>
      <c r="E27" s="3518"/>
      <c r="F27" s="224"/>
      <c r="G27" s="220"/>
      <c r="H27" s="224"/>
      <c r="I27" s="226"/>
      <c r="J27" s="1948">
        <f>SUM('Accounts by GL'!O466:O469)</f>
        <v>0</v>
      </c>
      <c r="K27" s="100">
        <v>0</v>
      </c>
      <c r="L27" s="2333">
        <f t="shared" si="4"/>
        <v>0</v>
      </c>
      <c r="M27" s="261"/>
      <c r="N27" s="100">
        <v>0</v>
      </c>
      <c r="O27" s="2341">
        <f t="shared" si="5"/>
        <v>0</v>
      </c>
      <c r="P27" s="839"/>
      <c r="Q27" s="1827"/>
      <c r="R27" s="504"/>
      <c r="S27" s="808">
        <f t="shared" si="0"/>
        <v>0</v>
      </c>
      <c r="T27" s="808">
        <f t="shared" si="1"/>
        <v>0</v>
      </c>
      <c r="U27" s="808">
        <f t="shared" si="2"/>
        <v>0</v>
      </c>
      <c r="V27" s="808">
        <f t="shared" si="3"/>
        <v>0</v>
      </c>
    </row>
    <row r="28" spans="1:22" s="92" customFormat="1">
      <c r="A28" s="1798" t="s">
        <v>392</v>
      </c>
      <c r="B28" s="107" t="s">
        <v>2365</v>
      </c>
      <c r="C28" s="222"/>
      <c r="D28" s="1811" t="s">
        <v>393</v>
      </c>
      <c r="E28" s="224"/>
      <c r="F28" s="224"/>
      <c r="G28" s="220"/>
      <c r="H28" s="224"/>
      <c r="I28" s="226"/>
      <c r="J28" s="1948">
        <f>SUM('Accounts by GL'!O442:O443)+SUM('Accounts by GL'!O445:O457)+'Accounts by GL'!O483+'Accounts by GL'!O486+'Accounts by GL'!O503+'Accounts by GL'!O505-'Accounts by GL'!L505</f>
        <v>0</v>
      </c>
      <c r="K28" s="100">
        <v>0</v>
      </c>
      <c r="L28" s="2333">
        <f t="shared" si="4"/>
        <v>0</v>
      </c>
      <c r="M28" s="261"/>
      <c r="N28" s="100">
        <v>0</v>
      </c>
      <c r="O28" s="2341">
        <f t="shared" si="5"/>
        <v>0</v>
      </c>
      <c r="P28" s="839"/>
      <c r="Q28" s="1827"/>
      <c r="R28" s="504"/>
      <c r="S28" s="808">
        <f t="shared" si="0"/>
        <v>0</v>
      </c>
      <c r="T28" s="808">
        <f t="shared" si="1"/>
        <v>0</v>
      </c>
      <c r="U28" s="808">
        <f t="shared" si="2"/>
        <v>0</v>
      </c>
      <c r="V28" s="808">
        <f t="shared" si="3"/>
        <v>0</v>
      </c>
    </row>
    <row r="29" spans="1:22" s="92" customFormat="1">
      <c r="A29" s="1823" t="s">
        <v>394</v>
      </c>
      <c r="B29" s="107" t="s">
        <v>2365</v>
      </c>
      <c r="C29" s="222"/>
      <c r="D29" s="1811" t="s">
        <v>395</v>
      </c>
      <c r="E29" s="224"/>
      <c r="F29" s="224"/>
      <c r="G29" s="220"/>
      <c r="H29" s="224"/>
      <c r="I29" s="226"/>
      <c r="J29" s="1948">
        <f>SUM('Accounts by GL'!O470:O481)+SUM('Accounts by GL'!O512:O513)+'Accounts by GL'!O525</f>
        <v>0</v>
      </c>
      <c r="K29" s="100">
        <v>0</v>
      </c>
      <c r="L29" s="2333">
        <f t="shared" si="4"/>
        <v>0</v>
      </c>
      <c r="M29" s="261"/>
      <c r="N29" s="100">
        <v>0</v>
      </c>
      <c r="O29" s="2341">
        <f t="shared" si="5"/>
        <v>0</v>
      </c>
      <c r="P29" s="839"/>
      <c r="Q29" s="1827"/>
      <c r="R29" s="504"/>
      <c r="S29" s="808">
        <f t="shared" si="0"/>
        <v>0</v>
      </c>
      <c r="T29" s="808">
        <f t="shared" si="1"/>
        <v>0</v>
      </c>
      <c r="U29" s="808">
        <f t="shared" si="2"/>
        <v>0</v>
      </c>
      <c r="V29" s="808">
        <f t="shared" si="3"/>
        <v>0</v>
      </c>
    </row>
    <row r="30" spans="1:22" s="92" customFormat="1">
      <c r="A30" s="1798" t="s">
        <v>396</v>
      </c>
      <c r="B30" s="1824" t="s">
        <v>2366</v>
      </c>
      <c r="C30" s="222"/>
      <c r="D30" s="1811" t="s">
        <v>397</v>
      </c>
      <c r="E30" s="224"/>
      <c r="F30" s="224"/>
      <c r="G30" s="220"/>
      <c r="H30" s="224"/>
      <c r="I30" s="226"/>
      <c r="J30" s="1949">
        <f>'Accounts by GL'!O502</f>
        <v>0</v>
      </c>
      <c r="K30" s="101">
        <v>0</v>
      </c>
      <c r="L30" s="2334">
        <f t="shared" si="4"/>
        <v>0</v>
      </c>
      <c r="M30" s="261"/>
      <c r="N30" s="101">
        <v>0</v>
      </c>
      <c r="O30" s="2342">
        <f t="shared" si="5"/>
        <v>0</v>
      </c>
      <c r="P30" s="839"/>
      <c r="Q30" s="1827"/>
      <c r="R30" s="504"/>
      <c r="S30" s="808">
        <f t="shared" si="0"/>
        <v>0</v>
      </c>
      <c r="T30" s="808">
        <f t="shared" si="1"/>
        <v>0</v>
      </c>
      <c r="U30" s="808">
        <f t="shared" si="2"/>
        <v>0</v>
      </c>
      <c r="V30" s="808">
        <f t="shared" si="3"/>
        <v>0</v>
      </c>
    </row>
    <row r="31" spans="1:22" s="92" customFormat="1">
      <c r="A31" s="1823"/>
      <c r="B31" s="1824"/>
      <c r="C31" s="222"/>
      <c r="D31" s="1811"/>
      <c r="E31" s="224"/>
      <c r="F31" s="224"/>
      <c r="G31" s="220"/>
      <c r="H31" s="224"/>
      <c r="I31" s="226"/>
      <c r="J31" s="2405"/>
      <c r="K31" s="226"/>
      <c r="L31" s="2336"/>
      <c r="M31" s="259"/>
      <c r="N31" s="259"/>
      <c r="O31" s="260"/>
      <c r="P31" s="828"/>
      <c r="Q31" s="1827"/>
      <c r="R31" s="504"/>
      <c r="S31" s="3749"/>
      <c r="T31" s="3749"/>
      <c r="U31" s="3749"/>
      <c r="V31" s="3749"/>
    </row>
    <row r="32" spans="1:22" s="92" customFormat="1" ht="13.5" thickBot="1">
      <c r="A32" s="1823" t="s">
        <v>400</v>
      </c>
      <c r="B32" s="1824"/>
      <c r="C32" s="224"/>
      <c r="D32" s="254" t="s">
        <v>401</v>
      </c>
      <c r="E32" s="220"/>
      <c r="F32" s="224"/>
      <c r="G32" s="224"/>
      <c r="H32" s="224"/>
      <c r="I32" s="226"/>
      <c r="J32" s="2403">
        <f>SUM(J24:J30)</f>
        <v>0</v>
      </c>
      <c r="K32" s="2083">
        <f>SUM(K24:K30)</f>
        <v>0</v>
      </c>
      <c r="L32" s="2335">
        <f t="array" ref="L32">SUM(ROUND(L24:L30,0))</f>
        <v>0</v>
      </c>
      <c r="M32" s="2085"/>
      <c r="N32" s="2083">
        <f t="array" ref="N32">SUM(ROUND(N24:N30,0))</f>
        <v>0</v>
      </c>
      <c r="O32" s="2084">
        <f t="array" ref="O32">SUM(ROUND(O24:O30,0))</f>
        <v>0</v>
      </c>
      <c r="P32" s="827"/>
      <c r="Q32" s="1827"/>
      <c r="R32" s="504"/>
      <c r="S32" s="810">
        <f>SUM(S22:S30)</f>
        <v>0</v>
      </c>
      <c r="T32" s="809">
        <f>L32-S32</f>
        <v>0</v>
      </c>
      <c r="U32" s="809">
        <f>SUM(U22:U30)</f>
        <v>0</v>
      </c>
      <c r="V32" s="809">
        <f>N32-U32</f>
        <v>0</v>
      </c>
    </row>
    <row r="33" spans="1:22" s="92" customFormat="1" ht="13.5" thickTop="1">
      <c r="A33" s="1798"/>
      <c r="B33" s="1824"/>
      <c r="C33" s="222"/>
      <c r="D33" s="255"/>
      <c r="E33" s="224"/>
      <c r="F33" s="224"/>
      <c r="G33" s="220"/>
      <c r="H33" s="224"/>
      <c r="I33" s="226"/>
      <c r="J33" s="1812"/>
      <c r="K33" s="226"/>
      <c r="L33" s="262"/>
      <c r="M33" s="1812"/>
      <c r="N33" s="1812"/>
      <c r="O33" s="236"/>
      <c r="P33" s="829"/>
      <c r="Q33" s="1827"/>
      <c r="R33" s="504"/>
      <c r="S33" s="3749"/>
      <c r="T33" s="808"/>
      <c r="U33" s="808"/>
      <c r="V33" s="808"/>
    </row>
    <row r="34" spans="1:22" s="92" customFormat="1">
      <c r="A34" s="1823"/>
      <c r="B34" s="1824"/>
      <c r="C34" s="224"/>
      <c r="D34" s="254" t="str">
        <f>IF(L34&lt;0,IF(N34&gt;0,"Operating Income (Loss)","Operating Loss"),IF(L34&gt;0,IF(N34&gt;=0,"Operating Income","Operating Income (Loss)"),IF(N34&lt;0,"Operating Loss",IF(N34&gt;0,"Operating Income","Operating Income (Loss)"))))</f>
        <v>Operating Income (Loss)</v>
      </c>
      <c r="E34" s="220"/>
      <c r="F34" s="224"/>
      <c r="G34" s="224"/>
      <c r="H34" s="224"/>
      <c r="I34" s="226"/>
      <c r="J34" s="2406">
        <f>J20-J32</f>
        <v>0</v>
      </c>
      <c r="K34" s="1952">
        <f>K20-K32</f>
        <v>0</v>
      </c>
      <c r="L34" s="2339">
        <f>L20-L32</f>
        <v>0</v>
      </c>
      <c r="M34" s="262"/>
      <c r="N34" s="1952">
        <f>N20-N32</f>
        <v>0</v>
      </c>
      <c r="O34" s="1953">
        <f>O20-O32</f>
        <v>0</v>
      </c>
      <c r="P34" s="827"/>
      <c r="Q34" s="1827"/>
      <c r="R34" s="504"/>
      <c r="S34" s="809">
        <f>S20-S32</f>
        <v>0</v>
      </c>
      <c r="T34" s="809">
        <f>L34-S34</f>
        <v>0</v>
      </c>
      <c r="U34" s="809">
        <f>U20-U32</f>
        <v>0</v>
      </c>
      <c r="V34" s="809">
        <f>N34-U34</f>
        <v>0</v>
      </c>
    </row>
    <row r="35" spans="1:22" s="92" customFormat="1">
      <c r="A35" s="1798"/>
      <c r="B35" s="1824"/>
      <c r="C35" s="224"/>
      <c r="D35" s="224"/>
      <c r="E35" s="224"/>
      <c r="F35" s="224"/>
      <c r="G35" s="224"/>
      <c r="H35" s="224"/>
      <c r="I35" s="226"/>
      <c r="J35" s="2336"/>
      <c r="K35" s="226"/>
      <c r="L35" s="2336"/>
      <c r="M35" s="263"/>
      <c r="N35" s="263"/>
      <c r="O35" s="260"/>
      <c r="P35" s="830"/>
      <c r="Q35" s="1827"/>
      <c r="R35" s="504"/>
      <c r="S35" s="808"/>
      <c r="T35" s="808"/>
      <c r="U35" s="808"/>
      <c r="V35" s="808"/>
    </row>
    <row r="36" spans="1:22" s="92" customFormat="1">
      <c r="A36" s="1823"/>
      <c r="B36" s="1824"/>
      <c r="C36" s="252" t="s">
        <v>2367</v>
      </c>
      <c r="D36" s="220"/>
      <c r="E36" s="224"/>
      <c r="F36" s="224"/>
      <c r="G36" s="224"/>
      <c r="H36" s="224"/>
      <c r="I36" s="226"/>
      <c r="J36" s="2337"/>
      <c r="K36" s="226"/>
      <c r="L36" s="2337"/>
      <c r="M36" s="246"/>
      <c r="N36" s="245"/>
      <c r="O36" s="2344"/>
      <c r="P36" s="823"/>
      <c r="Q36" s="1827"/>
      <c r="R36" s="504"/>
      <c r="S36" s="808"/>
      <c r="T36" s="808"/>
      <c r="U36" s="808"/>
      <c r="V36" s="808"/>
    </row>
    <row r="37" spans="1:22" s="92" customFormat="1">
      <c r="A37" s="1798" t="s">
        <v>402</v>
      </c>
      <c r="B37" s="1824" t="s">
        <v>2368</v>
      </c>
      <c r="C37" s="1811" t="s">
        <v>403</v>
      </c>
      <c r="D37" s="220"/>
      <c r="E37" s="224"/>
      <c r="F37" s="224"/>
      <c r="G37" s="220"/>
      <c r="H37" s="224"/>
      <c r="I37" s="226"/>
      <c r="J37" s="2401">
        <f>SUM('Accounts by GL'!O264:O268)+'Accounts by GL'!O270+SUM('Accounts by GL'!O273:O275)+SUM('Accounts by GL'!O277:O279)+'Accounts by GL'!O281</f>
        <v>0</v>
      </c>
      <c r="K37" s="424">
        <v>0</v>
      </c>
      <c r="L37" s="2332">
        <f>+J37+K37</f>
        <v>0</v>
      </c>
      <c r="M37" s="1800"/>
      <c r="N37" s="424">
        <v>0</v>
      </c>
      <c r="O37" s="2340">
        <f t="shared" ref="O37:O45" si="6">ROUND(N37,0)+ROUND(L37,0)</f>
        <v>0</v>
      </c>
      <c r="P37" s="1805"/>
      <c r="Q37" s="1827"/>
      <c r="R37" s="504"/>
      <c r="S37" s="808">
        <f t="shared" si="0"/>
        <v>0</v>
      </c>
      <c r="T37" s="808">
        <f t="shared" si="1"/>
        <v>0</v>
      </c>
      <c r="U37" s="808">
        <f t="shared" si="2"/>
        <v>0</v>
      </c>
      <c r="V37" s="808">
        <f t="shared" si="3"/>
        <v>0</v>
      </c>
    </row>
    <row r="38" spans="1:22" s="92" customFormat="1">
      <c r="A38" s="1823" t="s">
        <v>404</v>
      </c>
      <c r="B38" s="1824" t="s">
        <v>2360</v>
      </c>
      <c r="C38" s="1811" t="s">
        <v>405</v>
      </c>
      <c r="D38" s="220"/>
      <c r="E38" s="224"/>
      <c r="F38" s="224"/>
      <c r="G38" s="220"/>
      <c r="H38" s="224"/>
      <c r="I38" s="226"/>
      <c r="J38" s="1948">
        <f>+'Accounts by GL'!O287+'Accounts by GL'!O300+'Accounts by GL'!O301+'Accounts by GL'!H312</f>
        <v>0</v>
      </c>
      <c r="K38" s="100">
        <v>0</v>
      </c>
      <c r="L38" s="2333">
        <f>+J38+K38</f>
        <v>0</v>
      </c>
      <c r="M38" s="1800"/>
      <c r="N38" s="454">
        <v>0</v>
      </c>
      <c r="O38" s="2341">
        <f t="shared" si="6"/>
        <v>0</v>
      </c>
      <c r="P38" s="1805"/>
      <c r="Q38" s="1827"/>
      <c r="R38" s="504"/>
      <c r="S38" s="808">
        <f t="shared" si="0"/>
        <v>0</v>
      </c>
      <c r="T38" s="808">
        <f t="shared" si="1"/>
        <v>0</v>
      </c>
      <c r="U38" s="808">
        <f t="shared" si="2"/>
        <v>0</v>
      </c>
      <c r="V38" s="808">
        <f t="shared" si="3"/>
        <v>0</v>
      </c>
    </row>
    <row r="39" spans="1:22" s="92" customFormat="1">
      <c r="A39" s="1798" t="s">
        <v>406</v>
      </c>
      <c r="B39" s="1824" t="s">
        <v>2360</v>
      </c>
      <c r="C39" s="1811" t="s">
        <v>407</v>
      </c>
      <c r="D39" s="220"/>
      <c r="E39" s="224"/>
      <c r="F39" s="224"/>
      <c r="G39" s="220"/>
      <c r="H39" s="224"/>
      <c r="I39" s="226"/>
      <c r="J39" s="1948">
        <f>+'Accounts by GL'!O248+'Accounts by GL'!O251+'Accounts by GL'!O253+'Accounts by GL'!O257+'Accounts by GL'!O285+'Accounts by GL'!O290+'Accounts by GL'!O298+'Accounts by GL'!O299+'Accounts by GL'!O305+'Accounts by GL'!O312-'Accounts by GL'!J312-'Accounts by GL'!H312+'Accounts by GL'!O315+'Accounts by GL'!O319</f>
        <v>0</v>
      </c>
      <c r="K39" s="100">
        <v>0</v>
      </c>
      <c r="L39" s="2333">
        <f t="shared" ref="L39:L45" si="7">+J39+K39</f>
        <v>0</v>
      </c>
      <c r="M39" s="1800"/>
      <c r="N39" s="454">
        <v>0</v>
      </c>
      <c r="O39" s="2341">
        <f t="shared" si="6"/>
        <v>0</v>
      </c>
      <c r="P39" s="1805"/>
      <c r="Q39" s="1827"/>
      <c r="R39" s="504"/>
      <c r="S39" s="808">
        <f t="shared" si="0"/>
        <v>0</v>
      </c>
      <c r="T39" s="808">
        <f t="shared" si="1"/>
        <v>0</v>
      </c>
      <c r="U39" s="808">
        <f t="shared" si="2"/>
        <v>0</v>
      </c>
      <c r="V39" s="808">
        <f t="shared" si="3"/>
        <v>0</v>
      </c>
    </row>
    <row r="40" spans="1:22" s="92" customFormat="1">
      <c r="A40" s="1823" t="s">
        <v>408</v>
      </c>
      <c r="B40" s="1824" t="s">
        <v>2369</v>
      </c>
      <c r="C40" s="1811" t="s">
        <v>409</v>
      </c>
      <c r="D40" s="220"/>
      <c r="E40" s="224"/>
      <c r="F40" s="224"/>
      <c r="G40" s="220"/>
      <c r="H40" s="224"/>
      <c r="I40" s="226"/>
      <c r="J40" s="1948">
        <f>+'Accounts by GL'!O349</f>
        <v>0</v>
      </c>
      <c r="K40" s="100">
        <v>0</v>
      </c>
      <c r="L40" s="2333">
        <f t="shared" si="7"/>
        <v>0</v>
      </c>
      <c r="M40" s="1800"/>
      <c r="N40" s="454">
        <v>0</v>
      </c>
      <c r="O40" s="2341">
        <f t="shared" si="6"/>
        <v>0</v>
      </c>
      <c r="P40" s="1805"/>
      <c r="Q40" s="1827"/>
      <c r="R40" s="504"/>
      <c r="S40" s="808">
        <f t="shared" si="0"/>
        <v>0</v>
      </c>
      <c r="T40" s="808">
        <f t="shared" si="1"/>
        <v>0</v>
      </c>
      <c r="U40" s="808">
        <f t="shared" si="2"/>
        <v>0</v>
      </c>
      <c r="V40" s="808">
        <f t="shared" si="3"/>
        <v>0</v>
      </c>
    </row>
    <row r="41" spans="1:22" s="92" customFormat="1">
      <c r="A41" s="1798" t="s">
        <v>410</v>
      </c>
      <c r="B41" s="1824" t="s">
        <v>2369</v>
      </c>
      <c r="C41" s="2017" t="str">
        <f>IF(L41&lt;0,IF(N41&gt;0,"Net Gain (Loss) on Investments","Net Loss on Investments"),IF(L41&gt;0,IF(N41&gt;=0,"Net Gain on Investments","Net Gain (Loss) on Investments"),IF(N41&lt;0,"Net Loss on Investments",IF(N41&gt;0,"Net Gain on Investments","Net Gain (Loss) on Investments"))))</f>
        <v>Net Gain (Loss) on Investments</v>
      </c>
      <c r="D41" s="2032"/>
      <c r="E41" s="2033"/>
      <c r="F41" s="2033"/>
      <c r="G41" s="220"/>
      <c r="H41" s="224"/>
      <c r="I41" s="226"/>
      <c r="J41" s="1948">
        <f>+'Accounts by GL'!O350</f>
        <v>0</v>
      </c>
      <c r="K41" s="100">
        <v>0</v>
      </c>
      <c r="L41" s="2333">
        <f t="shared" si="7"/>
        <v>0</v>
      </c>
      <c r="M41" s="1800"/>
      <c r="N41" s="454">
        <v>0</v>
      </c>
      <c r="O41" s="2341">
        <f t="shared" si="6"/>
        <v>0</v>
      </c>
      <c r="P41" s="1805"/>
      <c r="Q41" s="1827"/>
      <c r="R41" s="504"/>
      <c r="S41" s="808">
        <f t="shared" si="0"/>
        <v>0</v>
      </c>
      <c r="T41" s="808">
        <f t="shared" si="1"/>
        <v>0</v>
      </c>
      <c r="U41" s="808">
        <f t="shared" si="2"/>
        <v>0</v>
      </c>
      <c r="V41" s="808">
        <f t="shared" si="3"/>
        <v>0</v>
      </c>
    </row>
    <row r="42" spans="1:22" s="92" customFormat="1">
      <c r="A42" s="1823" t="s">
        <v>412</v>
      </c>
      <c r="B42" s="1824" t="s">
        <v>2362</v>
      </c>
      <c r="C42" s="1811" t="s">
        <v>413</v>
      </c>
      <c r="D42" s="220"/>
      <c r="E42" s="224"/>
      <c r="F42" s="224"/>
      <c r="G42" s="220"/>
      <c r="H42" s="224"/>
      <c r="I42" s="226"/>
      <c r="J42" s="1948">
        <f>+'Accounts by GL'!O374+'Accounts by GL'!O375</f>
        <v>0</v>
      </c>
      <c r="K42" s="100">
        <v>0</v>
      </c>
      <c r="L42" s="2333">
        <f t="shared" si="7"/>
        <v>0</v>
      </c>
      <c r="M42" s="1800"/>
      <c r="N42" s="454">
        <v>0</v>
      </c>
      <c r="O42" s="2341">
        <f t="shared" si="6"/>
        <v>0</v>
      </c>
      <c r="P42" s="1805"/>
      <c r="Q42" s="1827"/>
      <c r="R42" s="504"/>
      <c r="S42" s="808">
        <f t="shared" si="0"/>
        <v>0</v>
      </c>
      <c r="T42" s="808">
        <f t="shared" si="1"/>
        <v>0</v>
      </c>
      <c r="U42" s="808">
        <f t="shared" si="2"/>
        <v>0</v>
      </c>
      <c r="V42" s="808">
        <f t="shared" si="3"/>
        <v>0</v>
      </c>
    </row>
    <row r="43" spans="1:22" s="92" customFormat="1">
      <c r="A43" s="1798" t="s">
        <v>414</v>
      </c>
      <c r="B43" s="1824" t="s">
        <v>2370</v>
      </c>
      <c r="C43" s="1811" t="str">
        <f>IF(L43&lt;0,IF(N43&gt;0,"Gain (Loss) on Disposal of Capital Assets","Loss on Disposal of Capital Assets"),IF(L43&gt;0,IF(N43&gt;=0,"Gain on Disposal of Capital Assets","Gain (Loss) on Disposal of Capital Assets"),IF(N43&lt;0,"Loss on Disposal of Capital Assets",IF(N43&gt;0,"Gain on Disposal of Capital Assets","Gain (Loss) on Disposal of Capital Assets"))))</f>
        <v>Gain (Loss) on Disposal of Capital Assets</v>
      </c>
      <c r="D43" s="220"/>
      <c r="E43" s="224"/>
      <c r="F43" s="224"/>
      <c r="G43" s="220"/>
      <c r="H43" s="224"/>
      <c r="I43" s="226"/>
      <c r="J43" s="1948">
        <f>+'Accounts by GL'!O373</f>
        <v>0</v>
      </c>
      <c r="K43" s="100">
        <v>0</v>
      </c>
      <c r="L43" s="2333">
        <f t="shared" si="7"/>
        <v>0</v>
      </c>
      <c r="M43" s="1800"/>
      <c r="N43" s="454">
        <v>0</v>
      </c>
      <c r="O43" s="2341">
        <f t="shared" si="6"/>
        <v>0</v>
      </c>
      <c r="P43" s="1805"/>
      <c r="Q43" s="1827"/>
      <c r="R43" s="504"/>
      <c r="S43" s="808">
        <f t="shared" si="0"/>
        <v>0</v>
      </c>
      <c r="T43" s="808">
        <f t="shared" si="1"/>
        <v>0</v>
      </c>
      <c r="U43" s="808">
        <f t="shared" si="2"/>
        <v>0</v>
      </c>
      <c r="V43" s="808">
        <f t="shared" si="3"/>
        <v>0</v>
      </c>
    </row>
    <row r="44" spans="1:22" s="92" customFormat="1">
      <c r="A44" s="1823" t="s">
        <v>416</v>
      </c>
      <c r="B44" s="1824" t="s">
        <v>2365</v>
      </c>
      <c r="C44" s="1811" t="s">
        <v>417</v>
      </c>
      <c r="D44" s="220"/>
      <c r="E44" s="220"/>
      <c r="F44" s="220"/>
      <c r="G44" s="220"/>
      <c r="H44" s="220"/>
      <c r="I44" s="220"/>
      <c r="J44" s="1948">
        <f>-'Accounts by GL'!O485</f>
        <v>0</v>
      </c>
      <c r="K44" s="100">
        <v>0</v>
      </c>
      <c r="L44" s="2333">
        <f t="shared" si="7"/>
        <v>0</v>
      </c>
      <c r="M44" s="1800"/>
      <c r="N44" s="454">
        <v>0</v>
      </c>
      <c r="O44" s="2341">
        <f t="shared" si="6"/>
        <v>0</v>
      </c>
      <c r="P44" s="1805"/>
      <c r="Q44" s="1827"/>
      <c r="R44" s="504"/>
      <c r="S44" s="808">
        <f t="shared" si="0"/>
        <v>0</v>
      </c>
      <c r="T44" s="808">
        <f t="shared" si="1"/>
        <v>0</v>
      </c>
      <c r="U44" s="808">
        <f t="shared" si="2"/>
        <v>0</v>
      </c>
      <c r="V44" s="808">
        <f t="shared" si="3"/>
        <v>0</v>
      </c>
    </row>
    <row r="45" spans="1:22" s="92" customFormat="1">
      <c r="A45" s="1798" t="s">
        <v>418</v>
      </c>
      <c r="B45" s="1824" t="s">
        <v>2365</v>
      </c>
      <c r="C45" s="1811" t="s">
        <v>419</v>
      </c>
      <c r="D45" s="220"/>
      <c r="E45" s="224"/>
      <c r="F45" s="224"/>
      <c r="G45" s="220"/>
      <c r="H45" s="224"/>
      <c r="I45" s="226"/>
      <c r="J45" s="1949">
        <v>0</v>
      </c>
      <c r="K45" s="101">
        <v>0</v>
      </c>
      <c r="L45" s="2334">
        <f t="shared" si="7"/>
        <v>0</v>
      </c>
      <c r="M45" s="1800"/>
      <c r="N45" s="89">
        <v>0</v>
      </c>
      <c r="O45" s="2342">
        <f t="shared" si="6"/>
        <v>0</v>
      </c>
      <c r="P45" s="1805"/>
      <c r="Q45" s="1827"/>
      <c r="R45" s="504"/>
      <c r="S45" s="808">
        <f t="shared" si="0"/>
        <v>0</v>
      </c>
      <c r="T45" s="808">
        <f t="shared" si="1"/>
        <v>0</v>
      </c>
      <c r="U45" s="808">
        <f t="shared" si="2"/>
        <v>0</v>
      </c>
      <c r="V45" s="808">
        <f t="shared" si="3"/>
        <v>0</v>
      </c>
    </row>
    <row r="46" spans="1:22" s="92" customFormat="1">
      <c r="A46" s="1823"/>
      <c r="B46" s="1824"/>
      <c r="C46" s="220"/>
      <c r="D46" s="220"/>
      <c r="E46" s="220"/>
      <c r="F46" s="220"/>
      <c r="G46" s="220"/>
      <c r="H46" s="220"/>
      <c r="I46" s="220"/>
      <c r="J46" s="1948"/>
      <c r="K46" s="220"/>
      <c r="L46" s="2333"/>
      <c r="M46" s="264"/>
      <c r="N46" s="274"/>
      <c r="O46" s="2341"/>
      <c r="P46" s="831"/>
      <c r="Q46" s="1827"/>
      <c r="R46" s="504"/>
      <c r="S46" s="3749"/>
      <c r="T46" s="3749"/>
      <c r="U46" s="3749"/>
      <c r="V46" s="3749"/>
    </row>
    <row r="47" spans="1:22" s="92" customFormat="1">
      <c r="A47" s="1806" t="s">
        <v>422</v>
      </c>
      <c r="B47" s="1825"/>
      <c r="C47" s="252" t="s">
        <v>423</v>
      </c>
      <c r="D47" s="220"/>
      <c r="E47" s="224"/>
      <c r="F47" s="224"/>
      <c r="G47" s="224"/>
      <c r="H47" s="224"/>
      <c r="I47" s="226"/>
      <c r="J47" s="2406">
        <f>SUM(J37:J45)</f>
        <v>0</v>
      </c>
      <c r="K47" s="1952">
        <f>SUM(K37:K45)</f>
        <v>0</v>
      </c>
      <c r="L47" s="2339">
        <f t="array" ref="L47">SUM(ROUND(L37:L45,0))</f>
        <v>0</v>
      </c>
      <c r="M47" s="1812"/>
      <c r="N47" s="1952">
        <f t="array" ref="N47">SUM(ROUND(N37:N45,0))</f>
        <v>0</v>
      </c>
      <c r="O47" s="1953">
        <f t="array" ref="O47">SUM(ROUND(O37:O45,0))</f>
        <v>0</v>
      </c>
      <c r="P47" s="827"/>
      <c r="Q47" s="1827"/>
      <c r="R47" s="504"/>
      <c r="S47" s="809">
        <f>SUM(S37:S45)</f>
        <v>0</v>
      </c>
      <c r="T47" s="809">
        <f>L47-S47</f>
        <v>0</v>
      </c>
      <c r="U47" s="809">
        <f>SUM(U37:U45)</f>
        <v>0</v>
      </c>
      <c r="V47" s="809">
        <f>N47-U47</f>
        <v>0</v>
      </c>
    </row>
    <row r="48" spans="1:22" s="99" customFormat="1">
      <c r="A48" s="1806"/>
      <c r="B48" s="1825"/>
      <c r="C48" s="268"/>
      <c r="D48" s="269"/>
      <c r="E48" s="226"/>
      <c r="F48" s="226"/>
      <c r="G48" s="226"/>
      <c r="H48" s="226"/>
      <c r="I48" s="226"/>
      <c r="J48" s="1812"/>
      <c r="K48" s="1812"/>
      <c r="L48" s="262"/>
      <c r="M48" s="1812"/>
      <c r="N48" s="1812"/>
      <c r="O48" s="236"/>
      <c r="P48" s="829"/>
      <c r="Q48" s="1827"/>
      <c r="R48" s="534"/>
      <c r="S48" s="808"/>
      <c r="T48" s="808"/>
      <c r="U48" s="808"/>
      <c r="V48" s="808"/>
    </row>
    <row r="49" spans="1:22" s="92" customFormat="1">
      <c r="A49" s="1806"/>
      <c r="B49" s="1825"/>
      <c r="C49" s="254" t="str">
        <f>IF(L50&lt;0,IF(N50&gt;0,"Income (Loss) Before Other Revenues,","Loss Before Other Revenues,"),IF(L50&gt;0,IF(N50&gt;=0,"Income Before Other Revenues,","Income (Loss) Before Other Revenues,"),IF(N59&lt;0,"Loss Before Other Revenues,",IF(N59&gt;0,"Income Before Other Revenues,","Income (Loss) Before Other Revenues,"))))</f>
        <v>Income (Loss) Before Other Revenues,</v>
      </c>
      <c r="D49" s="220"/>
      <c r="E49" s="220"/>
      <c r="F49" s="224"/>
      <c r="G49" s="224"/>
      <c r="H49" s="224"/>
      <c r="I49" s="226"/>
      <c r="J49" s="1948"/>
      <c r="K49" s="220"/>
      <c r="L49" s="2333"/>
      <c r="M49" s="220"/>
      <c r="N49" s="220"/>
      <c r="O49" s="2341"/>
      <c r="P49" s="99"/>
      <c r="Q49" s="1827"/>
      <c r="R49" s="504"/>
      <c r="S49" s="810"/>
      <c r="T49" s="808"/>
      <c r="U49" s="808"/>
      <c r="V49" s="808"/>
    </row>
    <row r="50" spans="1:22" s="92" customFormat="1">
      <c r="A50" s="1806"/>
      <c r="B50" s="1825"/>
      <c r="C50" s="224"/>
      <c r="D50" s="252" t="s">
        <v>2371</v>
      </c>
      <c r="E50" s="224"/>
      <c r="F50" s="224"/>
      <c r="G50" s="224"/>
      <c r="H50" s="224"/>
      <c r="I50" s="226"/>
      <c r="J50" s="2406">
        <f>J34+J47</f>
        <v>0</v>
      </c>
      <c r="K50" s="1952">
        <f>K34+K47</f>
        <v>0</v>
      </c>
      <c r="L50" s="2339">
        <f>L34+L47</f>
        <v>0</v>
      </c>
      <c r="M50" s="1812"/>
      <c r="N50" s="1952">
        <f>N34+N47</f>
        <v>0</v>
      </c>
      <c r="O50" s="1953">
        <f>O34+O47</f>
        <v>0</v>
      </c>
      <c r="P50" s="827"/>
      <c r="Q50" s="1827"/>
      <c r="R50" s="504"/>
      <c r="S50" s="809">
        <f>S34+S47</f>
        <v>0</v>
      </c>
      <c r="T50" s="809">
        <f>L50-S50</f>
        <v>0</v>
      </c>
      <c r="U50" s="809">
        <f>U34+U47</f>
        <v>0</v>
      </c>
      <c r="V50" s="809">
        <f>N50-U50</f>
        <v>0</v>
      </c>
    </row>
    <row r="51" spans="1:22" s="92" customFormat="1">
      <c r="A51" s="1806"/>
      <c r="B51" s="1825"/>
      <c r="C51" s="224"/>
      <c r="D51" s="252"/>
      <c r="E51" s="224"/>
      <c r="F51" s="224"/>
      <c r="G51" s="224"/>
      <c r="H51" s="224"/>
      <c r="I51" s="226"/>
      <c r="J51" s="2336"/>
      <c r="K51" s="226"/>
      <c r="L51" s="2336"/>
      <c r="M51" s="246"/>
      <c r="N51" s="246"/>
      <c r="O51" s="260"/>
      <c r="P51" s="823"/>
      <c r="Q51" s="1827"/>
      <c r="R51" s="504"/>
      <c r="S51" s="808"/>
      <c r="T51" s="808"/>
      <c r="U51" s="808"/>
      <c r="V51" s="808"/>
    </row>
    <row r="52" spans="1:22" s="92" customFormat="1">
      <c r="A52" s="1806" t="s">
        <v>424</v>
      </c>
      <c r="B52" s="1825" t="s">
        <v>2368</v>
      </c>
      <c r="C52" s="1811" t="s">
        <v>425</v>
      </c>
      <c r="D52" s="220"/>
      <c r="E52" s="224"/>
      <c r="F52" s="224"/>
      <c r="G52" s="224"/>
      <c r="H52" s="220"/>
      <c r="I52" s="226"/>
      <c r="J52" s="2401">
        <f>+'Accounts by GL'!O269+'Accounts by GL'!O271-'Accounts by GL'!L271+'Accounts by GL'!O272+'Accounts by GL'!O276+'Accounts by GL'!O280+'Accounts by GL'!O282+'Accounts by GL'!O283</f>
        <v>0</v>
      </c>
      <c r="K52" s="424">
        <v>0</v>
      </c>
      <c r="L52" s="2332">
        <f>+J52+K52</f>
        <v>0</v>
      </c>
      <c r="M52" s="1800"/>
      <c r="N52" s="424">
        <v>0</v>
      </c>
      <c r="O52" s="2340">
        <f>ROUND(N52,0)+ROUND(L52,0)</f>
        <v>0</v>
      </c>
      <c r="P52" s="1805"/>
      <c r="Q52" s="1827"/>
      <c r="R52" s="504"/>
      <c r="S52" s="808">
        <f t="shared" si="0"/>
        <v>0</v>
      </c>
      <c r="T52" s="808">
        <f t="shared" si="1"/>
        <v>0</v>
      </c>
      <c r="U52" s="808">
        <f t="shared" si="2"/>
        <v>0</v>
      </c>
      <c r="V52" s="808">
        <f t="shared" si="3"/>
        <v>0</v>
      </c>
    </row>
    <row r="53" spans="1:22" s="92" customFormat="1">
      <c r="A53" s="1806" t="s">
        <v>426</v>
      </c>
      <c r="B53" s="1825" t="s">
        <v>2372</v>
      </c>
      <c r="C53" s="1811" t="s">
        <v>427</v>
      </c>
      <c r="D53" s="220"/>
      <c r="E53" s="224"/>
      <c r="F53" s="224"/>
      <c r="G53" s="224"/>
      <c r="H53" s="220"/>
      <c r="I53" s="226"/>
      <c r="J53" s="1948">
        <f>SUM('Accounts by GL'!O226:O228)+'Accounts by GL'!O249+'Accounts by GL'!O252+'Accounts by GL'!O254+'Accounts by GL'!O258+'Accounts by GL'!O286+'Accounts by GL'!O291+'Accounts by GL'!O302+'Accounts by GL'!O306+'Accounts by GL'!J312+'Accounts by GL'!L352-'Accounts by GL'!L505+'Accounts by GL'!L313+'Accounts by GL'!O316+'Accounts by GL'!J229+'Accounts by GL'!O320+'Accounts by GL'!O372</f>
        <v>0</v>
      </c>
      <c r="K53" s="100">
        <v>0</v>
      </c>
      <c r="L53" s="2333">
        <f>+J53+K53</f>
        <v>0</v>
      </c>
      <c r="M53" s="261"/>
      <c r="N53" s="100">
        <v>0</v>
      </c>
      <c r="O53" s="2341">
        <f>ROUND(N53,0)+ROUND(L53,0)</f>
        <v>0</v>
      </c>
      <c r="P53" s="839"/>
      <c r="Q53" s="1827"/>
      <c r="R53" s="504"/>
      <c r="S53" s="810">
        <f t="shared" si="0"/>
        <v>0</v>
      </c>
      <c r="T53" s="810">
        <f t="shared" si="1"/>
        <v>0</v>
      </c>
      <c r="U53" s="810">
        <f t="shared" si="2"/>
        <v>0</v>
      </c>
      <c r="V53" s="810">
        <f t="shared" si="3"/>
        <v>0</v>
      </c>
    </row>
    <row r="54" spans="1:22">
      <c r="A54" s="1806" t="s">
        <v>428</v>
      </c>
      <c r="B54" s="1825" t="s">
        <v>2373</v>
      </c>
      <c r="C54" s="224" t="s">
        <v>104</v>
      </c>
      <c r="D54" s="220"/>
      <c r="E54" s="224"/>
      <c r="F54" s="224"/>
      <c r="G54" s="224"/>
      <c r="H54" s="220"/>
      <c r="I54" s="226"/>
      <c r="J54" s="1948">
        <f>+'Accounts by GL'!O343</f>
        <v>0</v>
      </c>
      <c r="K54" s="100">
        <v>0</v>
      </c>
      <c r="L54" s="2333">
        <f>+J54+K54</f>
        <v>0</v>
      </c>
      <c r="M54" s="261"/>
      <c r="N54" s="1278">
        <v>0</v>
      </c>
      <c r="O54" s="2341">
        <f>ROUND(N54,0)+ROUND(L54,0)</f>
        <v>0</v>
      </c>
      <c r="P54" s="839"/>
      <c r="Q54" s="1827"/>
      <c r="R54" s="1871"/>
      <c r="S54" s="810">
        <f t="shared" si="0"/>
        <v>0</v>
      </c>
      <c r="T54" s="810">
        <f t="shared" si="1"/>
        <v>0</v>
      </c>
      <c r="U54" s="810">
        <f t="shared" si="2"/>
        <v>0</v>
      </c>
      <c r="V54" s="810">
        <f t="shared" si="3"/>
        <v>0</v>
      </c>
    </row>
    <row r="55" spans="1:22">
      <c r="A55" s="1806" t="s">
        <v>429</v>
      </c>
      <c r="B55" s="1825" t="s">
        <v>2373</v>
      </c>
      <c r="C55" s="255" t="str">
        <f>IF(L55&lt;0,IF(N55&gt;0,"Other Revenues (Expenses)","Other Expenses"),IF(L55&gt;0,IF(N55&gt;=0,"Other Revenues","Other Revenues (Expenses)"),IF(N55&lt;0,"Other Expenses",IF(N55&gt;0,"Other Revenues","Other Revenues (Expenses)"))))</f>
        <v>Other Revenues (Expenses)</v>
      </c>
      <c r="D55" s="220"/>
      <c r="E55" s="224"/>
      <c r="F55" s="224"/>
      <c r="G55" s="224"/>
      <c r="H55" s="220"/>
      <c r="I55" s="226"/>
      <c r="J55" s="1949">
        <v>0</v>
      </c>
      <c r="K55" s="101">
        <v>0</v>
      </c>
      <c r="L55" s="2334">
        <f>+J55+K55</f>
        <v>0</v>
      </c>
      <c r="M55" s="261"/>
      <c r="N55" s="101">
        <v>0</v>
      </c>
      <c r="O55" s="2342">
        <f>ROUND(N55,0)+ROUND(L55,0)</f>
        <v>0</v>
      </c>
      <c r="P55" s="839"/>
      <c r="Q55" s="1827"/>
      <c r="R55" s="1871"/>
      <c r="S55" s="809">
        <f>L55</f>
        <v>0</v>
      </c>
      <c r="T55" s="809">
        <f>ROUND(S55,0)-S55</f>
        <v>0</v>
      </c>
      <c r="U55" s="810">
        <f>N55</f>
        <v>0</v>
      </c>
      <c r="V55" s="809">
        <f>ROUND(U55,0)-U55</f>
        <v>0</v>
      </c>
    </row>
    <row r="56" spans="1:22">
      <c r="A56" s="1806"/>
      <c r="B56" s="1825"/>
      <c r="C56" s="220"/>
      <c r="D56" s="220"/>
      <c r="E56" s="224"/>
      <c r="F56" s="224"/>
      <c r="G56" s="224"/>
      <c r="H56" s="224"/>
      <c r="I56" s="226"/>
      <c r="J56" s="274"/>
      <c r="K56" s="226"/>
      <c r="L56" s="274"/>
      <c r="M56" s="264"/>
      <c r="N56" s="274"/>
      <c r="O56" s="2341"/>
      <c r="P56" s="831"/>
      <c r="Q56" s="1827"/>
      <c r="R56" s="1871"/>
      <c r="S56" s="808"/>
      <c r="T56" s="808"/>
      <c r="U56" s="3749"/>
      <c r="V56" s="808"/>
    </row>
    <row r="57" spans="1:22" ht="13.5" thickBot="1">
      <c r="A57" s="1815" t="s">
        <v>433</v>
      </c>
      <c r="B57" s="1825"/>
      <c r="C57" s="252" t="s">
        <v>434</v>
      </c>
      <c r="D57" s="220"/>
      <c r="E57" s="220"/>
      <c r="F57" s="224"/>
      <c r="G57" s="224"/>
      <c r="H57" s="224"/>
      <c r="I57" s="226"/>
      <c r="J57" s="2407">
        <f>SUM(J52:J55)</f>
        <v>0</v>
      </c>
      <c r="K57" s="2083">
        <f>SUM(K52:K55)</f>
        <v>0</v>
      </c>
      <c r="L57" s="2084">
        <f t="array" ref="L57">SUM(ROUND(L52:L55,0))</f>
        <v>0</v>
      </c>
      <c r="M57" s="2085"/>
      <c r="N57" s="2083">
        <f t="array" ref="N57">SUM(ROUND(N52:N55,0))</f>
        <v>0</v>
      </c>
      <c r="O57" s="2084">
        <f t="array" ref="O57">SUM(ROUND(O52:O55,0))</f>
        <v>0</v>
      </c>
      <c r="P57" s="832"/>
      <c r="Q57" s="1827"/>
      <c r="R57" s="1871"/>
      <c r="S57" s="809">
        <f>SUM(S52:S55)</f>
        <v>0</v>
      </c>
      <c r="T57" s="809">
        <f>L57-S57</f>
        <v>0</v>
      </c>
      <c r="U57" s="809">
        <f>SUM(U52:U55)</f>
        <v>0</v>
      </c>
      <c r="V57" s="809">
        <f>N57-U57</f>
        <v>0</v>
      </c>
    </row>
    <row r="58" spans="1:22" ht="13.5" thickTop="1">
      <c r="A58" s="1806"/>
      <c r="B58" s="1825"/>
      <c r="C58" s="252"/>
      <c r="D58" s="220"/>
      <c r="E58" s="220"/>
      <c r="F58" s="224"/>
      <c r="G58" s="224"/>
      <c r="H58" s="224"/>
      <c r="I58" s="226"/>
      <c r="J58" s="2408"/>
      <c r="K58" s="1812"/>
      <c r="L58" s="236"/>
      <c r="M58" s="1812"/>
      <c r="N58" s="1812"/>
      <c r="O58" s="236"/>
      <c r="P58" s="829"/>
      <c r="Q58" s="1827"/>
      <c r="R58" s="1871"/>
      <c r="S58" s="808"/>
      <c r="T58" s="808"/>
      <c r="U58" s="808"/>
      <c r="V58" s="808"/>
    </row>
    <row r="59" spans="1:22">
      <c r="A59" s="1815"/>
      <c r="B59" s="1825"/>
      <c r="C59" s="254" t="str">
        <f>IF(L59&lt;0,IF(N59&gt;0,"Increase (Decrease) in Net Position","Decrease in Net Position"),IF(L59&gt;0,IF(N59&gt;=0,"Increase in Net Position","Increase (Decrease) in Net Position"),IF(N59&lt;0,"Decrease in Net Position",IF(N59&gt;0,"Increase in Net Position","Increase (Decrease) in Net Position"))))</f>
        <v>Increase (Decrease) in Net Position</v>
      </c>
      <c r="D59" s="220"/>
      <c r="E59" s="220"/>
      <c r="F59" s="224"/>
      <c r="G59" s="224"/>
      <c r="H59" s="224"/>
      <c r="I59" s="226"/>
      <c r="J59" s="2409">
        <f>J50+J57</f>
        <v>0</v>
      </c>
      <c r="K59" s="1952">
        <f>K50+K57</f>
        <v>0</v>
      </c>
      <c r="L59" s="1953">
        <f>L50+L57</f>
        <v>0</v>
      </c>
      <c r="M59" s="1814"/>
      <c r="N59" s="1952">
        <f>N50+N57</f>
        <v>0</v>
      </c>
      <c r="O59" s="1953">
        <f>O50+O57</f>
        <v>0</v>
      </c>
      <c r="P59" s="832"/>
      <c r="Q59" s="1827"/>
      <c r="R59" s="1871"/>
      <c r="S59" s="809">
        <f>S50+S57</f>
        <v>0</v>
      </c>
      <c r="T59" s="809">
        <f>S59-L59</f>
        <v>0</v>
      </c>
      <c r="U59" s="809">
        <f>U50+U57</f>
        <v>0</v>
      </c>
      <c r="V59" s="809">
        <f>N59-U59</f>
        <v>0</v>
      </c>
    </row>
    <row r="60" spans="1:22">
      <c r="A60" s="1806"/>
      <c r="B60" s="1825"/>
      <c r="C60" s="270"/>
      <c r="D60" s="220"/>
      <c r="E60" s="220"/>
      <c r="F60" s="224"/>
      <c r="G60" s="224"/>
      <c r="H60" s="224"/>
      <c r="I60" s="226"/>
      <c r="J60" s="265"/>
      <c r="K60" s="226"/>
      <c r="L60" s="265"/>
      <c r="M60" s="265"/>
      <c r="N60" s="265"/>
      <c r="O60" s="265"/>
      <c r="P60" s="833"/>
      <c r="Q60" s="1827"/>
      <c r="R60" s="1871"/>
      <c r="S60" s="808"/>
      <c r="T60" s="808"/>
      <c r="U60" s="808"/>
      <c r="V60" s="808"/>
    </row>
    <row r="61" spans="1:22">
      <c r="A61" s="1806" t="s">
        <v>435</v>
      </c>
      <c r="B61" s="1825"/>
      <c r="C61" s="224" t="s">
        <v>2374</v>
      </c>
      <c r="D61" s="220"/>
      <c r="E61" s="224"/>
      <c r="F61" s="224"/>
      <c r="G61" s="224"/>
      <c r="H61" s="224"/>
      <c r="I61" s="226"/>
      <c r="J61" s="553"/>
      <c r="K61" s="226"/>
      <c r="L61" s="553" t="e">
        <f>VLOOKUP($J$1,VLOOKUP!A44:D71,2,FALSE)</f>
        <v>#N/A</v>
      </c>
      <c r="M61" s="1800"/>
      <c r="N61" s="553" t="e">
        <f>VLOOKUP($J$1,VLOOKUP!A44:D71,3,FALSE)</f>
        <v>#N/A</v>
      </c>
      <c r="O61" s="2333" t="e">
        <f>ROUND(N61,0)+ROUND(L61,0)</f>
        <v>#N/A</v>
      </c>
      <c r="P61" s="834"/>
      <c r="Q61" s="1827"/>
      <c r="R61" s="1871"/>
      <c r="S61" s="808" t="e">
        <f t="shared" si="0"/>
        <v>#N/A</v>
      </c>
      <c r="T61" s="808" t="e">
        <f t="shared" si="1"/>
        <v>#N/A</v>
      </c>
      <c r="U61" s="808" t="e">
        <f t="shared" si="2"/>
        <v>#N/A</v>
      </c>
      <c r="V61" s="808" t="e">
        <f t="shared" si="3"/>
        <v>#N/A</v>
      </c>
    </row>
    <row r="62" spans="1:22">
      <c r="A62" s="1806" t="s">
        <v>437</v>
      </c>
      <c r="B62" s="1825" t="s">
        <v>1911</v>
      </c>
      <c r="C62" s="224" t="s">
        <v>2375</v>
      </c>
      <c r="D62" s="220"/>
      <c r="E62" s="224"/>
      <c r="F62" s="224"/>
      <c r="G62" s="224"/>
      <c r="H62" s="224"/>
      <c r="I62" s="226"/>
      <c r="J62" s="1809"/>
      <c r="K62" s="226"/>
      <c r="L62" s="2461">
        <v>0</v>
      </c>
      <c r="M62" s="1800"/>
      <c r="N62" s="89"/>
      <c r="O62" s="2334">
        <f>ROUND(N62,0)+ROUND(L62,0)</f>
        <v>0</v>
      </c>
      <c r="P62" s="1805"/>
      <c r="Q62" s="1827"/>
      <c r="R62" s="1871"/>
      <c r="S62" s="809">
        <f t="shared" si="0"/>
        <v>0</v>
      </c>
      <c r="T62" s="809">
        <f t="shared" si="1"/>
        <v>0</v>
      </c>
      <c r="U62" s="809">
        <f t="shared" si="2"/>
        <v>0</v>
      </c>
      <c r="V62" s="809">
        <f t="shared" si="3"/>
        <v>0</v>
      </c>
    </row>
    <row r="63" spans="1:22" s="96" customFormat="1">
      <c r="A63" s="1806"/>
      <c r="B63" s="1825"/>
      <c r="C63" s="1811"/>
      <c r="D63" s="1811"/>
      <c r="E63" s="1811"/>
      <c r="F63" s="1811"/>
      <c r="G63" s="1811"/>
      <c r="H63" s="271"/>
      <c r="I63" s="1811"/>
      <c r="J63" s="1803"/>
      <c r="K63" s="1811"/>
      <c r="L63" s="1814"/>
      <c r="M63" s="243"/>
      <c r="N63" s="243"/>
      <c r="O63" s="243"/>
      <c r="P63" s="835"/>
      <c r="Q63" s="1827"/>
      <c r="R63" s="307"/>
      <c r="S63" s="808"/>
      <c r="T63" s="808"/>
      <c r="U63" s="808"/>
      <c r="V63" s="808"/>
    </row>
    <row r="64" spans="1:22" s="96" customFormat="1">
      <c r="A64" s="1815"/>
      <c r="B64" s="1825"/>
      <c r="C64" s="219" t="s">
        <v>2376</v>
      </c>
      <c r="D64" s="1811"/>
      <c r="E64" s="1811"/>
      <c r="F64" s="1811"/>
      <c r="G64" s="1811"/>
      <c r="H64" s="1813"/>
      <c r="I64" s="1813"/>
      <c r="J64" s="1039"/>
      <c r="K64" s="1813"/>
      <c r="L64" s="552" t="e">
        <f t="array" ref="L64">SUM(ROUND(L61:L62,0))</f>
        <v>#N/A</v>
      </c>
      <c r="M64" s="1814"/>
      <c r="N64" s="552" t="e">
        <f t="array" ref="N64">SUM(ROUND(N61:N62,0))</f>
        <v>#N/A</v>
      </c>
      <c r="O64" s="552" t="e">
        <f t="array" ref="O64">SUM(ROUND(O61:O62,0))</f>
        <v>#N/A</v>
      </c>
      <c r="P64" s="832"/>
      <c r="Q64" s="1827"/>
      <c r="R64" s="307"/>
      <c r="S64" s="810" t="e">
        <f>SUM(S61:S62)</f>
        <v>#N/A</v>
      </c>
      <c r="T64" s="808" t="e">
        <f>L64-S64</f>
        <v>#N/A</v>
      </c>
      <c r="U64" s="810" t="e">
        <f>SUM(U61:U62)</f>
        <v>#N/A</v>
      </c>
      <c r="V64" s="808" t="e">
        <f>N64-U64</f>
        <v>#N/A</v>
      </c>
    </row>
    <row r="65" spans="1:22" s="96" customFormat="1">
      <c r="A65" s="1806"/>
      <c r="B65" s="1825"/>
      <c r="C65" s="1811"/>
      <c r="D65" s="1811"/>
      <c r="E65" s="1811"/>
      <c r="F65" s="1811"/>
      <c r="G65" s="1811"/>
      <c r="H65" s="272"/>
      <c r="I65" s="1811"/>
      <c r="J65" s="272"/>
      <c r="K65" s="1811"/>
      <c r="L65" s="272"/>
      <c r="M65" s="1813"/>
      <c r="N65" s="1813"/>
      <c r="O65" s="1813"/>
      <c r="P65" s="1820"/>
      <c r="Q65" s="1827"/>
      <c r="R65" s="307"/>
      <c r="S65" s="808"/>
      <c r="T65" s="808"/>
      <c r="U65" s="808"/>
      <c r="V65" s="808"/>
    </row>
    <row r="66" spans="1:22" ht="13.5" thickBot="1">
      <c r="A66" s="1806"/>
      <c r="B66" s="1825"/>
      <c r="C66" s="252" t="s">
        <v>2377</v>
      </c>
      <c r="D66" s="220"/>
      <c r="E66" s="224"/>
      <c r="F66" s="224"/>
      <c r="G66" s="224"/>
      <c r="H66" s="224"/>
      <c r="I66" s="273"/>
      <c r="J66" s="1998"/>
      <c r="K66" s="273"/>
      <c r="L66" s="552" t="e">
        <f>L59+L64</f>
        <v>#N/A</v>
      </c>
      <c r="M66" s="1814"/>
      <c r="N66" s="552" t="e">
        <f>N59+N64</f>
        <v>#N/A</v>
      </c>
      <c r="O66" s="552" t="e">
        <f>O59+O64</f>
        <v>#N/A</v>
      </c>
      <c r="P66" s="836"/>
      <c r="Q66" s="1827"/>
      <c r="R66" s="1871"/>
      <c r="S66" s="811" t="e">
        <f>S64+S59</f>
        <v>#N/A</v>
      </c>
      <c r="T66" s="811" t="e">
        <f>L66-S66</f>
        <v>#N/A</v>
      </c>
      <c r="U66" s="811" t="e">
        <f>U64+U59</f>
        <v>#N/A</v>
      </c>
      <c r="V66" s="811" t="e">
        <f>N66-U66</f>
        <v>#N/A</v>
      </c>
    </row>
    <row r="67" spans="1:22" ht="13.5" thickTop="1">
      <c r="A67" s="1815"/>
      <c r="B67" s="1825"/>
      <c r="C67" s="224"/>
      <c r="D67" s="224"/>
      <c r="E67" s="224"/>
      <c r="F67" s="224"/>
      <c r="G67" s="224"/>
      <c r="H67" s="224"/>
      <c r="I67" s="226"/>
      <c r="J67" s="276"/>
      <c r="K67" s="226"/>
      <c r="L67" s="276"/>
      <c r="M67" s="226"/>
      <c r="N67" s="276"/>
      <c r="O67" s="276"/>
      <c r="P67" s="837"/>
      <c r="Q67" s="1826"/>
      <c r="R67" s="1871"/>
      <c r="S67" s="1871"/>
      <c r="T67" s="1871"/>
      <c r="U67" s="1871"/>
      <c r="V67" s="1871"/>
    </row>
    <row r="68" spans="1:22">
      <c r="A68" s="1806"/>
      <c r="B68" s="1825"/>
      <c r="C68" s="220" t="s">
        <v>2347</v>
      </c>
      <c r="D68" s="220"/>
      <c r="E68" s="220"/>
      <c r="F68" s="220"/>
      <c r="G68" s="220"/>
      <c r="H68" s="220"/>
      <c r="I68" s="269"/>
      <c r="J68" s="220"/>
      <c r="K68" s="269"/>
      <c r="L68" s="220"/>
      <c r="M68" s="269"/>
      <c r="N68" s="220"/>
      <c r="O68" s="220"/>
      <c r="P68" s="99"/>
      <c r="Q68" s="1826"/>
      <c r="R68" s="1871"/>
      <c r="S68" s="1871"/>
      <c r="T68" s="1871"/>
      <c r="U68" s="1871"/>
      <c r="V68" s="1871"/>
    </row>
    <row r="69" spans="1:22">
      <c r="A69" s="1823"/>
      <c r="B69" s="1824"/>
      <c r="C69" s="1821"/>
      <c r="D69" s="1821"/>
      <c r="E69" s="1821"/>
      <c r="F69" s="1821"/>
      <c r="G69" s="1821"/>
      <c r="H69" s="1821"/>
      <c r="I69" s="1821"/>
      <c r="J69" s="484"/>
      <c r="K69" s="1821"/>
      <c r="L69" s="484" t="e">
        <f>L66-SNP!M129</f>
        <v>#N/A</v>
      </c>
      <c r="M69" s="102"/>
      <c r="N69" s="840" t="e">
        <f>N66-SNP!O129</f>
        <v>#N/A</v>
      </c>
      <c r="O69" s="840" t="e">
        <f>O66-SNP!P129</f>
        <v>#N/A</v>
      </c>
      <c r="P69" s="838"/>
      <c r="Q69" s="1826"/>
      <c r="R69" s="1871"/>
      <c r="S69" s="1871"/>
      <c r="T69" s="1871"/>
      <c r="U69" s="1871"/>
      <c r="V69" s="1871"/>
    </row>
    <row r="70" spans="1:22">
      <c r="A70" s="1823"/>
      <c r="B70" s="1824"/>
      <c r="C70" s="1821"/>
      <c r="D70" s="1821"/>
      <c r="E70" s="1821"/>
      <c r="F70" s="1821"/>
      <c r="G70" s="1821"/>
      <c r="H70" s="1821"/>
      <c r="I70" s="812" t="s">
        <v>2349</v>
      </c>
      <c r="J70" s="812"/>
      <c r="K70" s="812"/>
      <c r="L70" s="2462"/>
      <c r="M70" s="2463"/>
      <c r="N70" s="2462"/>
      <c r="O70" s="2462"/>
      <c r="P70" s="2462"/>
      <c r="Q70" s="2464"/>
      <c r="R70" s="1871"/>
      <c r="S70" s="1871"/>
      <c r="T70" s="1871"/>
      <c r="U70" s="1871"/>
      <c r="V70" s="1871"/>
    </row>
    <row r="71" spans="1:22">
      <c r="A71" s="1823"/>
      <c r="B71" s="1824"/>
      <c r="C71" s="1821"/>
      <c r="D71" s="1821"/>
      <c r="E71" s="1821"/>
      <c r="F71" s="1821"/>
      <c r="G71" s="1821"/>
      <c r="H71" s="1821"/>
      <c r="L71" s="2462"/>
      <c r="M71" s="2463"/>
      <c r="N71" s="2462"/>
      <c r="O71" s="2462"/>
      <c r="P71" s="2462"/>
      <c r="Q71" s="2464"/>
      <c r="R71" s="1871"/>
      <c r="S71" s="1871"/>
      <c r="T71" s="1871"/>
      <c r="U71" s="1871"/>
      <c r="V71" s="1871"/>
    </row>
    <row r="72" spans="1:22">
      <c r="A72" s="1823"/>
      <c r="B72" s="1824"/>
      <c r="C72" s="1821"/>
      <c r="D72" s="1821"/>
      <c r="E72" s="1821"/>
      <c r="F72" s="1821"/>
      <c r="G72" s="1821"/>
      <c r="H72" s="1821"/>
      <c r="L72" s="2462"/>
      <c r="M72" s="2463"/>
      <c r="N72" s="2465"/>
      <c r="O72" s="2465"/>
      <c r="P72" s="2465"/>
      <c r="Q72" s="2464"/>
      <c r="R72" s="1871"/>
      <c r="S72" s="1871"/>
      <c r="T72" s="1871"/>
      <c r="U72" s="1871"/>
      <c r="V72" s="1871"/>
    </row>
    <row r="73" spans="1:22">
      <c r="A73" s="1823"/>
      <c r="B73" s="1824"/>
      <c r="C73" s="1821"/>
      <c r="D73" s="1821"/>
      <c r="E73" s="1821"/>
      <c r="F73" s="1821"/>
      <c r="G73" s="1821"/>
      <c r="H73" s="1821"/>
      <c r="L73" s="2462"/>
      <c r="M73" s="2463"/>
      <c r="N73" s="2462"/>
      <c r="O73" s="2462"/>
      <c r="P73" s="2462"/>
      <c r="Q73" s="2464"/>
      <c r="R73" s="1871"/>
      <c r="S73" s="1871"/>
      <c r="T73" s="1871"/>
      <c r="U73" s="1871"/>
      <c r="V73" s="1871"/>
    </row>
    <row r="74" spans="1:22">
      <c r="A74" s="1823"/>
      <c r="B74" s="1824"/>
      <c r="C74" s="1821"/>
      <c r="D74" s="1821"/>
      <c r="E74" s="1821"/>
      <c r="F74" s="1821"/>
      <c r="G74" s="1821"/>
      <c r="H74" s="1821"/>
      <c r="L74" s="2462"/>
      <c r="M74" s="2463"/>
      <c r="N74" s="2462"/>
      <c r="O74" s="2462"/>
      <c r="P74" s="2462"/>
      <c r="Q74" s="2464"/>
      <c r="R74" s="1871"/>
      <c r="S74" s="1871"/>
      <c r="T74" s="1871"/>
      <c r="U74" s="1871"/>
      <c r="V74" s="1871"/>
    </row>
    <row r="75" spans="1:22">
      <c r="A75" s="1823"/>
      <c r="B75" s="1824"/>
      <c r="C75" s="1821"/>
      <c r="D75" s="1821"/>
      <c r="E75" s="1821"/>
      <c r="F75" s="1821"/>
      <c r="G75" s="1821"/>
      <c r="H75" s="1821"/>
      <c r="L75" s="2462"/>
      <c r="M75" s="2463"/>
      <c r="N75" s="2462"/>
      <c r="O75" s="2462"/>
      <c r="P75" s="2462"/>
      <c r="Q75" s="2464"/>
      <c r="R75" s="1871"/>
      <c r="S75" s="1871"/>
      <c r="T75" s="1871"/>
      <c r="U75" s="1871"/>
      <c r="V75" s="1871"/>
    </row>
    <row r="76" spans="1:22">
      <c r="A76" s="1798"/>
      <c r="B76" s="1799"/>
      <c r="C76" s="1821"/>
      <c r="D76" s="1821"/>
      <c r="E76" s="1821"/>
      <c r="F76" s="1821"/>
      <c r="G76" s="1821"/>
      <c r="H76" s="1821"/>
      <c r="L76" s="2462"/>
      <c r="M76" s="2463"/>
      <c r="N76" s="2462"/>
      <c r="O76" s="2462"/>
      <c r="P76" s="2462"/>
      <c r="Q76" s="2464"/>
      <c r="R76" s="1871"/>
      <c r="S76" s="1871"/>
      <c r="T76" s="1871"/>
      <c r="U76" s="1871"/>
      <c r="V76" s="1871"/>
    </row>
    <row r="77" spans="1:22">
      <c r="A77" s="1823"/>
      <c r="B77" s="1824"/>
      <c r="C77" s="1821"/>
      <c r="D77" s="1821"/>
      <c r="E77" s="1821"/>
      <c r="F77" s="1821"/>
      <c r="G77" s="1821"/>
      <c r="H77" s="1821"/>
      <c r="L77" s="2462"/>
      <c r="M77" s="2463"/>
      <c r="N77" s="2462"/>
      <c r="O77" s="2462"/>
      <c r="P77" s="2462"/>
      <c r="Q77" s="2464"/>
      <c r="R77" s="1871"/>
      <c r="S77" s="1871"/>
      <c r="T77" s="1871"/>
      <c r="U77" s="1871"/>
      <c r="V77" s="1871"/>
    </row>
    <row r="78" spans="1:22">
      <c r="A78" s="1798"/>
      <c r="B78" s="1799"/>
      <c r="C78" s="1821"/>
      <c r="D78" s="1821"/>
      <c r="E78" s="1821"/>
      <c r="F78" s="1821"/>
      <c r="G78" s="1821"/>
      <c r="H78" s="1821"/>
      <c r="L78" s="2462"/>
      <c r="M78" s="2463"/>
      <c r="N78" s="2462"/>
      <c r="O78" s="2462"/>
      <c r="P78" s="2462"/>
      <c r="Q78" s="2464"/>
      <c r="R78" s="1871"/>
      <c r="S78" s="1871"/>
      <c r="T78" s="1871"/>
      <c r="U78" s="1871"/>
      <c r="V78" s="1871"/>
    </row>
    <row r="79" spans="1:22">
      <c r="A79" s="1823"/>
      <c r="B79" s="1824"/>
      <c r="C79" s="1821"/>
      <c r="D79" s="1821"/>
      <c r="E79" s="1821"/>
      <c r="F79" s="1821"/>
      <c r="G79" s="1821"/>
      <c r="H79" s="1821"/>
      <c r="L79" s="2462"/>
      <c r="M79" s="2463"/>
      <c r="N79" s="2462"/>
      <c r="O79" s="2462"/>
      <c r="P79" s="2462"/>
      <c r="Q79" s="2464"/>
      <c r="R79" s="1871"/>
      <c r="S79" s="1871"/>
      <c r="T79" s="1871"/>
      <c r="U79" s="1871"/>
      <c r="V79" s="1871"/>
    </row>
    <row r="80" spans="1:22">
      <c r="A80" s="1798"/>
      <c r="B80" s="1799"/>
      <c r="C80" s="1821"/>
      <c r="D80" s="1821"/>
      <c r="E80" s="1821"/>
      <c r="F80" s="1821"/>
      <c r="G80" s="1821"/>
      <c r="H80" s="1821"/>
      <c r="L80" s="2462"/>
      <c r="M80" s="2463"/>
      <c r="N80" s="2462"/>
      <c r="O80" s="2462"/>
      <c r="P80" s="2462"/>
      <c r="Q80" s="2464"/>
      <c r="R80" s="1871"/>
      <c r="S80" s="1871"/>
      <c r="T80" s="1871"/>
      <c r="U80" s="1871"/>
      <c r="V80" s="1871"/>
    </row>
    <row r="81" spans="1:17">
      <c r="A81" s="1823"/>
      <c r="B81" s="1824"/>
      <c r="C81" s="1821"/>
      <c r="D81" s="1821"/>
      <c r="E81" s="1821"/>
      <c r="F81" s="1821"/>
      <c r="G81" s="1821"/>
      <c r="H81" s="1821"/>
      <c r="L81" s="2462"/>
      <c r="M81" s="2463"/>
      <c r="N81" s="2462"/>
      <c r="O81" s="2462"/>
      <c r="P81" s="2462"/>
      <c r="Q81" s="2464"/>
    </row>
    <row r="82" spans="1:17">
      <c r="A82" s="1823"/>
      <c r="B82" s="1824"/>
      <c r="C82" s="1821"/>
      <c r="D82" s="1821"/>
      <c r="E82" s="1821"/>
      <c r="F82" s="1821"/>
      <c r="G82" s="1821"/>
      <c r="H82" s="1821"/>
      <c r="L82" s="2462"/>
      <c r="M82" s="2463"/>
      <c r="N82" s="2462"/>
      <c r="O82" s="2462"/>
      <c r="P82" s="2462"/>
      <c r="Q82" s="2464"/>
    </row>
    <row r="83" spans="1:17">
      <c r="A83" s="1823"/>
      <c r="B83" s="1824"/>
      <c r="C83" s="1821"/>
      <c r="D83" s="1821"/>
      <c r="E83" s="1821"/>
      <c r="F83" s="1821"/>
      <c r="G83" s="1821"/>
      <c r="H83" s="1821"/>
      <c r="L83" s="2462"/>
      <c r="M83" s="2463"/>
      <c r="N83" s="2462"/>
      <c r="O83" s="2462"/>
      <c r="P83" s="2462"/>
      <c r="Q83" s="2464"/>
    </row>
    <row r="84" spans="1:17">
      <c r="A84" s="1823"/>
      <c r="B84" s="1824"/>
      <c r="C84" s="1821"/>
      <c r="D84" s="1821"/>
      <c r="E84" s="1821"/>
      <c r="F84" s="1821"/>
      <c r="G84" s="1821"/>
      <c r="H84" s="1821"/>
      <c r="L84" s="2462"/>
      <c r="M84" s="2463"/>
      <c r="N84" s="2462"/>
      <c r="O84" s="2462"/>
      <c r="P84" s="2462"/>
      <c r="Q84" s="2464"/>
    </row>
    <row r="85" spans="1:17">
      <c r="A85" s="1823"/>
      <c r="B85" s="1824"/>
      <c r="C85" s="1821"/>
      <c r="D85" s="1821"/>
      <c r="E85" s="1821"/>
      <c r="F85" s="1821"/>
      <c r="G85" s="1821"/>
      <c r="H85" s="1821"/>
      <c r="L85" s="2462"/>
      <c r="M85" s="2463"/>
      <c r="N85" s="2462"/>
      <c r="O85" s="2462"/>
      <c r="P85" s="2462"/>
      <c r="Q85" s="2464"/>
    </row>
    <row r="86" spans="1:17">
      <c r="A86" s="1823"/>
      <c r="B86" s="1824"/>
      <c r="C86" s="1821"/>
      <c r="D86" s="1821"/>
      <c r="E86" s="1821"/>
      <c r="F86" s="1821"/>
      <c r="G86" s="1821"/>
      <c r="H86" s="1821"/>
      <c r="L86" s="2462"/>
      <c r="M86" s="2463"/>
      <c r="N86" s="2462"/>
      <c r="O86" s="2462"/>
      <c r="P86" s="2462"/>
      <c r="Q86" s="2464"/>
    </row>
    <row r="87" spans="1:17">
      <c r="A87" s="1823"/>
      <c r="B87" s="1824"/>
      <c r="C87" s="1821"/>
      <c r="D87" s="1821"/>
      <c r="E87" s="1821"/>
      <c r="F87" s="1821"/>
      <c r="G87" s="1821"/>
      <c r="H87" s="1821"/>
      <c r="L87" s="2462"/>
      <c r="M87" s="2463"/>
      <c r="N87" s="2462"/>
      <c r="O87" s="2462"/>
      <c r="P87" s="2462"/>
      <c r="Q87" s="2464"/>
    </row>
    <row r="88" spans="1:17">
      <c r="A88" s="1823"/>
      <c r="B88" s="1824"/>
      <c r="C88" s="1821"/>
      <c r="D88" s="1821"/>
      <c r="E88" s="1821"/>
      <c r="F88" s="1821"/>
      <c r="G88" s="1821"/>
      <c r="H88" s="1821"/>
      <c r="L88" s="2462"/>
      <c r="M88" s="2463"/>
      <c r="N88" s="2462"/>
      <c r="O88" s="2462"/>
      <c r="P88" s="2462"/>
      <c r="Q88" s="2464"/>
    </row>
    <row r="89" spans="1:17">
      <c r="A89" s="1823"/>
      <c r="B89" s="1824"/>
      <c r="C89" s="1821"/>
      <c r="D89" s="1821"/>
      <c r="E89" s="1821"/>
      <c r="F89" s="1821"/>
      <c r="G89" s="1821"/>
      <c r="H89" s="1821"/>
      <c r="L89" s="2462"/>
      <c r="M89" s="2463"/>
      <c r="N89" s="2462"/>
      <c r="O89" s="2462"/>
      <c r="P89" s="2462"/>
      <c r="Q89" s="2464"/>
    </row>
    <row r="90" spans="1:17">
      <c r="A90" s="1823"/>
      <c r="B90" s="1824"/>
      <c r="C90" s="1821"/>
      <c r="D90" s="1821"/>
      <c r="E90" s="1821"/>
      <c r="F90" s="1821"/>
      <c r="G90" s="1821"/>
      <c r="H90" s="1821"/>
      <c r="L90" s="2462"/>
      <c r="M90" s="2463"/>
      <c r="N90" s="2462"/>
      <c r="O90" s="2462"/>
      <c r="P90" s="2462"/>
      <c r="Q90" s="2464"/>
    </row>
    <row r="91" spans="1:17">
      <c r="A91" s="1823"/>
      <c r="B91" s="1824"/>
      <c r="C91" s="1821"/>
      <c r="D91" s="1821"/>
      <c r="E91" s="1821"/>
      <c r="F91" s="1821"/>
      <c r="G91" s="1821"/>
      <c r="H91" s="1821"/>
      <c r="L91" s="2462"/>
      <c r="M91" s="2463"/>
      <c r="N91" s="2462"/>
      <c r="O91" s="2462"/>
      <c r="P91" s="2462"/>
      <c r="Q91" s="2464"/>
    </row>
    <row r="92" spans="1:17">
      <c r="A92" s="1823"/>
      <c r="B92" s="1824"/>
      <c r="C92" s="1821"/>
      <c r="D92" s="1821"/>
      <c r="E92" s="1821"/>
      <c r="F92" s="1821"/>
      <c r="G92" s="1821"/>
      <c r="H92" s="1821"/>
      <c r="L92" s="2462"/>
      <c r="M92" s="2463"/>
      <c r="N92" s="2462"/>
      <c r="O92" s="2462"/>
      <c r="P92" s="2462"/>
      <c r="Q92" s="2464"/>
    </row>
    <row r="93" spans="1:17">
      <c r="A93" s="1823"/>
      <c r="B93" s="1824"/>
      <c r="C93" s="1821"/>
      <c r="D93" s="1821"/>
      <c r="E93" s="1821"/>
      <c r="F93" s="1821"/>
      <c r="G93" s="1821"/>
      <c r="H93" s="1821"/>
      <c r="L93" s="2462"/>
      <c r="M93" s="2463"/>
      <c r="N93" s="2462"/>
      <c r="O93" s="2462"/>
      <c r="P93" s="2462"/>
      <c r="Q93" s="2464"/>
    </row>
    <row r="94" spans="1:17">
      <c r="A94" s="1798"/>
      <c r="B94" s="1799"/>
      <c r="C94" s="1821"/>
      <c r="D94" s="1821"/>
      <c r="E94" s="1821"/>
      <c r="F94" s="1821"/>
      <c r="G94" s="1821"/>
      <c r="H94" s="1821"/>
      <c r="L94" s="783"/>
      <c r="M94" s="861"/>
      <c r="N94" s="783"/>
      <c r="O94" s="783"/>
      <c r="P94" s="783"/>
      <c r="Q94" s="1827"/>
    </row>
    <row r="95" spans="1:17">
      <c r="A95" s="1823"/>
      <c r="B95" s="1824"/>
      <c r="C95" s="1821"/>
      <c r="D95" s="1821"/>
      <c r="E95" s="1821"/>
      <c r="F95" s="1821"/>
      <c r="G95" s="1821"/>
      <c r="H95" s="1821"/>
      <c r="L95" s="1821"/>
      <c r="N95" s="1821"/>
      <c r="O95" s="1821"/>
      <c r="P95" s="1821"/>
      <c r="Q95" s="1826"/>
    </row>
    <row r="96" spans="1:17">
      <c r="A96" s="1798"/>
      <c r="B96" s="1799"/>
      <c r="C96" s="1821"/>
      <c r="D96" s="1821"/>
      <c r="E96" s="1821"/>
      <c r="F96" s="1821"/>
      <c r="G96" s="1821"/>
      <c r="H96" s="1821"/>
      <c r="L96" s="1821"/>
      <c r="N96" s="1821"/>
      <c r="O96" s="1821"/>
      <c r="P96" s="1821"/>
      <c r="Q96" s="1826"/>
    </row>
    <row r="97" spans="2:2">
      <c r="B97" s="1824"/>
    </row>
  </sheetData>
  <sheetProtection formatColumns="0" formatRows="0"/>
  <sortState ref="E99:G126">
    <sortCondition ref="E99:E126"/>
  </sortState>
  <conditionalFormatting sqref="L69 N69">
    <cfRule type="cellIs" dxfId="369" priority="68" operator="notEqual">
      <formula>0</formula>
    </cfRule>
    <cfRule type="cellIs" dxfId="368" priority="69" operator="equal">
      <formula>0</formula>
    </cfRule>
  </conditionalFormatting>
  <conditionalFormatting sqref="V20 T20 T32 V32 V34 T34 T47 V47 V50 T50 T59 V59 V57 T57 T64 V64 V66 T66">
    <cfRule type="cellIs" dxfId="367" priority="66" operator="notBetween">
      <formula>-0.5</formula>
      <formula>0.5</formula>
    </cfRule>
    <cfRule type="cellIs" dxfId="366" priority="67" operator="between">
      <formula>-0.5</formula>
      <formula>0.5</formula>
    </cfRule>
  </conditionalFormatting>
  <conditionalFormatting sqref="U20 U32 U34 U47 U50 U57 U59 U64 U66">
    <cfRule type="expression" dxfId="365" priority="78">
      <formula>ROUND($U20,0)&lt;&gt;$N20</formula>
    </cfRule>
    <cfRule type="expression" dxfId="364" priority="79">
      <formula>ROUND($U20,0)=$N20</formula>
    </cfRule>
  </conditionalFormatting>
  <conditionalFormatting sqref="S20 S32 S34 S47 S50 S59 S57 S64 S66">
    <cfRule type="expression" dxfId="363" priority="112">
      <formula>ROUND($S20,0)&lt;&gt;$L20</formula>
    </cfRule>
  </conditionalFormatting>
  <conditionalFormatting sqref="S20 S32 S34 S47 S50 S57 S59 S64 S66">
    <cfRule type="expression" dxfId="362" priority="121">
      <formula>ROUND($S20,0)=$L20</formula>
    </cfRule>
  </conditionalFormatting>
  <conditionalFormatting sqref="U57">
    <cfRule type="expression" dxfId="361" priority="44">
      <formula>ROUND($S57,0)&lt;&gt;$L57</formula>
    </cfRule>
  </conditionalFormatting>
  <conditionalFormatting sqref="U57">
    <cfRule type="expression" dxfId="360" priority="43">
      <formula>ROUND($S57,0)=$L57</formula>
    </cfRule>
  </conditionalFormatting>
  <conditionalFormatting sqref="O69">
    <cfRule type="cellIs" dxfId="359" priority="41" operator="notEqual">
      <formula>0</formula>
    </cfRule>
    <cfRule type="cellIs" dxfId="358" priority="42" operator="equal">
      <formula>0</formula>
    </cfRule>
  </conditionalFormatting>
  <conditionalFormatting sqref="J69">
    <cfRule type="cellIs" dxfId="357" priority="13" operator="notEqual">
      <formula>0</formula>
    </cfRule>
    <cfRule type="cellIs" dxfId="356" priority="14" operator="equal">
      <formula>0</formula>
    </cfRule>
  </conditionalFormatting>
  <printOptions horizontalCentered="1"/>
  <pageMargins left="0.7" right="0.7" top="0.75" bottom="0.75" header="0.5" footer="0.5"/>
  <pageSetup scale="71" orientation="portrait" horizontalDpi="300" verticalDpi="300" r:id="rId1"/>
  <headerFooter>
    <oddHeader>&amp;L&amp;"Arial,Regular"&amp;8&amp;F&amp;R&amp;"Arial,Regular"&amp;8&amp;A</oddHeader>
    <oddFooter>&amp;L&amp;"Arial,Regular"&amp;8&amp;D&amp;R&amp;"Arial,Regular"&amp;8&amp;P of &amp;N</oddFooter>
  </headerFooter>
  <ignoredErrors>
    <ignoredError sqref="T11:T15 T20:T23 T56:T66 T25:T45 T17:T18 T47:T54" formula="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C000"/>
  </sheetPr>
  <dimension ref="A1:U148"/>
  <sheetViews>
    <sheetView topLeftCell="B1" zoomScaleNormal="100" workbookViewId="0">
      <selection activeCell="B1" sqref="B1"/>
    </sheetView>
  </sheetViews>
  <sheetFormatPr defaultColWidth="9.140625" defaultRowHeight="12.75"/>
  <cols>
    <col min="1" max="1" width="11.85546875" style="818" hidden="1" customWidth="1"/>
    <col min="2" max="3" width="2" style="112" customWidth="1"/>
    <col min="4" max="5" width="9.140625" style="112"/>
    <col min="6" max="7" width="9.140625" style="96"/>
    <col min="8" max="10" width="9.140625" style="111"/>
    <col min="11" max="11" width="17.42578125" style="111" customWidth="1"/>
    <col min="12" max="12" width="16" style="111" customWidth="1"/>
    <col min="13" max="13" width="17.85546875" style="113" bestFit="1" customWidth="1"/>
    <col min="14" max="14" width="9" style="113" bestFit="1" customWidth="1"/>
    <col min="15" max="15" width="24.85546875" style="111" customWidth="1"/>
    <col min="16" max="16" width="3.140625" style="112" customWidth="1"/>
    <col min="17" max="17" width="7" style="786" customWidth="1"/>
    <col min="18" max="18" width="17.42578125" style="813" customWidth="1"/>
    <col min="19" max="19" width="11.5703125" style="818" customWidth="1"/>
    <col min="20" max="20" width="15.42578125" style="112" customWidth="1"/>
    <col min="21" max="16384" width="9.140625" style="112"/>
  </cols>
  <sheetData>
    <row r="1" spans="1:21" ht="12.75" customHeight="1">
      <c r="C1" s="2605"/>
      <c r="D1" s="2605"/>
      <c r="E1" s="2605"/>
      <c r="F1" s="2605"/>
      <c r="G1" s="2605"/>
      <c r="H1" s="2605"/>
      <c r="I1" s="1963" t="str">
        <f>'Contact Information'!$C$5</f>
        <v>SAMPLE STATE COLLEGE</v>
      </c>
      <c r="J1" s="2605"/>
      <c r="K1" s="2605"/>
      <c r="L1" s="2605"/>
      <c r="M1" s="2605"/>
      <c r="N1" s="844"/>
      <c r="Q1" s="2841" t="s">
        <v>2378</v>
      </c>
      <c r="R1" s="2604"/>
      <c r="S1" s="2604"/>
      <c r="T1" s="2604"/>
      <c r="U1" s="819"/>
    </row>
    <row r="2" spans="1:21" ht="12.75" customHeight="1">
      <c r="C2" s="2605"/>
      <c r="D2" s="2605"/>
      <c r="E2" s="2605"/>
      <c r="F2" s="2605"/>
      <c r="G2" s="2605"/>
      <c r="H2" s="2605"/>
      <c r="I2" s="1963" t="s">
        <v>2298</v>
      </c>
      <c r="J2" s="2605"/>
      <c r="K2" s="2605"/>
      <c r="L2" s="2605"/>
      <c r="M2" s="2605"/>
      <c r="N2" s="844"/>
      <c r="P2" s="819"/>
      <c r="Q2" s="2841" t="s">
        <v>2379</v>
      </c>
      <c r="R2" s="2604"/>
      <c r="S2" s="2604"/>
      <c r="T2" s="2604"/>
      <c r="U2" s="819"/>
    </row>
    <row r="3" spans="1:21">
      <c r="C3" s="268"/>
      <c r="D3" s="268"/>
      <c r="E3" s="268"/>
      <c r="F3" s="268"/>
      <c r="G3" s="268"/>
      <c r="H3" s="268"/>
      <c r="I3" s="3000" t="s">
        <v>2380</v>
      </c>
      <c r="J3" s="268"/>
      <c r="K3" s="268"/>
      <c r="L3" s="268"/>
      <c r="M3" s="268"/>
      <c r="N3" s="592" t="s">
        <v>3</v>
      </c>
      <c r="P3" s="819"/>
      <c r="Q3" s="2842" t="s">
        <v>2381</v>
      </c>
      <c r="R3" s="2604"/>
      <c r="S3" s="2604"/>
      <c r="T3" s="2604"/>
      <c r="U3" s="819"/>
    </row>
    <row r="4" spans="1:21">
      <c r="C4" s="268"/>
      <c r="D4" s="268"/>
      <c r="E4" s="268"/>
      <c r="F4" s="268"/>
      <c r="G4" s="268"/>
      <c r="H4" s="268"/>
      <c r="I4" s="3104" t="s">
        <v>4056</v>
      </c>
      <c r="J4" s="268"/>
      <c r="K4" s="268"/>
      <c r="L4" s="268"/>
      <c r="M4" s="268"/>
      <c r="N4" s="2959" t="str">
        <f>'Contact Information'!$C$3</f>
        <v>2021.v01</v>
      </c>
      <c r="P4" s="819"/>
      <c r="Q4" s="2842" t="s">
        <v>2382</v>
      </c>
      <c r="R4" s="2604"/>
      <c r="S4" s="2604"/>
      <c r="T4" s="2604"/>
      <c r="U4" s="819"/>
    </row>
    <row r="5" spans="1:21">
      <c r="C5" s="696"/>
      <c r="D5" s="696"/>
      <c r="E5" s="282"/>
      <c r="F5" s="282"/>
      <c r="G5" s="282"/>
      <c r="H5" s="282"/>
      <c r="I5" s="696"/>
      <c r="J5" s="282"/>
      <c r="K5" s="240" t="s">
        <v>2303</v>
      </c>
      <c r="L5" s="1962"/>
      <c r="M5" s="282"/>
      <c r="N5" s="361"/>
      <c r="P5" s="819"/>
      <c r="Q5" s="2841" t="s">
        <v>2302</v>
      </c>
      <c r="R5" s="2604"/>
      <c r="S5" s="2604"/>
      <c r="T5" s="2604"/>
      <c r="U5" s="819"/>
    </row>
    <row r="6" spans="1:21">
      <c r="B6" s="696"/>
      <c r="C6" s="696"/>
      <c r="D6" s="696"/>
      <c r="E6" s="696"/>
      <c r="F6" s="282"/>
      <c r="G6" s="282"/>
      <c r="H6" s="282"/>
      <c r="I6" s="282"/>
      <c r="J6" s="282"/>
      <c r="K6" s="230" t="s">
        <v>2305</v>
      </c>
      <c r="L6" s="1947" t="s">
        <v>2306</v>
      </c>
      <c r="M6" s="283" t="s">
        <v>2303</v>
      </c>
      <c r="N6" s="857"/>
      <c r="O6" s="804" t="s">
        <v>2308</v>
      </c>
      <c r="P6" s="282"/>
      <c r="Q6" s="233"/>
      <c r="S6" s="2606"/>
      <c r="T6" s="282"/>
      <c r="U6" s="282"/>
    </row>
    <row r="7" spans="1:21" s="96" customFormat="1">
      <c r="A7" s="307"/>
      <c r="B7" s="1811"/>
      <c r="C7" s="1811"/>
      <c r="D7" s="1811"/>
      <c r="E7" s="1811"/>
      <c r="F7" s="1811"/>
      <c r="G7" s="1811"/>
      <c r="H7" s="1811"/>
      <c r="I7" s="1811"/>
      <c r="J7" s="1811"/>
      <c r="K7" s="1811"/>
      <c r="L7" s="1811"/>
      <c r="M7" s="233"/>
      <c r="N7" s="858"/>
      <c r="O7" s="860"/>
      <c r="P7" s="1813"/>
      <c r="Q7" s="1813"/>
      <c r="R7" s="2606" t="s">
        <v>2383</v>
      </c>
      <c r="S7" s="2595"/>
      <c r="T7" s="1813"/>
      <c r="U7" s="1813"/>
    </row>
    <row r="8" spans="1:21">
      <c r="B8" s="284" t="s">
        <v>2384</v>
      </c>
      <c r="C8" s="282"/>
      <c r="D8" s="282"/>
      <c r="E8" s="282"/>
      <c r="F8" s="282"/>
      <c r="G8" s="282"/>
      <c r="H8" s="285"/>
      <c r="I8" s="285"/>
      <c r="J8" s="285"/>
      <c r="K8" s="285"/>
      <c r="L8" s="285"/>
      <c r="M8" s="282"/>
      <c r="N8" s="361"/>
      <c r="O8" s="2466"/>
      <c r="P8" s="114"/>
      <c r="R8" s="3296" t="s">
        <v>2303</v>
      </c>
      <c r="S8" s="3750" t="s">
        <v>2313</v>
      </c>
    </row>
    <row r="9" spans="1:21">
      <c r="A9" s="818" t="s">
        <v>2385</v>
      </c>
      <c r="B9" s="282" t="s">
        <v>2386</v>
      </c>
      <c r="C9" s="282"/>
      <c r="D9" s="282"/>
      <c r="E9" s="282"/>
      <c r="F9" s="282"/>
      <c r="G9" s="282"/>
      <c r="H9" s="285"/>
      <c r="I9" s="285"/>
      <c r="J9" s="285"/>
      <c r="K9" s="2410">
        <f>+'SCF Support'!B7</f>
        <v>0</v>
      </c>
      <c r="L9" s="736">
        <v>0</v>
      </c>
      <c r="M9" s="2087">
        <f>+K9+L9</f>
        <v>0</v>
      </c>
      <c r="N9" s="853"/>
      <c r="O9" s="2466"/>
      <c r="P9" s="114"/>
      <c r="R9" s="813">
        <f>M9</f>
        <v>0</v>
      </c>
      <c r="S9" s="813">
        <f>ROUND(R9,0)-R9</f>
        <v>0</v>
      </c>
    </row>
    <row r="10" spans="1:21">
      <c r="A10" s="818" t="s">
        <v>2387</v>
      </c>
      <c r="B10" s="282" t="s">
        <v>2388</v>
      </c>
      <c r="C10" s="282"/>
      <c r="D10" s="282"/>
      <c r="E10" s="286"/>
      <c r="F10" s="282"/>
      <c r="G10" s="282"/>
      <c r="H10" s="285"/>
      <c r="I10" s="285"/>
      <c r="J10" s="285" t="s">
        <v>1792</v>
      </c>
      <c r="K10" s="2411">
        <f>+'SCF Support'!B8</f>
        <v>0</v>
      </c>
      <c r="L10" s="109">
        <v>0</v>
      </c>
      <c r="M10" s="698">
        <f>+K10+L10</f>
        <v>0</v>
      </c>
      <c r="N10" s="852"/>
      <c r="O10" s="2466"/>
      <c r="P10" s="114"/>
      <c r="R10" s="813">
        <f t="shared" ref="R10:R20" si="0">M10</f>
        <v>0</v>
      </c>
      <c r="S10" s="813">
        <f t="shared" ref="S10:S20" si="1">ROUND(R10,0)-R10</f>
        <v>0</v>
      </c>
    </row>
    <row r="11" spans="1:21">
      <c r="A11" s="818" t="s">
        <v>2389</v>
      </c>
      <c r="B11" s="282" t="s">
        <v>2390</v>
      </c>
      <c r="C11" s="282"/>
      <c r="D11" s="282"/>
      <c r="E11" s="282"/>
      <c r="F11" s="282"/>
      <c r="G11" s="282"/>
      <c r="H11" s="285"/>
      <c r="I11" s="285"/>
      <c r="J11" s="285"/>
      <c r="K11" s="2411">
        <f>+'SCF Support'!B10</f>
        <v>0</v>
      </c>
      <c r="L11" s="109">
        <v>0</v>
      </c>
      <c r="M11" s="698">
        <f t="shared" ref="M11:M19" si="2">+K11+L11</f>
        <v>0</v>
      </c>
      <c r="N11" s="852"/>
      <c r="O11" s="2466"/>
      <c r="P11" s="114"/>
      <c r="R11" s="813">
        <f t="shared" si="0"/>
        <v>0</v>
      </c>
      <c r="S11" s="813">
        <f t="shared" si="1"/>
        <v>0</v>
      </c>
    </row>
    <row r="12" spans="1:21">
      <c r="A12" s="818" t="s">
        <v>2391</v>
      </c>
      <c r="B12" s="282" t="s">
        <v>2392</v>
      </c>
      <c r="C12" s="282"/>
      <c r="D12" s="282"/>
      <c r="E12" s="286"/>
      <c r="F12" s="282"/>
      <c r="G12" s="282"/>
      <c r="H12" s="285"/>
      <c r="I12" s="285"/>
      <c r="J12" s="285"/>
      <c r="K12" s="2411">
        <f>+'SCF Support'!B12</f>
        <v>0</v>
      </c>
      <c r="L12" s="109">
        <v>0</v>
      </c>
      <c r="M12" s="698">
        <f t="shared" si="2"/>
        <v>0</v>
      </c>
      <c r="N12" s="852"/>
      <c r="O12" s="2466"/>
      <c r="P12" s="114"/>
      <c r="R12" s="813">
        <f t="shared" si="0"/>
        <v>0</v>
      </c>
      <c r="S12" s="813">
        <f t="shared" si="1"/>
        <v>0</v>
      </c>
    </row>
    <row r="13" spans="1:21">
      <c r="A13" s="818" t="s">
        <v>2393</v>
      </c>
      <c r="B13" s="282" t="s">
        <v>2394</v>
      </c>
      <c r="C13" s="282"/>
      <c r="D13" s="282"/>
      <c r="E13" s="286"/>
      <c r="F13" s="282"/>
      <c r="G13" s="282"/>
      <c r="H13" s="285"/>
      <c r="I13" s="285"/>
      <c r="J13" s="285"/>
      <c r="K13" s="2411">
        <f>+'SCF Support'!B13</f>
        <v>0</v>
      </c>
      <c r="L13" s="109">
        <v>0</v>
      </c>
      <c r="M13" s="698">
        <f t="shared" si="2"/>
        <v>0</v>
      </c>
      <c r="N13" s="852"/>
      <c r="O13" s="2466"/>
      <c r="P13" s="114"/>
      <c r="R13" s="813">
        <f t="shared" si="0"/>
        <v>0</v>
      </c>
      <c r="S13" s="813">
        <f t="shared" si="1"/>
        <v>0</v>
      </c>
    </row>
    <row r="14" spans="1:21">
      <c r="A14" s="818" t="s">
        <v>2395</v>
      </c>
      <c r="B14" s="282" t="s">
        <v>2396</v>
      </c>
      <c r="C14" s="282"/>
      <c r="D14" s="282"/>
      <c r="E14" s="286"/>
      <c r="F14" s="282"/>
      <c r="G14" s="282"/>
      <c r="H14" s="285"/>
      <c r="I14" s="285"/>
      <c r="J14" s="285"/>
      <c r="K14" s="2411">
        <f>+'SCF Support'!B14</f>
        <v>0</v>
      </c>
      <c r="L14" s="109">
        <v>0</v>
      </c>
      <c r="M14" s="698">
        <f t="shared" si="2"/>
        <v>0</v>
      </c>
      <c r="N14" s="852"/>
      <c r="O14" s="2466"/>
      <c r="P14" s="114"/>
      <c r="R14" s="813">
        <f t="shared" si="0"/>
        <v>0</v>
      </c>
      <c r="S14" s="813">
        <f t="shared" si="1"/>
        <v>0</v>
      </c>
    </row>
    <row r="15" spans="1:21">
      <c r="A15" s="818" t="s">
        <v>2397</v>
      </c>
      <c r="B15" s="282" t="s">
        <v>2398</v>
      </c>
      <c r="C15" s="282"/>
      <c r="D15" s="282"/>
      <c r="E15" s="286"/>
      <c r="F15" s="282"/>
      <c r="G15" s="282"/>
      <c r="H15" s="285"/>
      <c r="I15" s="285"/>
      <c r="J15" s="285"/>
      <c r="K15" s="2411">
        <f>+'SCF Support'!B16</f>
        <v>0</v>
      </c>
      <c r="L15" s="109">
        <v>0</v>
      </c>
      <c r="M15" s="698">
        <f t="shared" si="2"/>
        <v>0</v>
      </c>
      <c r="N15" s="852"/>
      <c r="O15" s="2466"/>
      <c r="P15" s="114"/>
      <c r="R15" s="813">
        <f t="shared" si="0"/>
        <v>0</v>
      </c>
      <c r="S15" s="813">
        <f t="shared" si="1"/>
        <v>0</v>
      </c>
    </row>
    <row r="16" spans="1:21">
      <c r="A16" s="818" t="s">
        <v>2399</v>
      </c>
      <c r="B16" s="282" t="s">
        <v>2400</v>
      </c>
      <c r="C16" s="282"/>
      <c r="D16" s="282"/>
      <c r="E16" s="286"/>
      <c r="F16" s="282"/>
      <c r="G16" s="282"/>
      <c r="H16" s="285"/>
      <c r="I16" s="285"/>
      <c r="J16" s="285"/>
      <c r="K16" s="2411">
        <f>+'SCF Support'!B17</f>
        <v>0</v>
      </c>
      <c r="L16" s="109">
        <v>0</v>
      </c>
      <c r="M16" s="698">
        <f t="shared" si="2"/>
        <v>0</v>
      </c>
      <c r="N16" s="852"/>
      <c r="O16" s="2466"/>
      <c r="P16" s="114"/>
      <c r="R16" s="813">
        <f t="shared" si="0"/>
        <v>0</v>
      </c>
      <c r="S16" s="813">
        <f t="shared" si="1"/>
        <v>0</v>
      </c>
    </row>
    <row r="17" spans="1:19">
      <c r="A17" s="818" t="s">
        <v>2401</v>
      </c>
      <c r="B17" s="282" t="s">
        <v>2402</v>
      </c>
      <c r="C17" s="282"/>
      <c r="D17" s="282"/>
      <c r="E17" s="282"/>
      <c r="F17" s="282"/>
      <c r="G17" s="282"/>
      <c r="H17" s="285"/>
      <c r="I17" s="285"/>
      <c r="J17" s="285"/>
      <c r="K17" s="2411">
        <f>+'SCF Support'!B18</f>
        <v>0</v>
      </c>
      <c r="L17" s="109">
        <v>0</v>
      </c>
      <c r="M17" s="698">
        <f t="shared" si="2"/>
        <v>0</v>
      </c>
      <c r="N17" s="852"/>
      <c r="O17" s="2466"/>
      <c r="P17" s="114"/>
      <c r="R17" s="813">
        <f t="shared" si="0"/>
        <v>0</v>
      </c>
      <c r="S17" s="813">
        <f t="shared" si="1"/>
        <v>0</v>
      </c>
    </row>
    <row r="18" spans="1:19">
      <c r="A18" s="818" t="s">
        <v>2403</v>
      </c>
      <c r="B18" s="282" t="s">
        <v>2404</v>
      </c>
      <c r="C18" s="282"/>
      <c r="D18" s="282"/>
      <c r="E18" s="282"/>
      <c r="F18" s="282"/>
      <c r="G18" s="282"/>
      <c r="H18" s="285"/>
      <c r="I18" s="285"/>
      <c r="J18" s="285"/>
      <c r="K18" s="2411">
        <f>+'SCF Support'!B19</f>
        <v>0</v>
      </c>
      <c r="L18" s="109">
        <v>0</v>
      </c>
      <c r="M18" s="698">
        <f t="shared" si="2"/>
        <v>0</v>
      </c>
      <c r="N18" s="852"/>
      <c r="O18" s="2466"/>
      <c r="P18" s="114"/>
      <c r="R18" s="813">
        <f t="shared" si="0"/>
        <v>0</v>
      </c>
      <c r="S18" s="813">
        <f t="shared" si="1"/>
        <v>0</v>
      </c>
    </row>
    <row r="19" spans="1:19">
      <c r="A19" s="818" t="s">
        <v>2405</v>
      </c>
      <c r="B19" s="253" t="s">
        <v>375</v>
      </c>
      <c r="C19" s="282"/>
      <c r="D19" s="282"/>
      <c r="E19" s="282"/>
      <c r="F19" s="282"/>
      <c r="G19" s="282"/>
      <c r="H19" s="285"/>
      <c r="I19" s="285"/>
      <c r="J19" s="285"/>
      <c r="K19" s="2411">
        <f>+'SCF Support'!B21</f>
        <v>0</v>
      </c>
      <c r="L19" s="109">
        <v>0</v>
      </c>
      <c r="M19" s="698">
        <f t="shared" si="2"/>
        <v>0</v>
      </c>
      <c r="N19" s="852"/>
      <c r="O19" s="2466"/>
      <c r="P19" s="114"/>
      <c r="R19" s="813">
        <f t="shared" si="0"/>
        <v>0</v>
      </c>
      <c r="S19" s="813">
        <f t="shared" si="1"/>
        <v>0</v>
      </c>
    </row>
    <row r="20" spans="1:19">
      <c r="A20" s="818" t="s">
        <v>2406</v>
      </c>
      <c r="B20" s="282" t="str">
        <f>IF(M20&gt;0,"Other Receipts",IF(M20&lt;0,"Other Payments","Other Receipts (Payments)"))</f>
        <v>Other Receipts (Payments)</v>
      </c>
      <c r="C20" s="282"/>
      <c r="D20" s="282"/>
      <c r="E20" s="282"/>
      <c r="F20" s="282"/>
      <c r="G20" s="282"/>
      <c r="H20" s="285"/>
      <c r="I20" s="285"/>
      <c r="J20" s="285"/>
      <c r="K20" s="2089">
        <f>+'SCF Support'!B22</f>
        <v>0</v>
      </c>
      <c r="L20" s="110">
        <v>0</v>
      </c>
      <c r="M20" s="2088">
        <f>+K20+L20</f>
        <v>0</v>
      </c>
      <c r="N20" s="852"/>
      <c r="O20" s="2466"/>
      <c r="P20" s="114"/>
      <c r="R20" s="813">
        <f t="shared" si="0"/>
        <v>0</v>
      </c>
      <c r="S20" s="813">
        <f t="shared" si="1"/>
        <v>0</v>
      </c>
    </row>
    <row r="21" spans="1:19" s="96" customFormat="1" ht="9" customHeight="1">
      <c r="A21" s="307"/>
      <c r="B21" s="1811"/>
      <c r="C21" s="1811"/>
      <c r="D21" s="1811"/>
      <c r="E21" s="1811"/>
      <c r="F21" s="1811"/>
      <c r="G21" s="1811"/>
      <c r="H21" s="1811"/>
      <c r="I21" s="1811"/>
      <c r="J21" s="1811"/>
      <c r="K21" s="233"/>
      <c r="L21" s="233"/>
      <c r="M21" s="233"/>
      <c r="N21" s="858"/>
      <c r="O21" s="2466"/>
      <c r="P21" s="1810"/>
      <c r="Q21" s="1810"/>
      <c r="R21" s="798"/>
      <c r="S21" s="798"/>
    </row>
    <row r="22" spans="1:19">
      <c r="A22" s="818" t="s">
        <v>2407</v>
      </c>
      <c r="B22" s="287" t="str">
        <f>IF(M22&gt;0,"Net Cash Provided by Operating Activities",IF(M22&lt;0,"Net Cash Used by Operating Activities","Net Cash Provided (Used) by Operating Activities"))</f>
        <v>Net Cash Provided (Used) by Operating Activities</v>
      </c>
      <c r="C22" s="282"/>
      <c r="D22" s="282"/>
      <c r="E22" s="282"/>
      <c r="F22" s="282"/>
      <c r="G22" s="282"/>
      <c r="H22" s="285"/>
      <c r="I22" s="285"/>
      <c r="J22" s="285"/>
      <c r="K22" s="2409">
        <f>SUM(K9:K20)</f>
        <v>0</v>
      </c>
      <c r="L22" s="2000">
        <f>SUM(L9:L20)</f>
        <v>0</v>
      </c>
      <c r="M22" s="1953">
        <f t="array" ref="M22">SUM(ROUND(M9:M20,0))</f>
        <v>0</v>
      </c>
      <c r="N22" s="832"/>
      <c r="O22" s="2466"/>
      <c r="P22" s="114"/>
      <c r="R22" s="3309">
        <f>SUM(R9:R20)</f>
        <v>0</v>
      </c>
      <c r="S22" s="3309">
        <f>M22-R22</f>
        <v>0</v>
      </c>
    </row>
    <row r="23" spans="1:19" s="96" customFormat="1" ht="9" customHeight="1">
      <c r="A23" s="307"/>
      <c r="B23" s="1811"/>
      <c r="C23" s="1811"/>
      <c r="D23" s="1811"/>
      <c r="E23" s="1811"/>
      <c r="F23" s="1811"/>
      <c r="G23" s="1811"/>
      <c r="H23" s="1811"/>
      <c r="I23" s="1811"/>
      <c r="J23" s="1811"/>
      <c r="K23" s="233"/>
      <c r="L23" s="1811"/>
      <c r="M23" s="233"/>
      <c r="N23" s="858"/>
      <c r="O23" s="2466"/>
      <c r="P23" s="1810"/>
      <c r="Q23" s="1810"/>
      <c r="R23" s="798"/>
      <c r="S23" s="798"/>
    </row>
    <row r="24" spans="1:19">
      <c r="B24" s="284" t="s">
        <v>2408</v>
      </c>
      <c r="C24" s="282"/>
      <c r="D24" s="282"/>
      <c r="E24" s="282"/>
      <c r="F24" s="282"/>
      <c r="G24" s="282"/>
      <c r="H24" s="285"/>
      <c r="I24" s="285"/>
      <c r="J24" s="285"/>
      <c r="K24" s="292"/>
      <c r="L24" s="285"/>
      <c r="M24" s="292"/>
      <c r="N24" s="855"/>
      <c r="O24" s="2466"/>
      <c r="P24" s="114"/>
      <c r="S24" s="813"/>
    </row>
    <row r="25" spans="1:19">
      <c r="A25" s="818" t="s">
        <v>2409</v>
      </c>
      <c r="B25" s="282" t="s">
        <v>403</v>
      </c>
      <c r="C25" s="282"/>
      <c r="D25" s="282"/>
      <c r="E25" s="282"/>
      <c r="F25" s="282"/>
      <c r="G25" s="282"/>
      <c r="H25" s="285"/>
      <c r="I25" s="285"/>
      <c r="J25" s="285"/>
      <c r="K25" s="2412">
        <f>SRECNP!L37</f>
        <v>0</v>
      </c>
      <c r="L25" s="109">
        <v>0</v>
      </c>
      <c r="M25" s="1999">
        <f t="shared" ref="M25:M31" si="3">+K25+L25</f>
        <v>0</v>
      </c>
      <c r="N25" s="852"/>
      <c r="O25" s="2466"/>
      <c r="P25" s="114"/>
      <c r="R25" s="813">
        <f t="shared" ref="R25:R31" si="4">M25</f>
        <v>0</v>
      </c>
      <c r="S25" s="813">
        <f t="shared" ref="S25:S31" si="5">ROUND(R25,0)-R25</f>
        <v>0</v>
      </c>
    </row>
    <row r="26" spans="1:19">
      <c r="A26" s="818" t="s">
        <v>2410</v>
      </c>
      <c r="B26" s="288" t="s">
        <v>405</v>
      </c>
      <c r="C26" s="282"/>
      <c r="D26" s="282"/>
      <c r="E26" s="282"/>
      <c r="F26" s="282"/>
      <c r="G26" s="282"/>
      <c r="H26" s="285"/>
      <c r="I26" s="285"/>
      <c r="J26" s="285"/>
      <c r="K26" s="2413">
        <f>+'SCF Support'!B28</f>
        <v>0</v>
      </c>
      <c r="L26" s="109">
        <v>0</v>
      </c>
      <c r="M26" s="852">
        <f t="shared" si="3"/>
        <v>0</v>
      </c>
      <c r="N26" s="852"/>
      <c r="O26" s="2466"/>
      <c r="P26" s="114"/>
      <c r="R26" s="813">
        <f t="shared" si="4"/>
        <v>0</v>
      </c>
      <c r="S26" s="813">
        <f t="shared" si="5"/>
        <v>0</v>
      </c>
    </row>
    <row r="27" spans="1:19">
      <c r="A27" s="818" t="s">
        <v>2411</v>
      </c>
      <c r="B27" s="3555" t="s">
        <v>2412</v>
      </c>
      <c r="C27" s="3556"/>
      <c r="D27" s="3556"/>
      <c r="E27" s="3556"/>
      <c r="F27" s="3556"/>
      <c r="G27" s="3556"/>
      <c r="H27" s="285"/>
      <c r="I27" s="285"/>
      <c r="J27" s="285"/>
      <c r="K27" s="2413">
        <f>+'SCF Support'!B29</f>
        <v>0</v>
      </c>
      <c r="L27" s="109">
        <v>0</v>
      </c>
      <c r="M27" s="852">
        <f t="shared" si="3"/>
        <v>0</v>
      </c>
      <c r="N27" s="852"/>
      <c r="O27" s="2466"/>
      <c r="P27" s="114"/>
      <c r="R27" s="813">
        <f t="shared" si="4"/>
        <v>0</v>
      </c>
      <c r="S27" s="813">
        <f t="shared" si="5"/>
        <v>0</v>
      </c>
    </row>
    <row r="28" spans="1:19">
      <c r="A28" s="818" t="s">
        <v>2413</v>
      </c>
      <c r="B28" s="3555" t="s">
        <v>2414</v>
      </c>
      <c r="C28" s="3556"/>
      <c r="D28" s="3556"/>
      <c r="E28" s="3556"/>
      <c r="F28" s="3556"/>
      <c r="G28" s="3556"/>
      <c r="H28" s="285"/>
      <c r="I28" s="285"/>
      <c r="J28" s="285"/>
      <c r="K28" s="2413">
        <f>+'SCF Support'!B30</f>
        <v>0</v>
      </c>
      <c r="L28" s="109">
        <v>0</v>
      </c>
      <c r="M28" s="852">
        <f t="shared" si="3"/>
        <v>0</v>
      </c>
      <c r="N28" s="852"/>
      <c r="O28" s="2466"/>
      <c r="P28" s="114"/>
      <c r="R28" s="813">
        <f t="shared" si="4"/>
        <v>0</v>
      </c>
      <c r="S28" s="813">
        <f t="shared" si="5"/>
        <v>0</v>
      </c>
    </row>
    <row r="29" spans="1:19">
      <c r="A29" s="818" t="s">
        <v>2415</v>
      </c>
      <c r="B29" s="282" t="s">
        <v>2416</v>
      </c>
      <c r="C29" s="282"/>
      <c r="D29" s="282"/>
      <c r="E29" s="282"/>
      <c r="F29" s="282"/>
      <c r="G29" s="282"/>
      <c r="H29" s="285"/>
      <c r="I29" s="285"/>
      <c r="J29" s="285"/>
      <c r="K29" s="2413">
        <f>+'SCF Support'!B31</f>
        <v>0</v>
      </c>
      <c r="L29" s="109">
        <v>0</v>
      </c>
      <c r="M29" s="852">
        <f t="shared" si="3"/>
        <v>0</v>
      </c>
      <c r="N29" s="852"/>
      <c r="O29" s="2466"/>
      <c r="P29" s="114"/>
      <c r="R29" s="813">
        <f t="shared" si="4"/>
        <v>0</v>
      </c>
      <c r="S29" s="813">
        <f t="shared" si="5"/>
        <v>0</v>
      </c>
    </row>
    <row r="30" spans="1:19">
      <c r="A30" s="818" t="s">
        <v>2417</v>
      </c>
      <c r="B30" s="288" t="s">
        <v>2418</v>
      </c>
      <c r="C30" s="282"/>
      <c r="D30" s="282"/>
      <c r="E30" s="282"/>
      <c r="F30" s="282"/>
      <c r="G30" s="282"/>
      <c r="H30" s="285"/>
      <c r="I30" s="285"/>
      <c r="J30" s="285"/>
      <c r="K30" s="2413">
        <f>+'SCF Support'!B32</f>
        <v>0</v>
      </c>
      <c r="L30" s="109">
        <v>0</v>
      </c>
      <c r="M30" s="852">
        <f t="shared" si="3"/>
        <v>0</v>
      </c>
      <c r="N30" s="852"/>
      <c r="O30" s="2466"/>
      <c r="P30" s="114"/>
      <c r="R30" s="813">
        <f t="shared" si="4"/>
        <v>0</v>
      </c>
      <c r="S30" s="813">
        <f t="shared" si="5"/>
        <v>0</v>
      </c>
    </row>
    <row r="31" spans="1:19">
      <c r="A31" s="818" t="s">
        <v>2419</v>
      </c>
      <c r="B31" s="288" t="str">
        <f>IF(M31&gt;0,"Other Nonoperating Receipts",IF(M31&lt;0,"Other Nonoperating Disbursements","Other Nonoperating Receipts (Disbursements)"))</f>
        <v>Other Nonoperating Receipts (Disbursements)</v>
      </c>
      <c r="C31" s="282"/>
      <c r="D31" s="282"/>
      <c r="E31" s="282"/>
      <c r="F31" s="282"/>
      <c r="G31" s="282"/>
      <c r="H31" s="289"/>
      <c r="I31" s="289"/>
      <c r="J31" s="289"/>
      <c r="K31" s="2089">
        <f>+'SCF Support'!B33</f>
        <v>0</v>
      </c>
      <c r="L31" s="110">
        <v>0</v>
      </c>
      <c r="M31" s="2088">
        <f t="shared" si="3"/>
        <v>0</v>
      </c>
      <c r="N31" s="852"/>
      <c r="O31" s="2466"/>
      <c r="P31" s="115"/>
      <c r="R31" s="813">
        <f t="shared" si="4"/>
        <v>0</v>
      </c>
      <c r="S31" s="813">
        <f t="shared" si="5"/>
        <v>0</v>
      </c>
    </row>
    <row r="32" spans="1:19" s="96" customFormat="1" ht="9" customHeight="1">
      <c r="A32" s="307"/>
      <c r="B32" s="1811"/>
      <c r="C32" s="1811"/>
      <c r="D32" s="1811"/>
      <c r="E32" s="1811"/>
      <c r="F32" s="1811"/>
      <c r="G32" s="1811"/>
      <c r="H32" s="1811"/>
      <c r="I32" s="1811"/>
      <c r="J32" s="1811"/>
      <c r="K32" s="1814"/>
      <c r="L32" s="233"/>
      <c r="M32" s="1814"/>
      <c r="N32" s="852"/>
      <c r="O32" s="2466"/>
      <c r="P32" s="1810"/>
      <c r="Q32" s="1810"/>
      <c r="R32" s="798"/>
      <c r="S32" s="798"/>
    </row>
    <row r="33" spans="1:19">
      <c r="A33" s="818" t="s">
        <v>2420</v>
      </c>
      <c r="B33" s="287" t="str">
        <f>IF(M33&gt;0,"Net Cash Provided by Noncapital Financing Activities",IF(M33&lt;0,"Net Cash Used by Noncapital Financing Activities","Net Cash Provided (Used) by Noncapital Financing Activities"))</f>
        <v>Net Cash Provided (Used) by Noncapital Financing Activities</v>
      </c>
      <c r="C33" s="282"/>
      <c r="D33" s="282"/>
      <c r="E33" s="282"/>
      <c r="F33" s="282"/>
      <c r="G33" s="282"/>
      <c r="H33" s="285"/>
      <c r="I33" s="285"/>
      <c r="J33" s="285"/>
      <c r="K33" s="2409">
        <f>SUM(K25:K31)</f>
        <v>0</v>
      </c>
      <c r="L33" s="2000">
        <f>SUM(L25:L31)</f>
        <v>0</v>
      </c>
      <c r="M33" s="1953">
        <f t="array" ref="M33">SUM(ROUND(M25:M31,0))</f>
        <v>0</v>
      </c>
      <c r="N33" s="832"/>
      <c r="O33" s="2466"/>
      <c r="P33" s="114"/>
      <c r="R33" s="3309">
        <f>SUM(R25:R31)</f>
        <v>0</v>
      </c>
      <c r="S33" s="3309">
        <f>M33-R33</f>
        <v>0</v>
      </c>
    </row>
    <row r="34" spans="1:19" s="96" customFormat="1" ht="9" customHeight="1">
      <c r="A34" s="307"/>
      <c r="B34" s="1811"/>
      <c r="C34" s="1811"/>
      <c r="D34" s="1811"/>
      <c r="E34" s="1811"/>
      <c r="F34" s="1811"/>
      <c r="G34" s="1811"/>
      <c r="H34" s="1811"/>
      <c r="I34" s="1811"/>
      <c r="J34" s="1811"/>
      <c r="K34" s="233"/>
      <c r="L34" s="1811"/>
      <c r="M34" s="233"/>
      <c r="N34" s="858"/>
      <c r="O34" s="2466"/>
      <c r="P34" s="1810"/>
      <c r="Q34" s="1810"/>
      <c r="R34" s="798"/>
      <c r="S34" s="798"/>
    </row>
    <row r="35" spans="1:19">
      <c r="B35" s="284" t="s">
        <v>2421</v>
      </c>
      <c r="C35" s="282"/>
      <c r="D35" s="282"/>
      <c r="E35" s="282"/>
      <c r="F35" s="282"/>
      <c r="G35" s="282"/>
      <c r="H35" s="219"/>
      <c r="I35" s="285"/>
      <c r="J35" s="285"/>
      <c r="K35" s="292"/>
      <c r="L35" s="285"/>
      <c r="M35" s="292"/>
      <c r="N35" s="855"/>
      <c r="O35" s="2466"/>
      <c r="P35" s="114"/>
      <c r="S35" s="813"/>
    </row>
    <row r="36" spans="1:19">
      <c r="A36" s="818" t="s">
        <v>2422</v>
      </c>
      <c r="B36" s="282" t="s">
        <v>2423</v>
      </c>
      <c r="C36" s="282"/>
      <c r="D36" s="282"/>
      <c r="E36" s="282"/>
      <c r="F36" s="282"/>
      <c r="G36" s="282"/>
      <c r="H36" s="1811"/>
      <c r="I36" s="285"/>
      <c r="J36" s="285"/>
      <c r="K36" s="2471">
        <f>+'SCF Support'!B38</f>
        <v>0</v>
      </c>
      <c r="L36" s="1864">
        <v>0</v>
      </c>
      <c r="M36" s="2460">
        <f>+K36+L36</f>
        <v>0</v>
      </c>
      <c r="N36" s="852"/>
      <c r="O36" s="2466"/>
      <c r="P36" s="114"/>
      <c r="R36" s="813">
        <f>M36</f>
        <v>0</v>
      </c>
      <c r="S36" s="813">
        <f>ROUND(R36,0)-R36</f>
        <v>0</v>
      </c>
    </row>
    <row r="37" spans="1:19">
      <c r="A37" s="818" t="s">
        <v>2424</v>
      </c>
      <c r="B37" s="1811" t="s">
        <v>425</v>
      </c>
      <c r="C37" s="282"/>
      <c r="D37" s="282"/>
      <c r="E37" s="282"/>
      <c r="F37" s="282"/>
      <c r="G37" s="282"/>
      <c r="H37" s="282"/>
      <c r="I37" s="285"/>
      <c r="J37" s="285"/>
      <c r="K37" s="2411">
        <f>+'SCF Support'!B39</f>
        <v>0</v>
      </c>
      <c r="L37" s="109">
        <v>0</v>
      </c>
      <c r="M37" s="698">
        <f>+K37+L37</f>
        <v>0</v>
      </c>
      <c r="N37" s="852"/>
      <c r="O37" s="2466"/>
      <c r="P37" s="114"/>
      <c r="R37" s="813">
        <f t="shared" ref="R37:R44" si="6">M37</f>
        <v>0</v>
      </c>
      <c r="S37" s="813">
        <f t="shared" ref="S37:S44" si="7">ROUND(R37,0)-R37</f>
        <v>0</v>
      </c>
    </row>
    <row r="38" spans="1:19">
      <c r="A38" s="818" t="s">
        <v>2425</v>
      </c>
      <c r="B38" s="1811" t="s">
        <v>2426</v>
      </c>
      <c r="C38" s="282"/>
      <c r="D38" s="282"/>
      <c r="E38" s="282"/>
      <c r="F38" s="282"/>
      <c r="G38" s="282"/>
      <c r="H38" s="282"/>
      <c r="I38" s="285"/>
      <c r="J38" s="285"/>
      <c r="K38" s="2411">
        <f>+'SCF Support'!B40</f>
        <v>0</v>
      </c>
      <c r="L38" s="109">
        <v>0</v>
      </c>
      <c r="M38" s="698">
        <f t="shared" ref="M38:M44" si="8">+K38+L38</f>
        <v>0</v>
      </c>
      <c r="N38" s="852"/>
      <c r="O38" s="2466"/>
      <c r="P38" s="114"/>
      <c r="R38" s="813">
        <f t="shared" si="6"/>
        <v>0</v>
      </c>
      <c r="S38" s="813">
        <f t="shared" si="7"/>
        <v>0</v>
      </c>
    </row>
    <row r="39" spans="1:19">
      <c r="A39" s="818" t="s">
        <v>2427</v>
      </c>
      <c r="B39" s="1811" t="s">
        <v>2428</v>
      </c>
      <c r="C39" s="282"/>
      <c r="D39" s="282"/>
      <c r="E39" s="282"/>
      <c r="F39" s="282"/>
      <c r="G39" s="282"/>
      <c r="H39" s="282"/>
      <c r="I39" s="285"/>
      <c r="J39" s="285"/>
      <c r="K39" s="2411">
        <f>+'SCF Support'!B41</f>
        <v>0</v>
      </c>
      <c r="L39" s="109">
        <v>0</v>
      </c>
      <c r="M39" s="698">
        <f t="shared" si="8"/>
        <v>0</v>
      </c>
      <c r="N39" s="852"/>
      <c r="O39" s="2466"/>
      <c r="P39" s="114"/>
      <c r="R39" s="813">
        <f t="shared" si="6"/>
        <v>0</v>
      </c>
      <c r="S39" s="813">
        <f t="shared" si="7"/>
        <v>0</v>
      </c>
    </row>
    <row r="40" spans="1:19">
      <c r="A40" s="818" t="s">
        <v>2429</v>
      </c>
      <c r="B40" s="1811" t="s">
        <v>2430</v>
      </c>
      <c r="C40" s="282"/>
      <c r="D40" s="282"/>
      <c r="E40" s="282"/>
      <c r="F40" s="282"/>
      <c r="G40" s="282"/>
      <c r="H40" s="282"/>
      <c r="I40" s="285"/>
      <c r="J40" s="285"/>
      <c r="K40" s="2411">
        <f>+'SCF Support'!B42</f>
        <v>0</v>
      </c>
      <c r="L40" s="109">
        <v>0</v>
      </c>
      <c r="M40" s="698">
        <f t="shared" si="8"/>
        <v>0</v>
      </c>
      <c r="N40" s="852"/>
      <c r="O40" s="2466"/>
      <c r="P40" s="114"/>
      <c r="R40" s="813">
        <f t="shared" si="6"/>
        <v>0</v>
      </c>
      <c r="S40" s="813">
        <f t="shared" si="7"/>
        <v>0</v>
      </c>
    </row>
    <row r="41" spans="1:19">
      <c r="A41" s="818" t="s">
        <v>2431</v>
      </c>
      <c r="B41" s="1811" t="s">
        <v>2432</v>
      </c>
      <c r="C41" s="282"/>
      <c r="D41" s="282"/>
      <c r="E41" s="282"/>
      <c r="F41" s="282"/>
      <c r="G41" s="282"/>
      <c r="H41" s="282"/>
      <c r="I41" s="285"/>
      <c r="J41" s="285"/>
      <c r="K41" s="2411">
        <f>+'SCF Support'!B43</f>
        <v>0</v>
      </c>
      <c r="L41" s="109">
        <v>0</v>
      </c>
      <c r="M41" s="698">
        <f t="shared" si="8"/>
        <v>0</v>
      </c>
      <c r="N41" s="852"/>
      <c r="O41" s="2466"/>
      <c r="P41" s="114"/>
      <c r="R41" s="813">
        <f t="shared" si="6"/>
        <v>0</v>
      </c>
      <c r="S41" s="813">
        <f t="shared" si="7"/>
        <v>0</v>
      </c>
    </row>
    <row r="42" spans="1:19">
      <c r="A42" s="818" t="s">
        <v>2433</v>
      </c>
      <c r="B42" s="1811" t="s">
        <v>2434</v>
      </c>
      <c r="C42" s="282"/>
      <c r="D42" s="282"/>
      <c r="E42" s="282"/>
      <c r="F42" s="282"/>
      <c r="G42" s="282"/>
      <c r="H42" s="282"/>
      <c r="I42" s="285"/>
      <c r="J42" s="285"/>
      <c r="K42" s="2411">
        <f>+'SCF Support'!B45</f>
        <v>0</v>
      </c>
      <c r="L42" s="109">
        <v>0</v>
      </c>
      <c r="M42" s="698">
        <f t="shared" si="8"/>
        <v>0</v>
      </c>
      <c r="N42" s="852"/>
      <c r="O42" s="2466"/>
      <c r="P42" s="114"/>
      <c r="R42" s="813">
        <f t="shared" si="6"/>
        <v>0</v>
      </c>
      <c r="S42" s="813">
        <f t="shared" si="7"/>
        <v>0</v>
      </c>
    </row>
    <row r="43" spans="1:19">
      <c r="A43" s="818" t="s">
        <v>2435</v>
      </c>
      <c r="B43" s="1811" t="s">
        <v>2436</v>
      </c>
      <c r="C43" s="282"/>
      <c r="D43" s="282"/>
      <c r="E43" s="282"/>
      <c r="F43" s="282"/>
      <c r="G43" s="282"/>
      <c r="H43" s="282"/>
      <c r="I43" s="285"/>
      <c r="J43" s="285"/>
      <c r="K43" s="2411">
        <f>+'SCF Support'!B46</f>
        <v>0</v>
      </c>
      <c r="L43" s="1864">
        <v>0</v>
      </c>
      <c r="M43" s="698">
        <f t="shared" si="8"/>
        <v>0</v>
      </c>
      <c r="N43" s="852"/>
      <c r="O43" s="2466"/>
      <c r="P43" s="114"/>
      <c r="R43" s="813">
        <f t="shared" si="6"/>
        <v>0</v>
      </c>
      <c r="S43" s="813">
        <f t="shared" si="7"/>
        <v>0</v>
      </c>
    </row>
    <row r="44" spans="1:19">
      <c r="A44" s="818" t="s">
        <v>2437</v>
      </c>
      <c r="B44" s="1811" t="s">
        <v>2438</v>
      </c>
      <c r="C44" s="282"/>
      <c r="D44" s="282"/>
      <c r="E44" s="282"/>
      <c r="F44" s="282"/>
      <c r="G44" s="282"/>
      <c r="H44" s="282"/>
      <c r="I44" s="285"/>
      <c r="J44" s="285"/>
      <c r="K44" s="2089">
        <f>+'SCF Support'!B47</f>
        <v>0</v>
      </c>
      <c r="L44" s="110">
        <v>0</v>
      </c>
      <c r="M44" s="2088">
        <f t="shared" si="8"/>
        <v>0</v>
      </c>
      <c r="N44" s="852"/>
      <c r="O44" s="2466"/>
      <c r="P44" s="114"/>
      <c r="R44" s="813">
        <f t="shared" si="6"/>
        <v>0</v>
      </c>
      <c r="S44" s="813">
        <f t="shared" si="7"/>
        <v>0</v>
      </c>
    </row>
    <row r="45" spans="1:19" s="96" customFormat="1">
      <c r="A45" s="307"/>
      <c r="B45" s="1811"/>
      <c r="C45" s="1811"/>
      <c r="D45" s="1811"/>
      <c r="E45" s="1811"/>
      <c r="F45" s="1811"/>
      <c r="G45" s="1811"/>
      <c r="H45" s="219"/>
      <c r="I45" s="1811"/>
      <c r="J45" s="1811"/>
      <c r="K45" s="2414"/>
      <c r="L45" s="1814"/>
      <c r="M45" s="1814"/>
      <c r="N45" s="852"/>
      <c r="O45" s="2466"/>
      <c r="P45" s="1810"/>
      <c r="Q45" s="1810"/>
      <c r="R45" s="798"/>
      <c r="S45" s="798"/>
    </row>
    <row r="46" spans="1:19">
      <c r="A46" s="818" t="s">
        <v>2439</v>
      </c>
      <c r="B46" s="287" t="str">
        <f>IF(M46&gt;0,"Net Cash Provided by Capital and Related Financing Activities",IF(M46&lt;0,"Net Cash Used by Capital and Related Financing Activities","Net Cash Provided (Used) by Capital and Related Financing Activities"))</f>
        <v>Net Cash Provided (Used) by Capital and Related Financing Activities</v>
      </c>
      <c r="C46" s="282"/>
      <c r="D46" s="282"/>
      <c r="E46" s="282"/>
      <c r="F46" s="282"/>
      <c r="G46" s="282"/>
      <c r="H46" s="285"/>
      <c r="I46" s="285"/>
      <c r="J46" s="285"/>
      <c r="K46" s="2415">
        <f>SUM(K36:K44)</f>
        <v>0</v>
      </c>
      <c r="L46" s="552">
        <f>SUM(L36:L44)</f>
        <v>0</v>
      </c>
      <c r="M46" s="552">
        <f t="array" ref="M46">SUM(ROUND(M36:M44,0))</f>
        <v>0</v>
      </c>
      <c r="N46" s="832"/>
      <c r="O46" s="2466"/>
      <c r="P46" s="114"/>
      <c r="R46" s="3309">
        <f>SUM(R36:R44)</f>
        <v>0</v>
      </c>
      <c r="S46" s="3309">
        <f>M46-R46</f>
        <v>0</v>
      </c>
    </row>
    <row r="47" spans="1:19" s="96" customFormat="1" ht="9" customHeight="1">
      <c r="A47" s="307"/>
      <c r="B47" s="1811"/>
      <c r="C47" s="1811"/>
      <c r="D47" s="1811"/>
      <c r="E47" s="1811"/>
      <c r="F47" s="1811"/>
      <c r="G47" s="1811"/>
      <c r="H47" s="1811"/>
      <c r="I47" s="1811"/>
      <c r="J47" s="1811"/>
      <c r="K47" s="2414"/>
      <c r="L47" s="233"/>
      <c r="M47" s="233"/>
      <c r="N47" s="858"/>
      <c r="O47" s="2466"/>
      <c r="P47" s="1810"/>
      <c r="Q47" s="1810"/>
      <c r="R47" s="798"/>
      <c r="S47" s="798"/>
    </row>
    <row r="48" spans="1:19">
      <c r="B48" s="284" t="s">
        <v>2440</v>
      </c>
      <c r="C48" s="282"/>
      <c r="D48" s="282"/>
      <c r="E48" s="282"/>
      <c r="F48" s="282"/>
      <c r="G48" s="282"/>
      <c r="H48" s="285"/>
      <c r="I48" s="285"/>
      <c r="J48" s="285"/>
      <c r="K48" s="2416"/>
      <c r="L48" s="292"/>
      <c r="M48" s="292"/>
      <c r="N48" s="855"/>
      <c r="O48" s="2466"/>
      <c r="P48" s="114"/>
      <c r="S48" s="813"/>
    </row>
    <row r="49" spans="1:19">
      <c r="A49" s="818" t="s">
        <v>2441</v>
      </c>
      <c r="B49" s="282" t="s">
        <v>2442</v>
      </c>
      <c r="C49" s="282"/>
      <c r="D49" s="282"/>
      <c r="E49" s="282"/>
      <c r="F49" s="282"/>
      <c r="G49" s="282"/>
      <c r="H49" s="285"/>
      <c r="I49" s="285"/>
      <c r="J49" s="285"/>
      <c r="K49" s="2413">
        <f>+'SCF Support'!B52</f>
        <v>0</v>
      </c>
      <c r="L49" s="1864">
        <v>0</v>
      </c>
      <c r="M49" s="852">
        <f>+K49+L49</f>
        <v>0</v>
      </c>
      <c r="N49" s="852"/>
      <c r="O49" s="2466"/>
      <c r="P49" s="114"/>
      <c r="R49" s="813">
        <f>M49</f>
        <v>0</v>
      </c>
      <c r="S49" s="813">
        <f>ROUND(R49,0)-R49</f>
        <v>0</v>
      </c>
    </row>
    <row r="50" spans="1:19">
      <c r="A50" s="818" t="s">
        <v>2443</v>
      </c>
      <c r="B50" s="282" t="s">
        <v>2444</v>
      </c>
      <c r="C50" s="282"/>
      <c r="D50" s="282"/>
      <c r="E50" s="282"/>
      <c r="F50" s="282"/>
      <c r="G50" s="282"/>
      <c r="H50" s="285"/>
      <c r="I50" s="285"/>
      <c r="J50" s="285"/>
      <c r="K50" s="2411">
        <f>+'SCF Support'!B53</f>
        <v>0</v>
      </c>
      <c r="L50" s="109">
        <v>0</v>
      </c>
      <c r="M50" s="698">
        <f>+K50+L50</f>
        <v>0</v>
      </c>
      <c r="N50" s="852"/>
      <c r="O50" s="2466"/>
      <c r="P50" s="114"/>
      <c r="R50" s="813">
        <f>M50</f>
        <v>0</v>
      </c>
      <c r="S50" s="813">
        <f>ROUND(R50,0)-R50</f>
        <v>0</v>
      </c>
    </row>
    <row r="51" spans="1:19">
      <c r="A51" s="818" t="s">
        <v>2445</v>
      </c>
      <c r="B51" s="282" t="s">
        <v>409</v>
      </c>
      <c r="C51" s="282"/>
      <c r="D51" s="282"/>
      <c r="E51" s="282"/>
      <c r="F51" s="282"/>
      <c r="G51" s="282"/>
      <c r="H51" s="290"/>
      <c r="I51" s="290"/>
      <c r="J51" s="290"/>
      <c r="K51" s="2089">
        <f>+'SCF Support'!B54</f>
        <v>0</v>
      </c>
      <c r="L51" s="110">
        <v>0</v>
      </c>
      <c r="M51" s="2089">
        <f>+K51+L51</f>
        <v>0</v>
      </c>
      <c r="N51" s="852"/>
      <c r="O51" s="2466"/>
      <c r="P51" s="116"/>
      <c r="R51" s="813">
        <f>M51</f>
        <v>0</v>
      </c>
      <c r="S51" s="813">
        <f>ROUND(R51,0)-R51</f>
        <v>0</v>
      </c>
    </row>
    <row r="52" spans="1:19" s="96" customFormat="1" ht="9" customHeight="1">
      <c r="A52" s="307"/>
      <c r="B52" s="1811"/>
      <c r="C52" s="1811"/>
      <c r="D52" s="1811"/>
      <c r="E52" s="1811"/>
      <c r="F52" s="1811"/>
      <c r="G52" s="1811"/>
      <c r="H52" s="1811"/>
      <c r="I52" s="1811"/>
      <c r="J52" s="1811"/>
      <c r="K52" s="1814"/>
      <c r="L52" s="1811"/>
      <c r="M52" s="1814"/>
      <c r="N52" s="852"/>
      <c r="O52" s="2466"/>
      <c r="P52" s="1810"/>
      <c r="Q52" s="1810"/>
      <c r="R52" s="798"/>
      <c r="S52" s="798"/>
    </row>
    <row r="53" spans="1:19">
      <c r="A53" s="818" t="s">
        <v>2446</v>
      </c>
      <c r="B53" s="287" t="str">
        <f>IF(M53&gt;0,"Net Cash Provided by Investing Activities",IF(M53&lt;0,"Net Cash Used by Investing Activities","Net Cash Provided (Used) by Investing Activities"))</f>
        <v>Net Cash Provided (Used) by Investing Activities</v>
      </c>
      <c r="C53" s="282"/>
      <c r="D53" s="282"/>
      <c r="E53" s="282"/>
      <c r="F53" s="282"/>
      <c r="G53" s="282"/>
      <c r="H53" s="285"/>
      <c r="I53" s="285"/>
      <c r="J53" s="285"/>
      <c r="K53" s="2417">
        <f>SUM(K49:K51)</f>
        <v>0</v>
      </c>
      <c r="L53" s="2000">
        <f>SUM(L49:L51)</f>
        <v>0</v>
      </c>
      <c r="M53" s="552">
        <f t="array" ref="M53">SUM(ROUND(M49:M51,0))</f>
        <v>0</v>
      </c>
      <c r="N53" s="832"/>
      <c r="O53" s="2466"/>
      <c r="P53" s="114"/>
      <c r="R53" s="3309">
        <f>SUM(R49:R51)</f>
        <v>0</v>
      </c>
      <c r="S53" s="3309">
        <f>M53-R53</f>
        <v>0</v>
      </c>
    </row>
    <row r="54" spans="1:19" s="96" customFormat="1" ht="4.5" customHeight="1">
      <c r="A54" s="307"/>
      <c r="B54" s="1811"/>
      <c r="C54" s="1811"/>
      <c r="D54" s="1811"/>
      <c r="E54" s="1811"/>
      <c r="F54" s="1811"/>
      <c r="G54" s="1811"/>
      <c r="H54" s="1811"/>
      <c r="I54" s="1811"/>
      <c r="J54" s="1811"/>
      <c r="K54" s="1811"/>
      <c r="L54" s="1811"/>
      <c r="M54" s="1814"/>
      <c r="N54" s="852"/>
      <c r="O54" s="2466"/>
      <c r="P54" s="1810"/>
      <c r="Q54" s="1810"/>
      <c r="R54" s="798"/>
      <c r="S54" s="798"/>
    </row>
    <row r="55" spans="1:19">
      <c r="B55" s="287" t="str">
        <f>IF(M55&gt;0,"Net Increase in Cash and Cash Equivalents",IF(M55&lt;0,"Net Decrease in Cash and Cash Equivalents","Net Increase (Decrease) in Cash and Cash Equivalents"))</f>
        <v>Net Increase (Decrease) in Cash and Cash Equivalents</v>
      </c>
      <c r="C55" s="282"/>
      <c r="D55" s="282"/>
      <c r="E55" s="282"/>
      <c r="F55" s="282"/>
      <c r="G55" s="282"/>
      <c r="H55" s="285"/>
      <c r="I55" s="285"/>
      <c r="J55" s="285"/>
      <c r="K55" s="285"/>
      <c r="L55" s="285"/>
      <c r="M55" s="554">
        <f>+M53+M46+M33+M22</f>
        <v>0</v>
      </c>
      <c r="N55" s="832"/>
      <c r="O55" s="2466"/>
      <c r="P55" s="114"/>
      <c r="R55" s="814">
        <f>R22+R33+R46+R53</f>
        <v>0</v>
      </c>
      <c r="S55" s="813">
        <f>M55-R55</f>
        <v>0</v>
      </c>
    </row>
    <row r="56" spans="1:19">
      <c r="A56" s="818" t="s">
        <v>2447</v>
      </c>
      <c r="B56" s="282" t="s">
        <v>2448</v>
      </c>
      <c r="C56" s="282"/>
      <c r="D56" s="282"/>
      <c r="E56" s="282"/>
      <c r="F56" s="282"/>
      <c r="G56" s="282"/>
      <c r="H56" s="285"/>
      <c r="I56" s="285"/>
      <c r="J56" s="285"/>
      <c r="K56" s="285"/>
      <c r="L56" s="285"/>
      <c r="M56" s="552" t="e">
        <f>VLOOKUP($I$1,VLOOKUP!A9:E36,5,FALSE)</f>
        <v>#N/A</v>
      </c>
      <c r="N56" s="832"/>
      <c r="O56" s="2466"/>
      <c r="P56" s="114"/>
      <c r="R56" s="813" t="e">
        <f>M56</f>
        <v>#N/A</v>
      </c>
      <c r="S56" s="813" t="e">
        <f>ROUND(R56,0)-R56</f>
        <v>#N/A</v>
      </c>
    </row>
    <row r="57" spans="1:19" s="96" customFormat="1" ht="6" customHeight="1">
      <c r="A57" s="307"/>
      <c r="B57" s="1811"/>
      <c r="C57" s="1811"/>
      <c r="D57" s="1811"/>
      <c r="E57" s="1811"/>
      <c r="F57" s="1811"/>
      <c r="G57" s="1811"/>
      <c r="H57" s="1811"/>
      <c r="I57" s="1811"/>
      <c r="J57" s="1811"/>
      <c r="K57" s="1811"/>
      <c r="L57" s="1811"/>
      <c r="M57" s="233"/>
      <c r="N57" s="858"/>
      <c r="O57" s="2466"/>
      <c r="P57" s="1810"/>
      <c r="Q57" s="1810"/>
      <c r="R57" s="798"/>
      <c r="S57" s="798"/>
    </row>
    <row r="58" spans="1:19" ht="13.5" thickBot="1">
      <c r="B58" s="287" t="s">
        <v>2449</v>
      </c>
      <c r="C58" s="282"/>
      <c r="D58" s="282"/>
      <c r="E58" s="282"/>
      <c r="F58" s="282"/>
      <c r="G58" s="282"/>
      <c r="H58" s="285"/>
      <c r="I58" s="285"/>
      <c r="J58" s="285"/>
      <c r="K58" s="285"/>
      <c r="L58" s="285"/>
      <c r="M58" s="555" t="e">
        <f t="array" ref="M58">SUM(ROUND(M55:M56,0))</f>
        <v>#N/A</v>
      </c>
      <c r="N58" s="853"/>
      <c r="O58" s="2467">
        <f t="array" ref="O58">(SUM(ROUND(SNP!M12:'SNP'!M13,0)))+ROUND(SNP!M28,0)</f>
        <v>0</v>
      </c>
      <c r="P58" s="114" t="s">
        <v>2450</v>
      </c>
      <c r="R58" s="815" t="e">
        <f>R55+R56</f>
        <v>#N/A</v>
      </c>
      <c r="S58" s="815" t="e">
        <f>M58-R58</f>
        <v>#N/A</v>
      </c>
    </row>
    <row r="59" spans="1:19" ht="13.5" thickTop="1">
      <c r="B59" s="291"/>
      <c r="C59" s="282"/>
      <c r="D59" s="282"/>
      <c r="E59" s="282"/>
      <c r="F59" s="282"/>
      <c r="G59" s="282"/>
      <c r="H59" s="285"/>
      <c r="I59" s="285"/>
      <c r="J59" s="285"/>
      <c r="K59" s="285"/>
      <c r="L59" s="285"/>
      <c r="M59" s="298"/>
      <c r="N59" s="854"/>
      <c r="O59" s="2468" t="e">
        <f>M58-O58</f>
        <v>#N/A</v>
      </c>
      <c r="P59" s="114" t="s">
        <v>224</v>
      </c>
      <c r="R59" s="813">
        <f>SNP!M12+SNP!M13+SNP!M28</f>
        <v>0</v>
      </c>
      <c r="S59" s="813" t="s">
        <v>2450</v>
      </c>
    </row>
    <row r="60" spans="1:19">
      <c r="B60" s="2605" t="str">
        <f>I1</f>
        <v>SAMPLE STATE COLLEGE</v>
      </c>
      <c r="C60" s="2605"/>
      <c r="D60" s="2605"/>
      <c r="E60" s="2605"/>
      <c r="F60" s="2605"/>
      <c r="G60" s="2605"/>
      <c r="H60" s="2605"/>
      <c r="I60" s="2605"/>
      <c r="J60" s="2605"/>
      <c r="K60" s="2605"/>
      <c r="L60" s="2605"/>
      <c r="M60" s="2605"/>
      <c r="N60" s="844"/>
      <c r="O60" s="2466"/>
      <c r="P60" s="114"/>
    </row>
    <row r="61" spans="1:19">
      <c r="B61" s="2605" t="str">
        <f>I2</f>
        <v>A COMPONENT UNIT OF THE STATE OF FLORIDA</v>
      </c>
      <c r="C61" s="2605"/>
      <c r="D61" s="2605"/>
      <c r="E61" s="2605"/>
      <c r="F61" s="2605"/>
      <c r="G61" s="2605"/>
      <c r="H61" s="2605"/>
      <c r="I61" s="2605"/>
      <c r="J61" s="2605"/>
      <c r="K61" s="2605"/>
      <c r="L61" s="2605"/>
      <c r="M61" s="2605"/>
      <c r="N61" s="844"/>
      <c r="O61" s="2466"/>
      <c r="P61" s="114"/>
      <c r="S61" s="813"/>
    </row>
    <row r="62" spans="1:19">
      <c r="B62" s="2605" t="s">
        <v>2451</v>
      </c>
      <c r="C62" s="2605"/>
      <c r="D62" s="2605"/>
      <c r="E62" s="2605"/>
      <c r="F62" s="2605"/>
      <c r="G62" s="2605"/>
      <c r="H62" s="2605"/>
      <c r="I62" s="2605"/>
      <c r="J62" s="2605"/>
      <c r="K62" s="2605"/>
      <c r="L62" s="2605"/>
      <c r="M62" s="2605"/>
      <c r="N62" s="844"/>
      <c r="O62" s="2466"/>
      <c r="P62" s="114"/>
      <c r="S62" s="813"/>
    </row>
    <row r="63" spans="1:19">
      <c r="B63" s="2958" t="str">
        <f>I4</f>
        <v>For the Fiscal Year Ended June 30, 2021</v>
      </c>
      <c r="C63" s="2605"/>
      <c r="D63" s="2605"/>
      <c r="E63" s="2605"/>
      <c r="F63" s="2605"/>
      <c r="G63" s="2605"/>
      <c r="H63" s="2605"/>
      <c r="I63" s="2605"/>
      <c r="J63" s="2605"/>
      <c r="K63" s="2605"/>
      <c r="L63" s="2605"/>
      <c r="M63" s="2605"/>
      <c r="N63" s="844"/>
      <c r="O63" s="2466"/>
      <c r="P63" s="114"/>
      <c r="S63" s="813"/>
    </row>
    <row r="64" spans="1:19">
      <c r="B64" s="1963"/>
      <c r="C64" s="1963"/>
      <c r="D64" s="1963"/>
      <c r="E64" s="1963"/>
      <c r="F64" s="1963"/>
      <c r="G64" s="1963"/>
      <c r="H64" s="1963"/>
      <c r="I64" s="1963"/>
      <c r="J64" s="1963"/>
      <c r="K64" s="1963"/>
      <c r="L64" s="1963"/>
      <c r="M64" s="1963"/>
      <c r="N64" s="844"/>
      <c r="O64" s="2466"/>
      <c r="P64" s="114"/>
      <c r="S64" s="813"/>
    </row>
    <row r="65" spans="1:19">
      <c r="B65" s="282"/>
      <c r="C65" s="282"/>
      <c r="D65" s="282"/>
      <c r="E65" s="282"/>
      <c r="F65" s="282"/>
      <c r="G65" s="282"/>
      <c r="H65" s="285"/>
      <c r="I65" s="285"/>
      <c r="J65" s="285"/>
      <c r="K65" s="285"/>
      <c r="L65" s="285"/>
      <c r="M65" s="299" t="s">
        <v>2303</v>
      </c>
      <c r="N65" s="859"/>
      <c r="O65" s="2466"/>
      <c r="P65" s="114"/>
      <c r="S65" s="2607"/>
    </row>
    <row r="66" spans="1:19">
      <c r="B66" s="282"/>
      <c r="C66" s="282"/>
      <c r="D66" s="282"/>
      <c r="E66" s="282"/>
      <c r="F66" s="282"/>
      <c r="G66" s="282"/>
      <c r="H66" s="285"/>
      <c r="I66" s="285"/>
      <c r="J66" s="285"/>
      <c r="K66" s="285"/>
      <c r="L66" s="285"/>
      <c r="M66" s="300"/>
      <c r="N66" s="859"/>
      <c r="O66" s="2466"/>
      <c r="P66" s="114"/>
      <c r="R66" s="2607" t="s">
        <v>2452</v>
      </c>
      <c r="S66" s="2608"/>
    </row>
    <row r="67" spans="1:19">
      <c r="B67" s="284" t="s">
        <v>2453</v>
      </c>
      <c r="C67" s="282"/>
      <c r="D67" s="282"/>
      <c r="E67" s="282"/>
      <c r="F67" s="282"/>
      <c r="G67" s="282"/>
      <c r="H67" s="285"/>
      <c r="I67" s="285"/>
      <c r="J67" s="285"/>
      <c r="K67" s="285"/>
      <c r="L67" s="285"/>
      <c r="M67" s="292"/>
      <c r="N67" s="855"/>
      <c r="O67" s="2466"/>
      <c r="P67" s="114"/>
      <c r="R67" s="3296" t="s">
        <v>2303</v>
      </c>
      <c r="S67" s="3750" t="s">
        <v>2313</v>
      </c>
    </row>
    <row r="68" spans="1:19">
      <c r="B68" s="293" t="str">
        <f>IF(M22&gt;=0,"TO NET CASH PROVIDED BY OPERATING ACTIVITIES","TO NET CASH USED BY OPERATING ACTIVITIES")</f>
        <v>TO NET CASH PROVIDED BY OPERATING ACTIVITIES</v>
      </c>
      <c r="C68" s="282"/>
      <c r="D68" s="282"/>
      <c r="E68" s="282"/>
      <c r="F68" s="282"/>
      <c r="G68" s="282"/>
      <c r="H68" s="285"/>
      <c r="I68" s="285"/>
      <c r="J68" s="285"/>
      <c r="K68" s="285"/>
      <c r="L68" s="285"/>
      <c r="M68" s="292"/>
      <c r="N68" s="855"/>
      <c r="O68" s="2466"/>
      <c r="P68" s="114"/>
      <c r="S68" s="813"/>
    </row>
    <row r="69" spans="1:19">
      <c r="B69" s="282" t="s">
        <v>2454</v>
      </c>
      <c r="C69" s="282"/>
      <c r="D69" s="282"/>
      <c r="E69" s="282"/>
      <c r="F69" s="282"/>
      <c r="G69" s="282"/>
      <c r="H69" s="285"/>
      <c r="I69" s="285"/>
      <c r="J69" s="285"/>
      <c r="K69" s="285"/>
      <c r="L69" s="285"/>
      <c r="M69" s="485">
        <f>SRECNP!L34</f>
        <v>0</v>
      </c>
      <c r="N69" s="856"/>
      <c r="O69" s="2466"/>
      <c r="P69" s="114"/>
      <c r="R69" s="813">
        <f>M69</f>
        <v>0</v>
      </c>
      <c r="S69" s="814">
        <f t="shared" ref="S69:S90" si="9">ROUND(R69,0)-R69</f>
        <v>0</v>
      </c>
    </row>
    <row r="70" spans="1:19">
      <c r="B70" s="282" t="s">
        <v>2455</v>
      </c>
      <c r="C70" s="282"/>
      <c r="D70" s="282"/>
      <c r="E70" s="282"/>
      <c r="F70" s="282"/>
      <c r="G70" s="282"/>
      <c r="H70" s="285"/>
      <c r="I70" s="285"/>
      <c r="J70" s="285"/>
      <c r="K70" s="285"/>
      <c r="L70" s="285"/>
      <c r="M70" s="292"/>
      <c r="N70" s="855"/>
      <c r="O70" s="2466"/>
      <c r="P70" s="114"/>
      <c r="S70" s="814"/>
    </row>
    <row r="71" spans="1:19">
      <c r="B71" s="288" t="str">
        <f>IF(M22&gt;=0,"  to Net Cash Provided by Operating Activities:","  to Net Cash Used by Operating Activities:")</f>
        <v xml:space="preserve">  to Net Cash Provided by Operating Activities:</v>
      </c>
      <c r="C71" s="282"/>
      <c r="D71" s="282"/>
      <c r="E71" s="282"/>
      <c r="F71" s="282"/>
      <c r="G71" s="282"/>
      <c r="H71" s="285"/>
      <c r="I71" s="285"/>
      <c r="J71" s="285"/>
      <c r="K71" s="285"/>
      <c r="L71" s="285"/>
      <c r="M71" s="292"/>
      <c r="N71" s="855"/>
      <c r="O71" s="2466"/>
      <c r="P71" s="114"/>
      <c r="S71" s="814"/>
    </row>
    <row r="72" spans="1:19">
      <c r="A72" s="818" t="s">
        <v>2456</v>
      </c>
      <c r="B72" s="282"/>
      <c r="C72" s="288" t="s">
        <v>2457</v>
      </c>
      <c r="D72" s="282"/>
      <c r="E72" s="282"/>
      <c r="F72" s="282"/>
      <c r="G72" s="282"/>
      <c r="H72" s="285"/>
      <c r="I72" s="285"/>
      <c r="J72" s="285"/>
      <c r="K72" s="285"/>
      <c r="L72" s="285"/>
      <c r="M72" s="554">
        <f>SRECNP!L30</f>
        <v>0</v>
      </c>
      <c r="N72" s="832"/>
      <c r="O72" s="2466"/>
      <c r="P72" s="114"/>
      <c r="R72" s="813">
        <f>M72</f>
        <v>0</v>
      </c>
      <c r="S72" s="814">
        <f t="shared" si="9"/>
        <v>0</v>
      </c>
    </row>
    <row r="73" spans="1:19">
      <c r="B73" s="282"/>
      <c r="C73" s="288" t="s">
        <v>2458</v>
      </c>
      <c r="D73" s="282"/>
      <c r="E73" s="282"/>
      <c r="F73" s="282"/>
      <c r="G73" s="282"/>
      <c r="H73" s="285"/>
      <c r="I73" s="285"/>
      <c r="J73" s="285"/>
      <c r="K73" s="285"/>
      <c r="L73" s="285"/>
      <c r="M73" s="1814"/>
      <c r="N73" s="852"/>
      <c r="O73" s="2466"/>
      <c r="P73" s="114"/>
      <c r="S73" s="814"/>
    </row>
    <row r="74" spans="1:19">
      <c r="A74" s="818" t="s">
        <v>2459</v>
      </c>
      <c r="B74" s="294"/>
      <c r="C74" s="282"/>
      <c r="D74" s="288" t="s">
        <v>2460</v>
      </c>
      <c r="E74" s="282"/>
      <c r="F74" s="282"/>
      <c r="G74" s="282"/>
      <c r="H74" s="295"/>
      <c r="I74" s="295"/>
      <c r="J74" s="295"/>
      <c r="K74" s="1950">
        <f>+'SCF Support'!B72</f>
        <v>0</v>
      </c>
      <c r="L74" s="109">
        <v>0</v>
      </c>
      <c r="M74" s="2459">
        <f>+K74+L74</f>
        <v>0</v>
      </c>
      <c r="N74" s="852"/>
      <c r="O74" s="2466"/>
      <c r="P74" s="117"/>
      <c r="R74" s="813">
        <f>M74</f>
        <v>0</v>
      </c>
      <c r="S74" s="814">
        <f t="shared" si="9"/>
        <v>0</v>
      </c>
    </row>
    <row r="75" spans="1:19">
      <c r="A75" s="818" t="s">
        <v>2461</v>
      </c>
      <c r="B75" s="282"/>
      <c r="C75" s="282"/>
      <c r="D75" s="288" t="s">
        <v>2462</v>
      </c>
      <c r="E75" s="282"/>
      <c r="F75" s="282"/>
      <c r="G75" s="282"/>
      <c r="H75" s="295"/>
      <c r="I75" s="295"/>
      <c r="J75" s="285"/>
      <c r="K75" s="1950">
        <f>'SCF Support'!B73</f>
        <v>0</v>
      </c>
      <c r="L75" s="109">
        <v>0</v>
      </c>
      <c r="M75" s="698">
        <f>+K75+L75</f>
        <v>0</v>
      </c>
      <c r="N75" s="852"/>
      <c r="O75" s="2466"/>
      <c r="P75" s="117"/>
      <c r="R75" s="813">
        <f t="shared" ref="R75:R90" si="10">M75</f>
        <v>0</v>
      </c>
      <c r="S75" s="814">
        <f t="shared" si="9"/>
        <v>0</v>
      </c>
    </row>
    <row r="76" spans="1:19">
      <c r="B76" s="282"/>
      <c r="C76" s="282"/>
      <c r="D76" s="288" t="s">
        <v>197</v>
      </c>
      <c r="E76" s="282"/>
      <c r="F76" s="282"/>
      <c r="G76" s="282"/>
      <c r="H76" s="295"/>
      <c r="I76" s="295"/>
      <c r="J76" s="285"/>
      <c r="K76" s="1950">
        <f>'SCF Support'!B74</f>
        <v>0</v>
      </c>
      <c r="L76" s="109">
        <v>0</v>
      </c>
      <c r="M76" s="698">
        <f>+K76+L76</f>
        <v>0</v>
      </c>
      <c r="N76" s="852"/>
      <c r="O76" s="2466"/>
      <c r="P76" s="117"/>
      <c r="R76" s="813">
        <f>M76</f>
        <v>0</v>
      </c>
      <c r="S76" s="814">
        <f>ROUND(R76,0)-R76</f>
        <v>0</v>
      </c>
    </row>
    <row r="77" spans="1:19">
      <c r="B77" s="282"/>
      <c r="C77" s="282"/>
      <c r="D77" s="288" t="s">
        <v>2463</v>
      </c>
      <c r="E77" s="282"/>
      <c r="F77" s="282"/>
      <c r="G77" s="282"/>
      <c r="H77" s="295"/>
      <c r="I77" s="295"/>
      <c r="J77" s="285"/>
      <c r="K77" s="1950">
        <f>'SCF Support'!B75</f>
        <v>0</v>
      </c>
      <c r="L77" s="109">
        <v>0</v>
      </c>
      <c r="M77" s="698">
        <f>+K77+L77</f>
        <v>0</v>
      </c>
      <c r="N77" s="852"/>
      <c r="O77" s="2466"/>
      <c r="P77" s="117"/>
      <c r="R77" s="813">
        <f>M77</f>
        <v>0</v>
      </c>
      <c r="S77" s="814">
        <f>ROUND(R77,0)-R77</f>
        <v>0</v>
      </c>
    </row>
    <row r="78" spans="1:19">
      <c r="B78" s="294"/>
      <c r="C78" s="282"/>
      <c r="D78" s="288" t="s">
        <v>2464</v>
      </c>
      <c r="E78" s="282"/>
      <c r="F78" s="282"/>
      <c r="G78" s="282"/>
      <c r="H78" s="295"/>
      <c r="I78" s="295"/>
      <c r="J78" s="285"/>
      <c r="K78" s="1950">
        <f>'SCF Support'!B76</f>
        <v>0</v>
      </c>
      <c r="L78" s="109">
        <v>0</v>
      </c>
      <c r="M78" s="698">
        <f>+K78+L78</f>
        <v>0</v>
      </c>
      <c r="N78" s="852"/>
      <c r="O78" s="2466"/>
      <c r="P78" s="117"/>
      <c r="R78" s="813">
        <f>M78</f>
        <v>0</v>
      </c>
      <c r="S78" s="814">
        <f>ROUND(R78,0)-R78</f>
        <v>0</v>
      </c>
    </row>
    <row r="79" spans="1:19">
      <c r="A79" s="818" t="s">
        <v>2465</v>
      </c>
      <c r="B79" s="294"/>
      <c r="C79" s="282"/>
      <c r="D79" s="288" t="s">
        <v>205</v>
      </c>
      <c r="E79" s="282"/>
      <c r="F79" s="282"/>
      <c r="G79" s="282"/>
      <c r="H79" s="285"/>
      <c r="I79" s="285"/>
      <c r="J79" s="285"/>
      <c r="K79" s="1950">
        <f>+'SCF Support'!B77</f>
        <v>0</v>
      </c>
      <c r="L79" s="109">
        <v>0</v>
      </c>
      <c r="M79" s="698">
        <f t="shared" ref="M79:M92" si="11">+K79+L79</f>
        <v>0</v>
      </c>
      <c r="N79" s="852"/>
      <c r="O79" s="2466"/>
      <c r="P79" s="117"/>
      <c r="R79" s="813">
        <f>M79</f>
        <v>0</v>
      </c>
      <c r="S79" s="814">
        <f>ROUND(R79,0)-R79</f>
        <v>0</v>
      </c>
    </row>
    <row r="80" spans="1:19">
      <c r="A80" s="818" t="s">
        <v>2466</v>
      </c>
      <c r="B80" s="294"/>
      <c r="C80" s="282"/>
      <c r="D80" s="288" t="s">
        <v>210</v>
      </c>
      <c r="E80" s="282"/>
      <c r="F80" s="282"/>
      <c r="G80" s="282"/>
      <c r="H80" s="295"/>
      <c r="I80" s="295"/>
      <c r="J80" s="295"/>
      <c r="K80" s="1950">
        <f>+'SCF Support'!B78</f>
        <v>0</v>
      </c>
      <c r="L80" s="109">
        <v>0</v>
      </c>
      <c r="M80" s="698">
        <f t="shared" si="11"/>
        <v>0</v>
      </c>
      <c r="N80" s="852"/>
      <c r="O80" s="2466"/>
      <c r="P80" s="117"/>
      <c r="R80" s="813">
        <f t="shared" si="10"/>
        <v>0</v>
      </c>
      <c r="S80" s="814">
        <f t="shared" si="9"/>
        <v>0</v>
      </c>
    </row>
    <row r="81" spans="1:19">
      <c r="A81" s="818" t="s">
        <v>2467</v>
      </c>
      <c r="B81" s="294"/>
      <c r="C81" s="282"/>
      <c r="D81" s="288" t="s">
        <v>217</v>
      </c>
      <c r="E81" s="282"/>
      <c r="F81" s="282"/>
      <c r="G81" s="282"/>
      <c r="H81" s="285"/>
      <c r="I81" s="285"/>
      <c r="J81" s="285"/>
      <c r="K81" s="1950">
        <f>+'SCF Support'!B79</f>
        <v>0</v>
      </c>
      <c r="L81" s="109">
        <v>0</v>
      </c>
      <c r="M81" s="698">
        <f t="shared" si="11"/>
        <v>0</v>
      </c>
      <c r="N81" s="852"/>
      <c r="O81" s="2466"/>
      <c r="P81" s="117"/>
      <c r="R81" s="813">
        <f t="shared" si="10"/>
        <v>0</v>
      </c>
      <c r="S81" s="814">
        <f t="shared" si="9"/>
        <v>0</v>
      </c>
    </row>
    <row r="82" spans="1:19">
      <c r="A82" s="818" t="s">
        <v>2468</v>
      </c>
      <c r="B82" s="294"/>
      <c r="C82" s="282"/>
      <c r="D82" s="288" t="s">
        <v>56</v>
      </c>
      <c r="E82" s="282"/>
      <c r="F82" s="282"/>
      <c r="G82" s="282"/>
      <c r="H82" s="285"/>
      <c r="I82" s="285"/>
      <c r="J82" s="285"/>
      <c r="K82" s="1950">
        <f>+'SCF Support'!B80</f>
        <v>0</v>
      </c>
      <c r="L82" s="109">
        <v>0</v>
      </c>
      <c r="M82" s="698">
        <f t="shared" si="11"/>
        <v>0</v>
      </c>
      <c r="N82" s="852"/>
      <c r="O82" s="2466"/>
      <c r="P82" s="117"/>
      <c r="R82" s="813">
        <f t="shared" si="10"/>
        <v>0</v>
      </c>
      <c r="S82" s="814">
        <f t="shared" si="9"/>
        <v>0</v>
      </c>
    </row>
    <row r="83" spans="1:19">
      <c r="B83" s="294"/>
      <c r="C83" s="282"/>
      <c r="D83" s="288" t="s">
        <v>2469</v>
      </c>
      <c r="E83" s="282"/>
      <c r="F83" s="282"/>
      <c r="G83" s="282"/>
      <c r="H83" s="285"/>
      <c r="I83" s="285"/>
      <c r="J83" s="285"/>
      <c r="K83" s="1950">
        <f>+'SCF Support'!B81</f>
        <v>0</v>
      </c>
      <c r="L83" s="109">
        <v>0</v>
      </c>
      <c r="M83" s="698">
        <f t="shared" si="11"/>
        <v>0</v>
      </c>
      <c r="N83" s="852"/>
      <c r="O83" s="2466"/>
      <c r="P83" s="117"/>
      <c r="R83" s="813">
        <f t="shared" si="10"/>
        <v>0</v>
      </c>
      <c r="S83" s="814">
        <f t="shared" si="9"/>
        <v>0</v>
      </c>
    </row>
    <row r="84" spans="1:19">
      <c r="A84" s="818" t="s">
        <v>2470</v>
      </c>
      <c r="B84" s="294"/>
      <c r="C84" s="282"/>
      <c r="D84" s="288" t="s">
        <v>2471</v>
      </c>
      <c r="E84" s="282"/>
      <c r="F84" s="282"/>
      <c r="G84" s="282"/>
      <c r="H84" s="285"/>
      <c r="I84" s="285"/>
      <c r="J84" s="285"/>
      <c r="K84" s="1950">
        <f>+'SCF Support'!B82</f>
        <v>0</v>
      </c>
      <c r="L84" s="109">
        <v>0</v>
      </c>
      <c r="M84" s="698">
        <f t="shared" si="11"/>
        <v>0</v>
      </c>
      <c r="N84" s="852"/>
      <c r="O84" s="2466"/>
      <c r="P84" s="117"/>
      <c r="R84" s="813">
        <f t="shared" si="10"/>
        <v>0</v>
      </c>
      <c r="S84" s="814">
        <f t="shared" si="9"/>
        <v>0</v>
      </c>
    </row>
    <row r="85" spans="1:19">
      <c r="A85" s="818" t="s">
        <v>2472</v>
      </c>
      <c r="B85" s="294"/>
      <c r="C85" s="282"/>
      <c r="D85" s="288" t="s">
        <v>73</v>
      </c>
      <c r="E85" s="282"/>
      <c r="F85" s="282"/>
      <c r="G85" s="282"/>
      <c r="H85" s="296"/>
      <c r="I85" s="296"/>
      <c r="J85" s="296"/>
      <c r="K85" s="1950">
        <f>+'SCF Support'!B83</f>
        <v>0</v>
      </c>
      <c r="L85" s="109">
        <v>0</v>
      </c>
      <c r="M85" s="698">
        <f t="shared" si="11"/>
        <v>0</v>
      </c>
      <c r="N85" s="852"/>
      <c r="O85" s="2466"/>
      <c r="P85" s="117"/>
      <c r="R85" s="813">
        <f t="shared" si="10"/>
        <v>0</v>
      </c>
      <c r="S85" s="814">
        <f t="shared" si="9"/>
        <v>0</v>
      </c>
    </row>
    <row r="86" spans="1:19">
      <c r="B86" s="294"/>
      <c r="C86" s="282"/>
      <c r="D86" s="288" t="s">
        <v>270</v>
      </c>
      <c r="E86" s="282"/>
      <c r="F86" s="282"/>
      <c r="G86" s="282"/>
      <c r="H86" s="296"/>
      <c r="I86" s="296"/>
      <c r="J86" s="296"/>
      <c r="K86" s="1950">
        <f>+'SCF Support'!B84</f>
        <v>0</v>
      </c>
      <c r="L86" s="109">
        <v>0</v>
      </c>
      <c r="M86" s="698">
        <f t="shared" si="11"/>
        <v>0</v>
      </c>
      <c r="N86" s="852"/>
      <c r="O86" s="2466"/>
      <c r="P86" s="117"/>
      <c r="R86" s="813">
        <f>M86</f>
        <v>0</v>
      </c>
      <c r="S86" s="814">
        <f>ROUND(R86,0)-R86</f>
        <v>0</v>
      </c>
    </row>
    <row r="87" spans="1:19">
      <c r="A87" s="818" t="s">
        <v>2473</v>
      </c>
      <c r="B87" s="294"/>
      <c r="C87" s="282"/>
      <c r="D87" s="253" t="s">
        <v>2474</v>
      </c>
      <c r="E87" s="282"/>
      <c r="F87" s="282"/>
      <c r="G87" s="282"/>
      <c r="H87" s="289"/>
      <c r="I87" s="289"/>
      <c r="J87" s="289"/>
      <c r="K87" s="1950">
        <f>+'SCF Support'!B85</f>
        <v>0</v>
      </c>
      <c r="L87" s="109">
        <v>0</v>
      </c>
      <c r="M87" s="698">
        <f t="shared" si="11"/>
        <v>0</v>
      </c>
      <c r="N87" s="852"/>
      <c r="O87" s="2466"/>
      <c r="P87" s="117"/>
      <c r="R87" s="813">
        <f t="shared" si="10"/>
        <v>0</v>
      </c>
      <c r="S87" s="814">
        <f t="shared" si="9"/>
        <v>0</v>
      </c>
    </row>
    <row r="88" spans="1:19">
      <c r="A88" s="818" t="s">
        <v>2475</v>
      </c>
      <c r="B88" s="294"/>
      <c r="C88" s="282"/>
      <c r="D88" s="288" t="s">
        <v>289</v>
      </c>
      <c r="E88" s="282"/>
      <c r="F88" s="282"/>
      <c r="G88" s="282"/>
      <c r="H88" s="289"/>
      <c r="I88" s="289"/>
      <c r="J88" s="289"/>
      <c r="K88" s="1950">
        <f>+'SCF Support'!B86</f>
        <v>0</v>
      </c>
      <c r="L88" s="109">
        <v>0</v>
      </c>
      <c r="M88" s="698">
        <f t="shared" si="11"/>
        <v>0</v>
      </c>
      <c r="N88" s="852"/>
      <c r="O88" s="2466"/>
      <c r="P88" s="117"/>
      <c r="R88" s="813">
        <f t="shared" si="10"/>
        <v>0</v>
      </c>
      <c r="S88" s="814">
        <f t="shared" si="9"/>
        <v>0</v>
      </c>
    </row>
    <row r="89" spans="1:19">
      <c r="A89" s="818" t="s">
        <v>2476</v>
      </c>
      <c r="B89" s="294"/>
      <c r="C89" s="282"/>
      <c r="D89" s="288" t="s">
        <v>291</v>
      </c>
      <c r="E89" s="282"/>
      <c r="F89" s="282"/>
      <c r="G89" s="282"/>
      <c r="H89" s="289"/>
      <c r="I89" s="289"/>
      <c r="J89" s="289"/>
      <c r="K89" s="1950">
        <f>+'SCF Support'!B87</f>
        <v>0</v>
      </c>
      <c r="L89" s="109">
        <v>0</v>
      </c>
      <c r="M89" s="698">
        <f t="shared" si="11"/>
        <v>0</v>
      </c>
      <c r="N89" s="852"/>
      <c r="O89" s="2466"/>
      <c r="P89" s="117"/>
      <c r="R89" s="813">
        <f t="shared" si="10"/>
        <v>0</v>
      </c>
      <c r="S89" s="814">
        <f t="shared" si="9"/>
        <v>0</v>
      </c>
    </row>
    <row r="90" spans="1:19">
      <c r="A90" s="818" t="s">
        <v>2477</v>
      </c>
      <c r="B90" s="294"/>
      <c r="C90" s="282"/>
      <c r="D90" s="288" t="s">
        <v>572</v>
      </c>
      <c r="E90" s="282"/>
      <c r="F90" s="282"/>
      <c r="G90" s="282"/>
      <c r="H90" s="297"/>
      <c r="I90" s="297"/>
      <c r="J90" s="297"/>
      <c r="K90" s="1950">
        <f>+'SCF Support'!B88</f>
        <v>0</v>
      </c>
      <c r="L90" s="1864">
        <v>0</v>
      </c>
      <c r="M90" s="698">
        <f t="shared" si="11"/>
        <v>0</v>
      </c>
      <c r="N90" s="852"/>
      <c r="O90" s="2466"/>
      <c r="P90" s="117"/>
      <c r="R90" s="814">
        <f t="shared" si="10"/>
        <v>0</v>
      </c>
      <c r="S90" s="814">
        <f t="shared" si="9"/>
        <v>0</v>
      </c>
    </row>
    <row r="91" spans="1:19">
      <c r="B91" s="294"/>
      <c r="C91" s="282"/>
      <c r="D91" s="288" t="s">
        <v>2478</v>
      </c>
      <c r="E91" s="282"/>
      <c r="F91" s="282"/>
      <c r="G91" s="282"/>
      <c r="H91" s="297"/>
      <c r="I91" s="297"/>
      <c r="J91" s="297"/>
      <c r="K91" s="1950">
        <f>+'SCF Support'!B89</f>
        <v>0</v>
      </c>
      <c r="L91" s="1864">
        <v>0</v>
      </c>
      <c r="M91" s="698">
        <f t="shared" si="11"/>
        <v>0</v>
      </c>
      <c r="N91" s="852"/>
      <c r="O91" s="2466"/>
      <c r="P91" s="117"/>
      <c r="R91" s="814">
        <f>M91</f>
        <v>0</v>
      </c>
      <c r="S91" s="814">
        <f>ROUND(R91,0)-R91</f>
        <v>0</v>
      </c>
    </row>
    <row r="92" spans="1:19">
      <c r="B92" s="294"/>
      <c r="C92" s="282"/>
      <c r="D92" s="288" t="s">
        <v>2479</v>
      </c>
      <c r="E92" s="282"/>
      <c r="F92" s="282"/>
      <c r="G92" s="282"/>
      <c r="H92" s="297"/>
      <c r="I92" s="297"/>
      <c r="J92" s="297"/>
      <c r="K92" s="1950">
        <f>+'SCF Support'!B90</f>
        <v>0</v>
      </c>
      <c r="L92" s="1864">
        <v>0</v>
      </c>
      <c r="M92" s="698">
        <f t="shared" si="11"/>
        <v>0</v>
      </c>
      <c r="N92" s="852"/>
      <c r="O92" s="2466" t="s">
        <v>2480</v>
      </c>
      <c r="P92" s="117"/>
      <c r="R92" s="814">
        <f>M92</f>
        <v>0</v>
      </c>
      <c r="S92" s="814">
        <f>ROUND(R92,0)-R92</f>
        <v>0</v>
      </c>
    </row>
    <row r="93" spans="1:19">
      <c r="B93" s="294"/>
      <c r="C93" s="282"/>
      <c r="D93" s="288" t="s">
        <v>2481</v>
      </c>
      <c r="E93" s="282"/>
      <c r="F93" s="282"/>
      <c r="G93" s="282"/>
      <c r="H93" s="297"/>
      <c r="I93" s="297"/>
      <c r="J93" s="297"/>
      <c r="K93" s="1998">
        <f>+'SCF Support'!B91</f>
        <v>0</v>
      </c>
      <c r="L93" s="1864">
        <v>0</v>
      </c>
      <c r="M93" s="852">
        <f>+K93+L93</f>
        <v>0</v>
      </c>
      <c r="N93" s="852"/>
      <c r="O93" s="2466" t="s">
        <v>2482</v>
      </c>
      <c r="P93" s="117"/>
      <c r="R93" s="814">
        <f>M93</f>
        <v>0</v>
      </c>
      <c r="S93" s="814">
        <f>ROUND(R93,0)-R93</f>
        <v>0</v>
      </c>
    </row>
    <row r="94" spans="1:19">
      <c r="B94" s="294"/>
      <c r="C94" s="282"/>
      <c r="D94" s="3005" t="s">
        <v>2483</v>
      </c>
      <c r="E94" s="111"/>
      <c r="F94" s="111"/>
      <c r="G94" s="111"/>
      <c r="H94" s="3006"/>
      <c r="I94" s="3006"/>
      <c r="J94" s="297"/>
      <c r="K94" s="1998">
        <f>+'SCF Support'!B92</f>
        <v>0</v>
      </c>
      <c r="L94" s="1864">
        <v>0</v>
      </c>
      <c r="M94" s="852">
        <f>+K94+L94</f>
        <v>0</v>
      </c>
      <c r="N94" s="852"/>
      <c r="O94" s="2466"/>
      <c r="P94" s="117"/>
      <c r="R94" s="814">
        <f>M94</f>
        <v>0</v>
      </c>
      <c r="S94" s="814">
        <f>ROUND(R94,0)-R94</f>
        <v>0</v>
      </c>
    </row>
    <row r="95" spans="1:19" s="111" customFormat="1">
      <c r="A95" s="1279"/>
      <c r="B95" s="294"/>
      <c r="C95" s="282"/>
      <c r="D95" s="288"/>
      <c r="E95" s="282"/>
      <c r="F95" s="282"/>
      <c r="G95" s="282"/>
      <c r="H95" s="285"/>
      <c r="I95" s="285"/>
      <c r="J95" s="285"/>
      <c r="K95" s="285"/>
      <c r="L95" s="3751"/>
      <c r="M95" s="3751"/>
      <c r="N95" s="855"/>
      <c r="O95" s="2466"/>
      <c r="R95" s="816"/>
      <c r="S95" s="816"/>
    </row>
    <row r="96" spans="1:19" ht="13.5" thickBot="1">
      <c r="B96" s="287" t="str">
        <f>IF(M96&gt;=0,"Net Cash Provided by Operating Activities","Net Cash Used by Operating Activities")</f>
        <v>Net Cash Provided by Operating Activities</v>
      </c>
      <c r="C96" s="282"/>
      <c r="D96" s="282"/>
      <c r="E96" s="282"/>
      <c r="F96" s="282"/>
      <c r="G96" s="282"/>
      <c r="H96" s="285"/>
      <c r="I96" s="285"/>
      <c r="J96" s="285"/>
      <c r="K96" s="1998"/>
      <c r="L96" s="1998"/>
      <c r="M96" s="1895">
        <f>(SUMPRODUCT(ROUND(M74:M94,0))+ROUND(M72,0)+ROUND(M69,0))</f>
        <v>0</v>
      </c>
      <c r="N96" s="856"/>
      <c r="O96" s="2468">
        <f>ROUND(M96,0)-ROUND(M22,0)</f>
        <v>0</v>
      </c>
      <c r="P96" s="118" t="s">
        <v>224</v>
      </c>
      <c r="R96" s="817">
        <f>SUM(R69:R94)</f>
        <v>0</v>
      </c>
      <c r="S96" s="2349">
        <f>M96-R96</f>
        <v>0</v>
      </c>
    </row>
    <row r="97" spans="1:19" ht="13.5" thickTop="1">
      <c r="B97" s="282"/>
      <c r="C97" s="282"/>
      <c r="D97" s="282"/>
      <c r="E97" s="282"/>
      <c r="F97" s="282"/>
      <c r="G97" s="282"/>
      <c r="H97" s="285"/>
      <c r="I97" s="285"/>
      <c r="J97" s="285"/>
      <c r="K97" s="285"/>
      <c r="L97" s="285"/>
      <c r="M97" s="292"/>
      <c r="N97" s="855"/>
      <c r="O97" s="2469"/>
      <c r="P97" s="114"/>
      <c r="S97" s="813"/>
    </row>
    <row r="98" spans="1:19" s="96" customFormat="1">
      <c r="A98" s="307"/>
      <c r="B98" s="219" t="s">
        <v>2484</v>
      </c>
      <c r="C98" s="1811"/>
      <c r="D98" s="1811"/>
      <c r="E98" s="1811"/>
      <c r="F98" s="1811"/>
      <c r="G98" s="1811"/>
      <c r="H98" s="1811"/>
      <c r="I98" s="1811"/>
      <c r="J98" s="1811"/>
      <c r="K98" s="1811"/>
      <c r="L98" s="1811"/>
      <c r="M98" s="298"/>
      <c r="N98" s="854"/>
      <c r="O98" s="2469"/>
      <c r="P98" s="1810"/>
      <c r="Q98" s="1810"/>
      <c r="R98" s="798"/>
      <c r="S98" s="798"/>
    </row>
    <row r="99" spans="1:19" s="96" customFormat="1">
      <c r="A99" s="307"/>
      <c r="B99" s="219" t="s">
        <v>2485</v>
      </c>
      <c r="C99" s="1811"/>
      <c r="D99" s="1811"/>
      <c r="E99" s="1811"/>
      <c r="F99" s="1811"/>
      <c r="G99" s="1811"/>
      <c r="H99" s="1811"/>
      <c r="I99" s="1811"/>
      <c r="J99" s="1811"/>
      <c r="K99" s="1811"/>
      <c r="L99" s="1811"/>
      <c r="M99" s="298"/>
      <c r="N99" s="854"/>
      <c r="O99" s="2469"/>
      <c r="P99" s="1810"/>
      <c r="Q99" s="1810"/>
      <c r="R99" s="798"/>
      <c r="S99" s="798"/>
    </row>
    <row r="100" spans="1:19" s="1810" customFormat="1">
      <c r="A100" s="307"/>
      <c r="B100" s="219"/>
      <c r="C100" s="1811"/>
      <c r="D100" s="1811"/>
      <c r="E100" s="1811"/>
      <c r="F100" s="1811"/>
      <c r="G100" s="1811"/>
      <c r="H100" s="1811"/>
      <c r="I100" s="1811"/>
      <c r="J100" s="1811"/>
      <c r="K100" s="1811"/>
      <c r="L100" s="1811"/>
      <c r="M100" s="298"/>
      <c r="N100" s="854"/>
      <c r="O100" s="2469"/>
      <c r="R100" s="798"/>
      <c r="S100" s="798"/>
    </row>
    <row r="101" spans="1:19" s="1810" customFormat="1">
      <c r="A101" s="307"/>
      <c r="B101" s="3007" t="s">
        <v>2486</v>
      </c>
      <c r="C101" s="3007"/>
      <c r="D101" s="3007"/>
      <c r="E101" s="3007"/>
      <c r="F101" s="3007"/>
      <c r="G101" s="3007"/>
      <c r="H101" s="3007"/>
      <c r="I101" s="3007"/>
      <c r="J101" s="3007"/>
      <c r="K101" s="3007"/>
      <c r="L101" s="1811"/>
      <c r="M101" s="298"/>
      <c r="N101" s="854"/>
      <c r="O101" s="2469"/>
      <c r="R101" s="798"/>
      <c r="S101" s="798"/>
    </row>
    <row r="102" spans="1:19" s="1810" customFormat="1">
      <c r="A102" s="307"/>
      <c r="B102" s="3007" t="s">
        <v>2487</v>
      </c>
      <c r="C102" s="3007"/>
      <c r="D102" s="3007"/>
      <c r="E102" s="3007"/>
      <c r="F102" s="3007"/>
      <c r="G102" s="3007"/>
      <c r="H102" s="3007"/>
      <c r="I102" s="3007"/>
      <c r="J102" s="3007"/>
      <c r="K102" s="3007"/>
      <c r="L102" s="1811"/>
      <c r="M102" s="298"/>
      <c r="N102" s="854"/>
      <c r="O102" s="2469"/>
      <c r="R102" s="798"/>
      <c r="S102" s="798"/>
    </row>
    <row r="103" spans="1:19" s="1810" customFormat="1">
      <c r="A103" s="307"/>
      <c r="B103" s="3007" t="s">
        <v>2488</v>
      </c>
      <c r="C103" s="3007"/>
      <c r="D103" s="3007"/>
      <c r="E103" s="3007"/>
      <c r="F103" s="3007"/>
      <c r="G103" s="3007"/>
      <c r="H103" s="3007"/>
      <c r="I103" s="3007"/>
      <c r="J103" s="3007"/>
      <c r="K103" s="3007"/>
      <c r="L103" s="1811"/>
      <c r="M103" s="298"/>
      <c r="N103" s="854"/>
      <c r="O103" s="2469"/>
      <c r="R103" s="798"/>
      <c r="S103" s="798"/>
    </row>
    <row r="104" spans="1:19" s="1810" customFormat="1">
      <c r="A104" s="307"/>
      <c r="B104" s="3008"/>
      <c r="C104" s="3007"/>
      <c r="D104" s="3007"/>
      <c r="E104" s="3007"/>
      <c r="F104" s="3007"/>
      <c r="G104" s="3007"/>
      <c r="H104" s="3007"/>
      <c r="I104" s="3007"/>
      <c r="J104" s="3007"/>
      <c r="K104" s="3007"/>
      <c r="L104" s="1811"/>
      <c r="M104" s="298"/>
      <c r="N104" s="854"/>
      <c r="O104" s="2469"/>
      <c r="R104" s="798"/>
      <c r="S104" s="798"/>
    </row>
    <row r="105" spans="1:19" s="1810" customFormat="1">
      <c r="A105" s="307"/>
      <c r="B105" s="3007" t="s">
        <v>2489</v>
      </c>
      <c r="C105" s="3007"/>
      <c r="D105" s="3007"/>
      <c r="E105" s="3007"/>
      <c r="F105" s="3007"/>
      <c r="G105" s="3007"/>
      <c r="H105" s="3007"/>
      <c r="I105" s="3007"/>
      <c r="J105" s="3007"/>
      <c r="K105" s="3007"/>
      <c r="L105" s="1811"/>
      <c r="M105" s="298"/>
      <c r="N105" s="854"/>
      <c r="O105" s="2469"/>
      <c r="R105" s="798"/>
      <c r="S105" s="798"/>
    </row>
    <row r="106" spans="1:19" s="1810" customFormat="1">
      <c r="A106" s="307"/>
      <c r="B106" s="3007" t="s">
        <v>2490</v>
      </c>
      <c r="C106" s="3007"/>
      <c r="D106" s="3007"/>
      <c r="E106" s="3007"/>
      <c r="F106" s="3007"/>
      <c r="G106" s="3007"/>
      <c r="H106" s="3007"/>
      <c r="I106" s="3007"/>
      <c r="J106" s="3007"/>
      <c r="K106" s="3007"/>
      <c r="L106" s="1811"/>
      <c r="M106" s="298"/>
      <c r="N106" s="854"/>
      <c r="O106" s="2469"/>
      <c r="R106" s="798"/>
      <c r="S106" s="798"/>
    </row>
    <row r="107" spans="1:19" s="1810" customFormat="1">
      <c r="A107" s="307"/>
      <c r="B107" s="3007" t="s">
        <v>2491</v>
      </c>
      <c r="C107" s="3007"/>
      <c r="D107" s="3007"/>
      <c r="E107" s="3007"/>
      <c r="F107" s="3007"/>
      <c r="G107" s="3007"/>
      <c r="H107" s="3007"/>
      <c r="I107" s="3007"/>
      <c r="J107" s="3007"/>
      <c r="K107" s="3007"/>
      <c r="L107" s="1811"/>
      <c r="M107" s="298"/>
      <c r="N107" s="854"/>
      <c r="O107" s="2469"/>
      <c r="R107" s="798"/>
      <c r="S107" s="798"/>
    </row>
    <row r="108" spans="1:19" s="1810" customFormat="1">
      <c r="A108" s="307"/>
      <c r="B108" s="219"/>
      <c r="C108" s="1811"/>
      <c r="D108" s="1811"/>
      <c r="E108" s="1811"/>
      <c r="F108" s="1811"/>
      <c r="G108" s="1811"/>
      <c r="H108" s="1811"/>
      <c r="I108" s="1811"/>
      <c r="J108" s="1811"/>
      <c r="K108" s="1811"/>
      <c r="L108" s="1811"/>
      <c r="M108" s="298"/>
      <c r="N108" s="854"/>
      <c r="O108" s="2469"/>
      <c r="R108" s="798"/>
      <c r="S108" s="798"/>
    </row>
    <row r="109" spans="1:19">
      <c r="B109" s="2519" t="s">
        <v>2347</v>
      </c>
      <c r="C109" s="2519"/>
      <c r="D109" s="2519"/>
      <c r="E109" s="2519"/>
      <c r="F109" s="2519"/>
      <c r="G109" s="2519"/>
      <c r="H109" s="2519"/>
      <c r="I109" s="2519"/>
      <c r="J109" s="2519"/>
      <c r="K109" s="2519"/>
      <c r="L109" s="3009"/>
      <c r="M109" s="3009"/>
      <c r="N109" s="3009"/>
      <c r="O109" s="3009"/>
      <c r="P109" s="786"/>
    </row>
    <row r="110" spans="1:19">
      <c r="B110" s="285"/>
      <c r="C110" s="285"/>
      <c r="D110" s="285"/>
      <c r="E110" s="285"/>
      <c r="F110" s="282"/>
      <c r="G110" s="282"/>
      <c r="H110" s="285"/>
      <c r="I110" s="285"/>
      <c r="J110" s="285"/>
      <c r="K110" s="285"/>
      <c r="L110" s="3009"/>
      <c r="M110" s="3009"/>
      <c r="N110" s="3009"/>
      <c r="O110" s="3009"/>
      <c r="P110" s="786"/>
    </row>
    <row r="111" spans="1:19">
      <c r="B111" s="114"/>
      <c r="C111" s="114"/>
      <c r="D111" s="114"/>
      <c r="F111" s="112"/>
      <c r="G111" s="812" t="s">
        <v>2308</v>
      </c>
      <c r="H111" s="109"/>
      <c r="I111" s="109"/>
      <c r="J111" s="109"/>
      <c r="K111" s="109"/>
      <c r="L111" s="109"/>
      <c r="M111" s="109"/>
      <c r="N111" s="109"/>
      <c r="O111" s="109"/>
      <c r="P111" s="786"/>
    </row>
    <row r="112" spans="1:19">
      <c r="B112" s="114"/>
      <c r="C112" s="114"/>
      <c r="D112" s="114"/>
      <c r="E112" s="114"/>
      <c r="F112" s="112"/>
      <c r="G112" s="112"/>
      <c r="H112" s="109"/>
      <c r="I112" s="109"/>
      <c r="J112" s="109"/>
      <c r="K112" s="109"/>
      <c r="L112" s="109"/>
      <c r="M112" s="109"/>
      <c r="N112" s="109"/>
      <c r="O112" s="109"/>
      <c r="P112" s="786"/>
    </row>
    <row r="113" spans="2:16">
      <c r="B113" s="114"/>
      <c r="C113" s="114"/>
      <c r="D113" s="114"/>
      <c r="E113" s="114"/>
      <c r="F113" s="112"/>
      <c r="G113" s="112"/>
      <c r="H113" s="109"/>
      <c r="I113" s="109"/>
      <c r="J113" s="109"/>
      <c r="K113" s="109"/>
      <c r="L113" s="109"/>
      <c r="M113" s="109"/>
      <c r="N113" s="109"/>
      <c r="O113" s="109"/>
      <c r="P113" s="114"/>
    </row>
    <row r="114" spans="2:16">
      <c r="B114" s="114"/>
      <c r="C114" s="114"/>
      <c r="D114" s="114"/>
      <c r="E114" s="114"/>
      <c r="F114" s="112"/>
      <c r="G114" s="112"/>
      <c r="H114" s="109"/>
      <c r="I114" s="109"/>
      <c r="J114" s="109"/>
      <c r="K114" s="109"/>
      <c r="L114" s="109"/>
      <c r="M114" s="109"/>
      <c r="N114" s="109"/>
      <c r="O114" s="109"/>
      <c r="P114" s="114"/>
    </row>
    <row r="115" spans="2:16">
      <c r="B115" s="114"/>
      <c r="C115" s="114"/>
      <c r="D115" s="114"/>
      <c r="E115" s="114"/>
      <c r="F115" s="112"/>
      <c r="G115" s="112"/>
      <c r="H115" s="109"/>
      <c r="I115" s="109"/>
      <c r="J115" s="109"/>
      <c r="K115" s="109"/>
      <c r="L115" s="109"/>
      <c r="M115" s="109"/>
      <c r="N115" s="109"/>
      <c r="O115" s="109"/>
      <c r="P115" s="114"/>
    </row>
    <row r="116" spans="2:16">
      <c r="B116" s="114"/>
      <c r="C116" s="114"/>
      <c r="D116" s="114"/>
      <c r="E116" s="114"/>
      <c r="F116" s="112"/>
      <c r="G116" s="112"/>
      <c r="H116" s="109"/>
      <c r="I116" s="109"/>
      <c r="J116" s="109"/>
      <c r="K116" s="109"/>
      <c r="L116" s="109"/>
      <c r="M116" s="109"/>
      <c r="N116" s="109"/>
      <c r="O116" s="109"/>
      <c r="P116" s="114"/>
    </row>
    <row r="117" spans="2:16">
      <c r="B117" s="114"/>
      <c r="C117" s="114"/>
      <c r="D117" s="114"/>
      <c r="E117" s="114"/>
      <c r="F117" s="112"/>
      <c r="G117" s="112"/>
      <c r="H117" s="109"/>
      <c r="I117" s="109"/>
      <c r="J117" s="109"/>
      <c r="K117" s="109"/>
      <c r="L117" s="109"/>
      <c r="M117" s="109"/>
      <c r="N117" s="109"/>
      <c r="O117" s="109"/>
      <c r="P117" s="114"/>
    </row>
    <row r="118" spans="2:16">
      <c r="B118" s="114"/>
      <c r="C118" s="114"/>
      <c r="D118" s="114"/>
      <c r="E118" s="114"/>
      <c r="F118" s="112"/>
      <c r="G118" s="112"/>
      <c r="H118" s="109"/>
      <c r="I118" s="109"/>
      <c r="J118" s="109"/>
      <c r="K118" s="109"/>
      <c r="L118" s="109"/>
      <c r="M118" s="109"/>
      <c r="N118" s="109"/>
      <c r="O118" s="109"/>
      <c r="P118" s="114"/>
    </row>
    <row r="119" spans="2:16">
      <c r="B119" s="114"/>
      <c r="C119" s="114"/>
      <c r="D119" s="114"/>
      <c r="E119" s="114"/>
      <c r="F119" s="112"/>
      <c r="G119" s="112"/>
      <c r="H119" s="109"/>
      <c r="I119" s="109"/>
      <c r="J119" s="109"/>
      <c r="K119" s="109"/>
      <c r="L119" s="109"/>
      <c r="M119" s="109"/>
      <c r="N119" s="109"/>
      <c r="O119" s="109"/>
      <c r="P119" s="114"/>
    </row>
    <row r="120" spans="2:16">
      <c r="B120" s="114"/>
      <c r="C120" s="114"/>
      <c r="D120" s="114"/>
      <c r="E120" s="114"/>
      <c r="F120" s="112"/>
      <c r="G120" s="112"/>
      <c r="H120" s="109"/>
      <c r="I120" s="109"/>
      <c r="J120" s="109"/>
      <c r="K120" s="109"/>
      <c r="L120" s="109"/>
      <c r="M120" s="109"/>
      <c r="N120" s="109"/>
      <c r="O120" s="109"/>
    </row>
    <row r="121" spans="2:16">
      <c r="B121" s="114"/>
      <c r="C121" s="114"/>
      <c r="D121" s="114"/>
      <c r="E121" s="114"/>
      <c r="F121" s="112"/>
      <c r="G121" s="112"/>
      <c r="H121" s="109"/>
      <c r="I121" s="109"/>
      <c r="J121" s="109"/>
      <c r="K121" s="109"/>
      <c r="L121" s="109"/>
      <c r="M121" s="109"/>
      <c r="N121" s="109"/>
      <c r="O121" s="109"/>
    </row>
    <row r="122" spans="2:16">
      <c r="B122" s="114"/>
      <c r="C122" s="114"/>
      <c r="D122" s="114"/>
      <c r="E122" s="114"/>
      <c r="F122" s="112"/>
      <c r="G122" s="112"/>
      <c r="H122" s="109"/>
      <c r="I122" s="109"/>
      <c r="J122" s="109"/>
      <c r="K122" s="109"/>
      <c r="L122" s="109"/>
      <c r="M122" s="109"/>
      <c r="N122" s="109"/>
      <c r="O122" s="109"/>
    </row>
    <row r="123" spans="2:16">
      <c r="B123" s="114"/>
      <c r="C123" s="114"/>
      <c r="D123" s="114"/>
      <c r="E123" s="114"/>
      <c r="F123" s="112"/>
      <c r="G123" s="112"/>
      <c r="H123" s="109"/>
      <c r="I123" s="109"/>
      <c r="J123" s="109"/>
      <c r="K123" s="109"/>
      <c r="L123" s="109"/>
      <c r="M123" s="109"/>
      <c r="N123" s="109"/>
      <c r="O123" s="109"/>
    </row>
    <row r="124" spans="2:16">
      <c r="B124" s="114"/>
      <c r="C124" s="114"/>
      <c r="D124" s="114"/>
      <c r="E124" s="114"/>
      <c r="F124" s="112"/>
      <c r="G124" s="112"/>
      <c r="H124" s="109"/>
      <c r="I124" s="109"/>
      <c r="J124" s="109"/>
      <c r="K124" s="109"/>
      <c r="L124" s="109"/>
      <c r="M124" s="109"/>
      <c r="N124" s="109"/>
      <c r="O124" s="109"/>
    </row>
    <row r="125" spans="2:16">
      <c r="B125" s="111"/>
      <c r="C125" s="111"/>
      <c r="D125" s="111"/>
      <c r="E125" s="111"/>
      <c r="F125" s="112"/>
      <c r="G125" s="112"/>
      <c r="H125" s="109"/>
      <c r="I125" s="109"/>
      <c r="J125" s="109"/>
      <c r="K125" s="109"/>
      <c r="L125" s="109"/>
      <c r="M125" s="109"/>
      <c r="N125" s="109"/>
      <c r="O125" s="109"/>
    </row>
    <row r="126" spans="2:16">
      <c r="B126" s="111"/>
      <c r="C126" s="111"/>
      <c r="D126" s="111"/>
      <c r="E126" s="111"/>
      <c r="F126" s="112"/>
      <c r="G126" s="112"/>
      <c r="H126" s="109"/>
      <c r="I126" s="109"/>
      <c r="J126" s="109"/>
      <c r="K126" s="109"/>
      <c r="L126" s="109"/>
      <c r="M126" s="109"/>
      <c r="N126" s="109"/>
      <c r="O126" s="109"/>
    </row>
    <row r="127" spans="2:16">
      <c r="B127" s="111"/>
      <c r="C127" s="111"/>
      <c r="D127" s="111"/>
      <c r="E127" s="111"/>
      <c r="F127" s="112"/>
      <c r="G127" s="112"/>
      <c r="H127" s="109"/>
      <c r="I127" s="109"/>
      <c r="J127" s="109"/>
      <c r="K127" s="109"/>
      <c r="L127" s="109"/>
      <c r="M127" s="109"/>
      <c r="N127" s="109"/>
      <c r="O127" s="109"/>
    </row>
    <row r="128" spans="2:16">
      <c r="B128" s="111"/>
      <c r="C128" s="111"/>
      <c r="D128" s="111"/>
      <c r="E128" s="111"/>
      <c r="F128" s="112"/>
      <c r="G128" s="112"/>
      <c r="H128" s="109"/>
      <c r="I128" s="109"/>
      <c r="J128" s="109"/>
      <c r="K128" s="109"/>
      <c r="M128" s="112"/>
      <c r="N128" s="112"/>
    </row>
    <row r="129" spans="2:14">
      <c r="B129" s="111"/>
      <c r="C129" s="111"/>
      <c r="D129" s="111"/>
      <c r="E129" s="111"/>
      <c r="F129" s="112"/>
      <c r="G129" s="112"/>
      <c r="H129" s="109"/>
      <c r="I129" s="109"/>
      <c r="J129" s="109"/>
      <c r="K129" s="109"/>
      <c r="M129" s="112"/>
      <c r="N129" s="112"/>
    </row>
    <row r="130" spans="2:14">
      <c r="B130" s="111"/>
      <c r="C130" s="111"/>
      <c r="D130" s="111"/>
      <c r="E130" s="111"/>
      <c r="F130" s="112"/>
      <c r="G130" s="112"/>
      <c r="H130" s="109"/>
      <c r="I130" s="109"/>
      <c r="J130" s="109"/>
      <c r="K130" s="109"/>
      <c r="M130" s="112"/>
      <c r="N130" s="112"/>
    </row>
    <row r="131" spans="2:14">
      <c r="B131" s="111"/>
      <c r="C131" s="111"/>
      <c r="D131" s="111"/>
      <c r="E131" s="111"/>
      <c r="F131" s="112"/>
      <c r="G131" s="112"/>
      <c r="H131" s="109"/>
      <c r="I131" s="109"/>
      <c r="J131" s="109"/>
      <c r="K131" s="109"/>
      <c r="M131" s="112"/>
      <c r="N131" s="112"/>
    </row>
    <row r="132" spans="2:14">
      <c r="B132" s="111"/>
      <c r="C132" s="111"/>
      <c r="D132" s="111"/>
      <c r="E132" s="111"/>
      <c r="F132" s="112"/>
      <c r="G132" s="112"/>
      <c r="H132" s="109"/>
      <c r="I132" s="109"/>
      <c r="J132" s="109"/>
      <c r="K132" s="109"/>
      <c r="M132" s="112"/>
      <c r="N132" s="112"/>
    </row>
    <row r="133" spans="2:14">
      <c r="B133" s="111"/>
      <c r="C133" s="111"/>
      <c r="D133" s="111"/>
      <c r="E133" s="111"/>
      <c r="F133" s="112"/>
      <c r="G133" s="112"/>
      <c r="M133" s="112"/>
      <c r="N133" s="112"/>
    </row>
    <row r="134" spans="2:14">
      <c r="B134" s="111"/>
      <c r="C134" s="111"/>
      <c r="D134" s="111"/>
      <c r="E134" s="111"/>
      <c r="F134" s="112"/>
      <c r="G134" s="112"/>
      <c r="M134" s="112"/>
      <c r="N134" s="112"/>
    </row>
    <row r="135" spans="2:14">
      <c r="B135" s="111"/>
      <c r="C135" s="111"/>
      <c r="D135" s="111"/>
      <c r="E135" s="111"/>
      <c r="F135" s="112"/>
      <c r="G135" s="112"/>
      <c r="M135" s="112"/>
      <c r="N135" s="112"/>
    </row>
    <row r="136" spans="2:14">
      <c r="B136" s="111"/>
      <c r="C136" s="111"/>
      <c r="D136" s="111"/>
      <c r="E136" s="111"/>
      <c r="F136" s="112"/>
      <c r="G136" s="112"/>
      <c r="M136" s="112"/>
      <c r="N136" s="112"/>
    </row>
    <row r="137" spans="2:14">
      <c r="B137" s="111"/>
      <c r="C137" s="111"/>
      <c r="D137" s="111"/>
      <c r="E137" s="111"/>
      <c r="F137" s="112"/>
      <c r="G137" s="112"/>
      <c r="M137" s="112"/>
      <c r="N137" s="112"/>
    </row>
    <row r="138" spans="2:14">
      <c r="B138" s="111"/>
      <c r="C138" s="111"/>
      <c r="D138" s="111"/>
      <c r="E138" s="111"/>
      <c r="F138" s="112"/>
      <c r="G138" s="112"/>
      <c r="M138" s="112"/>
      <c r="N138" s="112"/>
    </row>
    <row r="139" spans="2:14">
      <c r="B139" s="111"/>
      <c r="C139" s="111"/>
      <c r="D139" s="111"/>
      <c r="E139" s="111"/>
      <c r="F139" s="112"/>
      <c r="G139" s="112"/>
      <c r="M139" s="112"/>
      <c r="N139" s="112"/>
    </row>
    <row r="140" spans="2:14">
      <c r="B140" s="111"/>
      <c r="C140" s="111"/>
      <c r="D140" s="111"/>
      <c r="E140" s="111"/>
      <c r="F140" s="112"/>
      <c r="G140" s="112"/>
      <c r="M140" s="112"/>
      <c r="N140" s="112"/>
    </row>
    <row r="141" spans="2:14">
      <c r="B141" s="111"/>
      <c r="C141" s="111"/>
      <c r="D141" s="111"/>
      <c r="E141" s="111"/>
      <c r="F141" s="112"/>
      <c r="G141" s="112"/>
      <c r="M141" s="112"/>
      <c r="N141" s="112"/>
    </row>
    <row r="142" spans="2:14">
      <c r="B142" s="111"/>
      <c r="C142" s="111"/>
      <c r="D142" s="111"/>
      <c r="E142" s="111"/>
      <c r="F142" s="112"/>
      <c r="G142" s="112"/>
      <c r="M142" s="112"/>
      <c r="N142" s="112"/>
    </row>
    <row r="143" spans="2:14">
      <c r="B143" s="111"/>
      <c r="C143" s="111"/>
      <c r="D143" s="111"/>
      <c r="E143" s="111"/>
      <c r="F143" s="112"/>
      <c r="G143" s="112"/>
      <c r="M143" s="112"/>
      <c r="N143" s="112"/>
    </row>
    <row r="144" spans="2:14">
      <c r="B144" s="111"/>
      <c r="C144" s="111"/>
      <c r="D144" s="111"/>
      <c r="E144" s="111"/>
      <c r="F144" s="112"/>
      <c r="G144" s="112"/>
    </row>
    <row r="145" spans="3:7">
      <c r="C145" s="111"/>
      <c r="D145" s="111"/>
      <c r="E145" s="111"/>
      <c r="F145" s="112"/>
      <c r="G145" s="112"/>
    </row>
    <row r="146" spans="3:7">
      <c r="C146" s="111"/>
      <c r="D146" s="111"/>
      <c r="E146" s="111"/>
      <c r="F146" s="112"/>
      <c r="G146" s="112"/>
    </row>
    <row r="147" spans="3:7">
      <c r="C147" s="111"/>
      <c r="D147" s="111"/>
      <c r="E147" s="111"/>
      <c r="F147" s="112"/>
      <c r="G147" s="112"/>
    </row>
    <row r="148" spans="3:7">
      <c r="C148" s="111"/>
      <c r="D148" s="111"/>
      <c r="E148" s="111"/>
      <c r="F148" s="112"/>
      <c r="G148" s="112"/>
    </row>
  </sheetData>
  <sheetProtection formatColumns="0" formatRows="0"/>
  <phoneticPr fontId="0" type="noConversion"/>
  <conditionalFormatting sqref="M44">
    <cfRule type="cellIs" dxfId="355" priority="84" operator="notEqual">
      <formula>0</formula>
    </cfRule>
    <cfRule type="containsBlanks" dxfId="354" priority="85">
      <formula>LEN(TRIM(M44))=0</formula>
    </cfRule>
  </conditionalFormatting>
  <conditionalFormatting sqref="M49:M51 M36:M44 M74:M92 L91:L93 M9:M20 M26 K26 L25:L26 K27:M31">
    <cfRule type="containsBlanks" dxfId="353" priority="83">
      <formula>LEN(TRIM(K9))=0</formula>
    </cfRule>
  </conditionalFormatting>
  <conditionalFormatting sqref="M49:M51 M36:M44 M74:M92 L91:L93 M9:M20 M26 K26 L25:L26 K27:M31">
    <cfRule type="cellIs" dxfId="352" priority="80" operator="notEqual">
      <formula>0</formula>
    </cfRule>
  </conditionalFormatting>
  <conditionalFormatting sqref="M9">
    <cfRule type="cellIs" dxfId="351" priority="78" operator="notEqual">
      <formula>$M$22</formula>
    </cfRule>
  </conditionalFormatting>
  <conditionalFormatting sqref="M96">
    <cfRule type="cellIs" dxfId="350" priority="75" operator="notEqual">
      <formula>$M$22</formula>
    </cfRule>
  </conditionalFormatting>
  <conditionalFormatting sqref="O58">
    <cfRule type="cellIs" dxfId="349" priority="73" operator="notEqual">
      <formula>$M$58</formula>
    </cfRule>
    <cfRule type="cellIs" dxfId="348" priority="74" operator="equal">
      <formula>$M$58</formula>
    </cfRule>
  </conditionalFormatting>
  <conditionalFormatting sqref="M58">
    <cfRule type="cellIs" dxfId="347" priority="72" operator="notEqual">
      <formula>$O$58</formula>
    </cfRule>
  </conditionalFormatting>
  <conditionalFormatting sqref="O59">
    <cfRule type="expression" dxfId="346" priority="70">
      <formula>$O$58&lt;&gt;$M$58</formula>
    </cfRule>
    <cfRule type="expression" dxfId="345" priority="71">
      <formula>$O$58=$M$58</formula>
    </cfRule>
  </conditionalFormatting>
  <conditionalFormatting sqref="O96">
    <cfRule type="expression" dxfId="344" priority="68">
      <formula>$M$22&lt;&gt;$M$96</formula>
    </cfRule>
    <cfRule type="expression" dxfId="343" priority="69">
      <formula>$M$22=$M$96</formula>
    </cfRule>
  </conditionalFormatting>
  <conditionalFormatting sqref="S22 S33 S46 S53 S55 S58 S96">
    <cfRule type="cellIs" dxfId="342" priority="60" operator="notBetween">
      <formula>-0.5</formula>
      <formula>0.5</formula>
    </cfRule>
    <cfRule type="cellIs" dxfId="341" priority="61" operator="between">
      <formula>-0.5</formula>
      <formula>0.5</formula>
    </cfRule>
  </conditionalFormatting>
  <conditionalFormatting sqref="R59">
    <cfRule type="expression" dxfId="340" priority="41">
      <formula>ROUND($R$59,0)&lt;&gt;ROUND($R$58,0)</formula>
    </cfRule>
    <cfRule type="expression" dxfId="339" priority="42">
      <formula>ROUND($R$59,0)=ROUND($R$58,0)</formula>
    </cfRule>
  </conditionalFormatting>
  <conditionalFormatting sqref="R33 R22 R46 R53 R58 R96 R55">
    <cfRule type="expression" dxfId="338" priority="93">
      <formula>ROUND($R22,0)&lt;&gt;$M22</formula>
    </cfRule>
    <cfRule type="expression" dxfId="337" priority="94">
      <formula>ROUND($R22,0)=$M22</formula>
    </cfRule>
  </conditionalFormatting>
  <printOptions horizontalCentered="1"/>
  <pageMargins left="0.7" right="0.7" top="0.75" bottom="0.75" header="0.5" footer="0.5"/>
  <pageSetup scale="70" fitToHeight="2" orientation="portrait" horizontalDpi="300" verticalDpi="300" r:id="rId1"/>
  <headerFooter>
    <oddHeader>&amp;L&amp;"Arial,Regular"&amp;8&amp;F&amp;R&amp;"Arial,Regular"&amp;8&amp;A</oddHeader>
    <oddFooter>&amp;L&amp;"Arial,Regular"&amp;8&amp;D&amp;R&amp;"Arial,Regular"&amp;8&amp;P of &amp;N</oddFooter>
  </headerFooter>
  <rowBreaks count="1" manualBreakCount="1">
    <brk id="59" min="1" max="1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FF0000"/>
  </sheetPr>
  <dimension ref="A1:Y128"/>
  <sheetViews>
    <sheetView zoomScaleNormal="100" workbookViewId="0"/>
  </sheetViews>
  <sheetFormatPr defaultColWidth="9.140625" defaultRowHeight="15"/>
  <cols>
    <col min="1" max="1" width="68" style="1863" customWidth="1"/>
    <col min="2" max="2" width="25.85546875" style="1863" customWidth="1"/>
    <col min="3" max="4" width="17.85546875" style="1863" bestFit="1" customWidth="1"/>
    <col min="5" max="5" width="28.7109375" style="1863" bestFit="1" customWidth="1"/>
    <col min="6" max="7" width="17.85546875" style="1863" bestFit="1" customWidth="1"/>
    <col min="8" max="8" width="17.85546875" style="1863" customWidth="1"/>
    <col min="9" max="9" width="14" style="1863" customWidth="1"/>
    <col min="10" max="10" width="14.28515625" style="1863" customWidth="1"/>
    <col min="11" max="11" width="3.42578125" style="1920" customWidth="1"/>
    <col min="12" max="12" width="44.5703125" style="1863" customWidth="1"/>
    <col min="13" max="13" width="20.5703125" style="1863" bestFit="1" customWidth="1"/>
    <col min="14" max="14" width="19.85546875" style="1863" customWidth="1"/>
    <col min="15" max="15" width="17.85546875" style="1863" bestFit="1" customWidth="1"/>
    <col min="16" max="16" width="43.85546875" style="1863" bestFit="1" customWidth="1"/>
    <col min="17" max="17" width="18.140625" style="1863" customWidth="1"/>
    <col min="18" max="18" width="33.42578125" style="1863" customWidth="1"/>
    <col min="19" max="19" width="19.28515625" style="1863" customWidth="1"/>
    <col min="20" max="20" width="16.28515625" style="1863" bestFit="1" customWidth="1"/>
    <col min="21" max="21" width="25.28515625" style="1863" customWidth="1"/>
    <col min="22" max="24" width="9.140625" style="1863"/>
    <col min="25" max="25" width="12.28515625" style="1863" bestFit="1" customWidth="1"/>
    <col min="26" max="16384" width="9.140625" style="1863"/>
  </cols>
  <sheetData>
    <row r="1" spans="1:21">
      <c r="A1" s="1946" t="str">
        <f>'Contact Information'!C5</f>
        <v>SAMPLE STATE COLLEGE</v>
      </c>
      <c r="B1" s="2051"/>
      <c r="C1" s="2052" t="s">
        <v>2492</v>
      </c>
      <c r="D1" s="2052"/>
      <c r="E1" s="2052"/>
      <c r="F1" s="2053"/>
      <c r="G1" s="2054"/>
      <c r="H1" s="2054"/>
      <c r="I1" s="2054"/>
      <c r="J1" s="2054"/>
      <c r="K1" s="1789"/>
    </row>
    <row r="2" spans="1:21">
      <c r="A2" s="1931" t="s">
        <v>2493</v>
      </c>
      <c r="C2" s="1974"/>
      <c r="D2" s="1789" t="s">
        <v>2494</v>
      </c>
      <c r="E2" s="1789"/>
      <c r="F2" s="1789"/>
      <c r="G2" s="1921"/>
      <c r="H2" s="1789" t="s">
        <v>2495</v>
      </c>
      <c r="I2" s="1789"/>
      <c r="J2" s="1789"/>
      <c r="K2" s="1789"/>
    </row>
    <row r="3" spans="1:21" ht="15" customHeight="1">
      <c r="A3" s="2960">
        <f>SRECNP!C4</f>
        <v>0</v>
      </c>
      <c r="C3" s="2055"/>
      <c r="D3" s="1863" t="s">
        <v>2496</v>
      </c>
      <c r="G3" s="2056"/>
      <c r="H3" s="1422" t="s">
        <v>2497</v>
      </c>
      <c r="I3" s="1422"/>
      <c r="J3" s="1422"/>
      <c r="K3" s="1789"/>
      <c r="L3" s="1931"/>
      <c r="N3" s="1932"/>
    </row>
    <row r="4" spans="1:21" ht="30" customHeight="1">
      <c r="A4" s="2613" t="s">
        <v>2498</v>
      </c>
      <c r="B4" s="2613"/>
      <c r="C4" s="2057"/>
      <c r="D4" s="1789" t="s">
        <v>2499</v>
      </c>
      <c r="G4" s="2056"/>
      <c r="H4" s="1422"/>
      <c r="I4" s="1422"/>
      <c r="J4" s="1422"/>
      <c r="K4" s="1789"/>
    </row>
    <row r="5" spans="1:21" ht="25.5" customHeight="1">
      <c r="A5" s="1789"/>
      <c r="B5" s="2058"/>
      <c r="C5" s="1789"/>
      <c r="D5" s="1789"/>
      <c r="E5" s="1789"/>
      <c r="F5" s="1789"/>
      <c r="G5" s="1789"/>
      <c r="H5" s="1789"/>
      <c r="I5" s="1789"/>
      <c r="J5" s="1789"/>
      <c r="K5" s="1789"/>
      <c r="L5" s="1789"/>
      <c r="M5" s="1789"/>
      <c r="N5" s="1789"/>
      <c r="O5" s="1789"/>
      <c r="P5" s="1789"/>
    </row>
    <row r="6" spans="1:21" ht="30.75">
      <c r="A6" s="1969" t="s">
        <v>2384</v>
      </c>
      <c r="B6" s="2059" t="s">
        <v>2500</v>
      </c>
      <c r="C6" s="2060" t="s">
        <v>2501</v>
      </c>
      <c r="D6" s="2060" t="s">
        <v>2501</v>
      </c>
      <c r="E6" s="2060" t="s">
        <v>2501</v>
      </c>
      <c r="F6" s="2060" t="s">
        <v>2501</v>
      </c>
      <c r="G6" s="2060" t="s">
        <v>2501</v>
      </c>
      <c r="H6" s="1965" t="s">
        <v>2502</v>
      </c>
      <c r="I6" s="1965" t="s">
        <v>2502</v>
      </c>
      <c r="J6" s="1965" t="s">
        <v>2502</v>
      </c>
      <c r="K6" s="2061"/>
      <c r="L6" s="2062" t="s">
        <v>2503</v>
      </c>
      <c r="M6" s="2061"/>
      <c r="N6" s="2061"/>
      <c r="O6" s="2061"/>
      <c r="P6" s="2061"/>
    </row>
    <row r="7" spans="1:21" ht="32.25" customHeight="1">
      <c r="A7" s="1970" t="s">
        <v>2386</v>
      </c>
      <c r="B7" s="2063">
        <f>SUM(C7:J7)</f>
        <v>0</v>
      </c>
      <c r="C7" s="1927">
        <f>+SRECNP!L11</f>
        <v>0</v>
      </c>
      <c r="D7" s="1936">
        <f>-O22</f>
        <v>0</v>
      </c>
      <c r="E7" s="1936">
        <f>+O76</f>
        <v>0</v>
      </c>
      <c r="F7" s="1936">
        <f>-O28</f>
        <v>0</v>
      </c>
      <c r="G7" s="1925"/>
      <c r="H7" s="1942"/>
      <c r="I7" s="1942"/>
      <c r="J7" s="1921"/>
      <c r="K7" s="2061"/>
      <c r="L7" s="2034" t="s">
        <v>2504</v>
      </c>
      <c r="M7" s="2034"/>
      <c r="N7" s="2034"/>
      <c r="O7" s="2034"/>
      <c r="P7" s="2034"/>
      <c r="Q7" s="2034"/>
      <c r="R7" s="2034"/>
      <c r="S7" s="2034"/>
    </row>
    <row r="8" spans="1:21" ht="30" customHeight="1">
      <c r="A8" s="1970" t="s">
        <v>2388</v>
      </c>
      <c r="B8" s="1926">
        <f>SUM(C8:J9)</f>
        <v>0</v>
      </c>
      <c r="C8" s="1927">
        <f>+SRECNP!L12</f>
        <v>0</v>
      </c>
      <c r="D8" s="1928">
        <f>+SRECNP!L13</f>
        <v>0</v>
      </c>
      <c r="E8" s="1928">
        <f>+SRECNP!L14</f>
        <v>0</v>
      </c>
      <c r="F8" s="1936">
        <f>-O34</f>
        <v>0</v>
      </c>
      <c r="G8" s="1936">
        <f>-O29</f>
        <v>0</v>
      </c>
      <c r="H8" s="1942"/>
      <c r="I8" s="1942"/>
      <c r="J8" s="1921"/>
      <c r="K8" s="2061"/>
      <c r="L8" s="2034" t="s">
        <v>2505</v>
      </c>
      <c r="M8" s="2034"/>
      <c r="N8" s="2034"/>
      <c r="O8" s="2034"/>
      <c r="P8" s="2034"/>
      <c r="Q8" s="2034"/>
      <c r="R8" s="2034"/>
      <c r="S8" s="2034"/>
    </row>
    <row r="9" spans="1:21" ht="28.5" customHeight="1">
      <c r="A9" s="1970"/>
      <c r="B9" s="1926"/>
      <c r="C9" s="1945">
        <f>+O77</f>
        <v>0</v>
      </c>
      <c r="D9" s="1936">
        <f>+O73</f>
        <v>0</v>
      </c>
      <c r="E9" s="1936">
        <f>+O64</f>
        <v>0</v>
      </c>
      <c r="F9" s="1933"/>
      <c r="G9" s="1933"/>
      <c r="H9" s="1942"/>
      <c r="I9" s="1942"/>
      <c r="J9" s="1921"/>
      <c r="K9" s="2061"/>
      <c r="L9" s="2034" t="s">
        <v>2506</v>
      </c>
      <c r="M9" s="2034"/>
      <c r="N9" s="2034"/>
      <c r="O9" s="2034"/>
      <c r="P9" s="2034"/>
      <c r="Q9" s="2034"/>
      <c r="R9" s="2034"/>
      <c r="S9" s="2034"/>
    </row>
    <row r="10" spans="1:21" ht="33.75" customHeight="1">
      <c r="A10" s="1970" t="s">
        <v>2390</v>
      </c>
      <c r="B10" s="1926">
        <f>SUM(C10:J11)</f>
        <v>0</v>
      </c>
      <c r="C10" s="1927">
        <f>-SRECNP!L27</f>
        <v>0</v>
      </c>
      <c r="D10" s="1928">
        <f>-SRECNP!L28</f>
        <v>0</v>
      </c>
      <c r="E10" s="1928">
        <f>-SRECNP!L29</f>
        <v>0</v>
      </c>
      <c r="F10" s="1938">
        <f>-O36</f>
        <v>0</v>
      </c>
      <c r="G10" s="1936">
        <f>-O35</f>
        <v>0</v>
      </c>
      <c r="H10" s="1942"/>
      <c r="I10" s="1942"/>
      <c r="J10" s="1921"/>
      <c r="K10" s="2061"/>
      <c r="L10" s="2034" t="s">
        <v>2507</v>
      </c>
      <c r="M10" s="2034"/>
      <c r="N10" s="2034"/>
      <c r="O10" s="2034"/>
      <c r="P10" s="2034"/>
      <c r="Q10" s="2034"/>
      <c r="R10" s="2034"/>
      <c r="S10" s="2034"/>
    </row>
    <row r="11" spans="1:21" ht="34.5" customHeight="1">
      <c r="A11" s="1970"/>
      <c r="B11" s="1926"/>
      <c r="C11" s="1945">
        <f>+O63</f>
        <v>0</v>
      </c>
      <c r="D11" s="1933"/>
      <c r="E11" s="1933"/>
      <c r="F11" s="1943"/>
      <c r="G11" s="1933"/>
      <c r="H11" s="1942"/>
      <c r="I11" s="1942"/>
      <c r="J11" s="1921"/>
      <c r="K11" s="2061"/>
      <c r="L11" s="2034" t="s">
        <v>2508</v>
      </c>
      <c r="M11" s="2034"/>
      <c r="N11" s="2034"/>
      <c r="O11" s="2034"/>
      <c r="P11" s="2034"/>
      <c r="Q11" s="2023"/>
      <c r="R11" s="2023"/>
      <c r="S11" s="2023"/>
    </row>
    <row r="12" spans="1:21">
      <c r="A12" s="1970" t="s">
        <v>2392</v>
      </c>
      <c r="B12" s="1926">
        <f>SUM(C12:J12)</f>
        <v>0</v>
      </c>
      <c r="C12" s="1927">
        <f>-SRECNP!L26</f>
        <v>0</v>
      </c>
      <c r="D12" s="1925"/>
      <c r="E12" s="1925"/>
      <c r="F12" s="1925"/>
      <c r="G12" s="1925"/>
      <c r="H12" s="1942"/>
      <c r="I12" s="1942"/>
      <c r="J12" s="1921"/>
      <c r="K12" s="2061"/>
    </row>
    <row r="13" spans="1:21" ht="21">
      <c r="A13" s="1970" t="s">
        <v>2394</v>
      </c>
      <c r="B13" s="1926">
        <f>SUM(C13:J13)</f>
        <v>0</v>
      </c>
      <c r="C13" s="1927">
        <f>-SUM('Accounts by GL'!O388:O417)</f>
        <v>0</v>
      </c>
      <c r="D13" s="1936">
        <f>-O23</f>
        <v>0</v>
      </c>
      <c r="E13" s="1975">
        <f>+O69</f>
        <v>0</v>
      </c>
      <c r="F13" s="1925"/>
      <c r="G13" s="1925"/>
      <c r="H13" s="1942"/>
      <c r="I13" s="1942"/>
      <c r="J13" s="1921"/>
      <c r="K13" s="2061"/>
      <c r="L13" s="2609" t="s">
        <v>2509</v>
      </c>
      <c r="M13" s="2609"/>
      <c r="N13" s="2609"/>
      <c r="O13" s="2609"/>
      <c r="P13" s="2609"/>
      <c r="S13" s="1788"/>
      <c r="T13" s="1788"/>
      <c r="U13" s="1788"/>
    </row>
    <row r="14" spans="1:21">
      <c r="A14" s="1970" t="s">
        <v>2396</v>
      </c>
      <c r="B14" s="1926">
        <f>SUM(C14:J15)</f>
        <v>0</v>
      </c>
      <c r="C14" s="1927">
        <f>-SUM('Accounts by GL'!O418:O435)</f>
        <v>0</v>
      </c>
      <c r="D14" s="1936">
        <f>+O70</f>
        <v>0</v>
      </c>
      <c r="E14" s="1936">
        <f>+O82</f>
        <v>0</v>
      </c>
      <c r="F14" s="1936">
        <f>+O91</f>
        <v>0</v>
      </c>
      <c r="G14" s="1936">
        <f>-O55</f>
        <v>0</v>
      </c>
      <c r="H14" s="1942"/>
      <c r="I14" s="1942"/>
      <c r="J14" s="1921"/>
      <c r="K14" s="2061"/>
      <c r="L14" s="1931"/>
      <c r="M14" s="1957" t="s">
        <v>2510</v>
      </c>
      <c r="N14" s="1957" t="s">
        <v>2511</v>
      </c>
      <c r="O14" s="1957" t="s">
        <v>2512</v>
      </c>
      <c r="P14" s="1957" t="s">
        <v>2513</v>
      </c>
      <c r="S14" s="1958"/>
      <c r="T14" s="1958"/>
      <c r="U14" s="1958"/>
    </row>
    <row r="15" spans="1:21" ht="18.75">
      <c r="A15" s="1970"/>
      <c r="B15" s="1926"/>
      <c r="C15" s="1945">
        <f>+O90</f>
        <v>0</v>
      </c>
      <c r="D15" s="1936">
        <f>-O53</f>
        <v>0</v>
      </c>
      <c r="E15" s="1936">
        <f>+O99+O101</f>
        <v>0</v>
      </c>
      <c r="F15" s="1936">
        <f>+O92</f>
        <v>0</v>
      </c>
      <c r="G15" s="1936">
        <f>+O84</f>
        <v>0</v>
      </c>
      <c r="H15" s="1942"/>
      <c r="I15" s="1942"/>
      <c r="J15" s="1921"/>
      <c r="K15" s="2061"/>
      <c r="L15" s="1983" t="s">
        <v>2514</v>
      </c>
      <c r="M15" s="1996"/>
      <c r="N15" s="1983"/>
      <c r="O15" s="1983"/>
      <c r="P15" s="1983"/>
      <c r="S15" s="1788"/>
      <c r="T15" s="1788"/>
      <c r="U15" s="1788"/>
    </row>
    <row r="16" spans="1:21">
      <c r="A16" s="1970" t="s">
        <v>2398</v>
      </c>
      <c r="B16" s="1926">
        <f t="shared" ref="B16:B22" si="0">SUM(C16:J16)</f>
        <v>0</v>
      </c>
      <c r="C16" s="1927">
        <f>-SRECNP!L25</f>
        <v>0</v>
      </c>
      <c r="D16" s="1936">
        <f>+O79</f>
        <v>0</v>
      </c>
      <c r="E16" s="1933"/>
      <c r="G16" s="1925"/>
      <c r="H16" s="1942"/>
      <c r="I16" s="1942"/>
      <c r="J16" s="1921"/>
      <c r="K16" s="2061"/>
      <c r="L16" s="1863" t="s">
        <v>177</v>
      </c>
      <c r="M16" s="1942"/>
      <c r="N16" s="1925">
        <f>+SNP!M12</f>
        <v>0</v>
      </c>
      <c r="O16" s="1933">
        <f>+N16-M16</f>
        <v>0</v>
      </c>
      <c r="S16" s="1788"/>
      <c r="T16" s="1788"/>
      <c r="U16" s="1788"/>
    </row>
    <row r="17" spans="1:22">
      <c r="A17" s="1970" t="s">
        <v>2400</v>
      </c>
      <c r="B17" s="1926">
        <f t="shared" si="0"/>
        <v>0</v>
      </c>
      <c r="D17" s="1925"/>
      <c r="E17" s="1925"/>
      <c r="F17" s="1925"/>
      <c r="G17" s="1925"/>
      <c r="H17" s="1964"/>
      <c r="I17" s="1942"/>
      <c r="J17" s="1921"/>
      <c r="K17" s="2061"/>
      <c r="L17" s="1863" t="s">
        <v>181</v>
      </c>
      <c r="M17" s="1942"/>
      <c r="N17" s="1925">
        <f>+SNP!M13+SNP!M28</f>
        <v>0</v>
      </c>
      <c r="O17" s="1933">
        <f t="shared" ref="O17:O18" si="1">+N17-M17</f>
        <v>0</v>
      </c>
      <c r="Q17" s="2611" t="s">
        <v>2515</v>
      </c>
      <c r="R17" s="2610"/>
      <c r="S17" s="1788"/>
      <c r="T17" s="1788"/>
      <c r="U17" s="1788"/>
    </row>
    <row r="18" spans="1:22">
      <c r="A18" s="1970" t="s">
        <v>2402</v>
      </c>
      <c r="B18" s="1926">
        <f t="shared" si="0"/>
        <v>0</v>
      </c>
      <c r="D18" s="1925"/>
      <c r="E18" s="1925"/>
      <c r="F18" s="1925"/>
      <c r="G18" s="1925"/>
      <c r="H18" s="1964"/>
      <c r="I18" s="1942"/>
      <c r="J18" s="1921"/>
      <c r="K18" s="2061"/>
      <c r="L18" s="1863" t="s">
        <v>184</v>
      </c>
      <c r="M18" s="1942"/>
      <c r="N18" s="1925">
        <f>+SNP!M14+SNP!M29</f>
        <v>0</v>
      </c>
      <c r="O18" s="1933">
        <f t="shared" si="1"/>
        <v>0</v>
      </c>
      <c r="P18" s="1789" t="s">
        <v>2516</v>
      </c>
      <c r="Q18" s="1935">
        <f>+O18+O20</f>
        <v>0</v>
      </c>
      <c r="S18" s="1788"/>
      <c r="T18" s="1788"/>
      <c r="U18" s="1788"/>
    </row>
    <row r="19" spans="1:22">
      <c r="A19" s="1970" t="s">
        <v>377</v>
      </c>
      <c r="B19" s="1926">
        <f>SUM(C19:J20)</f>
        <v>0</v>
      </c>
      <c r="C19" s="1927">
        <f>+SRECNP!L17</f>
        <v>0</v>
      </c>
      <c r="D19" s="1936">
        <f>-O24</f>
        <v>0</v>
      </c>
      <c r="E19" s="1936">
        <f>+O78</f>
        <v>0</v>
      </c>
      <c r="F19" s="1936">
        <f>+O52</f>
        <v>0</v>
      </c>
      <c r="G19" s="1936">
        <f>+O98</f>
        <v>0</v>
      </c>
      <c r="H19" s="1942"/>
      <c r="I19" s="1942"/>
      <c r="J19" s="1921"/>
      <c r="K19" s="2061"/>
      <c r="L19" s="1863" t="s">
        <v>2517</v>
      </c>
      <c r="M19" s="1942"/>
      <c r="N19" s="1925">
        <f>+SNP!M15</f>
        <v>0</v>
      </c>
      <c r="O19" s="1933">
        <f>+N19-M19</f>
        <v>0</v>
      </c>
      <c r="P19" s="1997" t="s">
        <v>425</v>
      </c>
      <c r="Q19" s="1935">
        <f>-H53-H52</f>
        <v>0</v>
      </c>
      <c r="S19" s="1788"/>
      <c r="T19" s="1788"/>
      <c r="U19" s="1788"/>
    </row>
    <row r="20" spans="1:22" ht="15.75" thickBot="1">
      <c r="A20" s="1970"/>
      <c r="B20" s="1926"/>
      <c r="C20" s="1945">
        <f>+O65</f>
        <v>0</v>
      </c>
      <c r="D20" s="1936">
        <f>+O57</f>
        <v>0</v>
      </c>
      <c r="E20" s="1936">
        <f>+O102</f>
        <v>0</v>
      </c>
      <c r="F20" s="1936">
        <f>+O56</f>
        <v>0</v>
      </c>
      <c r="G20" s="1933"/>
      <c r="H20" s="1942"/>
      <c r="I20" s="1942"/>
      <c r="J20" s="1921"/>
      <c r="K20" s="2061"/>
      <c r="L20" s="1940" t="s">
        <v>2518</v>
      </c>
      <c r="M20" s="1942"/>
      <c r="N20" s="1925">
        <f>+SNP!M30</f>
        <v>0</v>
      </c>
      <c r="O20" s="2011">
        <f>+N20-M20</f>
        <v>0</v>
      </c>
      <c r="P20" s="1789" t="s">
        <v>2516</v>
      </c>
      <c r="Q20" s="2016">
        <f>+Q18-Q19</f>
        <v>0</v>
      </c>
      <c r="R20" s="1863" t="s">
        <v>2519</v>
      </c>
    </row>
    <row r="21" spans="1:22" ht="15.75" thickTop="1">
      <c r="A21" s="1971" t="s">
        <v>375</v>
      </c>
      <c r="B21" s="1926">
        <f t="shared" si="0"/>
        <v>0</v>
      </c>
      <c r="C21" s="1927">
        <f>+SRECNP!L15</f>
        <v>0</v>
      </c>
      <c r="D21" s="1925"/>
      <c r="E21" s="1925"/>
      <c r="F21" s="1925"/>
      <c r="G21" s="1925"/>
      <c r="H21" s="1942"/>
      <c r="I21" s="1942"/>
      <c r="J21" s="1921"/>
      <c r="K21" s="2061"/>
      <c r="L21" s="1956" t="s">
        <v>486</v>
      </c>
      <c r="P21" s="1789"/>
      <c r="R21" s="1935"/>
    </row>
    <row r="22" spans="1:22">
      <c r="A22" s="282" t="s">
        <v>2520</v>
      </c>
      <c r="B22" s="1926">
        <f t="shared" si="0"/>
        <v>0</v>
      </c>
      <c r="C22" s="1927">
        <f>+SRECNP!L18</f>
        <v>0</v>
      </c>
      <c r="D22" s="1936">
        <f>-O45</f>
        <v>0</v>
      </c>
      <c r="E22" s="1936">
        <f>+O83</f>
        <v>0</v>
      </c>
      <c r="F22" s="1936">
        <f>+O71</f>
        <v>0</v>
      </c>
      <c r="G22" s="1936">
        <f>+O43</f>
        <v>0</v>
      </c>
      <c r="H22" s="1942"/>
      <c r="I22" s="1942"/>
      <c r="J22" s="1921"/>
      <c r="K22" s="2061"/>
      <c r="L22" s="1863" t="s">
        <v>2521</v>
      </c>
      <c r="M22" s="2064">
        <v>0</v>
      </c>
      <c r="N22" s="1934">
        <f>+'Accounts by GL'!O16+'Accounts by GL'!O17+'Accounts by GL'!O19+'Accounts by GL'!O10-'Accounts by GL'!O22-'Accounts by GL'!F10-SUM('Accounts by GL'!F16:F17)-'Accounts by GL'!F19+'Accounts by GL'!D36+'Accounts by GL'!D37+'Accounts by GL'!N36+'Accounts by GL'!N37</f>
        <v>0</v>
      </c>
      <c r="O22" s="1936">
        <f>+N22-M22</f>
        <v>0</v>
      </c>
      <c r="P22" s="1789" t="s">
        <v>2386</v>
      </c>
    </row>
    <row r="23" spans="1:22">
      <c r="A23" s="1811"/>
      <c r="B23" s="1923"/>
      <c r="C23" s="233"/>
      <c r="D23" s="1925"/>
      <c r="E23" s="1925"/>
      <c r="F23" s="1925"/>
      <c r="G23" s="1925"/>
      <c r="H23" s="1942"/>
      <c r="I23" s="1942"/>
      <c r="J23" s="1921"/>
      <c r="K23" s="2061"/>
      <c r="L23" s="1863" t="s">
        <v>59</v>
      </c>
      <c r="M23" s="2064">
        <v>0</v>
      </c>
      <c r="N23" s="1934">
        <f>+'Accounts by GL'!O18-'Accounts by GL'!F18</f>
        <v>0</v>
      </c>
      <c r="O23" s="1936">
        <f>+N23-M23</f>
        <v>0</v>
      </c>
      <c r="P23" s="1789" t="s">
        <v>2394</v>
      </c>
    </row>
    <row r="24" spans="1:22">
      <c r="A24" s="287" t="s">
        <v>2522</v>
      </c>
      <c r="B24" s="3311">
        <f>SUM(B7:B23)</f>
        <v>0</v>
      </c>
      <c r="C24" s="233"/>
      <c r="D24" s="1925"/>
      <c r="E24" s="1925"/>
      <c r="F24" s="1925"/>
      <c r="G24" s="1925"/>
      <c r="H24" s="1942"/>
      <c r="I24" s="1942"/>
      <c r="J24" s="1921"/>
      <c r="K24" s="2061"/>
      <c r="L24" s="1789" t="s">
        <v>2523</v>
      </c>
      <c r="M24" s="2064">
        <v>0</v>
      </c>
      <c r="N24" s="1934">
        <f>SUM('Accounts by GL'!F16:F19)+'Accounts by GL'!F10</f>
        <v>0</v>
      </c>
      <c r="O24" s="1936">
        <f>+N24-M24</f>
        <v>0</v>
      </c>
      <c r="P24" s="1789" t="s">
        <v>377</v>
      </c>
      <c r="S24" s="1789"/>
      <c r="T24" s="1789"/>
      <c r="U24" s="1933"/>
    </row>
    <row r="25" spans="1:22">
      <c r="A25" s="1972"/>
      <c r="B25" s="1923"/>
      <c r="C25" s="233"/>
      <c r="D25" s="1925"/>
      <c r="E25" s="1925"/>
      <c r="F25" s="1925"/>
      <c r="G25" s="1925"/>
      <c r="H25" s="1942"/>
      <c r="I25" s="1942"/>
      <c r="J25" s="1921"/>
      <c r="K25" s="2061"/>
      <c r="M25" s="3310">
        <f>SUM(M22:M24)</f>
        <v>0</v>
      </c>
      <c r="N25" s="3310">
        <f>SUM(N22:N24)</f>
        <v>0</v>
      </c>
      <c r="O25" s="3310">
        <f>SUM(O22:O24)</f>
        <v>0</v>
      </c>
      <c r="P25" s="1943"/>
      <c r="Q25" s="2611" t="s">
        <v>2524</v>
      </c>
      <c r="R25" s="2611"/>
    </row>
    <row r="26" spans="1:22" ht="30">
      <c r="A26" s="1969" t="s">
        <v>2408</v>
      </c>
      <c r="B26" s="1922"/>
      <c r="C26" s="233"/>
      <c r="D26" s="1925"/>
      <c r="E26" s="1925"/>
      <c r="F26" s="1925" t="s">
        <v>2525</v>
      </c>
      <c r="G26" s="1925"/>
      <c r="H26" s="1942"/>
      <c r="I26" s="1942"/>
      <c r="J26" s="1921"/>
      <c r="K26" s="2061"/>
      <c r="L26" s="1863" t="s">
        <v>493</v>
      </c>
      <c r="M26" s="1942"/>
      <c r="N26" s="1925">
        <f>+SNP!M17</f>
        <v>0</v>
      </c>
      <c r="O26" s="2010">
        <f>+N26-M26</f>
        <v>0</v>
      </c>
      <c r="P26" s="2020" t="s">
        <v>2526</v>
      </c>
      <c r="Q26" s="1935">
        <f>+O26</f>
        <v>0</v>
      </c>
      <c r="R26" s="1940" t="s">
        <v>2509</v>
      </c>
    </row>
    <row r="27" spans="1:22">
      <c r="A27" s="1970" t="s">
        <v>403</v>
      </c>
      <c r="B27" s="2063">
        <f t="shared" ref="B27:B33" si="2">SUM(C27:J27)</f>
        <v>0</v>
      </c>
      <c r="C27" s="1927">
        <f>+SRECNP!L37</f>
        <v>0</v>
      </c>
      <c r="D27" s="1925"/>
      <c r="E27" s="1925"/>
      <c r="F27" s="1925"/>
      <c r="G27" s="1925"/>
      <c r="H27" s="1942"/>
      <c r="I27" s="1942"/>
      <c r="J27" s="1921"/>
      <c r="K27" s="2061"/>
      <c r="L27" s="1960" t="s">
        <v>2527</v>
      </c>
      <c r="P27" s="1789"/>
      <c r="Q27" s="1935">
        <f>-H17-H18</f>
        <v>0</v>
      </c>
      <c r="R27" s="1863" t="s">
        <v>2528</v>
      </c>
    </row>
    <row r="28" spans="1:22" ht="15.75" thickBot="1">
      <c r="A28" s="1973" t="s">
        <v>405</v>
      </c>
      <c r="B28" s="1926">
        <f t="shared" si="2"/>
        <v>0</v>
      </c>
      <c r="C28" s="1927">
        <f>+SRECNP!L38</f>
        <v>0</v>
      </c>
      <c r="D28" s="1936">
        <f>-O30</f>
        <v>0</v>
      </c>
      <c r="F28" s="1925"/>
      <c r="G28" s="1925"/>
      <c r="H28" s="1942"/>
      <c r="I28" s="1942"/>
      <c r="J28" s="2021"/>
      <c r="K28" s="2061"/>
      <c r="L28" s="1863" t="s">
        <v>2529</v>
      </c>
      <c r="M28" s="1942"/>
      <c r="N28" s="1935">
        <f>+'Accounts by GL'!D36</f>
        <v>0</v>
      </c>
      <c r="O28" s="3558">
        <f>+N28-M28</f>
        <v>0</v>
      </c>
      <c r="P28" s="1789" t="s">
        <v>2386</v>
      </c>
      <c r="Q28" s="2016">
        <f>+Q26-Q27</f>
        <v>0</v>
      </c>
      <c r="R28" s="1863" t="s">
        <v>2519</v>
      </c>
    </row>
    <row r="29" spans="1:22" ht="15.75" thickTop="1">
      <c r="A29" s="3557" t="s">
        <v>2412</v>
      </c>
      <c r="B29" s="2940">
        <f t="shared" si="2"/>
        <v>0</v>
      </c>
      <c r="C29" s="2941"/>
      <c r="D29" s="2942"/>
      <c r="E29" s="2942"/>
      <c r="F29" s="2942"/>
      <c r="G29" s="2942"/>
      <c r="H29" s="2943"/>
      <c r="I29" s="2944"/>
      <c r="J29" s="2945"/>
      <c r="K29" s="2061"/>
      <c r="L29" s="1863" t="s">
        <v>2530</v>
      </c>
      <c r="M29" s="2065">
        <v>0</v>
      </c>
      <c r="N29" s="1937">
        <f>+'Accounts by GL'!E36+'Accounts by GL'!E37</f>
        <v>0</v>
      </c>
      <c r="O29" s="1936">
        <f t="shared" ref="O29:O32" si="3">+N29-M29</f>
        <v>0</v>
      </c>
      <c r="P29" s="1789" t="s">
        <v>2388</v>
      </c>
      <c r="Q29" s="2008"/>
      <c r="R29" s="1940"/>
      <c r="S29" s="1959"/>
      <c r="T29" s="1959"/>
      <c r="U29" s="1959"/>
    </row>
    <row r="30" spans="1:22">
      <c r="A30" s="3557" t="s">
        <v>2414</v>
      </c>
      <c r="B30" s="2940">
        <f t="shared" si="2"/>
        <v>0</v>
      </c>
      <c r="C30" s="2941"/>
      <c r="D30" s="2942"/>
      <c r="E30" s="2942"/>
      <c r="F30" s="2942"/>
      <c r="G30" s="2942"/>
      <c r="H30" s="2943"/>
      <c r="I30" s="2944"/>
      <c r="J30" s="2945"/>
      <c r="K30" s="2061"/>
      <c r="L30" s="1863" t="s">
        <v>2531</v>
      </c>
      <c r="M30" s="1921"/>
      <c r="N30" s="1925">
        <f>+'Accounts by GL'!H36+'Accounts by GL'!H37</f>
        <v>0</v>
      </c>
      <c r="O30" s="1936">
        <f t="shared" si="3"/>
        <v>0</v>
      </c>
      <c r="P30" s="1789" t="s">
        <v>1700</v>
      </c>
      <c r="Q30" s="2008"/>
      <c r="S30" s="1788"/>
      <c r="T30" s="1788"/>
      <c r="U30" s="1788"/>
    </row>
    <row r="31" spans="1:22">
      <c r="A31" s="1970" t="s">
        <v>2416</v>
      </c>
      <c r="B31" s="1926">
        <f t="shared" si="2"/>
        <v>0</v>
      </c>
      <c r="C31" s="1927">
        <f>+SRECNP!L39</f>
        <v>0</v>
      </c>
      <c r="D31" s="1925"/>
      <c r="E31" s="1925"/>
      <c r="F31" s="1925"/>
      <c r="G31" s="1925"/>
      <c r="H31" s="1942"/>
      <c r="I31" s="1942"/>
      <c r="J31" s="1921"/>
      <c r="K31" s="2061"/>
      <c r="L31" s="2948" t="s">
        <v>2532</v>
      </c>
      <c r="M31" s="1921"/>
      <c r="N31" s="1925">
        <f>'Accounts by GL'!I36+'Accounts by GL'!I37</f>
        <v>0</v>
      </c>
      <c r="O31" s="2011">
        <f t="shared" si="3"/>
        <v>0</v>
      </c>
      <c r="P31" s="1789" t="s">
        <v>2398</v>
      </c>
      <c r="Q31" s="1788"/>
    </row>
    <row r="32" spans="1:22">
      <c r="A32" s="1973" t="s">
        <v>2418</v>
      </c>
      <c r="B32" s="1926">
        <f t="shared" si="2"/>
        <v>0</v>
      </c>
      <c r="C32" s="1927">
        <f>+SRECNP!L54</f>
        <v>0</v>
      </c>
      <c r="D32" s="1925"/>
      <c r="E32" s="1925"/>
      <c r="F32" s="1925"/>
      <c r="G32" s="1925"/>
      <c r="H32" s="1942"/>
      <c r="I32" s="1942"/>
      <c r="J32" s="1921"/>
      <c r="K32" s="2061"/>
      <c r="L32" s="2948" t="s">
        <v>2533</v>
      </c>
      <c r="M32" s="2064"/>
      <c r="N32" s="1934">
        <f>'Accounts by GL'!J36+'Accounts by GL'!J37</f>
        <v>0</v>
      </c>
      <c r="O32" s="2009">
        <f t="shared" si="3"/>
        <v>0</v>
      </c>
      <c r="P32" s="1789" t="s">
        <v>425</v>
      </c>
      <c r="Q32" s="1788"/>
      <c r="R32" s="1788"/>
      <c r="S32" s="1788"/>
      <c r="T32" s="1788"/>
      <c r="U32" s="1788"/>
      <c r="V32" s="1788"/>
    </row>
    <row r="33" spans="1:25">
      <c r="A33" s="288" t="s">
        <v>2534</v>
      </c>
      <c r="B33" s="1926">
        <f t="shared" si="2"/>
        <v>0</v>
      </c>
      <c r="C33" s="233"/>
      <c r="D33" s="1925"/>
      <c r="E33" s="1925"/>
      <c r="F33" s="1925"/>
      <c r="G33" s="1925"/>
      <c r="H33" s="1942"/>
      <c r="I33" s="1942"/>
      <c r="J33" s="1921"/>
      <c r="K33" s="2061"/>
      <c r="M33" s="3310">
        <f>SUM(M28:M32)</f>
        <v>0</v>
      </c>
      <c r="N33" s="3310">
        <f>SUM(N28:N32)</f>
        <v>0</v>
      </c>
      <c r="O33" s="3310">
        <f>SUM(O28:O32)</f>
        <v>0</v>
      </c>
      <c r="P33" s="1943"/>
      <c r="Q33" s="1788"/>
      <c r="R33" s="1788"/>
      <c r="S33" s="1788"/>
      <c r="T33" s="1788"/>
      <c r="U33" s="1788"/>
      <c r="V33" s="1788"/>
    </row>
    <row r="34" spans="1:25">
      <c r="A34" s="1811"/>
      <c r="B34" s="1926"/>
      <c r="C34" s="233"/>
      <c r="D34" s="1925"/>
      <c r="E34" s="1925"/>
      <c r="F34" s="1925"/>
      <c r="G34" s="1925"/>
      <c r="H34" s="1942"/>
      <c r="I34" s="1942"/>
      <c r="J34" s="1921"/>
      <c r="K34" s="2061"/>
      <c r="L34" s="1863" t="s">
        <v>2535</v>
      </c>
      <c r="M34" s="1174"/>
      <c r="N34" s="1937">
        <f>+'Accounts by GL'!O38</f>
        <v>0</v>
      </c>
      <c r="O34" s="1936">
        <f>+N34-M34</f>
        <v>0</v>
      </c>
      <c r="P34" s="1789" t="s">
        <v>2388</v>
      </c>
      <c r="Q34" s="1788"/>
      <c r="R34" s="1788"/>
      <c r="S34" s="1986"/>
      <c r="T34" s="1788"/>
      <c r="U34" s="1788"/>
      <c r="V34" s="1788"/>
    </row>
    <row r="35" spans="1:25">
      <c r="A35" s="287" t="s">
        <v>2536</v>
      </c>
      <c r="B35" s="3311">
        <f>SUM(B27:B34)</f>
        <v>0</v>
      </c>
      <c r="C35" s="233"/>
      <c r="D35" s="1925"/>
      <c r="E35" s="1925"/>
      <c r="F35" s="1925"/>
      <c r="G35" s="1925"/>
      <c r="H35" s="1942"/>
      <c r="I35" s="1942"/>
      <c r="J35" s="1921"/>
      <c r="K35" s="2061"/>
      <c r="L35" s="1940" t="s">
        <v>205</v>
      </c>
      <c r="M35" s="1942"/>
      <c r="N35" s="1925">
        <f>+SNP!M20</f>
        <v>0</v>
      </c>
      <c r="O35" s="1944">
        <f>+N35-M35</f>
        <v>0</v>
      </c>
      <c r="P35" s="1789" t="s">
        <v>2390</v>
      </c>
      <c r="Q35" s="1987"/>
      <c r="R35" s="1987"/>
      <c r="S35" s="1788"/>
      <c r="T35" s="1788"/>
      <c r="U35" s="1788"/>
      <c r="V35" s="1788"/>
    </row>
    <row r="36" spans="1:25">
      <c r="A36" s="2014"/>
      <c r="B36" s="1923"/>
      <c r="C36" s="233"/>
      <c r="D36" s="1925"/>
      <c r="E36" s="1925"/>
      <c r="F36" s="1925"/>
      <c r="G36" s="1925"/>
      <c r="H36" s="1942"/>
      <c r="I36" s="1942"/>
      <c r="J36" s="1921"/>
      <c r="K36" s="2061"/>
      <c r="L36" s="1954" t="s">
        <v>2537</v>
      </c>
      <c r="M36" s="2066"/>
      <c r="N36" s="1984">
        <f>+SNP!M21+SNP!M31</f>
        <v>0</v>
      </c>
      <c r="O36" s="1944">
        <f>+N36-M36</f>
        <v>0</v>
      </c>
      <c r="P36" s="1789" t="s">
        <v>2390</v>
      </c>
      <c r="Q36" s="2067"/>
      <c r="R36" s="1959"/>
      <c r="S36" s="1959"/>
      <c r="T36" s="1959"/>
      <c r="U36" s="1988"/>
      <c r="V36" s="1788"/>
    </row>
    <row r="37" spans="1:25">
      <c r="A37" s="1969" t="s">
        <v>2421</v>
      </c>
      <c r="B37" s="1922"/>
      <c r="C37" s="233"/>
      <c r="D37" s="1925"/>
      <c r="E37" s="1925"/>
      <c r="F37" s="1925"/>
      <c r="G37" s="1925"/>
      <c r="H37" s="1942"/>
      <c r="I37" s="1942"/>
      <c r="J37" s="1921"/>
      <c r="K37" s="2061"/>
      <c r="L37" s="1954"/>
      <c r="M37" s="2066"/>
      <c r="N37" s="1984"/>
      <c r="O37" s="1944"/>
      <c r="P37" s="1789"/>
      <c r="Q37" s="2068"/>
      <c r="R37" s="1987"/>
      <c r="S37" s="1987"/>
      <c r="T37" s="1987"/>
      <c r="U37" s="1987"/>
      <c r="V37" s="1788"/>
    </row>
    <row r="38" spans="1:25">
      <c r="A38" s="1970" t="s">
        <v>2423</v>
      </c>
      <c r="B38" s="2063">
        <f>SUM(C38:J38)</f>
        <v>0</v>
      </c>
      <c r="C38" s="2009">
        <f>+'Accounts by GL'!J372</f>
        <v>0</v>
      </c>
      <c r="D38" s="1925"/>
      <c r="E38" s="1925"/>
      <c r="F38" s="1925"/>
      <c r="G38" s="1925"/>
      <c r="H38" s="1942"/>
      <c r="I38" s="1942"/>
      <c r="J38" s="1921"/>
      <c r="K38" s="2061"/>
      <c r="L38" s="1960" t="s">
        <v>232</v>
      </c>
      <c r="M38" s="1933"/>
      <c r="N38" s="1933"/>
      <c r="O38" s="1959"/>
      <c r="P38" s="1789"/>
      <c r="Q38" s="1987"/>
      <c r="R38" s="1987"/>
      <c r="S38" s="1987"/>
      <c r="T38" s="1987"/>
      <c r="U38" s="1987"/>
      <c r="V38" s="1788"/>
    </row>
    <row r="39" spans="1:25">
      <c r="A39" s="1972" t="s">
        <v>425</v>
      </c>
      <c r="B39" s="1926">
        <f>SUM(C39:J39)</f>
        <v>0</v>
      </c>
      <c r="C39" s="1927">
        <f>+SRECNP!L52</f>
        <v>0</v>
      </c>
      <c r="D39" s="2009">
        <f>-O32</f>
        <v>0</v>
      </c>
      <c r="E39" s="2009">
        <f>-O19</f>
        <v>0</v>
      </c>
      <c r="H39" s="1942"/>
      <c r="I39" s="1942"/>
      <c r="J39" s="1921"/>
      <c r="K39" s="2061"/>
      <c r="L39" s="1940" t="s">
        <v>2538</v>
      </c>
      <c r="M39" s="1942"/>
      <c r="N39" s="1925">
        <f>+'Accounts by GL'!O49+'Accounts by GL'!O52+'Accounts by GL'!O54+'Accounts by GL'!O57+'Accounts by GL'!O59+'Accounts by GL'!O61+'Accounts by GL'!O47+'Accounts by GL'!O48+'Accounts by GL'!O74+'Accounts by GL'!O75</f>
        <v>0</v>
      </c>
      <c r="O39" s="2012">
        <f>+N39-M39</f>
        <v>0</v>
      </c>
      <c r="P39" s="1935">
        <f>SUM(O39:O40)</f>
        <v>0</v>
      </c>
      <c r="Q39" s="1788"/>
      <c r="R39" s="1987"/>
      <c r="S39" s="1987"/>
      <c r="T39" s="1987"/>
      <c r="U39" s="1987"/>
      <c r="V39" s="1788"/>
    </row>
    <row r="40" spans="1:25">
      <c r="A40" s="1972" t="s">
        <v>2426</v>
      </c>
      <c r="B40" s="1926">
        <f t="shared" ref="B40:B47" si="4">SUM(C40:J40)</f>
        <v>0</v>
      </c>
      <c r="C40" s="1927">
        <f>+SRECNP!L53</f>
        <v>0</v>
      </c>
      <c r="G40" s="1943">
        <f>-D103</f>
        <v>0</v>
      </c>
      <c r="H40" s="1942"/>
      <c r="I40" s="1942"/>
      <c r="J40" s="1921"/>
      <c r="K40" s="2061"/>
      <c r="L40" s="1940" t="s">
        <v>2539</v>
      </c>
      <c r="M40" s="1942"/>
      <c r="N40" s="1925">
        <f>+'Accounts by GL'!O50+'Accounts by GL'!O53+'Accounts by GL'!O55+'Accounts by GL'!O58+'Accounts by GL'!O60+'Accounts by GL'!O62</f>
        <v>0</v>
      </c>
      <c r="O40" s="2012">
        <f>+N40-M40</f>
        <v>0</v>
      </c>
      <c r="Q40" s="1788"/>
      <c r="R40" s="1987"/>
      <c r="S40" s="1987"/>
      <c r="T40" s="1987"/>
      <c r="U40" s="1987"/>
      <c r="V40" s="1788"/>
    </row>
    <row r="41" spans="1:25">
      <c r="A41" s="1972" t="s">
        <v>2428</v>
      </c>
      <c r="B41" s="1926">
        <f t="shared" si="4"/>
        <v>0</v>
      </c>
      <c r="C41" s="233"/>
      <c r="D41" s="1925"/>
      <c r="E41" s="1933"/>
      <c r="F41" s="1933"/>
      <c r="G41" s="1933"/>
      <c r="H41" s="1942"/>
      <c r="I41" s="1942"/>
      <c r="J41" s="1921"/>
      <c r="K41" s="2061"/>
      <c r="L41" s="1940" t="s">
        <v>1068</v>
      </c>
      <c r="M41" s="1942"/>
      <c r="N41" s="1925">
        <f>+SNP!M34</f>
        <v>0</v>
      </c>
      <c r="O41" s="2012">
        <f>+N41-M41</f>
        <v>0</v>
      </c>
      <c r="Q41" s="1788"/>
      <c r="R41" s="1987"/>
      <c r="S41" s="1987"/>
      <c r="T41" s="1987"/>
      <c r="U41" s="1987"/>
      <c r="V41" s="1788"/>
      <c r="Y41" s="1935">
        <f>+R38+T58</f>
        <v>0</v>
      </c>
    </row>
    <row r="42" spans="1:25">
      <c r="A42" s="1972" t="s">
        <v>2430</v>
      </c>
      <c r="B42" s="1926">
        <f t="shared" si="4"/>
        <v>0</v>
      </c>
      <c r="C42" s="1927">
        <f>+SRECNP!L42</f>
        <v>0</v>
      </c>
      <c r="D42" s="1925"/>
      <c r="E42" s="1933"/>
      <c r="F42" s="1933"/>
      <c r="G42" s="1789"/>
      <c r="H42" s="1942"/>
      <c r="I42" s="1942"/>
      <c r="J42" s="1921"/>
      <c r="K42" s="2061"/>
      <c r="L42" s="1935">
        <f>+N39+N40</f>
        <v>0</v>
      </c>
      <c r="M42" s="3312">
        <f>SUM(M39:M41)</f>
        <v>0</v>
      </c>
      <c r="N42" s="3312">
        <f>SUM(N39:N41)</f>
        <v>0</v>
      </c>
      <c r="O42" s="3313">
        <f>SUM(O39:O41)</f>
        <v>0</v>
      </c>
      <c r="P42" s="1863" t="s">
        <v>2432</v>
      </c>
      <c r="Q42" s="1788"/>
      <c r="R42" s="1987"/>
      <c r="S42" s="1987"/>
      <c r="T42" s="1987"/>
      <c r="U42" s="1987"/>
      <c r="V42" s="1788"/>
    </row>
    <row r="43" spans="1:25">
      <c r="A43" s="1972" t="s">
        <v>2432</v>
      </c>
      <c r="B43" s="1926">
        <f>SUM(C43:I44)</f>
        <v>0</v>
      </c>
      <c r="C43" s="2013">
        <f>+O74</f>
        <v>0</v>
      </c>
      <c r="D43" s="2069">
        <f>-SRECNP!L30</f>
        <v>0</v>
      </c>
      <c r="E43" s="2024">
        <f>-O39</f>
        <v>0</v>
      </c>
      <c r="F43" s="2024">
        <f>-O40</f>
        <v>0</v>
      </c>
      <c r="G43" s="1943">
        <f>+D103</f>
        <v>0</v>
      </c>
      <c r="H43" s="1921"/>
      <c r="I43" s="1942">
        <v>0</v>
      </c>
      <c r="J43" s="1921"/>
      <c r="K43" s="2061"/>
      <c r="L43" s="1940" t="s">
        <v>2540</v>
      </c>
      <c r="M43" s="1942"/>
      <c r="N43" s="1925">
        <f>+SNP!M35</f>
        <v>0</v>
      </c>
      <c r="O43" s="1944">
        <f>+N43-M43</f>
        <v>0</v>
      </c>
      <c r="P43" s="1935"/>
      <c r="Q43" s="1788"/>
      <c r="R43" s="1987"/>
      <c r="S43" s="1987"/>
      <c r="T43" s="1987"/>
      <c r="U43" s="1987"/>
      <c r="V43" s="1788"/>
    </row>
    <row r="44" spans="1:25">
      <c r="A44" s="1933"/>
      <c r="B44" s="1926"/>
      <c r="C44" s="2009">
        <f>+O80</f>
        <v>0</v>
      </c>
      <c r="D44" s="2009">
        <f>+O66</f>
        <v>0</v>
      </c>
      <c r="E44" s="2024">
        <f>-O41</f>
        <v>0</v>
      </c>
      <c r="G44" s="2069">
        <f>SRECNP!J43</f>
        <v>0</v>
      </c>
      <c r="H44" s="1942"/>
      <c r="I44" s="1942"/>
      <c r="J44" s="2021"/>
      <c r="K44" s="2061"/>
      <c r="L44" s="1863" t="s">
        <v>2541</v>
      </c>
      <c r="M44" s="2064"/>
      <c r="N44" s="1937">
        <f>+'Accounts by GL'!O20</f>
        <v>0</v>
      </c>
      <c r="O44" s="1936">
        <f>+N44-M44</f>
        <v>0</v>
      </c>
      <c r="P44" s="1933" t="s">
        <v>2516</v>
      </c>
      <c r="Q44" s="1788"/>
      <c r="R44" s="1987"/>
      <c r="S44" s="1987"/>
      <c r="T44" s="1987"/>
      <c r="U44" s="1987"/>
      <c r="V44" s="1788"/>
    </row>
    <row r="45" spans="1:25">
      <c r="A45" s="1972" t="s">
        <v>2434</v>
      </c>
      <c r="B45" s="1926">
        <f t="shared" si="4"/>
        <v>0</v>
      </c>
      <c r="C45" s="2013">
        <f>+O85</f>
        <v>0</v>
      </c>
      <c r="D45" s="2009">
        <f>+O88</f>
        <v>0</v>
      </c>
      <c r="E45" s="1933"/>
      <c r="F45" s="1933"/>
      <c r="G45" s="1933"/>
      <c r="H45" s="1942"/>
      <c r="I45" s="1942"/>
      <c r="J45" s="1921"/>
      <c r="K45" s="2061"/>
      <c r="L45" s="1863" t="s">
        <v>2542</v>
      </c>
      <c r="M45" s="2070"/>
      <c r="N45" s="1933">
        <f>+SNP!M22</f>
        <v>0</v>
      </c>
      <c r="O45" s="1936">
        <f>+N45-M45</f>
        <v>0</v>
      </c>
      <c r="P45" s="1970" t="str">
        <f>IF(AA43&gt;0,"Other Receipts",IF(AA43&lt;0,"Other Payments","Other Receipts (Payments)"))</f>
        <v>Other Receipts (Payments)</v>
      </c>
      <c r="Q45" s="1788"/>
      <c r="R45" s="1987"/>
      <c r="S45" s="1987"/>
      <c r="T45" s="1987"/>
      <c r="U45" s="1987"/>
      <c r="V45" s="1788"/>
    </row>
    <row r="46" spans="1:25">
      <c r="A46" s="1972" t="s">
        <v>2436</v>
      </c>
      <c r="B46" s="1926">
        <f t="shared" si="4"/>
        <v>0</v>
      </c>
      <c r="C46" s="1927">
        <f>SRECNP!L44</f>
        <v>0</v>
      </c>
      <c r="D46" s="1925"/>
      <c r="E46" s="1933"/>
      <c r="F46" s="1933"/>
      <c r="G46" s="1933"/>
      <c r="H46" s="1942"/>
      <c r="I46" s="1942"/>
      <c r="J46" s="1921"/>
      <c r="K46" s="2061"/>
      <c r="Q46" s="1788"/>
      <c r="R46" s="1987"/>
      <c r="S46" s="1987"/>
      <c r="T46" s="1987"/>
      <c r="U46" s="1987"/>
      <c r="V46" s="1788"/>
    </row>
    <row r="47" spans="1:25">
      <c r="A47" s="1972" t="s">
        <v>2438</v>
      </c>
      <c r="B47" s="1926">
        <f t="shared" si="4"/>
        <v>0</v>
      </c>
      <c r="C47" s="233"/>
      <c r="D47" s="1925"/>
      <c r="E47" s="1925"/>
      <c r="F47" s="1925"/>
      <c r="G47" s="1925"/>
      <c r="H47" s="1942"/>
      <c r="I47" s="1942"/>
      <c r="J47" s="1921"/>
      <c r="K47" s="2061"/>
      <c r="L47" s="1985" t="s">
        <v>2289</v>
      </c>
      <c r="M47" s="3314">
        <f>+M16+M19+M17+M18 + M37+M20+M25+M26+M33+M34+M35+M36+M42+M43+M44+M45+M46</f>
        <v>0</v>
      </c>
      <c r="N47" s="3314">
        <f>+N16+N17+N19+N18+N20+N25+N26+N33+N34+N35+N36+N42+N43+N44+N45+N46+N37</f>
        <v>0</v>
      </c>
      <c r="O47" s="3314">
        <f>+O16+O17+O18+O19+O20+O25+O26+O33+O34+O35+O36+O42+O43+O44+O45+O46+O37</f>
        <v>0</v>
      </c>
      <c r="P47" s="1935"/>
      <c r="Q47" s="1788"/>
      <c r="R47" s="1987"/>
      <c r="S47" s="1987"/>
      <c r="T47" s="1987"/>
      <c r="U47" s="1987"/>
      <c r="V47" s="1788"/>
    </row>
    <row r="48" spans="1:25">
      <c r="A48" s="2015"/>
      <c r="B48" s="1923"/>
      <c r="C48" s="233"/>
      <c r="D48" s="1925"/>
      <c r="E48" s="1925"/>
      <c r="F48" s="1925"/>
      <c r="G48" s="1925"/>
      <c r="H48" s="1942"/>
      <c r="I48" s="1942"/>
      <c r="J48" s="1921"/>
      <c r="K48" s="2061"/>
      <c r="L48" s="2019" t="s">
        <v>2543</v>
      </c>
      <c r="M48" s="3312" t="e">
        <f>'FS Variance Analysis Tool'!F51</f>
        <v>#N/A</v>
      </c>
      <c r="N48" s="3312">
        <f>'FS Variance Analysis Tool'!B51</f>
        <v>0</v>
      </c>
      <c r="O48" s="3312">
        <f>+N47-N48</f>
        <v>0</v>
      </c>
      <c r="P48" s="1943"/>
      <c r="Q48" s="1788"/>
      <c r="R48" s="1987"/>
      <c r="S48" s="1987"/>
      <c r="T48" s="1987"/>
      <c r="U48" s="1987"/>
      <c r="V48" s="1788"/>
    </row>
    <row r="49" spans="1:23">
      <c r="A49" s="287" t="s">
        <v>2544</v>
      </c>
      <c r="B49" s="3311">
        <f>SUM(B38:B48)</f>
        <v>0</v>
      </c>
      <c r="C49" s="233"/>
      <c r="D49" s="1925"/>
      <c r="E49" s="1925"/>
      <c r="F49" s="1925"/>
      <c r="G49" s="1925"/>
      <c r="H49" s="1942"/>
      <c r="I49" s="1942"/>
      <c r="J49" s="1921"/>
      <c r="K49" s="2061"/>
      <c r="L49" s="1985" t="s">
        <v>224</v>
      </c>
      <c r="M49" s="1935" t="e">
        <f>+M47-M48</f>
        <v>#N/A</v>
      </c>
      <c r="N49" s="1935">
        <f>+N47-N48</f>
        <v>0</v>
      </c>
      <c r="O49" s="1935">
        <f>+O47-O48</f>
        <v>0</v>
      </c>
      <c r="Q49" s="1788"/>
      <c r="R49" s="1987"/>
      <c r="S49" s="1788"/>
      <c r="T49" s="1988"/>
      <c r="U49" s="1788"/>
      <c r="V49" s="1788"/>
    </row>
    <row r="50" spans="1:23">
      <c r="A50" s="1972"/>
      <c r="B50" s="1923"/>
      <c r="C50" s="233"/>
      <c r="D50" s="1925"/>
      <c r="E50" s="1925"/>
      <c r="F50" s="1925"/>
      <c r="G50" s="1925"/>
      <c r="H50" s="1942"/>
      <c r="I50" s="1942"/>
      <c r="J50" s="1921"/>
      <c r="K50" s="2061"/>
      <c r="Q50" s="1788"/>
      <c r="R50" s="1788"/>
      <c r="S50" s="1788"/>
      <c r="T50" s="1788"/>
      <c r="U50" s="1788"/>
      <c r="V50" s="1788"/>
    </row>
    <row r="51" spans="1:23" ht="15" customHeight="1">
      <c r="A51" s="1969" t="s">
        <v>2440</v>
      </c>
      <c r="B51" s="1922"/>
      <c r="C51" s="233"/>
      <c r="D51" s="1925"/>
      <c r="E51" s="1925"/>
      <c r="F51" s="1925"/>
      <c r="G51" s="1925"/>
      <c r="H51" s="1942"/>
      <c r="I51" s="1942"/>
      <c r="J51" s="1921"/>
      <c r="K51" s="2061"/>
      <c r="L51" s="1960" t="s">
        <v>2545</v>
      </c>
      <c r="N51" s="1935">
        <f>+'FS Variance Analysis Tool'!B51-N48</f>
        <v>0</v>
      </c>
      <c r="Q51" s="1788"/>
      <c r="R51" s="1987"/>
      <c r="S51" s="2071"/>
      <c r="T51" s="1988"/>
      <c r="U51" s="1788"/>
      <c r="V51" s="1788"/>
    </row>
    <row r="52" spans="1:23">
      <c r="A52" s="1970" t="s">
        <v>2442</v>
      </c>
      <c r="B52" s="2063">
        <f>SUM(C52:J52)</f>
        <v>0</v>
      </c>
      <c r="D52" s="1925"/>
      <c r="E52" s="1925"/>
      <c r="F52" s="1925"/>
      <c r="G52" s="1933">
        <f>-G54</f>
        <v>0</v>
      </c>
      <c r="H52" s="1964"/>
      <c r="I52" s="1921"/>
      <c r="J52" s="1921"/>
      <c r="K52" s="2061"/>
      <c r="L52" s="1940" t="s">
        <v>2546</v>
      </c>
      <c r="M52" s="1942"/>
      <c r="N52" s="1925">
        <f>+SNP!M42</f>
        <v>0</v>
      </c>
      <c r="O52" s="1936">
        <f>-M52+N52</f>
        <v>0</v>
      </c>
      <c r="P52" s="1789" t="s">
        <v>377</v>
      </c>
      <c r="Q52" s="1788"/>
      <c r="R52" s="1788"/>
      <c r="S52" s="1988"/>
      <c r="T52" s="1988"/>
      <c r="U52" s="1988"/>
      <c r="V52" s="1788"/>
    </row>
    <row r="53" spans="1:23">
      <c r="A53" s="1970" t="s">
        <v>2444</v>
      </c>
      <c r="B53" s="1926">
        <f>SUM(C53:J53)</f>
        <v>0</v>
      </c>
      <c r="D53" s="1925"/>
      <c r="E53" s="1925"/>
      <c r="F53" s="1925"/>
      <c r="G53" s="1933"/>
      <c r="H53" s="1964"/>
      <c r="I53" s="1942"/>
      <c r="J53" s="1921"/>
      <c r="K53" s="2061"/>
      <c r="L53" s="1940" t="s">
        <v>2547</v>
      </c>
      <c r="M53" s="1942"/>
      <c r="N53" s="1925">
        <f>+SNP!M43+SNP!M44</f>
        <v>0</v>
      </c>
      <c r="O53" s="1944">
        <f>+N53-M53</f>
        <v>0</v>
      </c>
      <c r="P53" s="1977" t="s">
        <v>2396</v>
      </c>
      <c r="Q53" s="1788"/>
      <c r="R53" s="1788"/>
      <c r="S53" s="1788"/>
      <c r="T53" s="1788"/>
      <c r="U53" s="1788"/>
      <c r="V53" s="1788"/>
    </row>
    <row r="54" spans="1:23">
      <c r="A54" s="1970" t="s">
        <v>409</v>
      </c>
      <c r="B54" s="1926">
        <f>SUM(C54:J54)</f>
        <v>0</v>
      </c>
      <c r="C54" s="1927">
        <f>+SRECNP!L40</f>
        <v>0</v>
      </c>
      <c r="D54" s="1928">
        <f>+SRECNP!L41</f>
        <v>0</v>
      </c>
      <c r="E54" s="1936">
        <f>-O44</f>
        <v>0</v>
      </c>
      <c r="F54" s="1925"/>
      <c r="G54" s="1933">
        <f>-D101</f>
        <v>0</v>
      </c>
      <c r="H54" s="1921"/>
      <c r="I54" s="1921"/>
      <c r="J54" s="1921"/>
      <c r="K54" s="2061"/>
      <c r="L54" s="1940" t="s">
        <v>2548</v>
      </c>
      <c r="M54" s="1942"/>
      <c r="N54" s="1925">
        <f>+SNP!M48</f>
        <v>0</v>
      </c>
      <c r="O54" s="1936">
        <f>+M54-N54</f>
        <v>0</v>
      </c>
      <c r="P54" s="1789"/>
      <c r="Q54" s="1935">
        <f>+N58-M58</f>
        <v>0</v>
      </c>
      <c r="R54" s="1988"/>
      <c r="S54" s="1788"/>
      <c r="T54" s="1788"/>
      <c r="U54" s="1988"/>
      <c r="V54" s="1788"/>
    </row>
    <row r="55" spans="1:23">
      <c r="A55" s="1972"/>
      <c r="B55" s="1923"/>
      <c r="C55" s="233"/>
      <c r="D55" s="1925"/>
      <c r="E55" s="1925"/>
      <c r="F55" s="1925"/>
      <c r="G55" s="1925"/>
      <c r="H55" s="1942"/>
      <c r="I55" s="1942"/>
      <c r="J55" s="1921"/>
      <c r="K55" s="2061"/>
      <c r="L55" s="1940" t="s">
        <v>2549</v>
      </c>
      <c r="M55" s="1942"/>
      <c r="N55" s="1925">
        <f>+SNP!M45</f>
        <v>0</v>
      </c>
      <c r="O55" s="1936">
        <f>-M55+N55</f>
        <v>0</v>
      </c>
      <c r="P55" s="1943">
        <f>+M55+N55</f>
        <v>0</v>
      </c>
      <c r="Q55" s="1788"/>
      <c r="R55" s="1988"/>
      <c r="S55" s="1788"/>
      <c r="T55" s="1788"/>
      <c r="U55" s="1988"/>
      <c r="V55" s="1788"/>
    </row>
    <row r="56" spans="1:23">
      <c r="A56" s="287" t="s">
        <v>2550</v>
      </c>
      <c r="B56" s="3311">
        <f>SUM(B52:B55)</f>
        <v>0</v>
      </c>
      <c r="C56" s="233"/>
      <c r="E56" s="1925"/>
      <c r="F56" s="1925"/>
      <c r="G56" s="1925"/>
      <c r="H56" s="1942"/>
      <c r="I56" s="1942"/>
      <c r="J56" s="1921"/>
      <c r="K56" s="2061"/>
      <c r="L56" s="3010" t="s">
        <v>2551</v>
      </c>
      <c r="M56" s="1942"/>
      <c r="N56" s="1925">
        <f>+SNP!M46</f>
        <v>0</v>
      </c>
      <c r="O56" s="1936">
        <f>+M56-N56</f>
        <v>0</v>
      </c>
      <c r="P56" s="1789"/>
      <c r="Q56" s="1988"/>
      <c r="R56" s="1988"/>
      <c r="S56" s="1988"/>
      <c r="T56" s="1788"/>
      <c r="U56" s="1788"/>
      <c r="V56" s="1788"/>
    </row>
    <row r="57" spans="1:23">
      <c r="A57" s="1811"/>
      <c r="B57" s="1923"/>
      <c r="C57" s="233"/>
      <c r="D57" s="1925"/>
      <c r="E57" s="1925"/>
      <c r="F57" s="1925"/>
      <c r="G57" s="1925"/>
      <c r="H57" s="1942"/>
      <c r="I57" s="1942"/>
      <c r="J57" s="1921"/>
      <c r="K57" s="2061"/>
      <c r="L57" s="3010" t="s">
        <v>2552</v>
      </c>
      <c r="M57" s="1942"/>
      <c r="N57" s="1925">
        <f>+SNP!M47</f>
        <v>0</v>
      </c>
      <c r="O57" s="1936">
        <f>-M57+N57</f>
        <v>0</v>
      </c>
      <c r="P57" s="1789" t="s">
        <v>377</v>
      </c>
      <c r="Q57" s="1987"/>
      <c r="R57" s="1988"/>
      <c r="S57" s="1988"/>
      <c r="T57" s="1788"/>
      <c r="U57" s="1788"/>
      <c r="V57" s="1788"/>
    </row>
    <row r="58" spans="1:23">
      <c r="A58" s="287" t="s">
        <v>2553</v>
      </c>
      <c r="B58" s="1929">
        <f>+B24+B35+B49+B56</f>
        <v>0</v>
      </c>
      <c r="C58" s="233"/>
      <c r="D58" s="1925"/>
      <c r="E58" s="1925"/>
      <c r="F58" s="1925"/>
      <c r="G58" s="1925"/>
      <c r="H58" s="1942"/>
      <c r="I58" s="1942"/>
      <c r="J58" s="1921"/>
      <c r="K58" s="2061"/>
      <c r="L58" s="2018" t="s">
        <v>2554</v>
      </c>
      <c r="M58" s="3310">
        <f>SUM(M52:M57)</f>
        <v>0</v>
      </c>
      <c r="N58" s="3310">
        <f>SUM(N52:N57)</f>
        <v>0</v>
      </c>
      <c r="O58" s="3310">
        <f>SUM(O52:O57)</f>
        <v>0</v>
      </c>
      <c r="P58" s="1789"/>
      <c r="Q58" s="1788"/>
      <c r="R58" s="1988"/>
      <c r="S58" s="1988"/>
      <c r="T58" s="1988"/>
      <c r="U58" s="1989"/>
      <c r="V58" s="1788"/>
    </row>
    <row r="59" spans="1:23" ht="16.5" thickBot="1">
      <c r="A59" s="1970" t="s">
        <v>2448</v>
      </c>
      <c r="B59" s="1955">
        <f>+H59</f>
        <v>0</v>
      </c>
      <c r="C59" s="233"/>
      <c r="D59" s="1925"/>
      <c r="E59" s="1925"/>
      <c r="F59" s="1925"/>
      <c r="G59" s="1925"/>
      <c r="H59" s="1964"/>
      <c r="I59" s="1942"/>
      <c r="J59" s="1921"/>
      <c r="K59" s="2061"/>
      <c r="L59" s="2072" t="s">
        <v>2555</v>
      </c>
      <c r="M59" s="2073">
        <f>+M47+M58</f>
        <v>0</v>
      </c>
      <c r="N59" s="2073">
        <f>+N47+N58</f>
        <v>0</v>
      </c>
      <c r="O59" s="2073">
        <f>+O47+O58</f>
        <v>0</v>
      </c>
      <c r="P59" s="2074"/>
      <c r="Q59" s="1788"/>
      <c r="R59" s="1988"/>
      <c r="S59" s="1988"/>
      <c r="T59" s="2075"/>
      <c r="U59" s="2076"/>
      <c r="V59" s="2076"/>
      <c r="W59" s="2025"/>
    </row>
    <row r="60" spans="1:23" ht="15.75" thickTop="1">
      <c r="A60" s="1972"/>
      <c r="B60" s="1923"/>
      <c r="C60" s="233"/>
      <c r="D60" s="1925"/>
      <c r="E60" s="1925"/>
      <c r="F60" s="1925"/>
      <c r="G60" s="1925"/>
      <c r="H60" s="1942"/>
      <c r="I60" s="1942"/>
      <c r="J60" s="1921"/>
      <c r="K60" s="2061"/>
      <c r="Q60" s="1988"/>
      <c r="R60" s="1988"/>
      <c r="S60" s="1988"/>
      <c r="T60" s="1988"/>
      <c r="U60" s="1788"/>
      <c r="V60" s="1788"/>
    </row>
    <row r="61" spans="1:23" ht="19.5" thickBot="1">
      <c r="A61" s="1968" t="s">
        <v>2449</v>
      </c>
      <c r="B61" s="1930">
        <f>+B58+B59</f>
        <v>0</v>
      </c>
      <c r="C61" s="1976">
        <f>+N16+N17</f>
        <v>0</v>
      </c>
      <c r="D61" s="1925">
        <f>+B61-C61</f>
        <v>0</v>
      </c>
      <c r="E61" s="1925" t="s">
        <v>2556</v>
      </c>
      <c r="F61" s="1925"/>
      <c r="G61" s="1925"/>
      <c r="H61" s="1942"/>
      <c r="I61" s="1942"/>
      <c r="J61" s="1921"/>
      <c r="K61" s="2061"/>
      <c r="L61" s="1983" t="s">
        <v>2557</v>
      </c>
      <c r="M61" s="1996"/>
      <c r="N61" s="1983"/>
      <c r="O61" s="1983"/>
      <c r="P61" s="1983"/>
      <c r="R61" s="1988"/>
      <c r="S61" s="1788"/>
      <c r="T61" s="1788"/>
      <c r="U61" s="1788"/>
      <c r="V61" s="1788"/>
    </row>
    <row r="62" spans="1:23" ht="15.75" thickTop="1">
      <c r="B62" s="1924"/>
      <c r="C62" s="1993" t="s">
        <v>2558</v>
      </c>
      <c r="D62" s="1925"/>
      <c r="E62" s="1925"/>
      <c r="F62" s="1925"/>
      <c r="G62" s="1925"/>
      <c r="H62" s="1933"/>
      <c r="I62" s="1933"/>
      <c r="K62" s="2061"/>
      <c r="L62" s="1966" t="s">
        <v>56</v>
      </c>
      <c r="R62" s="1935"/>
      <c r="S62" s="1788"/>
      <c r="T62" s="1788"/>
      <c r="U62" s="1788"/>
      <c r="V62" s="1788"/>
    </row>
    <row r="63" spans="1:23">
      <c r="D63" s="1935"/>
      <c r="E63" s="1935"/>
      <c r="H63" s="1789"/>
      <c r="I63" s="1789"/>
      <c r="K63" s="2061"/>
      <c r="L63" s="1863" t="s">
        <v>2559</v>
      </c>
      <c r="M63" s="2070"/>
      <c r="N63" s="2001">
        <f>+'Accounts by GL'!O98+'Accounts by GL'!O103+'Accounts by GL'!O113+'Accounts by GL'!O117+'Accounts by GL'!O119+'Accounts by GL'!O121-N64-N65-N66</f>
        <v>0</v>
      </c>
      <c r="O63" s="1944">
        <f>-M63+N63</f>
        <v>0</v>
      </c>
      <c r="P63" s="1978" t="s">
        <v>2390</v>
      </c>
      <c r="R63" s="1935"/>
    </row>
    <row r="64" spans="1:23">
      <c r="B64" s="1925"/>
      <c r="E64" s="1935"/>
      <c r="H64" s="1789"/>
      <c r="I64" s="1789"/>
      <c r="K64" s="2061"/>
      <c r="L64" s="1863" t="s">
        <v>2388</v>
      </c>
      <c r="M64" s="2070"/>
      <c r="N64" s="1935">
        <f>+'Accounts by GL'!E103</f>
        <v>0</v>
      </c>
      <c r="O64" s="1944">
        <f>-M64+N64</f>
        <v>0</v>
      </c>
      <c r="P64" s="1863" t="s">
        <v>2560</v>
      </c>
      <c r="R64" s="1935"/>
    </row>
    <row r="65" spans="1:18">
      <c r="A65" s="1969" t="s">
        <v>2453</v>
      </c>
      <c r="B65" s="282"/>
      <c r="C65" s="282"/>
      <c r="D65" s="282"/>
      <c r="E65" s="282"/>
      <c r="F65" s="282"/>
      <c r="G65" s="285"/>
      <c r="H65" s="1943"/>
      <c r="I65" s="1789"/>
      <c r="K65" s="2061"/>
      <c r="L65" s="1863" t="s">
        <v>2561</v>
      </c>
      <c r="M65" s="2070"/>
      <c r="N65" s="1935">
        <f>+'Accounts by GL'!F103</f>
        <v>0</v>
      </c>
      <c r="O65" s="1944">
        <f>-M65+N65</f>
        <v>0</v>
      </c>
      <c r="P65" s="1863" t="s">
        <v>2561</v>
      </c>
    </row>
    <row r="66" spans="1:18">
      <c r="A66" s="1990" t="s">
        <v>2562</v>
      </c>
      <c r="B66" s="282"/>
      <c r="C66" s="282"/>
      <c r="D66" s="282"/>
      <c r="E66" s="282"/>
      <c r="F66" s="282"/>
      <c r="G66" s="285"/>
      <c r="H66" s="1789"/>
      <c r="I66" s="1789"/>
      <c r="K66" s="2061"/>
      <c r="L66" s="1863" t="s">
        <v>2563</v>
      </c>
      <c r="M66" s="2070"/>
      <c r="N66" s="1935">
        <f>+'Accounts by GL'!J103</f>
        <v>0</v>
      </c>
      <c r="O66" s="2012">
        <f>-M66+N66</f>
        <v>0</v>
      </c>
      <c r="R66" s="1935"/>
    </row>
    <row r="67" spans="1:18" ht="15.75" thickBot="1">
      <c r="A67" s="1970" t="s">
        <v>2454</v>
      </c>
      <c r="B67" s="485">
        <f>+SRECNP!L34</f>
        <v>0</v>
      </c>
      <c r="C67" s="282"/>
      <c r="D67" s="2006"/>
      <c r="E67" s="2006"/>
      <c r="F67" s="282"/>
      <c r="G67" s="285"/>
      <c r="H67" s="1789"/>
      <c r="I67" s="1789"/>
      <c r="K67" s="2061"/>
      <c r="L67" s="1985" t="s">
        <v>2564</v>
      </c>
      <c r="M67" s="2077">
        <f>SUM(M63:M66)</f>
        <v>0</v>
      </c>
      <c r="N67" s="2077">
        <f>SUM(N63:N66)</f>
        <v>0</v>
      </c>
      <c r="O67" s="2077">
        <f>SUM(O63:O66)</f>
        <v>0</v>
      </c>
      <c r="R67" s="1935"/>
    </row>
    <row r="68" spans="1:18" ht="15.75" thickTop="1">
      <c r="A68" s="1970" t="s">
        <v>2455</v>
      </c>
      <c r="B68" s="292"/>
      <c r="C68" s="282"/>
      <c r="D68" s="282"/>
      <c r="E68" s="282"/>
      <c r="F68" s="282"/>
      <c r="G68" s="285"/>
      <c r="H68" s="1789"/>
      <c r="I68" s="1789"/>
      <c r="K68" s="2061"/>
      <c r="R68" s="1988"/>
    </row>
    <row r="69" spans="1:18">
      <c r="A69" s="1973" t="s">
        <v>2565</v>
      </c>
      <c r="B69" s="292"/>
      <c r="C69" s="111"/>
      <c r="D69" s="111"/>
      <c r="E69" s="111"/>
      <c r="F69" s="282"/>
      <c r="G69" s="285"/>
      <c r="H69" s="1789"/>
      <c r="I69" s="1789"/>
      <c r="K69" s="2061"/>
      <c r="L69" s="1863" t="s">
        <v>2566</v>
      </c>
      <c r="M69" s="2064"/>
      <c r="N69" s="2002">
        <f>SUM('Accounts by GL'!O95:O97)+'Accounts by GL'!O104</f>
        <v>0</v>
      </c>
      <c r="O69" s="1944">
        <f>-M69+N69</f>
        <v>0</v>
      </c>
      <c r="P69" s="1979" t="s">
        <v>2394</v>
      </c>
    </row>
    <row r="70" spans="1:18">
      <c r="A70" s="1973" t="s">
        <v>2457</v>
      </c>
      <c r="B70" s="554">
        <f>+SRECNP!L30</f>
        <v>0</v>
      </c>
      <c r="C70" s="111"/>
      <c r="D70" s="111"/>
      <c r="E70" s="111"/>
      <c r="F70" s="282"/>
      <c r="G70" s="285"/>
      <c r="H70" s="1789"/>
      <c r="I70" s="1789"/>
      <c r="K70" s="2061"/>
      <c r="L70" s="1863" t="s">
        <v>2567</v>
      </c>
      <c r="M70" s="1921"/>
      <c r="N70" s="1925">
        <f>SUM('Accounts by GL'!O99:O102)</f>
        <v>0</v>
      </c>
      <c r="O70" s="1944">
        <f>-M70+N70</f>
        <v>0</v>
      </c>
      <c r="P70" s="1977" t="s">
        <v>2396</v>
      </c>
    </row>
    <row r="71" spans="1:18">
      <c r="A71" s="1992" t="s">
        <v>2458</v>
      </c>
      <c r="B71" s="1814"/>
      <c r="C71" s="111"/>
      <c r="D71" s="111"/>
      <c r="E71" s="111"/>
      <c r="F71" s="282"/>
      <c r="G71" s="285"/>
      <c r="H71" s="1789"/>
      <c r="I71" s="1789"/>
      <c r="K71" s="2061"/>
      <c r="L71" s="1940" t="s">
        <v>1302</v>
      </c>
      <c r="M71" s="1921"/>
      <c r="N71" s="1925">
        <f>+SNP!M59</f>
        <v>0</v>
      </c>
      <c r="O71" s="1944">
        <f>-M71+N71</f>
        <v>0</v>
      </c>
      <c r="P71" s="1789" t="s">
        <v>2520</v>
      </c>
    </row>
    <row r="72" spans="1:18">
      <c r="A72" s="1973" t="s">
        <v>2460</v>
      </c>
      <c r="B72" s="109">
        <f>SUM(C72:J72)</f>
        <v>0</v>
      </c>
      <c r="C72" s="1943">
        <f>-O25</f>
        <v>0</v>
      </c>
      <c r="D72" s="1995"/>
      <c r="E72" s="1943"/>
      <c r="F72" s="282"/>
      <c r="G72" s="295"/>
      <c r="H72" s="1921"/>
      <c r="I72" s="1921"/>
      <c r="J72" s="1921"/>
      <c r="K72" s="2061"/>
      <c r="L72" s="3010" t="s">
        <v>2568</v>
      </c>
      <c r="M72" s="1921"/>
      <c r="N72" s="1925"/>
      <c r="O72" s="1944"/>
      <c r="P72" s="1789" t="s">
        <v>2569</v>
      </c>
    </row>
    <row r="73" spans="1:18">
      <c r="A73" s="2423" t="s">
        <v>2462</v>
      </c>
      <c r="B73" s="2007">
        <f t="shared" ref="B73:B91" si="5">SUM(C73:J73)</f>
        <v>0</v>
      </c>
      <c r="C73" s="1943">
        <f>+H17</f>
        <v>0</v>
      </c>
      <c r="D73" s="1995">
        <f>+H18</f>
        <v>0</v>
      </c>
      <c r="E73" s="111"/>
      <c r="F73" s="282"/>
      <c r="G73" s="285"/>
      <c r="H73" s="1921"/>
      <c r="I73" s="1921"/>
      <c r="J73" s="1921"/>
      <c r="K73" s="2061"/>
      <c r="L73" s="1940" t="s">
        <v>2570</v>
      </c>
      <c r="M73" s="1942"/>
      <c r="N73" s="1925">
        <f>+SNP!M60</f>
        <v>0</v>
      </c>
      <c r="O73" s="1944">
        <f>-M73+N73</f>
        <v>0</v>
      </c>
      <c r="P73" s="1977" t="s">
        <v>2388</v>
      </c>
    </row>
    <row r="74" spans="1:18">
      <c r="A74" s="2423" t="s">
        <v>197</v>
      </c>
      <c r="B74" s="109">
        <f t="shared" si="5"/>
        <v>0</v>
      </c>
      <c r="C74" s="1935">
        <f>-O29</f>
        <v>0</v>
      </c>
      <c r="D74" s="1995">
        <f>-O28</f>
        <v>0</v>
      </c>
      <c r="E74" s="111"/>
      <c r="F74" s="282"/>
      <c r="G74" s="285"/>
      <c r="H74" s="1921"/>
      <c r="I74" s="1921"/>
      <c r="J74" s="1921"/>
      <c r="K74" s="2061"/>
      <c r="L74" s="1940" t="s">
        <v>259</v>
      </c>
      <c r="M74" s="1942"/>
      <c r="N74" s="1925">
        <f>+SNP!M58</f>
        <v>0</v>
      </c>
      <c r="O74" s="1944">
        <f>-M74+N74</f>
        <v>0</v>
      </c>
      <c r="P74" s="1789" t="s">
        <v>2432</v>
      </c>
    </row>
    <row r="75" spans="1:18">
      <c r="A75" s="2423" t="s">
        <v>2463</v>
      </c>
      <c r="B75" s="109">
        <f t="shared" si="5"/>
        <v>0</v>
      </c>
      <c r="C75" s="1995">
        <f>-O34</f>
        <v>0</v>
      </c>
      <c r="D75" s="111"/>
      <c r="E75" s="111"/>
      <c r="F75" s="282"/>
      <c r="G75" s="285"/>
      <c r="H75" s="1921"/>
      <c r="I75" s="1921"/>
      <c r="J75" s="1921"/>
      <c r="K75" s="2061"/>
      <c r="L75" s="1967" t="s">
        <v>2571</v>
      </c>
      <c r="M75" s="1941"/>
      <c r="N75" s="2003"/>
      <c r="O75" s="1941"/>
      <c r="P75" s="1981"/>
    </row>
    <row r="76" spans="1:18">
      <c r="A76" s="2423" t="s">
        <v>2464</v>
      </c>
      <c r="B76" s="109">
        <f t="shared" si="5"/>
        <v>0</v>
      </c>
      <c r="C76" s="1935">
        <f>+F22</f>
        <v>0</v>
      </c>
      <c r="D76" s="111"/>
      <c r="E76" s="111"/>
      <c r="F76" s="282"/>
      <c r="G76" s="285"/>
      <c r="H76" s="1921"/>
      <c r="I76" s="1921"/>
      <c r="J76" s="1921"/>
      <c r="K76" s="2061"/>
      <c r="L76" s="1863" t="s">
        <v>2521</v>
      </c>
      <c r="M76" s="2064"/>
      <c r="N76" s="2004">
        <f>+'Accounts by GL'!D136</f>
        <v>0</v>
      </c>
      <c r="O76" s="1936">
        <f>-M76+N76</f>
        <v>0</v>
      </c>
      <c r="P76" s="1980"/>
    </row>
    <row r="77" spans="1:18">
      <c r="A77" s="1973" t="s">
        <v>205</v>
      </c>
      <c r="B77" s="109">
        <f t="shared" si="5"/>
        <v>0</v>
      </c>
      <c r="C77" s="1943">
        <f>-O35</f>
        <v>0</v>
      </c>
      <c r="D77" s="111"/>
      <c r="E77" s="111"/>
      <c r="F77" s="282"/>
      <c r="G77" s="295"/>
      <c r="H77" s="1921"/>
      <c r="I77" s="1921"/>
      <c r="J77" s="1921"/>
      <c r="K77" s="2061"/>
      <c r="L77" s="1863" t="s">
        <v>2388</v>
      </c>
      <c r="M77" s="2064"/>
      <c r="N77" s="2004">
        <f>+'Accounts by GL'!E136</f>
        <v>0</v>
      </c>
      <c r="O77" s="1936">
        <f>-M77+N77</f>
        <v>0</v>
      </c>
      <c r="P77" s="1977" t="s">
        <v>2388</v>
      </c>
    </row>
    <row r="78" spans="1:18">
      <c r="A78" s="1973" t="s">
        <v>210</v>
      </c>
      <c r="B78" s="109">
        <f t="shared" si="5"/>
        <v>0</v>
      </c>
      <c r="C78" s="1943">
        <f>-O36</f>
        <v>0</v>
      </c>
      <c r="D78" s="111"/>
      <c r="E78" s="111"/>
      <c r="F78" s="282"/>
      <c r="G78" s="285"/>
      <c r="H78" s="1921"/>
      <c r="I78" s="1921"/>
      <c r="J78" s="1921"/>
      <c r="K78" s="2061"/>
      <c r="L78" s="1863" t="s">
        <v>2572</v>
      </c>
      <c r="M78" s="2064"/>
      <c r="N78" s="1925">
        <f>+'Accounts by GL'!F136</f>
        <v>0</v>
      </c>
      <c r="O78" s="1936">
        <f>-M78+N78</f>
        <v>0</v>
      </c>
      <c r="P78" s="1789" t="s">
        <v>377</v>
      </c>
    </row>
    <row r="79" spans="1:18">
      <c r="A79" s="1973" t="s">
        <v>217</v>
      </c>
      <c r="B79" s="109">
        <f t="shared" si="5"/>
        <v>0</v>
      </c>
      <c r="C79" s="1943">
        <f>-O43</f>
        <v>0</v>
      </c>
      <c r="D79" s="1995">
        <f>-O45</f>
        <v>0</v>
      </c>
      <c r="E79" s="111"/>
      <c r="F79" s="282"/>
      <c r="G79" s="285"/>
      <c r="H79" s="1921"/>
      <c r="I79" s="1921"/>
      <c r="J79" s="1921"/>
      <c r="K79" s="2061"/>
      <c r="L79" s="1863" t="s">
        <v>2573</v>
      </c>
      <c r="M79" s="2064"/>
      <c r="N79" s="1925">
        <f>+'Accounts by GL'!H136+'Accounts by GL'!I136</f>
        <v>0</v>
      </c>
      <c r="O79" s="1936">
        <f>-M79+N79</f>
        <v>0</v>
      </c>
      <c r="P79" s="1789" t="s">
        <v>2398</v>
      </c>
    </row>
    <row r="80" spans="1:18">
      <c r="A80" s="1973" t="s">
        <v>56</v>
      </c>
      <c r="B80" s="109">
        <f t="shared" si="5"/>
        <v>0</v>
      </c>
      <c r="C80" s="1943">
        <f>+O63</f>
        <v>0</v>
      </c>
      <c r="D80" s="1995">
        <f>+O73</f>
        <v>0</v>
      </c>
      <c r="E80" s="1935">
        <f>+O64</f>
        <v>0</v>
      </c>
      <c r="F80" s="1935">
        <f>+O65</f>
        <v>0</v>
      </c>
      <c r="G80" s="285"/>
      <c r="H80" s="1921"/>
      <c r="I80" s="1921"/>
      <c r="J80" s="1921"/>
      <c r="K80" s="2061"/>
      <c r="L80" s="1863" t="s">
        <v>2563</v>
      </c>
      <c r="M80" s="2078"/>
      <c r="N80" s="2005">
        <f>+'Accounts by GL'!J136</f>
        <v>0</v>
      </c>
      <c r="O80" s="1936">
        <f>-M80+N80</f>
        <v>0</v>
      </c>
      <c r="P80" s="1789" t="s">
        <v>425</v>
      </c>
    </row>
    <row r="81" spans="1:17">
      <c r="A81" s="1973" t="s">
        <v>2469</v>
      </c>
      <c r="B81" s="109">
        <f t="shared" si="5"/>
        <v>0</v>
      </c>
      <c r="C81" s="1789"/>
      <c r="D81" s="111"/>
      <c r="E81" s="111"/>
      <c r="F81" s="282"/>
      <c r="G81" s="285"/>
      <c r="H81" s="1921"/>
      <c r="I81" s="1921"/>
      <c r="J81" s="1921"/>
      <c r="K81" s="2061"/>
      <c r="L81" s="1985" t="s">
        <v>2574</v>
      </c>
      <c r="M81" s="3315">
        <f>SUM(M76:M80)</f>
        <v>0</v>
      </c>
      <c r="N81" s="3315">
        <f>SUM(N76:N80)</f>
        <v>0</v>
      </c>
      <c r="O81" s="3315">
        <f>SUM(O76:O80)</f>
        <v>0</v>
      </c>
      <c r="P81" s="1789"/>
    </row>
    <row r="82" spans="1:17">
      <c r="A82" s="1973" t="s">
        <v>2471</v>
      </c>
      <c r="B82" s="109">
        <f t="shared" si="5"/>
        <v>0</v>
      </c>
      <c r="C82" s="1935">
        <f>+O69</f>
        <v>0</v>
      </c>
      <c r="D82" s="286"/>
      <c r="E82" s="286">
        <f>+O70</f>
        <v>0</v>
      </c>
      <c r="F82" s="282"/>
      <c r="G82" s="296"/>
      <c r="H82" s="1921"/>
      <c r="I82" s="1921"/>
      <c r="J82" s="1921"/>
      <c r="K82" s="2061"/>
      <c r="L82" s="1863" t="s">
        <v>2575</v>
      </c>
      <c r="M82" s="2064"/>
      <c r="N82" s="1939">
        <f>+SNP!M62</f>
        <v>0</v>
      </c>
      <c r="O82" s="1936">
        <f t="shared" ref="O82:O92" si="6">-M82+N82</f>
        <v>0</v>
      </c>
      <c r="P82" s="1977" t="s">
        <v>2396</v>
      </c>
    </row>
    <row r="83" spans="1:17">
      <c r="A83" s="1973" t="s">
        <v>73</v>
      </c>
      <c r="B83" s="109">
        <f t="shared" si="5"/>
        <v>0</v>
      </c>
      <c r="C83" s="1935">
        <f>+O81-O80</f>
        <v>0</v>
      </c>
      <c r="D83" s="286"/>
      <c r="E83" s="282"/>
      <c r="F83" s="282"/>
      <c r="G83" s="289"/>
      <c r="H83" s="1921"/>
      <c r="I83" s="1921"/>
      <c r="J83" s="1921"/>
      <c r="K83" s="2061"/>
      <c r="L83" s="1940" t="s">
        <v>2576</v>
      </c>
      <c r="M83" s="1942"/>
      <c r="N83" s="1925">
        <f>+SNP!M63</f>
        <v>0</v>
      </c>
      <c r="O83" s="1936">
        <f t="shared" si="6"/>
        <v>0</v>
      </c>
      <c r="P83" s="1982" t="str">
        <f>IF(AA44&gt;0,"Other Receipts",IF(AA44&lt;0,"Other Payments","Other Receipts (Payments)"))</f>
        <v>Other Receipts (Payments)</v>
      </c>
    </row>
    <row r="84" spans="1:17">
      <c r="A84" s="1829" t="s">
        <v>270</v>
      </c>
      <c r="B84" s="109">
        <f t="shared" si="5"/>
        <v>0</v>
      </c>
      <c r="C84" s="286">
        <f>O82</f>
        <v>0</v>
      </c>
      <c r="D84" s="286"/>
      <c r="E84" s="282"/>
      <c r="F84" s="282"/>
      <c r="G84" s="289"/>
      <c r="H84" s="1921"/>
      <c r="I84" s="1921"/>
      <c r="J84" s="1921"/>
      <c r="K84" s="2061"/>
      <c r="L84" s="1940" t="s">
        <v>2577</v>
      </c>
      <c r="M84" s="1942"/>
      <c r="N84" s="1925">
        <f>+SNP!M70+SNP!M92</f>
        <v>0</v>
      </c>
      <c r="O84" s="1936">
        <f t="shared" si="6"/>
        <v>0</v>
      </c>
      <c r="P84" s="1977" t="s">
        <v>2396</v>
      </c>
    </row>
    <row r="85" spans="1:17">
      <c r="A85" s="1971" t="s">
        <v>2474</v>
      </c>
      <c r="B85" s="109">
        <f t="shared" si="5"/>
        <v>0</v>
      </c>
      <c r="C85" s="1935">
        <f>+O83</f>
        <v>0</v>
      </c>
      <c r="D85" s="1935"/>
      <c r="E85" s="282"/>
      <c r="F85" s="282"/>
      <c r="G85" s="289"/>
      <c r="H85" s="1921"/>
      <c r="I85" s="1921"/>
      <c r="J85" s="1921"/>
      <c r="K85" s="2061"/>
      <c r="L85" s="1940" t="s">
        <v>75</v>
      </c>
      <c r="M85" s="1942"/>
      <c r="N85" s="1925">
        <f>+SNP!M65+SNP!M87</f>
        <v>0</v>
      </c>
      <c r="O85" s="1936">
        <f t="shared" si="6"/>
        <v>0</v>
      </c>
      <c r="P85" s="1789" t="s">
        <v>2434</v>
      </c>
    </row>
    <row r="86" spans="1:17">
      <c r="A86" s="1973" t="s">
        <v>289</v>
      </c>
      <c r="B86" s="109">
        <f t="shared" si="5"/>
        <v>0</v>
      </c>
      <c r="C86" s="1935">
        <f>+O84</f>
        <v>0</v>
      </c>
      <c r="D86" s="282"/>
      <c r="E86" s="282"/>
      <c r="F86" s="282"/>
      <c r="G86" s="289"/>
      <c r="H86" s="1921"/>
      <c r="I86" s="1921"/>
      <c r="J86" s="1921"/>
      <c r="K86" s="2061"/>
      <c r="L86" s="1940" t="s">
        <v>2578</v>
      </c>
      <c r="M86" s="1942"/>
      <c r="N86" s="1925">
        <f>+SNP!M66+SNP!M88</f>
        <v>0</v>
      </c>
      <c r="O86" s="1936">
        <f t="shared" si="6"/>
        <v>0</v>
      </c>
      <c r="P86" s="1789" t="s">
        <v>2578</v>
      </c>
    </row>
    <row r="87" spans="1:17">
      <c r="A87" s="1973" t="s">
        <v>291</v>
      </c>
      <c r="B87" s="109">
        <f t="shared" si="5"/>
        <v>0</v>
      </c>
      <c r="C87" s="1935">
        <f>+O90</f>
        <v>0</v>
      </c>
      <c r="D87" s="282"/>
      <c r="E87" s="282"/>
      <c r="F87" s="282"/>
      <c r="G87" s="297"/>
      <c r="H87" s="1921"/>
      <c r="I87" s="1921"/>
      <c r="J87" s="1921"/>
      <c r="K87" s="2061"/>
      <c r="L87" s="1940" t="s">
        <v>83</v>
      </c>
      <c r="M87" s="1942"/>
      <c r="N87" s="1925">
        <f>+SNP!M67+SNP!M89</f>
        <v>0</v>
      </c>
      <c r="O87" s="1936">
        <f t="shared" si="6"/>
        <v>0</v>
      </c>
      <c r="P87" s="1789" t="s">
        <v>83</v>
      </c>
    </row>
    <row r="88" spans="1:17">
      <c r="A88" s="1973" t="s">
        <v>572</v>
      </c>
      <c r="B88" s="109">
        <f t="shared" si="5"/>
        <v>0</v>
      </c>
      <c r="C88" s="1935">
        <f>+O91</f>
        <v>0</v>
      </c>
      <c r="D88" s="282"/>
      <c r="E88" s="282"/>
      <c r="F88" s="282"/>
      <c r="G88" s="297"/>
      <c r="H88" s="1921"/>
      <c r="I88" s="1921"/>
      <c r="J88" s="1921"/>
      <c r="K88" s="2061"/>
      <c r="L88" s="1940" t="s">
        <v>85</v>
      </c>
      <c r="M88" s="1942"/>
      <c r="N88" s="1925">
        <f>+SNP!M68+SNP!M90</f>
        <v>0</v>
      </c>
      <c r="O88" s="1936">
        <f t="shared" si="6"/>
        <v>0</v>
      </c>
      <c r="P88" s="1789" t="s">
        <v>4107</v>
      </c>
    </row>
    <row r="89" spans="1:17">
      <c r="A89" s="1973" t="s">
        <v>2478</v>
      </c>
      <c r="B89" s="109">
        <f t="shared" si="5"/>
        <v>0</v>
      </c>
      <c r="C89" s="1935">
        <f>+O92</f>
        <v>0</v>
      </c>
      <c r="D89" s="282"/>
      <c r="E89" s="282"/>
      <c r="F89" s="282"/>
      <c r="G89" s="297"/>
      <c r="H89" s="1921"/>
      <c r="I89" s="1921"/>
      <c r="J89" s="1921"/>
      <c r="K89" s="2061"/>
      <c r="L89" s="3010" t="s">
        <v>2579</v>
      </c>
      <c r="M89" s="1942"/>
      <c r="N89" s="1925">
        <f>+SNP!M69+SNP!M91</f>
        <v>0</v>
      </c>
      <c r="O89" s="1936">
        <f t="shared" si="6"/>
        <v>0</v>
      </c>
      <c r="P89" s="1789"/>
      <c r="Q89" s="1935">
        <f>+N93-M93</f>
        <v>0</v>
      </c>
    </row>
    <row r="90" spans="1:17">
      <c r="A90" s="1973" t="s">
        <v>2479</v>
      </c>
      <c r="B90" s="109">
        <f t="shared" si="5"/>
        <v>0</v>
      </c>
      <c r="C90" s="1935">
        <f>-SUM(O52:O55)</f>
        <v>0</v>
      </c>
      <c r="D90" s="282"/>
      <c r="E90" s="282"/>
      <c r="F90" s="282"/>
      <c r="G90" s="297"/>
      <c r="H90" s="1921"/>
      <c r="I90" s="1921"/>
      <c r="J90" s="1921"/>
      <c r="K90" s="2061"/>
      <c r="L90" s="1940" t="s">
        <v>84</v>
      </c>
      <c r="M90" s="1942"/>
      <c r="N90" s="1925">
        <f>+SNP!M71+SNP!M93</f>
        <v>0</v>
      </c>
      <c r="O90" s="1936">
        <f t="shared" si="6"/>
        <v>0</v>
      </c>
      <c r="P90" s="1789" t="s">
        <v>2396</v>
      </c>
    </row>
    <row r="91" spans="1:17">
      <c r="A91" s="1973" t="s">
        <v>2481</v>
      </c>
      <c r="B91" s="109">
        <f t="shared" si="5"/>
        <v>0</v>
      </c>
      <c r="C91" s="1935">
        <f>+SUM(O98:O101)</f>
        <v>0</v>
      </c>
      <c r="D91" s="282"/>
      <c r="E91" s="282"/>
      <c r="F91" s="282"/>
      <c r="G91" s="285"/>
      <c r="K91" s="2061"/>
      <c r="L91" s="1940" t="s">
        <v>1214</v>
      </c>
      <c r="M91" s="1942"/>
      <c r="N91" s="1925">
        <f>+SNP!M96+SNP!M74</f>
        <v>0</v>
      </c>
      <c r="O91" s="1936">
        <f t="shared" si="6"/>
        <v>0</v>
      </c>
      <c r="P91" s="1977" t="s">
        <v>2396</v>
      </c>
    </row>
    <row r="92" spans="1:17">
      <c r="A92" s="2423" t="s">
        <v>2483</v>
      </c>
      <c r="B92" s="109">
        <f>SUM(C92:J92)</f>
        <v>0</v>
      </c>
      <c r="C92" s="1935">
        <f>+O56</f>
        <v>0</v>
      </c>
      <c r="D92" s="282"/>
      <c r="E92" s="282"/>
      <c r="F92" s="282"/>
      <c r="G92" s="285"/>
      <c r="K92" s="2061"/>
      <c r="L92" s="1940" t="s">
        <v>2580</v>
      </c>
      <c r="M92" s="1942"/>
      <c r="N92" s="1925">
        <f>+SNP!M73+SNP!M94+SNP!M95</f>
        <v>0</v>
      </c>
      <c r="O92" s="1936">
        <f t="shared" si="6"/>
        <v>0</v>
      </c>
      <c r="P92" s="1977" t="s">
        <v>2396</v>
      </c>
    </row>
    <row r="93" spans="1:17" ht="15" customHeight="1">
      <c r="A93" s="1973"/>
      <c r="B93" s="109"/>
      <c r="C93" s="1935"/>
      <c r="D93" s="282"/>
      <c r="E93" s="282"/>
      <c r="F93" s="282"/>
      <c r="G93" s="285"/>
      <c r="K93" s="2061"/>
      <c r="L93" s="1985" t="s">
        <v>2290</v>
      </c>
      <c r="M93" s="3314">
        <f>SUM(M63:M92)-M81-M67</f>
        <v>0</v>
      </c>
      <c r="N93" s="3314">
        <f>SUM(N63:N92)-N81-N67</f>
        <v>0</v>
      </c>
      <c r="O93" s="3314">
        <f>SUM(O63:O92)-O81-O67</f>
        <v>0</v>
      </c>
      <c r="P93" s="1789" t="s">
        <v>2290</v>
      </c>
    </row>
    <row r="94" spans="1:17" ht="20.25" customHeight="1">
      <c r="A94" s="1973"/>
      <c r="B94" s="109"/>
      <c r="C94" s="1935"/>
      <c r="D94" s="282"/>
      <c r="E94" s="282"/>
      <c r="F94" s="282"/>
      <c r="G94" s="285"/>
      <c r="K94" s="2061"/>
      <c r="L94" s="2019" t="s">
        <v>2543</v>
      </c>
      <c r="M94" s="1935" t="e">
        <f>+'FS Variance Analysis Tool'!F103</f>
        <v>#N/A</v>
      </c>
      <c r="N94" s="1935">
        <f>+'FS Variance Analysis Tool'!B103</f>
        <v>0</v>
      </c>
      <c r="O94" s="1935" t="e">
        <f>+N94-M94</f>
        <v>#N/A</v>
      </c>
      <c r="P94" s="1789" t="s">
        <v>2543</v>
      </c>
    </row>
    <row r="95" spans="1:17">
      <c r="A95" s="1991"/>
      <c r="B95" s="282"/>
      <c r="C95" s="288"/>
      <c r="D95" s="282"/>
      <c r="E95" s="282"/>
      <c r="F95" s="282"/>
      <c r="G95" s="285"/>
      <c r="K95" s="2061"/>
      <c r="L95" s="2018" t="s">
        <v>224</v>
      </c>
      <c r="M95" s="3312" t="e">
        <f>+M93-M94</f>
        <v>#N/A</v>
      </c>
      <c r="N95" s="3312">
        <f>+N93-N94</f>
        <v>0</v>
      </c>
      <c r="O95" s="3312" t="e">
        <f>+O93-O94</f>
        <v>#N/A</v>
      </c>
      <c r="P95" s="1789" t="s">
        <v>224</v>
      </c>
    </row>
    <row r="96" spans="1:17" ht="15.75" thickBot="1">
      <c r="A96" s="1968" t="s">
        <v>2581</v>
      </c>
      <c r="B96" s="1994">
        <f>SUM(B67:B95)</f>
        <v>0</v>
      </c>
      <c r="C96" s="282"/>
      <c r="K96" s="2061"/>
    </row>
    <row r="97" spans="1:17" ht="15.75" thickTop="1">
      <c r="K97" s="2061"/>
      <c r="L97" s="1966" t="s">
        <v>2582</v>
      </c>
      <c r="P97" s="1789"/>
    </row>
    <row r="98" spans="1:17">
      <c r="B98" s="1961">
        <f>+B24-B96</f>
        <v>0</v>
      </c>
      <c r="K98" s="2061"/>
      <c r="L98" s="1940" t="s">
        <v>2583</v>
      </c>
      <c r="M98" s="1921"/>
      <c r="N98" s="1925">
        <f>+SNP!M104</f>
        <v>0</v>
      </c>
      <c r="O98" s="1936">
        <f>-M98+N98</f>
        <v>0</v>
      </c>
      <c r="P98" s="1789" t="s">
        <v>377</v>
      </c>
    </row>
    <row r="99" spans="1:17" ht="15" customHeight="1">
      <c r="K99" s="2061"/>
      <c r="L99" s="1940" t="s">
        <v>2584</v>
      </c>
      <c r="M99" s="1942"/>
      <c r="N99" s="1925">
        <f>+SNP!M105+SNP!M106</f>
        <v>0</v>
      </c>
      <c r="O99" s="1936">
        <f>-M99+N99</f>
        <v>0</v>
      </c>
      <c r="P99" s="1977" t="s">
        <v>2396</v>
      </c>
      <c r="Q99" s="1935">
        <f>+N103-M103</f>
        <v>0</v>
      </c>
    </row>
    <row r="100" spans="1:17" ht="16.5" customHeight="1">
      <c r="K100" s="2061"/>
      <c r="L100" s="1940" t="s">
        <v>2585</v>
      </c>
      <c r="M100" s="1921"/>
      <c r="N100" s="1925">
        <f>+SNP!M110</f>
        <v>0</v>
      </c>
      <c r="O100" s="1936">
        <f>-M100+N100</f>
        <v>0</v>
      </c>
      <c r="P100" s="1863" t="s">
        <v>2586</v>
      </c>
    </row>
    <row r="101" spans="1:17" ht="14.25" customHeight="1">
      <c r="A101" s="2612" t="s">
        <v>2587</v>
      </c>
      <c r="B101" s="2612"/>
      <c r="C101" s="2612"/>
      <c r="D101" s="2470"/>
      <c r="K101" s="2061"/>
      <c r="L101" s="1940" t="s">
        <v>2588</v>
      </c>
      <c r="M101" s="1921"/>
      <c r="N101" s="1925">
        <f>+SNP!M107</f>
        <v>0</v>
      </c>
      <c r="O101" s="1936">
        <f>-M101+N101</f>
        <v>0</v>
      </c>
      <c r="P101" s="1977" t="s">
        <v>2396</v>
      </c>
    </row>
    <row r="102" spans="1:17" ht="17.25" customHeight="1">
      <c r="A102" s="2612" t="s">
        <v>2589</v>
      </c>
      <c r="B102" s="2612"/>
      <c r="C102" s="2612"/>
      <c r="D102" s="1943">
        <f>-G44</f>
        <v>0</v>
      </c>
      <c r="K102" s="2061"/>
      <c r="L102" s="3010" t="s">
        <v>1349</v>
      </c>
      <c r="M102" s="1921"/>
      <c r="N102" s="1925">
        <f>+SNP!M109</f>
        <v>0</v>
      </c>
      <c r="O102" s="1936">
        <f>-M102+N102</f>
        <v>0</v>
      </c>
      <c r="P102" s="1789" t="s">
        <v>377</v>
      </c>
    </row>
    <row r="103" spans="1:17">
      <c r="A103" s="1921" t="s">
        <v>2590</v>
      </c>
      <c r="B103" s="1921"/>
      <c r="C103" s="1921"/>
      <c r="D103" s="1943">
        <f>+'Accounts by GL'!L313</f>
        <v>0</v>
      </c>
      <c r="K103" s="2061"/>
      <c r="L103" s="2018" t="s">
        <v>2290</v>
      </c>
      <c r="M103" s="3310">
        <f>SUM(M98:M102)</f>
        <v>0</v>
      </c>
      <c r="N103" s="3310">
        <f>SUM(N98:N102)</f>
        <v>0</v>
      </c>
      <c r="O103" s="3312">
        <f>+N103-M103</f>
        <v>0</v>
      </c>
    </row>
    <row r="104" spans="1:17" ht="16.5" thickBot="1">
      <c r="K104" s="2061"/>
      <c r="L104" s="2072" t="s">
        <v>2591</v>
      </c>
      <c r="M104" s="2073">
        <f>+M93+M103</f>
        <v>0</v>
      </c>
      <c r="N104" s="2073">
        <f>+N93+N103</f>
        <v>0</v>
      </c>
      <c r="O104" s="2073">
        <f>+N104-M104</f>
        <v>0</v>
      </c>
      <c r="P104" s="2079"/>
    </row>
    <row r="105" spans="1:17" ht="15.75" thickTop="1">
      <c r="K105" s="2061"/>
      <c r="N105" s="1935"/>
      <c r="O105" s="1935"/>
    </row>
    <row r="106" spans="1:17">
      <c r="E106" s="1935"/>
      <c r="K106" s="2061"/>
      <c r="L106" s="1985" t="s">
        <v>2592</v>
      </c>
      <c r="M106" s="1935">
        <f>+M47+M58-M93-M103</f>
        <v>0</v>
      </c>
      <c r="N106" s="1935">
        <f>+N47+N58-N93-N103</f>
        <v>0</v>
      </c>
      <c r="O106" s="1935">
        <f>+O47+O58-O93-O103</f>
        <v>0</v>
      </c>
      <c r="P106" s="1935"/>
    </row>
    <row r="107" spans="1:17">
      <c r="K107" s="2061"/>
      <c r="L107" s="2022" t="s">
        <v>2593</v>
      </c>
      <c r="M107" s="1935">
        <f>+'Accounts by GL'!O181-'Accounts by GL'!$D$179</f>
        <v>0</v>
      </c>
      <c r="N107" s="1925" t="e">
        <f>+'FS Variance Analysis Tool'!F194+'FS Variance Analysis Tool'!B190</f>
        <v>#N/A</v>
      </c>
      <c r="O107" s="1935" t="e">
        <f>+N107-M107</f>
        <v>#N/A</v>
      </c>
      <c r="P107" s="1935"/>
    </row>
    <row r="108" spans="1:17">
      <c r="K108" s="2061"/>
      <c r="L108" s="1985" t="s">
        <v>224</v>
      </c>
      <c r="M108" s="3312">
        <f>+M107-M106</f>
        <v>0</v>
      </c>
      <c r="N108" s="3312" t="e">
        <f>+N107-N106</f>
        <v>#N/A</v>
      </c>
      <c r="O108" s="3312" t="e">
        <f>+O107-O106</f>
        <v>#N/A</v>
      </c>
      <c r="P108" s="1935"/>
    </row>
    <row r="109" spans="1:17">
      <c r="K109" s="2061"/>
      <c r="M109" s="1935"/>
    </row>
    <row r="110" spans="1:17">
      <c r="K110" s="2061"/>
      <c r="L110" s="1921"/>
      <c r="M110" s="2021"/>
      <c r="N110" s="1921"/>
      <c r="O110" s="2080"/>
      <c r="P110" s="2021"/>
    </row>
    <row r="111" spans="1:17" ht="75">
      <c r="K111" s="2061"/>
      <c r="L111" s="2612" t="s">
        <v>2587</v>
      </c>
      <c r="M111" s="1921"/>
      <c r="N111" s="1921"/>
      <c r="O111" s="2021"/>
      <c r="P111" s="1921"/>
    </row>
    <row r="112" spans="1:17">
      <c r="K112" s="2061"/>
      <c r="L112" s="3926"/>
      <c r="M112" s="1921"/>
      <c r="N112" s="1921"/>
      <c r="O112" s="2021"/>
      <c r="P112" s="1921"/>
    </row>
    <row r="113" spans="11:16" ht="75">
      <c r="K113" s="2061"/>
      <c r="L113" s="2612" t="s">
        <v>2589</v>
      </c>
      <c r="M113" s="1921"/>
      <c r="N113" s="1921"/>
      <c r="O113" s="2080"/>
      <c r="P113" s="1921"/>
    </row>
    <row r="114" spans="11:16">
      <c r="K114" s="2061"/>
      <c r="L114" s="3926"/>
      <c r="M114" s="1921"/>
      <c r="N114" s="1921"/>
      <c r="O114" s="2080"/>
      <c r="P114" s="1921"/>
    </row>
    <row r="115" spans="11:16">
      <c r="K115" s="2061"/>
      <c r="L115" s="1921" t="s">
        <v>2590</v>
      </c>
      <c r="M115" s="1921"/>
      <c r="N115" s="1921"/>
      <c r="O115" s="1921"/>
      <c r="P115" s="1921"/>
    </row>
    <row r="116" spans="11:16">
      <c r="K116" s="2061"/>
      <c r="L116" s="1921"/>
      <c r="M116" s="1921"/>
      <c r="N116" s="1921"/>
      <c r="O116" s="1921"/>
      <c r="P116" s="1921"/>
    </row>
    <row r="117" spans="11:16">
      <c r="K117" s="2061"/>
      <c r="L117" s="1921" t="s">
        <v>4105</v>
      </c>
      <c r="M117" s="1921"/>
      <c r="N117" s="1921"/>
      <c r="O117" s="1921"/>
      <c r="P117" s="1921"/>
    </row>
    <row r="118" spans="11:16">
      <c r="K118" s="2061"/>
      <c r="L118" s="1921" t="s">
        <v>4106</v>
      </c>
      <c r="M118" s="1921"/>
      <c r="N118" s="1921"/>
      <c r="O118" s="1921"/>
      <c r="P118" s="1921"/>
    </row>
    <row r="119" spans="11:16">
      <c r="K119" s="2061"/>
      <c r="L119" s="1921"/>
      <c r="M119" s="1921"/>
      <c r="N119" s="1921"/>
      <c r="O119" s="1921"/>
      <c r="P119" s="1921"/>
    </row>
    <row r="120" spans="11:16">
      <c r="K120" s="2061"/>
      <c r="L120" s="1921"/>
      <c r="M120" s="1921"/>
      <c r="N120" s="1921"/>
      <c r="O120" s="1921"/>
      <c r="P120" s="1921"/>
    </row>
    <row r="121" spans="11:16">
      <c r="K121" s="2061"/>
      <c r="L121" s="1921"/>
      <c r="M121" s="1921"/>
      <c r="N121" s="1921"/>
      <c r="O121" s="1921"/>
      <c r="P121" s="1921"/>
    </row>
    <row r="122" spans="11:16">
      <c r="K122" s="2061"/>
    </row>
    <row r="123" spans="11:16">
      <c r="K123" s="2061"/>
    </row>
    <row r="124" spans="11:16">
      <c r="K124" s="2061"/>
    </row>
    <row r="125" spans="11:16">
      <c r="K125" s="2061"/>
    </row>
    <row r="126" spans="11:16">
      <c r="K126" s="2061"/>
    </row>
    <row r="127" spans="11:16">
      <c r="K127" s="2061"/>
    </row>
    <row r="128" spans="11:16">
      <c r="K128" s="2061"/>
    </row>
  </sheetData>
  <sheetProtection selectLockedCells="1" selectUnlockedCells="1"/>
  <conditionalFormatting sqref="B72:B91 B93:B94">
    <cfRule type="containsBlanks" dxfId="336" priority="6">
      <formula>LEN(TRIM(B72))=0</formula>
    </cfRule>
  </conditionalFormatting>
  <conditionalFormatting sqref="B72:B91 B93:B94">
    <cfRule type="cellIs" dxfId="335" priority="5" operator="notEqual">
      <formula>0</formula>
    </cfRule>
  </conditionalFormatting>
  <conditionalFormatting sqref="B92">
    <cfRule type="containsBlanks" dxfId="334" priority="2">
      <formula>LEN(TRIM(B92))=0</formula>
    </cfRule>
  </conditionalFormatting>
  <conditionalFormatting sqref="B92">
    <cfRule type="cellIs" dxfId="333" priority="1" operator="notEqual">
      <formula>0</formula>
    </cfRule>
  </conditionalFormatting>
  <pageMargins left="0.7" right="0.7" top="0.75" bottom="0.75" header="0.3" footer="0.3"/>
  <pageSetup orientation="portrait" r:id="rId1"/>
  <ignoredErrors>
    <ignoredError sqref="N18" formula="1"/>
  </ignoredError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70C0"/>
  </sheetPr>
  <dimension ref="A1:I36"/>
  <sheetViews>
    <sheetView workbookViewId="0">
      <selection activeCell="B10" sqref="B10"/>
    </sheetView>
  </sheetViews>
  <sheetFormatPr defaultColWidth="12.42578125" defaultRowHeight="12.75"/>
  <cols>
    <col min="1" max="1" width="30" style="46" customWidth="1"/>
    <col min="2" max="5" width="16" style="46" customWidth="1"/>
    <col min="6" max="6" width="13.28515625" style="46" customWidth="1"/>
    <col min="7" max="7" width="22.85546875" style="46" customWidth="1"/>
    <col min="8" max="16384" width="12.42578125" style="46"/>
  </cols>
  <sheetData>
    <row r="1" spans="1:9">
      <c r="A1" s="1821"/>
      <c r="B1" s="2051"/>
      <c r="C1" s="580" t="str">
        <f>'Contact Information'!C5</f>
        <v>SAMPLE STATE COLLEGE</v>
      </c>
      <c r="D1" s="2051"/>
      <c r="E1" s="2051"/>
      <c r="F1" s="2520"/>
      <c r="G1" s="1821"/>
      <c r="H1" s="1821"/>
      <c r="I1" s="1821"/>
    </row>
    <row r="2" spans="1:9">
      <c r="A2" s="1821"/>
      <c r="B2" s="2051"/>
      <c r="C2" s="580" t="s">
        <v>2594</v>
      </c>
      <c r="D2" s="2051"/>
      <c r="E2" s="2051"/>
      <c r="F2" s="2520"/>
      <c r="G2" s="1821"/>
      <c r="H2" s="1821"/>
      <c r="I2" s="1821"/>
    </row>
    <row r="3" spans="1:9">
      <c r="A3" s="1821"/>
      <c r="B3" s="2051"/>
      <c r="C3" s="580" t="s">
        <v>2595</v>
      </c>
      <c r="D3" s="2051"/>
      <c r="E3" s="2051"/>
      <c r="F3" s="2520"/>
      <c r="G3" s="1821"/>
      <c r="H3" s="1821"/>
      <c r="I3" s="1821"/>
    </row>
    <row r="4" spans="1:9">
      <c r="A4" s="1821"/>
      <c r="B4" s="2051"/>
      <c r="C4" s="2962" t="str">
        <f>'Check Sheet'!C3</f>
        <v>Fiscal Year 2020-2021</v>
      </c>
      <c r="D4" s="2051"/>
      <c r="E4" s="2051"/>
      <c r="F4" s="2520"/>
      <c r="G4" s="1821"/>
      <c r="H4" s="1821"/>
      <c r="I4" s="1821"/>
    </row>
    <row r="5" spans="1:9">
      <c r="A5" s="91"/>
      <c r="B5" s="581"/>
      <c r="C5" s="581"/>
      <c r="D5" s="581"/>
      <c r="E5" s="1821"/>
      <c r="F5" s="592" t="s">
        <v>3</v>
      </c>
      <c r="G5" s="1821"/>
      <c r="H5" s="1821"/>
      <c r="I5" s="1821"/>
    </row>
    <row r="6" spans="1:9" ht="13.5" thickBot="1">
      <c r="A6" s="91"/>
      <c r="B6" s="91"/>
      <c r="C6" s="91"/>
      <c r="D6" s="1821"/>
      <c r="E6" s="1821"/>
      <c r="F6" s="2959" t="str">
        <f>'Contact Information'!C3</f>
        <v>2021.v01</v>
      </c>
      <c r="G6" s="1821"/>
      <c r="H6" s="1821"/>
      <c r="I6" s="1821"/>
    </row>
    <row r="7" spans="1:9">
      <c r="A7" s="582"/>
      <c r="B7" s="606" t="s">
        <v>2596</v>
      </c>
      <c r="C7" s="606" t="s">
        <v>2597</v>
      </c>
      <c r="D7" s="604" t="s">
        <v>2598</v>
      </c>
      <c r="E7" s="602"/>
      <c r="F7" s="600" t="s">
        <v>2599</v>
      </c>
      <c r="G7" s="1821"/>
      <c r="H7" s="1821"/>
      <c r="I7" s="1821"/>
    </row>
    <row r="8" spans="1:9" ht="13.5" thickBot="1">
      <c r="A8" s="583" t="s">
        <v>2600</v>
      </c>
      <c r="B8" s="603" t="s">
        <v>2601</v>
      </c>
      <c r="C8" s="603" t="s">
        <v>2602</v>
      </c>
      <c r="D8" s="605" t="s">
        <v>2603</v>
      </c>
      <c r="E8" s="603" t="s">
        <v>108</v>
      </c>
      <c r="F8" s="601" t="s">
        <v>2604</v>
      </c>
      <c r="G8" s="1821"/>
      <c r="H8" s="1821"/>
      <c r="I8" s="1821"/>
    </row>
    <row r="9" spans="1:9">
      <c r="A9" s="584"/>
      <c r="B9" s="607"/>
      <c r="C9" s="594"/>
      <c r="D9" s="593"/>
      <c r="E9" s="594"/>
      <c r="F9" s="595"/>
      <c r="G9" s="1115" t="s">
        <v>2308</v>
      </c>
      <c r="H9" s="1821"/>
      <c r="I9" s="1821"/>
    </row>
    <row r="10" spans="1:9">
      <c r="A10" s="590" t="s">
        <v>2605</v>
      </c>
      <c r="B10" s="1353">
        <v>0</v>
      </c>
      <c r="C10" s="1353">
        <v>0</v>
      </c>
      <c r="D10" s="1354">
        <v>0</v>
      </c>
      <c r="E10" s="1356">
        <f t="array" ref="E10">SUM(ROUND(B10:D10,2))</f>
        <v>0</v>
      </c>
      <c r="F10" s="596" t="e">
        <f>E10/$E$22</f>
        <v>#DIV/0!</v>
      </c>
      <c r="G10" s="783"/>
      <c r="H10" s="1821"/>
      <c r="I10" s="1821"/>
    </row>
    <row r="11" spans="1:9">
      <c r="A11" s="590" t="s">
        <v>2606</v>
      </c>
      <c r="B11" s="1353">
        <v>0</v>
      </c>
      <c r="C11" s="1353">
        <v>0</v>
      </c>
      <c r="D11" s="1354">
        <v>0</v>
      </c>
      <c r="E11" s="1356">
        <f t="array" ref="E11">SUM(ROUND(B11:D11,2))</f>
        <v>0</v>
      </c>
      <c r="F11" s="596" t="e">
        <f>E11/$E$22</f>
        <v>#DIV/0!</v>
      </c>
      <c r="G11" s="783"/>
      <c r="H11" s="1821"/>
      <c r="I11" s="1821"/>
    </row>
    <row r="12" spans="1:9">
      <c r="A12" s="590" t="s">
        <v>2607</v>
      </c>
      <c r="B12" s="1353">
        <v>0</v>
      </c>
      <c r="C12" s="1353">
        <v>0</v>
      </c>
      <c r="D12" s="1354">
        <v>0</v>
      </c>
      <c r="E12" s="1356">
        <f t="array" ref="E12">SUM(ROUND(B12:D12,2))</f>
        <v>0</v>
      </c>
      <c r="F12" s="596" t="e">
        <f>E12/$E$22</f>
        <v>#DIV/0!</v>
      </c>
      <c r="G12" s="783"/>
      <c r="H12" s="1821"/>
      <c r="I12" s="1821"/>
    </row>
    <row r="13" spans="1:9">
      <c r="A13" s="590" t="s">
        <v>2608</v>
      </c>
      <c r="B13" s="4129"/>
      <c r="C13" s="4129"/>
      <c r="D13" s="4130"/>
      <c r="E13" s="598"/>
      <c r="F13" s="597"/>
      <c r="G13" s="1678"/>
      <c r="H13" s="1821"/>
      <c r="I13" s="1821"/>
    </row>
    <row r="14" spans="1:9">
      <c r="A14" s="591" t="s">
        <v>2609</v>
      </c>
      <c r="B14" s="1353">
        <v>0</v>
      </c>
      <c r="C14" s="1353">
        <v>0</v>
      </c>
      <c r="D14" s="1354">
        <v>0</v>
      </c>
      <c r="E14" s="1356">
        <f t="array" ref="E14">SUM(ROUND(B14:D14,2))</f>
        <v>0</v>
      </c>
      <c r="F14" s="596" t="e">
        <f t="shared" ref="F14:F20" si="0">E14/$E$22</f>
        <v>#DIV/0!</v>
      </c>
      <c r="G14" s="783"/>
      <c r="H14" s="586"/>
      <c r="I14" s="586"/>
    </row>
    <row r="15" spans="1:9">
      <c r="A15" s="591" t="s">
        <v>2610</v>
      </c>
      <c r="B15" s="1353">
        <v>0</v>
      </c>
      <c r="C15" s="1353">
        <v>0</v>
      </c>
      <c r="D15" s="1354">
        <v>0</v>
      </c>
      <c r="E15" s="1356">
        <f t="array" ref="E15">SUM(ROUND(B15:D15,2))</f>
        <v>0</v>
      </c>
      <c r="F15" s="596" t="e">
        <f t="shared" si="0"/>
        <v>#DIV/0!</v>
      </c>
      <c r="G15" s="783"/>
      <c r="H15" s="586"/>
      <c r="I15" s="586"/>
    </row>
    <row r="16" spans="1:9">
      <c r="A16" s="590" t="s">
        <v>2611</v>
      </c>
      <c r="B16" s="1353">
        <v>0</v>
      </c>
      <c r="C16" s="1353">
        <v>0</v>
      </c>
      <c r="D16" s="1354">
        <v>0</v>
      </c>
      <c r="E16" s="1356">
        <f t="array" ref="E16">SUM(ROUND(B16:D16,2))</f>
        <v>0</v>
      </c>
      <c r="F16" s="596" t="e">
        <f t="shared" si="0"/>
        <v>#DIV/0!</v>
      </c>
      <c r="G16" s="783"/>
      <c r="H16" s="1821"/>
      <c r="I16" s="1821"/>
    </row>
    <row r="17" spans="1:7">
      <c r="A17" s="590" t="s">
        <v>2612</v>
      </c>
      <c r="B17" s="1353">
        <v>0</v>
      </c>
      <c r="C17" s="1353">
        <v>0</v>
      </c>
      <c r="D17" s="1354">
        <v>0</v>
      </c>
      <c r="E17" s="1356">
        <f t="array" ref="E17">SUM(ROUND(B17:D17,2))</f>
        <v>0</v>
      </c>
      <c r="F17" s="596" t="e">
        <f t="shared" si="0"/>
        <v>#DIV/0!</v>
      </c>
      <c r="G17" s="783"/>
    </row>
    <row r="18" spans="1:7">
      <c r="A18" s="590" t="s">
        <v>2613</v>
      </c>
      <c r="B18" s="1353">
        <v>0</v>
      </c>
      <c r="C18" s="1353">
        <v>0</v>
      </c>
      <c r="D18" s="1354">
        <v>0</v>
      </c>
      <c r="E18" s="1356">
        <f t="array" ref="E18">SUM(ROUND(B18:D18,2))</f>
        <v>0</v>
      </c>
      <c r="F18" s="596" t="e">
        <f t="shared" si="0"/>
        <v>#DIV/0!</v>
      </c>
      <c r="G18" s="783"/>
    </row>
    <row r="19" spans="1:7">
      <c r="A19" s="590" t="s">
        <v>2614</v>
      </c>
      <c r="B19" s="1353">
        <v>0</v>
      </c>
      <c r="C19" s="1353">
        <v>0</v>
      </c>
      <c r="D19" s="1354">
        <v>0</v>
      </c>
      <c r="E19" s="1356">
        <f t="array" ref="E19">SUM(ROUND(B19:D19,2))</f>
        <v>0</v>
      </c>
      <c r="F19" s="596" t="e">
        <f t="shared" si="0"/>
        <v>#DIV/0!</v>
      </c>
      <c r="G19" s="783"/>
    </row>
    <row r="20" spans="1:7" ht="13.5" thickBot="1">
      <c r="A20" s="590" t="s">
        <v>2615</v>
      </c>
      <c r="B20" s="1353">
        <v>0</v>
      </c>
      <c r="C20" s="1355">
        <v>0</v>
      </c>
      <c r="D20" s="1354">
        <v>0</v>
      </c>
      <c r="E20" s="1357">
        <f t="array" ref="E20">SUM(ROUND(B20:D20,2))</f>
        <v>0</v>
      </c>
      <c r="F20" s="596" t="e">
        <f t="shared" si="0"/>
        <v>#DIV/0!</v>
      </c>
      <c r="G20" s="783"/>
    </row>
    <row r="21" spans="1:7">
      <c r="A21" s="585"/>
      <c r="B21" s="607"/>
      <c r="C21" s="598"/>
      <c r="D21" s="593"/>
      <c r="E21" s="598"/>
      <c r="F21" s="595"/>
      <c r="G21" s="1678"/>
    </row>
    <row r="22" spans="1:7" ht="13.5" thickBot="1">
      <c r="A22" s="599" t="s">
        <v>108</v>
      </c>
      <c r="B22" s="1357">
        <f t="array" ref="B22">SUM(ROUND(B10:B20,2))</f>
        <v>0</v>
      </c>
      <c r="C22" s="1357">
        <f t="array" ref="C22">SUM(ROUND(C10:C20,2))</f>
        <v>0</v>
      </c>
      <c r="D22" s="1358">
        <f t="array" ref="D22">SUM(ROUND(D10:D20,2))</f>
        <v>0</v>
      </c>
      <c r="E22" s="1357">
        <f t="array" ref="E22">SUM(ROUND(E10:E20,2))</f>
        <v>0</v>
      </c>
      <c r="F22" s="608" t="e">
        <f>SUM(F10:F20)</f>
        <v>#DIV/0!</v>
      </c>
      <c r="G22" s="1678"/>
    </row>
    <row r="23" spans="1:7" ht="12.75" customHeight="1">
      <c r="A23" s="1117" t="s">
        <v>2616</v>
      </c>
      <c r="B23" s="1386">
        <f>'Accounts by GL'!D437</f>
        <v>0</v>
      </c>
      <c r="C23" s="1386">
        <f>'Accounts by GL'!D507</f>
        <v>0</v>
      </c>
      <c r="D23" s="1386">
        <f>'Accounts by GL'!D530</f>
        <v>0</v>
      </c>
      <c r="E23" s="587"/>
      <c r="F23" s="588"/>
      <c r="G23" s="1821"/>
    </row>
    <row r="24" spans="1:7" ht="12.75" customHeight="1">
      <c r="A24" s="1118"/>
      <c r="B24" s="91"/>
      <c r="C24" s="91"/>
      <c r="D24" s="91"/>
      <c r="E24" s="91"/>
      <c r="F24" s="589"/>
      <c r="G24" s="1821"/>
    </row>
    <row r="25" spans="1:7">
      <c r="A25" s="1116" t="s">
        <v>2349</v>
      </c>
      <c r="B25" s="783"/>
      <c r="C25" s="783"/>
      <c r="D25" s="783"/>
      <c r="E25" s="783"/>
      <c r="F25" s="1821"/>
      <c r="G25" s="1821"/>
    </row>
    <row r="26" spans="1:7">
      <c r="A26" s="1821"/>
      <c r="B26" s="783"/>
      <c r="C26" s="783"/>
      <c r="D26" s="783"/>
      <c r="E26" s="783"/>
      <c r="F26" s="1821"/>
      <c r="G26" s="1821"/>
    </row>
    <row r="27" spans="1:7">
      <c r="A27" s="1821"/>
      <c r="B27" s="783"/>
      <c r="C27" s="783"/>
      <c r="D27" s="783"/>
      <c r="E27" s="783"/>
      <c r="F27" s="1821"/>
      <c r="G27" s="1821"/>
    </row>
    <row r="28" spans="1:7">
      <c r="A28" s="1821"/>
      <c r="B28" s="783"/>
      <c r="C28" s="783"/>
      <c r="D28" s="783"/>
      <c r="E28" s="783"/>
      <c r="F28" s="1821"/>
      <c r="G28" s="1821"/>
    </row>
    <row r="29" spans="1:7">
      <c r="A29" s="1821"/>
      <c r="B29" s="783"/>
      <c r="C29" s="783"/>
      <c r="D29" s="783"/>
      <c r="E29" s="783"/>
      <c r="F29" s="1821"/>
      <c r="G29" s="1821"/>
    </row>
    <row r="30" spans="1:7">
      <c r="A30" s="1821"/>
      <c r="B30" s="783"/>
      <c r="C30" s="783"/>
      <c r="D30" s="783"/>
      <c r="E30" s="783"/>
      <c r="F30" s="1821"/>
      <c r="G30" s="1821"/>
    </row>
    <row r="31" spans="1:7">
      <c r="A31" s="1821"/>
      <c r="B31" s="783"/>
      <c r="C31" s="783"/>
      <c r="D31" s="783"/>
      <c r="E31" s="783"/>
      <c r="F31" s="1821"/>
      <c r="G31" s="1821"/>
    </row>
    <row r="32" spans="1:7">
      <c r="A32" s="1821"/>
      <c r="B32" s="783"/>
      <c r="C32" s="783"/>
      <c r="D32" s="783"/>
      <c r="E32" s="783"/>
      <c r="F32" s="1821"/>
      <c r="G32" s="1821"/>
    </row>
    <row r="33" spans="2:5">
      <c r="B33" s="783"/>
      <c r="C33" s="783"/>
      <c r="D33" s="783"/>
      <c r="E33" s="783"/>
    </row>
    <row r="34" spans="2:5">
      <c r="B34" s="783"/>
      <c r="C34" s="783"/>
      <c r="D34" s="783"/>
      <c r="E34" s="783"/>
    </row>
    <row r="35" spans="2:5">
      <c r="B35" s="783"/>
      <c r="C35" s="783"/>
      <c r="D35" s="783"/>
      <c r="E35" s="783"/>
    </row>
    <row r="36" spans="2:5">
      <c r="B36" s="783"/>
      <c r="C36" s="783"/>
      <c r="D36" s="783"/>
      <c r="E36" s="783"/>
    </row>
  </sheetData>
  <sheetProtection algorithmName="SHA-512" hashValue="KOV+fCHufD/sOfFCIUqPAnpuXy+QPkgM6nxsEsEeqn5B5lzdnE1NmCARunmbID9532Xyum7UdosXKyNFK7CCgQ==" saltValue="rzVZSuBdRkxVGuXpvLQJjg==" spinCount="100000" sheet="1" objects="1" scenarios="1" formatColumns="0"/>
  <conditionalFormatting sqref="B23:D23">
    <cfRule type="cellIs" dxfId="332" priority="1" operator="notEqual">
      <formula>B22</formula>
    </cfRule>
    <cfRule type="cellIs" dxfId="331" priority="2" operator="equal">
      <formula>B22</formula>
    </cfRule>
  </conditionalFormatting>
  <printOptions horizontalCentered="1"/>
  <pageMargins left="0.7" right="0.7" top="0.75" bottom="0.75" header="0.5" footer="0.5"/>
  <pageSetup orientation="landscape" r:id="rId1"/>
  <headerFooter>
    <oddHeader>&amp;L&amp;"Arial,Regular"&amp;8&amp;F&amp;R&amp;"Arial,Regular"&amp;8&amp;A</oddHeader>
    <oddFooter>&amp;L&amp;"Arial,Regular"&amp;8&amp;D&amp;R&amp;"Arial,Regular"&amp;8&amp;P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70C0"/>
    <pageSetUpPr fitToPage="1"/>
  </sheetPr>
  <dimension ref="A1:IV72"/>
  <sheetViews>
    <sheetView workbookViewId="0"/>
  </sheetViews>
  <sheetFormatPr defaultColWidth="12.42578125" defaultRowHeight="12.75"/>
  <cols>
    <col min="1" max="1" width="46.85546875" style="46" customWidth="1"/>
    <col min="2" max="2" width="17.7109375" style="46" customWidth="1"/>
    <col min="3" max="3" width="1" style="46" customWidth="1"/>
    <col min="4" max="4" width="18.7109375" style="46" customWidth="1"/>
    <col min="5" max="5" width="1" style="46" customWidth="1"/>
    <col min="6" max="6" width="21" style="46" customWidth="1"/>
    <col min="7" max="7" width="35.28515625" style="46" customWidth="1"/>
    <col min="8" max="14" width="12.42578125" style="46"/>
    <col min="15" max="15" width="12.42578125" style="46" customWidth="1"/>
    <col min="16" max="16384" width="12.42578125" style="46"/>
  </cols>
  <sheetData>
    <row r="1" spans="1:256">
      <c r="A1" s="1821"/>
      <c r="B1" s="580" t="str">
        <f>'Contact Information'!C5</f>
        <v>SAMPLE STATE COLLEGE</v>
      </c>
      <c r="C1" s="2051"/>
      <c r="D1" s="2051"/>
      <c r="E1" s="2051"/>
      <c r="F1" s="2051"/>
      <c r="G1" s="90"/>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1821"/>
      <c r="AO1" s="1821"/>
      <c r="AP1" s="1821"/>
      <c r="AQ1" s="1821"/>
      <c r="AR1" s="1821"/>
      <c r="AS1" s="1821"/>
      <c r="AT1" s="1821"/>
      <c r="AU1" s="1821"/>
      <c r="AV1" s="1821"/>
      <c r="AW1" s="1821"/>
      <c r="AX1" s="1821"/>
      <c r="AY1" s="1821"/>
      <c r="AZ1" s="1821"/>
      <c r="BA1" s="1821"/>
      <c r="BB1" s="1821"/>
      <c r="BC1" s="1821"/>
      <c r="BD1" s="1821"/>
      <c r="BE1" s="1821"/>
      <c r="BF1" s="1821"/>
      <c r="BG1" s="1821"/>
      <c r="BH1" s="1821"/>
      <c r="BI1" s="1821"/>
      <c r="BJ1" s="1821"/>
      <c r="BK1" s="1821"/>
      <c r="BL1" s="1821"/>
      <c r="BM1" s="1821"/>
      <c r="BN1" s="1821"/>
      <c r="BO1" s="1821"/>
      <c r="BP1" s="1821"/>
      <c r="BQ1" s="1821"/>
      <c r="BR1" s="1821"/>
      <c r="BS1" s="1821"/>
      <c r="BT1" s="1821"/>
      <c r="BU1" s="1821"/>
      <c r="BV1" s="1821"/>
      <c r="BW1" s="1821"/>
      <c r="BX1" s="1821"/>
      <c r="BY1" s="1821"/>
      <c r="BZ1" s="1821"/>
      <c r="CA1" s="1821"/>
      <c r="CB1" s="1821"/>
      <c r="CC1" s="1821"/>
      <c r="CD1" s="1821"/>
      <c r="CE1" s="1821"/>
      <c r="CF1" s="1821"/>
      <c r="CG1" s="1821"/>
      <c r="CH1" s="1821"/>
      <c r="CI1" s="1821"/>
      <c r="CJ1" s="1821"/>
      <c r="CK1" s="1821"/>
      <c r="CL1" s="1821"/>
      <c r="CM1" s="1821"/>
      <c r="CN1" s="1821"/>
      <c r="CO1" s="1821"/>
      <c r="CP1" s="1821"/>
      <c r="CQ1" s="1821"/>
      <c r="CR1" s="1821"/>
      <c r="CS1" s="1821"/>
      <c r="CT1" s="1821"/>
      <c r="CU1" s="1821"/>
      <c r="CV1" s="1821"/>
      <c r="CW1" s="1821"/>
      <c r="CX1" s="1821"/>
      <c r="CY1" s="1821"/>
      <c r="CZ1" s="1821"/>
      <c r="DA1" s="1821"/>
      <c r="DB1" s="1821"/>
      <c r="DC1" s="1821"/>
      <c r="DD1" s="1821"/>
      <c r="DE1" s="1821"/>
      <c r="DF1" s="1821"/>
      <c r="DG1" s="1821"/>
      <c r="DH1" s="1821"/>
      <c r="DI1" s="1821"/>
      <c r="DJ1" s="1821"/>
      <c r="DK1" s="1821"/>
      <c r="DL1" s="1821"/>
      <c r="DM1" s="1821"/>
      <c r="DN1" s="1821"/>
      <c r="DO1" s="1821"/>
      <c r="DP1" s="1821"/>
      <c r="DQ1" s="1821"/>
      <c r="DR1" s="1821"/>
      <c r="DS1" s="1821"/>
      <c r="DT1" s="1821"/>
      <c r="DU1" s="1821"/>
      <c r="DV1" s="1821"/>
      <c r="DW1" s="1821"/>
      <c r="DX1" s="1821"/>
      <c r="DY1" s="1821"/>
      <c r="DZ1" s="1821"/>
      <c r="EA1" s="1821"/>
      <c r="EB1" s="1821"/>
      <c r="EC1" s="1821"/>
      <c r="ED1" s="1821"/>
      <c r="EE1" s="1821"/>
      <c r="EF1" s="1821"/>
      <c r="EG1" s="1821"/>
      <c r="EH1" s="1821"/>
      <c r="EI1" s="1821"/>
      <c r="EJ1" s="1821"/>
      <c r="EK1" s="1821"/>
      <c r="EL1" s="1821"/>
      <c r="EM1" s="1821"/>
      <c r="EN1" s="1821"/>
      <c r="EO1" s="1821"/>
      <c r="EP1" s="1821"/>
      <c r="EQ1" s="1821"/>
      <c r="ER1" s="1821"/>
      <c r="ES1" s="1821"/>
      <c r="ET1" s="1821"/>
      <c r="EU1" s="1821"/>
      <c r="EV1" s="1821"/>
      <c r="EW1" s="1821"/>
      <c r="EX1" s="1821"/>
      <c r="EY1" s="1821"/>
      <c r="EZ1" s="1821"/>
      <c r="FA1" s="1821"/>
      <c r="FB1" s="1821"/>
      <c r="FC1" s="1821"/>
      <c r="FD1" s="1821"/>
      <c r="FE1" s="1821"/>
      <c r="FF1" s="1821"/>
      <c r="FG1" s="1821"/>
      <c r="FH1" s="1821"/>
      <c r="FI1" s="1821"/>
      <c r="FJ1" s="1821"/>
      <c r="FK1" s="1821"/>
      <c r="FL1" s="1821"/>
      <c r="FM1" s="1821"/>
      <c r="FN1" s="1821"/>
      <c r="FO1" s="1821"/>
      <c r="FP1" s="1821"/>
      <c r="FQ1" s="1821"/>
      <c r="FR1" s="1821"/>
      <c r="FS1" s="1821"/>
      <c r="FT1" s="1821"/>
      <c r="FU1" s="1821"/>
      <c r="FV1" s="1821"/>
      <c r="FW1" s="1821"/>
      <c r="FX1" s="1821"/>
      <c r="FY1" s="1821"/>
      <c r="FZ1" s="1821"/>
      <c r="GA1" s="1821"/>
      <c r="GB1" s="1821"/>
      <c r="GC1" s="1821"/>
      <c r="GD1" s="1821"/>
      <c r="GE1" s="1821"/>
      <c r="GF1" s="1821"/>
      <c r="GG1" s="1821"/>
      <c r="GH1" s="1821"/>
      <c r="GI1" s="1821"/>
      <c r="GJ1" s="1821"/>
      <c r="GK1" s="1821"/>
      <c r="GL1" s="1821"/>
      <c r="GM1" s="1821"/>
      <c r="GN1" s="1821"/>
      <c r="GO1" s="1821"/>
      <c r="GP1" s="1821"/>
      <c r="GQ1" s="1821"/>
      <c r="GR1" s="1821"/>
      <c r="GS1" s="1821"/>
      <c r="GT1" s="1821"/>
      <c r="GU1" s="1821"/>
      <c r="GV1" s="1821"/>
      <c r="GW1" s="1821"/>
      <c r="GX1" s="1821"/>
      <c r="GY1" s="1821"/>
      <c r="GZ1" s="1821"/>
      <c r="HA1" s="1821"/>
      <c r="HB1" s="1821"/>
      <c r="HC1" s="1821"/>
      <c r="HD1" s="1821"/>
      <c r="HE1" s="1821"/>
      <c r="HF1" s="1821"/>
      <c r="HG1" s="1821"/>
      <c r="HH1" s="1821"/>
      <c r="HI1" s="1821"/>
      <c r="HJ1" s="1821"/>
      <c r="HK1" s="1821"/>
      <c r="HL1" s="1821"/>
      <c r="HM1" s="1821"/>
      <c r="HN1" s="1821"/>
      <c r="HO1" s="1821"/>
      <c r="HP1" s="1821"/>
      <c r="HQ1" s="1821"/>
      <c r="HR1" s="1821"/>
      <c r="HS1" s="1821"/>
      <c r="HT1" s="1821"/>
      <c r="HU1" s="1821"/>
      <c r="HV1" s="1821"/>
      <c r="HW1" s="1821"/>
      <c r="HX1" s="1821"/>
      <c r="HY1" s="1821"/>
      <c r="HZ1" s="1821"/>
      <c r="IA1" s="1821"/>
      <c r="IB1" s="1821"/>
      <c r="IC1" s="1821"/>
      <c r="ID1" s="1821"/>
      <c r="IE1" s="1821"/>
      <c r="IF1" s="1821"/>
      <c r="IG1" s="1821"/>
      <c r="IH1" s="1821"/>
      <c r="II1" s="1821"/>
      <c r="IJ1" s="1821"/>
      <c r="IK1" s="1821"/>
      <c r="IL1" s="1821"/>
      <c r="IM1" s="1821"/>
      <c r="IN1" s="1821"/>
      <c r="IO1" s="1821"/>
      <c r="IP1" s="1821"/>
      <c r="IQ1" s="1821"/>
      <c r="IR1" s="1821"/>
      <c r="IS1" s="1821"/>
      <c r="IT1" s="1821"/>
      <c r="IU1" s="1821"/>
      <c r="IV1" s="1821"/>
    </row>
    <row r="2" spans="1:256">
      <c r="A2" s="1821"/>
      <c r="B2" s="580" t="s">
        <v>2617</v>
      </c>
      <c r="C2" s="2051"/>
      <c r="D2" s="2051"/>
      <c r="E2" s="2051"/>
      <c r="F2" s="2051"/>
      <c r="G2" s="1821"/>
      <c r="H2" s="1821"/>
      <c r="I2" s="1821"/>
      <c r="J2" s="1821"/>
      <c r="K2" s="1821"/>
      <c r="L2" s="1821"/>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1821"/>
      <c r="AO2" s="1821"/>
      <c r="AP2" s="1821"/>
      <c r="AQ2" s="1821"/>
      <c r="AR2" s="1821"/>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c r="BP2" s="1821"/>
      <c r="BQ2" s="1821"/>
      <c r="BR2" s="1821"/>
      <c r="BS2" s="1821"/>
      <c r="BT2" s="1821"/>
      <c r="BU2" s="1821"/>
      <c r="BV2" s="1821"/>
      <c r="BW2" s="1821"/>
      <c r="BX2" s="1821"/>
      <c r="BY2" s="1821"/>
      <c r="BZ2" s="1821"/>
      <c r="CA2" s="1821"/>
      <c r="CB2" s="1821"/>
      <c r="CC2" s="1821"/>
      <c r="CD2" s="1821"/>
      <c r="CE2" s="1821"/>
      <c r="CF2" s="1821"/>
      <c r="CG2" s="1821"/>
      <c r="CH2" s="1821"/>
      <c r="CI2" s="1821"/>
      <c r="CJ2" s="1821"/>
      <c r="CK2" s="1821"/>
      <c r="CL2" s="1821"/>
      <c r="CM2" s="1821"/>
      <c r="CN2" s="1821"/>
      <c r="CO2" s="1821"/>
      <c r="CP2" s="1821"/>
      <c r="CQ2" s="1821"/>
      <c r="CR2" s="1821"/>
      <c r="CS2" s="1821"/>
      <c r="CT2" s="1821"/>
      <c r="CU2" s="1821"/>
      <c r="CV2" s="1821"/>
      <c r="CW2" s="1821"/>
      <c r="CX2" s="1821"/>
      <c r="CY2" s="1821"/>
      <c r="CZ2" s="1821"/>
      <c r="DA2" s="1821"/>
      <c r="DB2" s="1821"/>
      <c r="DC2" s="1821"/>
      <c r="DD2" s="1821"/>
      <c r="DE2" s="1821"/>
      <c r="DF2" s="1821"/>
      <c r="DG2" s="1821"/>
      <c r="DH2" s="1821"/>
      <c r="DI2" s="1821"/>
      <c r="DJ2" s="1821"/>
      <c r="DK2" s="1821"/>
      <c r="DL2" s="1821"/>
      <c r="DM2" s="1821"/>
      <c r="DN2" s="1821"/>
      <c r="DO2" s="1821"/>
      <c r="DP2" s="1821"/>
      <c r="DQ2" s="1821"/>
      <c r="DR2" s="1821"/>
      <c r="DS2" s="1821"/>
      <c r="DT2" s="1821"/>
      <c r="DU2" s="1821"/>
      <c r="DV2" s="1821"/>
      <c r="DW2" s="1821"/>
      <c r="DX2" s="1821"/>
      <c r="DY2" s="1821"/>
      <c r="DZ2" s="1821"/>
      <c r="EA2" s="1821"/>
      <c r="EB2" s="1821"/>
      <c r="EC2" s="1821"/>
      <c r="ED2" s="1821"/>
      <c r="EE2" s="1821"/>
      <c r="EF2" s="1821"/>
      <c r="EG2" s="1821"/>
      <c r="EH2" s="1821"/>
      <c r="EI2" s="1821"/>
      <c r="EJ2" s="1821"/>
      <c r="EK2" s="1821"/>
      <c r="EL2" s="1821"/>
      <c r="EM2" s="1821"/>
      <c r="EN2" s="1821"/>
      <c r="EO2" s="1821"/>
      <c r="EP2" s="1821"/>
      <c r="EQ2" s="1821"/>
      <c r="ER2" s="1821"/>
      <c r="ES2" s="1821"/>
      <c r="ET2" s="1821"/>
      <c r="EU2" s="1821"/>
      <c r="EV2" s="1821"/>
      <c r="EW2" s="1821"/>
      <c r="EX2" s="1821"/>
      <c r="EY2" s="1821"/>
      <c r="EZ2" s="1821"/>
      <c r="FA2" s="1821"/>
      <c r="FB2" s="1821"/>
      <c r="FC2" s="1821"/>
      <c r="FD2" s="1821"/>
      <c r="FE2" s="1821"/>
      <c r="FF2" s="1821"/>
      <c r="FG2" s="1821"/>
      <c r="FH2" s="1821"/>
      <c r="FI2" s="1821"/>
      <c r="FJ2" s="1821"/>
      <c r="FK2" s="1821"/>
      <c r="FL2" s="1821"/>
      <c r="FM2" s="1821"/>
      <c r="FN2" s="1821"/>
      <c r="FO2" s="1821"/>
      <c r="FP2" s="1821"/>
      <c r="FQ2" s="1821"/>
      <c r="FR2" s="1821"/>
      <c r="FS2" s="1821"/>
      <c r="FT2" s="1821"/>
      <c r="FU2" s="1821"/>
      <c r="FV2" s="1821"/>
      <c r="FW2" s="1821"/>
      <c r="FX2" s="1821"/>
      <c r="FY2" s="1821"/>
      <c r="FZ2" s="1821"/>
      <c r="GA2" s="1821"/>
      <c r="GB2" s="1821"/>
      <c r="GC2" s="1821"/>
      <c r="GD2" s="1821"/>
      <c r="GE2" s="1821"/>
      <c r="GF2" s="1821"/>
      <c r="GG2" s="1821"/>
      <c r="GH2" s="1821"/>
      <c r="GI2" s="1821"/>
      <c r="GJ2" s="1821"/>
      <c r="GK2" s="1821"/>
      <c r="GL2" s="1821"/>
      <c r="GM2" s="1821"/>
      <c r="GN2" s="1821"/>
      <c r="GO2" s="1821"/>
      <c r="GP2" s="1821"/>
      <c r="GQ2" s="1821"/>
      <c r="GR2" s="1821"/>
      <c r="GS2" s="1821"/>
      <c r="GT2" s="1821"/>
      <c r="GU2" s="1821"/>
      <c r="GV2" s="1821"/>
      <c r="GW2" s="1821"/>
      <c r="GX2" s="1821"/>
      <c r="GY2" s="1821"/>
      <c r="GZ2" s="1821"/>
      <c r="HA2" s="1821"/>
      <c r="HB2" s="1821"/>
      <c r="HC2" s="1821"/>
      <c r="HD2" s="1821"/>
      <c r="HE2" s="1821"/>
      <c r="HF2" s="1821"/>
      <c r="HG2" s="1821"/>
      <c r="HH2" s="1821"/>
      <c r="HI2" s="1821"/>
      <c r="HJ2" s="1821"/>
      <c r="HK2" s="1821"/>
      <c r="HL2" s="1821"/>
      <c r="HM2" s="1821"/>
      <c r="HN2" s="1821"/>
      <c r="HO2" s="1821"/>
      <c r="HP2" s="1821"/>
      <c r="HQ2" s="1821"/>
      <c r="HR2" s="1821"/>
      <c r="HS2" s="1821"/>
      <c r="HT2" s="1821"/>
      <c r="HU2" s="1821"/>
      <c r="HV2" s="1821"/>
      <c r="HW2" s="1821"/>
      <c r="HX2" s="1821"/>
      <c r="HY2" s="1821"/>
      <c r="HZ2" s="1821"/>
      <c r="IA2" s="1821"/>
      <c r="IB2" s="1821"/>
      <c r="IC2" s="1821"/>
      <c r="ID2" s="1821"/>
      <c r="IE2" s="1821"/>
      <c r="IF2" s="1821"/>
      <c r="IG2" s="1821"/>
      <c r="IH2" s="1821"/>
      <c r="II2" s="1821"/>
      <c r="IJ2" s="1821"/>
      <c r="IK2" s="1821"/>
      <c r="IL2" s="1821"/>
      <c r="IM2" s="1821"/>
      <c r="IN2" s="1821"/>
      <c r="IO2" s="1821"/>
      <c r="IP2" s="1821"/>
      <c r="IQ2" s="1821"/>
      <c r="IR2" s="1821"/>
      <c r="IS2" s="1821"/>
      <c r="IT2" s="1821"/>
      <c r="IU2" s="1821"/>
      <c r="IV2" s="1821"/>
    </row>
    <row r="3" spans="1:256">
      <c r="A3" s="1821"/>
      <c r="B3" s="580" t="s">
        <v>2618</v>
      </c>
      <c r="C3" s="2051"/>
      <c r="D3" s="2051"/>
      <c r="E3" s="2051"/>
      <c r="F3" s="2051"/>
      <c r="G3" s="1821"/>
      <c r="H3" s="1821"/>
      <c r="I3" s="1821"/>
      <c r="J3" s="1821"/>
      <c r="K3" s="1821"/>
      <c r="L3" s="1821"/>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1821"/>
      <c r="AO3" s="1821"/>
      <c r="AP3" s="1821"/>
      <c r="AQ3" s="1821"/>
      <c r="AR3" s="1821"/>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c r="BP3" s="1821"/>
      <c r="BQ3" s="1821"/>
      <c r="BR3" s="1821"/>
      <c r="BS3" s="1821"/>
      <c r="BT3" s="1821"/>
      <c r="BU3" s="1821"/>
      <c r="BV3" s="1821"/>
      <c r="BW3" s="1821"/>
      <c r="BX3" s="1821"/>
      <c r="BY3" s="1821"/>
      <c r="BZ3" s="1821"/>
      <c r="CA3" s="1821"/>
      <c r="CB3" s="1821"/>
      <c r="CC3" s="1821"/>
      <c r="CD3" s="1821"/>
      <c r="CE3" s="1821"/>
      <c r="CF3" s="1821"/>
      <c r="CG3" s="1821"/>
      <c r="CH3" s="1821"/>
      <c r="CI3" s="1821"/>
      <c r="CJ3" s="1821"/>
      <c r="CK3" s="1821"/>
      <c r="CL3" s="1821"/>
      <c r="CM3" s="1821"/>
      <c r="CN3" s="1821"/>
      <c r="CO3" s="1821"/>
      <c r="CP3" s="1821"/>
      <c r="CQ3" s="1821"/>
      <c r="CR3" s="1821"/>
      <c r="CS3" s="1821"/>
      <c r="CT3" s="1821"/>
      <c r="CU3" s="1821"/>
      <c r="CV3" s="1821"/>
      <c r="CW3" s="1821"/>
      <c r="CX3" s="1821"/>
      <c r="CY3" s="1821"/>
      <c r="CZ3" s="1821"/>
      <c r="DA3" s="1821"/>
      <c r="DB3" s="1821"/>
      <c r="DC3" s="1821"/>
      <c r="DD3" s="1821"/>
      <c r="DE3" s="1821"/>
      <c r="DF3" s="1821"/>
      <c r="DG3" s="1821"/>
      <c r="DH3" s="1821"/>
      <c r="DI3" s="1821"/>
      <c r="DJ3" s="1821"/>
      <c r="DK3" s="1821"/>
      <c r="DL3" s="1821"/>
      <c r="DM3" s="1821"/>
      <c r="DN3" s="1821"/>
      <c r="DO3" s="1821"/>
      <c r="DP3" s="1821"/>
      <c r="DQ3" s="1821"/>
      <c r="DR3" s="1821"/>
      <c r="DS3" s="1821"/>
      <c r="DT3" s="1821"/>
      <c r="DU3" s="1821"/>
      <c r="DV3" s="1821"/>
      <c r="DW3" s="1821"/>
      <c r="DX3" s="1821"/>
      <c r="DY3" s="1821"/>
      <c r="DZ3" s="1821"/>
      <c r="EA3" s="1821"/>
      <c r="EB3" s="1821"/>
      <c r="EC3" s="1821"/>
      <c r="ED3" s="1821"/>
      <c r="EE3" s="1821"/>
      <c r="EF3" s="1821"/>
      <c r="EG3" s="1821"/>
      <c r="EH3" s="1821"/>
      <c r="EI3" s="1821"/>
      <c r="EJ3" s="1821"/>
      <c r="EK3" s="1821"/>
      <c r="EL3" s="1821"/>
      <c r="EM3" s="1821"/>
      <c r="EN3" s="1821"/>
      <c r="EO3" s="1821"/>
      <c r="EP3" s="1821"/>
      <c r="EQ3" s="1821"/>
      <c r="ER3" s="1821"/>
      <c r="ES3" s="1821"/>
      <c r="ET3" s="1821"/>
      <c r="EU3" s="1821"/>
      <c r="EV3" s="1821"/>
      <c r="EW3" s="1821"/>
      <c r="EX3" s="1821"/>
      <c r="EY3" s="1821"/>
      <c r="EZ3" s="1821"/>
      <c r="FA3" s="1821"/>
      <c r="FB3" s="1821"/>
      <c r="FC3" s="1821"/>
      <c r="FD3" s="1821"/>
      <c r="FE3" s="1821"/>
      <c r="FF3" s="1821"/>
      <c r="FG3" s="1821"/>
      <c r="FH3" s="1821"/>
      <c r="FI3" s="1821"/>
      <c r="FJ3" s="1821"/>
      <c r="FK3" s="1821"/>
      <c r="FL3" s="1821"/>
      <c r="FM3" s="1821"/>
      <c r="FN3" s="1821"/>
      <c r="FO3" s="1821"/>
      <c r="FP3" s="1821"/>
      <c r="FQ3" s="1821"/>
      <c r="FR3" s="1821"/>
      <c r="FS3" s="1821"/>
      <c r="FT3" s="1821"/>
      <c r="FU3" s="1821"/>
      <c r="FV3" s="1821"/>
      <c r="FW3" s="1821"/>
      <c r="FX3" s="1821"/>
      <c r="FY3" s="1821"/>
      <c r="FZ3" s="1821"/>
      <c r="GA3" s="1821"/>
      <c r="GB3" s="1821"/>
      <c r="GC3" s="1821"/>
      <c r="GD3" s="1821"/>
      <c r="GE3" s="1821"/>
      <c r="GF3" s="1821"/>
      <c r="GG3" s="1821"/>
      <c r="GH3" s="1821"/>
      <c r="GI3" s="1821"/>
      <c r="GJ3" s="1821"/>
      <c r="GK3" s="1821"/>
      <c r="GL3" s="1821"/>
      <c r="GM3" s="1821"/>
      <c r="GN3" s="1821"/>
      <c r="GO3" s="1821"/>
      <c r="GP3" s="1821"/>
      <c r="GQ3" s="1821"/>
      <c r="GR3" s="1821"/>
      <c r="GS3" s="1821"/>
      <c r="GT3" s="1821"/>
      <c r="GU3" s="1821"/>
      <c r="GV3" s="1821"/>
      <c r="GW3" s="1821"/>
      <c r="GX3" s="1821"/>
      <c r="GY3" s="1821"/>
      <c r="GZ3" s="1821"/>
      <c r="HA3" s="1821"/>
      <c r="HB3" s="1821"/>
      <c r="HC3" s="1821"/>
      <c r="HD3" s="1821"/>
      <c r="HE3" s="1821"/>
      <c r="HF3" s="1821"/>
      <c r="HG3" s="1821"/>
      <c r="HH3" s="1821"/>
      <c r="HI3" s="1821"/>
      <c r="HJ3" s="1821"/>
      <c r="HK3" s="1821"/>
      <c r="HL3" s="1821"/>
      <c r="HM3" s="1821"/>
      <c r="HN3" s="1821"/>
      <c r="HO3" s="1821"/>
      <c r="HP3" s="1821"/>
      <c r="HQ3" s="1821"/>
      <c r="HR3" s="1821"/>
      <c r="HS3" s="1821"/>
      <c r="HT3" s="1821"/>
      <c r="HU3" s="1821"/>
      <c r="HV3" s="1821"/>
      <c r="HW3" s="1821"/>
      <c r="HX3" s="1821"/>
      <c r="HY3" s="1821"/>
      <c r="HZ3" s="1821"/>
      <c r="IA3" s="1821"/>
      <c r="IB3" s="1821"/>
      <c r="IC3" s="1821"/>
      <c r="ID3" s="1821"/>
      <c r="IE3" s="1821"/>
      <c r="IF3" s="1821"/>
      <c r="IG3" s="1821"/>
      <c r="IH3" s="1821"/>
      <c r="II3" s="1821"/>
      <c r="IJ3" s="1821"/>
      <c r="IK3" s="1821"/>
      <c r="IL3" s="1821"/>
      <c r="IM3" s="1821"/>
      <c r="IN3" s="1821"/>
      <c r="IO3" s="1821"/>
      <c r="IP3" s="1821"/>
      <c r="IQ3" s="1821"/>
      <c r="IR3" s="1821"/>
      <c r="IS3" s="1821"/>
      <c r="IT3" s="1821"/>
      <c r="IU3" s="1821"/>
      <c r="IV3" s="1821"/>
    </row>
    <row r="4" spans="1:256" ht="14.1" customHeight="1">
      <c r="A4" s="1821"/>
      <c r="B4" s="2962" t="str">
        <f>'Check Sheet'!C3</f>
        <v>Fiscal Year 2020-2021</v>
      </c>
      <c r="C4" s="2051"/>
      <c r="D4" s="2051"/>
      <c r="E4" s="2051"/>
      <c r="F4" s="2520"/>
      <c r="G4" s="1821"/>
      <c r="H4" s="1821"/>
      <c r="I4" s="1821"/>
      <c r="J4" s="1821"/>
      <c r="K4" s="1821"/>
      <c r="L4" s="1821"/>
      <c r="M4" s="1821"/>
      <c r="N4" s="1821"/>
      <c r="O4" s="1821"/>
      <c r="P4" s="1821"/>
      <c r="Q4" s="1821"/>
      <c r="R4" s="1821"/>
      <c r="S4" s="1821"/>
      <c r="T4" s="1821"/>
      <c r="U4" s="1821"/>
      <c r="V4" s="1821"/>
      <c r="W4" s="1821"/>
      <c r="X4" s="1821"/>
      <c r="Y4" s="1821"/>
      <c r="Z4" s="1821"/>
      <c r="AA4" s="1821"/>
      <c r="AB4" s="1821"/>
      <c r="AC4" s="1821"/>
      <c r="AD4" s="1821"/>
      <c r="AE4" s="1821"/>
      <c r="AF4" s="1821"/>
      <c r="AG4" s="1821"/>
      <c r="AH4" s="1821"/>
      <c r="AI4" s="1821"/>
      <c r="AJ4" s="1821"/>
      <c r="AK4" s="1821"/>
      <c r="AL4" s="1821"/>
      <c r="AM4" s="1821"/>
      <c r="AN4" s="1821"/>
      <c r="AO4" s="1821"/>
      <c r="AP4" s="1821"/>
      <c r="AQ4" s="1821"/>
      <c r="AR4" s="1821"/>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c r="BP4" s="1821"/>
      <c r="BQ4" s="1821"/>
      <c r="BR4" s="1821"/>
      <c r="BS4" s="1821"/>
      <c r="BT4" s="1821"/>
      <c r="BU4" s="1821"/>
      <c r="BV4" s="1821"/>
      <c r="BW4" s="1821"/>
      <c r="BX4" s="1821"/>
      <c r="BY4" s="1821"/>
      <c r="BZ4" s="1821"/>
      <c r="CA4" s="1821"/>
      <c r="CB4" s="1821"/>
      <c r="CC4" s="1821"/>
      <c r="CD4" s="1821"/>
      <c r="CE4" s="1821"/>
      <c r="CF4" s="1821"/>
      <c r="CG4" s="1821"/>
      <c r="CH4" s="1821"/>
      <c r="CI4" s="1821"/>
      <c r="CJ4" s="1821"/>
      <c r="CK4" s="1821"/>
      <c r="CL4" s="1821"/>
      <c r="CM4" s="1821"/>
      <c r="CN4" s="1821"/>
      <c r="CO4" s="1821"/>
      <c r="CP4" s="1821"/>
      <c r="CQ4" s="1821"/>
      <c r="CR4" s="1821"/>
      <c r="CS4" s="1821"/>
      <c r="CT4" s="1821"/>
      <c r="CU4" s="1821"/>
      <c r="CV4" s="1821"/>
      <c r="CW4" s="1821"/>
      <c r="CX4" s="1821"/>
      <c r="CY4" s="1821"/>
      <c r="CZ4" s="1821"/>
      <c r="DA4" s="1821"/>
      <c r="DB4" s="1821"/>
      <c r="DC4" s="1821"/>
      <c r="DD4" s="1821"/>
      <c r="DE4" s="1821"/>
      <c r="DF4" s="1821"/>
      <c r="DG4" s="1821"/>
      <c r="DH4" s="1821"/>
      <c r="DI4" s="1821"/>
      <c r="DJ4" s="1821"/>
      <c r="DK4" s="1821"/>
      <c r="DL4" s="1821"/>
      <c r="DM4" s="1821"/>
      <c r="DN4" s="1821"/>
      <c r="DO4" s="1821"/>
      <c r="DP4" s="1821"/>
      <c r="DQ4" s="1821"/>
      <c r="DR4" s="1821"/>
      <c r="DS4" s="1821"/>
      <c r="DT4" s="1821"/>
      <c r="DU4" s="1821"/>
      <c r="DV4" s="1821"/>
      <c r="DW4" s="1821"/>
      <c r="DX4" s="1821"/>
      <c r="DY4" s="1821"/>
      <c r="DZ4" s="1821"/>
      <c r="EA4" s="1821"/>
      <c r="EB4" s="1821"/>
      <c r="EC4" s="1821"/>
      <c r="ED4" s="1821"/>
      <c r="EE4" s="1821"/>
      <c r="EF4" s="1821"/>
      <c r="EG4" s="1821"/>
      <c r="EH4" s="1821"/>
      <c r="EI4" s="1821"/>
      <c r="EJ4" s="1821"/>
      <c r="EK4" s="1821"/>
      <c r="EL4" s="1821"/>
      <c r="EM4" s="1821"/>
      <c r="EN4" s="1821"/>
      <c r="EO4" s="1821"/>
      <c r="EP4" s="1821"/>
      <c r="EQ4" s="1821"/>
      <c r="ER4" s="1821"/>
      <c r="ES4" s="1821"/>
      <c r="ET4" s="1821"/>
      <c r="EU4" s="1821"/>
      <c r="EV4" s="1821"/>
      <c r="EW4" s="1821"/>
      <c r="EX4" s="1821"/>
      <c r="EY4" s="1821"/>
      <c r="EZ4" s="1821"/>
      <c r="FA4" s="1821"/>
      <c r="FB4" s="1821"/>
      <c r="FC4" s="1821"/>
      <c r="FD4" s="1821"/>
      <c r="FE4" s="1821"/>
      <c r="FF4" s="1821"/>
      <c r="FG4" s="1821"/>
      <c r="FH4" s="1821"/>
      <c r="FI4" s="1821"/>
      <c r="FJ4" s="1821"/>
      <c r="FK4" s="1821"/>
      <c r="FL4" s="1821"/>
      <c r="FM4" s="1821"/>
      <c r="FN4" s="1821"/>
      <c r="FO4" s="1821"/>
      <c r="FP4" s="1821"/>
      <c r="FQ4" s="1821"/>
      <c r="FR4" s="1821"/>
      <c r="FS4" s="1821"/>
      <c r="FT4" s="1821"/>
      <c r="FU4" s="1821"/>
      <c r="FV4" s="1821"/>
      <c r="FW4" s="1821"/>
      <c r="FX4" s="1821"/>
      <c r="FY4" s="1821"/>
      <c r="FZ4" s="1821"/>
      <c r="GA4" s="1821"/>
      <c r="GB4" s="1821"/>
      <c r="GC4" s="1821"/>
      <c r="GD4" s="1821"/>
      <c r="GE4" s="1821"/>
      <c r="GF4" s="1821"/>
      <c r="GG4" s="1821"/>
      <c r="GH4" s="1821"/>
      <c r="GI4" s="1821"/>
      <c r="GJ4" s="1821"/>
      <c r="GK4" s="1821"/>
      <c r="GL4" s="1821"/>
      <c r="GM4" s="1821"/>
      <c r="GN4" s="1821"/>
      <c r="GO4" s="1821"/>
      <c r="GP4" s="1821"/>
      <c r="GQ4" s="1821"/>
      <c r="GR4" s="1821"/>
      <c r="GS4" s="1821"/>
      <c r="GT4" s="1821"/>
      <c r="GU4" s="1821"/>
      <c r="GV4" s="1821"/>
      <c r="GW4" s="1821"/>
      <c r="GX4" s="1821"/>
      <c r="GY4" s="1821"/>
      <c r="GZ4" s="1821"/>
      <c r="HA4" s="1821"/>
      <c r="HB4" s="1821"/>
      <c r="HC4" s="1821"/>
      <c r="HD4" s="1821"/>
      <c r="HE4" s="1821"/>
      <c r="HF4" s="1821"/>
      <c r="HG4" s="1821"/>
      <c r="HH4" s="1821"/>
      <c r="HI4" s="1821"/>
      <c r="HJ4" s="1821"/>
      <c r="HK4" s="1821"/>
      <c r="HL4" s="1821"/>
      <c r="HM4" s="1821"/>
      <c r="HN4" s="1821"/>
      <c r="HO4" s="1821"/>
      <c r="HP4" s="1821"/>
      <c r="HQ4" s="1821"/>
      <c r="HR4" s="1821"/>
      <c r="HS4" s="1821"/>
      <c r="HT4" s="1821"/>
      <c r="HU4" s="1821"/>
      <c r="HV4" s="1821"/>
      <c r="HW4" s="1821"/>
      <c r="HX4" s="1821"/>
      <c r="HY4" s="1821"/>
      <c r="HZ4" s="1821"/>
      <c r="IA4" s="1821"/>
      <c r="IB4" s="1821"/>
      <c r="IC4" s="1821"/>
      <c r="ID4" s="1821"/>
      <c r="IE4" s="1821"/>
      <c r="IF4" s="1821"/>
      <c r="IG4" s="1821"/>
      <c r="IH4" s="1821"/>
      <c r="II4" s="1821"/>
      <c r="IJ4" s="1821"/>
      <c r="IK4" s="1821"/>
      <c r="IL4" s="1821"/>
      <c r="IM4" s="1821"/>
      <c r="IN4" s="1821"/>
      <c r="IO4" s="1821"/>
      <c r="IP4" s="1821"/>
      <c r="IQ4" s="1821"/>
      <c r="IR4" s="1821"/>
      <c r="IS4" s="1821"/>
      <c r="IT4" s="1821"/>
      <c r="IU4" s="1821"/>
      <c r="IV4" s="1821"/>
    </row>
    <row r="5" spans="1:256" ht="14.1" customHeight="1">
      <c r="A5" s="309"/>
      <c r="B5" s="309"/>
      <c r="C5" s="309"/>
      <c r="D5" s="309"/>
      <c r="E5" s="45" t="s">
        <v>3</v>
      </c>
      <c r="F5" s="3012" t="str">
        <f>'Contact Information'!C3</f>
        <v>2021.v01</v>
      </c>
      <c r="G5" s="1821"/>
      <c r="H5" s="1821"/>
      <c r="I5" s="1821"/>
      <c r="J5" s="1821"/>
      <c r="K5" s="1821"/>
      <c r="L5" s="1821"/>
      <c r="M5" s="1821"/>
      <c r="N5" s="1821"/>
      <c r="O5" s="1821"/>
      <c r="P5" s="1821"/>
      <c r="Q5" s="1821"/>
      <c r="R5" s="1821"/>
      <c r="S5" s="1821"/>
      <c r="T5" s="1821"/>
      <c r="U5" s="1821"/>
      <c r="V5" s="1821"/>
      <c r="W5" s="1821"/>
      <c r="X5" s="1821"/>
      <c r="Y5" s="1821"/>
      <c r="Z5" s="1821"/>
      <c r="AA5" s="1821"/>
      <c r="AB5" s="1821"/>
      <c r="AC5" s="1821"/>
      <c r="AD5" s="1821"/>
      <c r="AE5" s="1821"/>
      <c r="AF5" s="1821"/>
      <c r="AG5" s="1821"/>
      <c r="AH5" s="1821"/>
      <c r="AI5" s="1821"/>
      <c r="AJ5" s="1821"/>
      <c r="AK5" s="1821"/>
      <c r="AL5" s="1821"/>
      <c r="AM5" s="1821"/>
      <c r="AN5" s="1821"/>
      <c r="AO5" s="1821"/>
      <c r="AP5" s="1821"/>
      <c r="AQ5" s="1821"/>
      <c r="AR5" s="1821"/>
      <c r="AS5" s="1821"/>
      <c r="AT5" s="1821"/>
      <c r="AU5" s="1821"/>
      <c r="AV5" s="1821"/>
      <c r="AW5" s="1821"/>
      <c r="AX5" s="1821"/>
      <c r="AY5" s="1821"/>
      <c r="AZ5" s="1821"/>
      <c r="BA5" s="1821"/>
      <c r="BB5" s="1821"/>
      <c r="BC5" s="1821"/>
      <c r="BD5" s="1821"/>
      <c r="BE5" s="1821"/>
      <c r="BF5" s="1821"/>
      <c r="BG5" s="1821"/>
      <c r="BH5" s="1821"/>
      <c r="BI5" s="1821"/>
      <c r="BJ5" s="1821"/>
      <c r="BK5" s="1821"/>
      <c r="BL5" s="1821"/>
      <c r="BM5" s="1821"/>
      <c r="BN5" s="1821"/>
      <c r="BO5" s="1821"/>
      <c r="BP5" s="1821"/>
      <c r="BQ5" s="1821"/>
      <c r="BR5" s="1821"/>
      <c r="BS5" s="1821"/>
      <c r="BT5" s="1821"/>
      <c r="BU5" s="1821"/>
      <c r="BV5" s="1821"/>
      <c r="BW5" s="1821"/>
      <c r="BX5" s="1821"/>
      <c r="BY5" s="1821"/>
      <c r="BZ5" s="1821"/>
      <c r="CA5" s="1821"/>
      <c r="CB5" s="1821"/>
      <c r="CC5" s="1821"/>
      <c r="CD5" s="1821"/>
      <c r="CE5" s="1821"/>
      <c r="CF5" s="1821"/>
      <c r="CG5" s="1821"/>
      <c r="CH5" s="1821"/>
      <c r="CI5" s="1821"/>
      <c r="CJ5" s="1821"/>
      <c r="CK5" s="1821"/>
      <c r="CL5" s="1821"/>
      <c r="CM5" s="1821"/>
      <c r="CN5" s="1821"/>
      <c r="CO5" s="1821"/>
      <c r="CP5" s="1821"/>
      <c r="CQ5" s="1821"/>
      <c r="CR5" s="1821"/>
      <c r="CS5" s="1821"/>
      <c r="CT5" s="1821"/>
      <c r="CU5" s="1821"/>
      <c r="CV5" s="1821"/>
      <c r="CW5" s="1821"/>
      <c r="CX5" s="1821"/>
      <c r="CY5" s="1821"/>
      <c r="CZ5" s="1821"/>
      <c r="DA5" s="1821"/>
      <c r="DB5" s="1821"/>
      <c r="DC5" s="1821"/>
      <c r="DD5" s="1821"/>
      <c r="DE5" s="1821"/>
      <c r="DF5" s="1821"/>
      <c r="DG5" s="1821"/>
      <c r="DH5" s="1821"/>
      <c r="DI5" s="1821"/>
      <c r="DJ5" s="1821"/>
      <c r="DK5" s="1821"/>
      <c r="DL5" s="1821"/>
      <c r="DM5" s="1821"/>
      <c r="DN5" s="1821"/>
      <c r="DO5" s="1821"/>
      <c r="DP5" s="1821"/>
      <c r="DQ5" s="1821"/>
      <c r="DR5" s="1821"/>
      <c r="DS5" s="1821"/>
      <c r="DT5" s="1821"/>
      <c r="DU5" s="1821"/>
      <c r="DV5" s="1821"/>
      <c r="DW5" s="1821"/>
      <c r="DX5" s="1821"/>
      <c r="DY5" s="1821"/>
      <c r="DZ5" s="1821"/>
      <c r="EA5" s="1821"/>
      <c r="EB5" s="1821"/>
      <c r="EC5" s="1821"/>
      <c r="ED5" s="1821"/>
      <c r="EE5" s="1821"/>
      <c r="EF5" s="1821"/>
      <c r="EG5" s="1821"/>
      <c r="EH5" s="1821"/>
      <c r="EI5" s="1821"/>
      <c r="EJ5" s="1821"/>
      <c r="EK5" s="1821"/>
      <c r="EL5" s="1821"/>
      <c r="EM5" s="1821"/>
      <c r="EN5" s="1821"/>
      <c r="EO5" s="1821"/>
      <c r="EP5" s="1821"/>
      <c r="EQ5" s="1821"/>
      <c r="ER5" s="1821"/>
      <c r="ES5" s="1821"/>
      <c r="ET5" s="1821"/>
      <c r="EU5" s="1821"/>
      <c r="EV5" s="1821"/>
      <c r="EW5" s="1821"/>
      <c r="EX5" s="1821"/>
      <c r="EY5" s="1821"/>
      <c r="EZ5" s="1821"/>
      <c r="FA5" s="1821"/>
      <c r="FB5" s="1821"/>
      <c r="FC5" s="1821"/>
      <c r="FD5" s="1821"/>
      <c r="FE5" s="1821"/>
      <c r="FF5" s="1821"/>
      <c r="FG5" s="1821"/>
      <c r="FH5" s="1821"/>
      <c r="FI5" s="1821"/>
      <c r="FJ5" s="1821"/>
      <c r="FK5" s="1821"/>
      <c r="FL5" s="1821"/>
      <c r="FM5" s="1821"/>
      <c r="FN5" s="1821"/>
      <c r="FO5" s="1821"/>
      <c r="FP5" s="1821"/>
      <c r="FQ5" s="1821"/>
      <c r="FR5" s="1821"/>
      <c r="FS5" s="1821"/>
      <c r="FT5" s="1821"/>
      <c r="FU5" s="1821"/>
      <c r="FV5" s="1821"/>
      <c r="FW5" s="1821"/>
      <c r="FX5" s="1821"/>
      <c r="FY5" s="1821"/>
      <c r="FZ5" s="1821"/>
      <c r="GA5" s="1821"/>
      <c r="GB5" s="1821"/>
      <c r="GC5" s="1821"/>
      <c r="GD5" s="1821"/>
      <c r="GE5" s="1821"/>
      <c r="GF5" s="1821"/>
      <c r="GG5" s="1821"/>
      <c r="GH5" s="1821"/>
      <c r="GI5" s="1821"/>
      <c r="GJ5" s="1821"/>
      <c r="GK5" s="1821"/>
      <c r="GL5" s="1821"/>
      <c r="GM5" s="1821"/>
      <c r="GN5" s="1821"/>
      <c r="GO5" s="1821"/>
      <c r="GP5" s="1821"/>
      <c r="GQ5" s="1821"/>
      <c r="GR5" s="1821"/>
      <c r="GS5" s="1821"/>
      <c r="GT5" s="1821"/>
      <c r="GU5" s="1821"/>
      <c r="GV5" s="1821"/>
      <c r="GW5" s="1821"/>
      <c r="GX5" s="1821"/>
      <c r="GY5" s="1821"/>
      <c r="GZ5" s="1821"/>
      <c r="HA5" s="1821"/>
      <c r="HB5" s="1821"/>
      <c r="HC5" s="1821"/>
      <c r="HD5" s="1821"/>
      <c r="HE5" s="1821"/>
      <c r="HF5" s="1821"/>
      <c r="HG5" s="1821"/>
      <c r="HH5" s="1821"/>
      <c r="HI5" s="1821"/>
      <c r="HJ5" s="1821"/>
      <c r="HK5" s="1821"/>
      <c r="HL5" s="1821"/>
      <c r="HM5" s="1821"/>
      <c r="HN5" s="1821"/>
      <c r="HO5" s="1821"/>
      <c r="HP5" s="1821"/>
      <c r="HQ5" s="1821"/>
      <c r="HR5" s="1821"/>
      <c r="HS5" s="1821"/>
      <c r="HT5" s="1821"/>
      <c r="HU5" s="1821"/>
      <c r="HV5" s="1821"/>
      <c r="HW5" s="1821"/>
      <c r="HX5" s="1821"/>
      <c r="HY5" s="1821"/>
      <c r="HZ5" s="1821"/>
      <c r="IA5" s="1821"/>
      <c r="IB5" s="1821"/>
      <c r="IC5" s="1821"/>
      <c r="ID5" s="1821"/>
      <c r="IE5" s="1821"/>
      <c r="IF5" s="1821"/>
      <c r="IG5" s="1821"/>
      <c r="IH5" s="1821"/>
      <c r="II5" s="1821"/>
      <c r="IJ5" s="1821"/>
      <c r="IK5" s="1821"/>
      <c r="IL5" s="1821"/>
      <c r="IM5" s="1821"/>
      <c r="IN5" s="1821"/>
      <c r="IO5" s="1821"/>
      <c r="IP5" s="1821"/>
      <c r="IQ5" s="1821"/>
      <c r="IR5" s="1821"/>
      <c r="IS5" s="1821"/>
      <c r="IT5" s="1821"/>
      <c r="IU5" s="1821"/>
      <c r="IV5" s="1821"/>
    </row>
    <row r="6" spans="1:256" s="313" customFormat="1">
      <c r="A6" s="310"/>
      <c r="B6" s="311" t="s">
        <v>2563</v>
      </c>
      <c r="C6" s="310"/>
      <c r="D6" s="311" t="s">
        <v>2619</v>
      </c>
      <c r="E6" s="310"/>
      <c r="F6" s="312"/>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3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c r="CX6" s="314"/>
      <c r="CY6" s="314"/>
      <c r="CZ6" s="314"/>
      <c r="DA6" s="314"/>
      <c r="DB6" s="314"/>
      <c r="DC6" s="314"/>
      <c r="DD6" s="314"/>
      <c r="DE6" s="314"/>
      <c r="DF6" s="314"/>
      <c r="DG6" s="314"/>
      <c r="DH6" s="314"/>
      <c r="DI6" s="314"/>
      <c r="DJ6" s="314"/>
      <c r="DK6" s="314"/>
      <c r="DL6" s="314"/>
      <c r="DM6" s="314"/>
      <c r="DN6" s="314"/>
      <c r="DO6" s="314"/>
      <c r="DP6" s="314"/>
      <c r="DQ6" s="314"/>
      <c r="DR6" s="314"/>
      <c r="DS6" s="314"/>
      <c r="DT6" s="314"/>
      <c r="DU6" s="314"/>
      <c r="DV6" s="314"/>
      <c r="DW6" s="314"/>
      <c r="DX6" s="314"/>
      <c r="DY6" s="314"/>
      <c r="DZ6" s="314"/>
      <c r="EA6" s="314"/>
      <c r="EB6" s="314"/>
      <c r="EC6" s="314"/>
      <c r="ED6" s="314"/>
      <c r="EE6" s="314"/>
      <c r="EF6" s="314"/>
      <c r="EG6" s="314"/>
      <c r="EH6" s="314"/>
      <c r="EI6" s="314"/>
      <c r="EJ6" s="314"/>
      <c r="EK6" s="314"/>
      <c r="EL6" s="314"/>
      <c r="EM6" s="314"/>
      <c r="EN6" s="314"/>
      <c r="EO6" s="314"/>
      <c r="EP6" s="314"/>
      <c r="EQ6" s="314"/>
      <c r="ER6" s="314"/>
      <c r="ES6" s="314"/>
      <c r="ET6" s="314"/>
      <c r="EU6" s="314"/>
      <c r="EV6" s="314"/>
      <c r="EW6" s="314"/>
      <c r="EX6" s="314"/>
      <c r="EY6" s="314"/>
      <c r="EZ6" s="314"/>
      <c r="FA6" s="314"/>
      <c r="FB6" s="314"/>
      <c r="FC6" s="314"/>
      <c r="FD6" s="314"/>
      <c r="FE6" s="314"/>
      <c r="FF6" s="314"/>
      <c r="FG6" s="314"/>
      <c r="FH6" s="314"/>
      <c r="FI6" s="314"/>
      <c r="FJ6" s="314"/>
      <c r="FK6" s="314"/>
      <c r="FL6" s="314"/>
      <c r="FM6" s="314"/>
      <c r="FN6" s="314"/>
      <c r="FO6" s="314"/>
      <c r="FP6" s="314"/>
      <c r="FQ6" s="314"/>
      <c r="FR6" s="314"/>
      <c r="FS6" s="314"/>
      <c r="FT6" s="314"/>
      <c r="FU6" s="314"/>
      <c r="FV6" s="314"/>
      <c r="FW6" s="314"/>
      <c r="FX6" s="314"/>
      <c r="FY6" s="314"/>
      <c r="FZ6" s="314"/>
      <c r="GA6" s="314"/>
      <c r="GB6" s="314"/>
      <c r="GC6" s="314"/>
      <c r="GD6" s="314"/>
      <c r="GE6" s="314"/>
      <c r="GF6" s="314"/>
      <c r="GG6" s="314"/>
      <c r="GH6" s="314"/>
      <c r="GI6" s="314"/>
      <c r="GJ6" s="314"/>
      <c r="GK6" s="314"/>
      <c r="GL6" s="314"/>
      <c r="GM6" s="314"/>
      <c r="GN6" s="314"/>
      <c r="GO6" s="314"/>
      <c r="GP6" s="314"/>
      <c r="GQ6" s="314"/>
      <c r="GR6" s="314"/>
      <c r="GS6" s="314"/>
      <c r="GT6" s="314"/>
      <c r="GU6" s="314"/>
      <c r="GV6" s="314"/>
      <c r="GW6" s="314"/>
      <c r="GX6" s="314"/>
      <c r="GY6" s="314"/>
      <c r="GZ6" s="314"/>
      <c r="HA6" s="314"/>
      <c r="HB6" s="314"/>
      <c r="HC6" s="314"/>
      <c r="HD6" s="314"/>
      <c r="HE6" s="314"/>
      <c r="HF6" s="314"/>
      <c r="HG6" s="314"/>
      <c r="HH6" s="314"/>
      <c r="HI6" s="314"/>
      <c r="HJ6" s="314"/>
      <c r="HK6" s="314"/>
      <c r="HL6" s="314"/>
      <c r="HM6" s="314"/>
      <c r="HN6" s="314"/>
      <c r="HO6" s="314"/>
      <c r="HP6" s="314"/>
      <c r="HQ6" s="314"/>
      <c r="HR6" s="314"/>
      <c r="HS6" s="314"/>
      <c r="HT6" s="314"/>
      <c r="HU6" s="314"/>
      <c r="HV6" s="314"/>
      <c r="HW6" s="314"/>
      <c r="HX6" s="314"/>
      <c r="HY6" s="314"/>
      <c r="HZ6" s="314"/>
      <c r="IA6" s="314"/>
      <c r="IB6" s="314"/>
      <c r="IC6" s="314"/>
      <c r="ID6" s="314"/>
      <c r="IE6" s="314"/>
      <c r="IF6" s="314"/>
      <c r="IG6" s="314"/>
      <c r="IH6" s="314"/>
      <c r="II6" s="314"/>
      <c r="IJ6" s="314"/>
      <c r="IK6" s="314"/>
      <c r="IL6" s="314"/>
      <c r="IM6" s="314"/>
      <c r="IN6" s="314"/>
      <c r="IO6" s="314"/>
      <c r="IP6" s="314"/>
      <c r="IQ6" s="314"/>
      <c r="IR6" s="314"/>
      <c r="IS6" s="314"/>
      <c r="IT6" s="314"/>
      <c r="IU6" s="314"/>
      <c r="IV6" s="314"/>
    </row>
    <row r="7" spans="1:256" s="313" customFormat="1">
      <c r="A7" s="315"/>
      <c r="B7" s="311" t="s">
        <v>2620</v>
      </c>
      <c r="C7" s="310"/>
      <c r="D7" s="311" t="s">
        <v>2621</v>
      </c>
      <c r="E7" s="310"/>
      <c r="F7" s="311" t="s">
        <v>2622</v>
      </c>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3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c r="CX7" s="314"/>
      <c r="CY7" s="314"/>
      <c r="CZ7" s="314"/>
      <c r="DA7" s="314"/>
      <c r="DB7" s="314"/>
      <c r="DC7" s="314"/>
      <c r="DD7" s="314"/>
      <c r="DE7" s="314"/>
      <c r="DF7" s="314"/>
      <c r="DG7" s="314"/>
      <c r="DH7" s="314"/>
      <c r="DI7" s="314"/>
      <c r="DJ7" s="314"/>
      <c r="DK7" s="314"/>
      <c r="DL7" s="314"/>
      <c r="DM7" s="314"/>
      <c r="DN7" s="314"/>
      <c r="DO7" s="314"/>
      <c r="DP7" s="314"/>
      <c r="DQ7" s="314"/>
      <c r="DR7" s="314"/>
      <c r="DS7" s="314"/>
      <c r="DT7" s="314"/>
      <c r="DU7" s="314"/>
      <c r="DV7" s="314"/>
      <c r="DW7" s="314"/>
      <c r="DX7" s="314"/>
      <c r="DY7" s="314"/>
      <c r="DZ7" s="314"/>
      <c r="EA7" s="314"/>
      <c r="EB7" s="314"/>
      <c r="EC7" s="314"/>
      <c r="ED7" s="314"/>
      <c r="EE7" s="314"/>
      <c r="EF7" s="314"/>
      <c r="EG7" s="314"/>
      <c r="EH7" s="314"/>
      <c r="EI7" s="314"/>
      <c r="EJ7" s="314"/>
      <c r="EK7" s="314"/>
      <c r="EL7" s="314"/>
      <c r="EM7" s="314"/>
      <c r="EN7" s="314"/>
      <c r="EO7" s="314"/>
      <c r="EP7" s="314"/>
      <c r="EQ7" s="314"/>
      <c r="ER7" s="314"/>
      <c r="ES7" s="314"/>
      <c r="ET7" s="314"/>
      <c r="EU7" s="314"/>
      <c r="EV7" s="314"/>
      <c r="EW7" s="314"/>
      <c r="EX7" s="314"/>
      <c r="EY7" s="314"/>
      <c r="EZ7" s="314"/>
      <c r="FA7" s="314"/>
      <c r="FB7" s="314"/>
      <c r="FC7" s="314"/>
      <c r="FD7" s="314"/>
      <c r="FE7" s="314"/>
      <c r="FF7" s="314"/>
      <c r="FG7" s="314"/>
      <c r="FH7" s="314"/>
      <c r="FI7" s="314"/>
      <c r="FJ7" s="314"/>
      <c r="FK7" s="314"/>
      <c r="FL7" s="314"/>
      <c r="FM7" s="314"/>
      <c r="FN7" s="314"/>
      <c r="FO7" s="314"/>
      <c r="FP7" s="314"/>
      <c r="FQ7" s="314"/>
      <c r="FR7" s="314"/>
      <c r="FS7" s="314"/>
      <c r="FT7" s="314"/>
      <c r="FU7" s="314"/>
      <c r="FV7" s="314"/>
      <c r="FW7" s="314"/>
      <c r="FX7" s="314"/>
      <c r="FY7" s="314"/>
      <c r="FZ7" s="314"/>
      <c r="GA7" s="314"/>
      <c r="GB7" s="314"/>
      <c r="GC7" s="314"/>
      <c r="GD7" s="314"/>
      <c r="GE7" s="314"/>
      <c r="GF7" s="314"/>
      <c r="GG7" s="314"/>
      <c r="GH7" s="314"/>
      <c r="GI7" s="314"/>
      <c r="GJ7" s="314"/>
      <c r="GK7" s="314"/>
      <c r="GL7" s="314"/>
      <c r="GM7" s="314"/>
      <c r="GN7" s="314"/>
      <c r="GO7" s="314"/>
      <c r="GP7" s="314"/>
      <c r="GQ7" s="314"/>
      <c r="GR7" s="314"/>
      <c r="GS7" s="314"/>
      <c r="GT7" s="314"/>
      <c r="GU7" s="314"/>
      <c r="GV7" s="314"/>
      <c r="GW7" s="314"/>
      <c r="GX7" s="314"/>
      <c r="GY7" s="314"/>
      <c r="GZ7" s="314"/>
      <c r="HA7" s="314"/>
      <c r="HB7" s="314"/>
      <c r="HC7" s="314"/>
      <c r="HD7" s="314"/>
      <c r="HE7" s="314"/>
      <c r="HF7" s="314"/>
      <c r="HG7" s="314"/>
      <c r="HH7" s="314"/>
      <c r="HI7" s="314"/>
      <c r="HJ7" s="314"/>
      <c r="HK7" s="314"/>
      <c r="HL7" s="314"/>
      <c r="HM7" s="314"/>
      <c r="HN7" s="314"/>
      <c r="HO7" s="314"/>
      <c r="HP7" s="314"/>
      <c r="HQ7" s="314"/>
      <c r="HR7" s="314"/>
      <c r="HS7" s="314"/>
      <c r="HT7" s="314"/>
      <c r="HU7" s="314"/>
      <c r="HV7" s="314"/>
      <c r="HW7" s="314"/>
      <c r="HX7" s="314"/>
      <c r="HY7" s="314"/>
      <c r="HZ7" s="314"/>
      <c r="IA7" s="314"/>
      <c r="IB7" s="314"/>
      <c r="IC7" s="314"/>
      <c r="ID7" s="314"/>
      <c r="IE7" s="314"/>
      <c r="IF7" s="314"/>
      <c r="IG7" s="314"/>
      <c r="IH7" s="314"/>
      <c r="II7" s="314"/>
      <c r="IJ7" s="314"/>
      <c r="IK7" s="314"/>
      <c r="IL7" s="314"/>
      <c r="IM7" s="314"/>
      <c r="IN7" s="314"/>
      <c r="IO7" s="314"/>
      <c r="IP7" s="314"/>
      <c r="IQ7" s="314"/>
      <c r="IR7" s="314"/>
      <c r="IS7" s="314"/>
      <c r="IT7" s="314"/>
      <c r="IU7" s="314"/>
      <c r="IV7" s="314"/>
    </row>
    <row r="8" spans="1:256" s="313" customFormat="1">
      <c r="A8" s="316"/>
      <c r="B8" s="317" t="s">
        <v>2623</v>
      </c>
      <c r="C8" s="310"/>
      <c r="D8" s="318" t="s">
        <v>2624</v>
      </c>
      <c r="E8" s="310"/>
      <c r="F8" s="318" t="s">
        <v>108</v>
      </c>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14"/>
      <c r="AW8" s="314"/>
      <c r="AX8" s="314"/>
      <c r="AY8" s="314"/>
      <c r="AZ8" s="314"/>
      <c r="BA8" s="314"/>
      <c r="BB8" s="314"/>
      <c r="BC8" s="314"/>
      <c r="BD8" s="314"/>
      <c r="BE8" s="314"/>
      <c r="BF8" s="314"/>
      <c r="BG8" s="314"/>
      <c r="BH8" s="314"/>
      <c r="BI8" s="314"/>
      <c r="BJ8" s="314"/>
      <c r="BK8" s="314"/>
      <c r="BL8" s="314"/>
      <c r="BM8" s="314"/>
      <c r="BN8" s="314"/>
      <c r="BO8" s="314"/>
      <c r="BP8" s="314"/>
      <c r="BQ8" s="314"/>
      <c r="BR8" s="314"/>
      <c r="BS8" s="314"/>
      <c r="BT8" s="314"/>
      <c r="BU8" s="314"/>
      <c r="BV8" s="314"/>
      <c r="BW8" s="314"/>
      <c r="BX8" s="314"/>
      <c r="BY8" s="314"/>
      <c r="BZ8" s="314"/>
      <c r="CA8" s="314"/>
      <c r="CB8" s="314"/>
      <c r="CC8" s="314"/>
      <c r="CD8" s="314"/>
      <c r="CE8" s="314"/>
      <c r="CF8" s="314"/>
      <c r="CG8" s="314"/>
      <c r="CH8" s="314"/>
      <c r="CI8" s="314"/>
      <c r="CJ8" s="314"/>
      <c r="CK8" s="314"/>
      <c r="CL8" s="314"/>
      <c r="CM8" s="314"/>
      <c r="CN8" s="314"/>
      <c r="CO8" s="314"/>
      <c r="CP8" s="314"/>
      <c r="CQ8" s="314"/>
      <c r="CR8" s="314"/>
      <c r="CS8" s="314"/>
      <c r="CT8" s="314"/>
      <c r="CU8" s="314"/>
      <c r="CV8" s="314"/>
      <c r="CW8" s="314"/>
      <c r="CX8" s="314"/>
      <c r="CY8" s="314"/>
      <c r="CZ8" s="314"/>
      <c r="DA8" s="314"/>
      <c r="DB8" s="314"/>
      <c r="DC8" s="314"/>
      <c r="DD8" s="314"/>
      <c r="DE8" s="314"/>
      <c r="DF8" s="314"/>
      <c r="DG8" s="314"/>
      <c r="DH8" s="314"/>
      <c r="DI8" s="314"/>
      <c r="DJ8" s="314"/>
      <c r="DK8" s="314"/>
      <c r="DL8" s="314"/>
      <c r="DM8" s="314"/>
      <c r="DN8" s="314"/>
      <c r="DO8" s="314"/>
      <c r="DP8" s="314"/>
      <c r="DQ8" s="314"/>
      <c r="DR8" s="314"/>
      <c r="DS8" s="314"/>
      <c r="DT8" s="314"/>
      <c r="DU8" s="314"/>
      <c r="DV8" s="314"/>
      <c r="DW8" s="314"/>
      <c r="DX8" s="314"/>
      <c r="DY8" s="314"/>
      <c r="DZ8" s="314"/>
      <c r="EA8" s="314"/>
      <c r="EB8" s="314"/>
      <c r="EC8" s="314"/>
      <c r="ED8" s="314"/>
      <c r="EE8" s="314"/>
      <c r="EF8" s="314"/>
      <c r="EG8" s="314"/>
      <c r="EH8" s="314"/>
      <c r="EI8" s="314"/>
      <c r="EJ8" s="314"/>
      <c r="EK8" s="314"/>
      <c r="EL8" s="314"/>
      <c r="EM8" s="314"/>
      <c r="EN8" s="314"/>
      <c r="EO8" s="314"/>
      <c r="EP8" s="314"/>
      <c r="EQ8" s="314"/>
      <c r="ER8" s="314"/>
      <c r="ES8" s="314"/>
      <c r="ET8" s="314"/>
      <c r="EU8" s="314"/>
      <c r="EV8" s="314"/>
      <c r="EW8" s="314"/>
      <c r="EX8" s="314"/>
      <c r="EY8" s="314"/>
      <c r="EZ8" s="314"/>
      <c r="FA8" s="314"/>
      <c r="FB8" s="314"/>
      <c r="FC8" s="314"/>
      <c r="FD8" s="314"/>
      <c r="FE8" s="314"/>
      <c r="FF8" s="314"/>
      <c r="FG8" s="314"/>
      <c r="FH8" s="314"/>
      <c r="FI8" s="314"/>
      <c r="FJ8" s="314"/>
      <c r="FK8" s="314"/>
      <c r="FL8" s="314"/>
      <c r="FM8" s="314"/>
      <c r="FN8" s="314"/>
      <c r="FO8" s="314"/>
      <c r="FP8" s="314"/>
      <c r="FQ8" s="314"/>
      <c r="FR8" s="314"/>
      <c r="FS8" s="314"/>
      <c r="FT8" s="314"/>
      <c r="FU8" s="314"/>
      <c r="FV8" s="314"/>
      <c r="FW8" s="314"/>
      <c r="FX8" s="314"/>
      <c r="FY8" s="314"/>
      <c r="FZ8" s="314"/>
      <c r="GA8" s="314"/>
      <c r="GB8" s="314"/>
      <c r="GC8" s="314"/>
      <c r="GD8" s="314"/>
      <c r="GE8" s="314"/>
      <c r="GF8" s="314"/>
      <c r="GG8" s="314"/>
      <c r="GH8" s="314"/>
      <c r="GI8" s="314"/>
      <c r="GJ8" s="314"/>
      <c r="GK8" s="314"/>
      <c r="GL8" s="314"/>
      <c r="GM8" s="314"/>
      <c r="GN8" s="314"/>
      <c r="GO8" s="314"/>
      <c r="GP8" s="314"/>
      <c r="GQ8" s="314"/>
      <c r="GR8" s="314"/>
      <c r="GS8" s="314"/>
      <c r="GT8" s="314"/>
      <c r="GU8" s="314"/>
      <c r="GV8" s="314"/>
      <c r="GW8" s="314"/>
      <c r="GX8" s="314"/>
      <c r="GY8" s="314"/>
      <c r="GZ8" s="314"/>
      <c r="HA8" s="314"/>
      <c r="HB8" s="314"/>
      <c r="HC8" s="314"/>
      <c r="HD8" s="314"/>
      <c r="HE8" s="314"/>
      <c r="HF8" s="314"/>
      <c r="HG8" s="314"/>
      <c r="HH8" s="314"/>
      <c r="HI8" s="314"/>
      <c r="HJ8" s="314"/>
      <c r="HK8" s="314"/>
      <c r="HL8" s="314"/>
      <c r="HM8" s="314"/>
      <c r="HN8" s="314"/>
      <c r="HO8" s="314"/>
      <c r="HP8" s="314"/>
      <c r="HQ8" s="314"/>
      <c r="HR8" s="314"/>
      <c r="HS8" s="314"/>
      <c r="HT8" s="314"/>
      <c r="HU8" s="314"/>
      <c r="HV8" s="314"/>
      <c r="HW8" s="314"/>
      <c r="HX8" s="314"/>
      <c r="HY8" s="314"/>
      <c r="HZ8" s="314"/>
      <c r="IA8" s="314"/>
      <c r="IB8" s="314"/>
      <c r="IC8" s="314"/>
      <c r="ID8" s="314"/>
      <c r="IE8" s="314"/>
      <c r="IF8" s="314"/>
      <c r="IG8" s="314"/>
      <c r="IH8" s="314"/>
      <c r="II8" s="314"/>
      <c r="IJ8" s="314"/>
      <c r="IK8" s="314"/>
      <c r="IL8" s="314"/>
      <c r="IM8" s="314"/>
      <c r="IN8" s="314"/>
      <c r="IO8" s="314"/>
      <c r="IP8" s="314"/>
      <c r="IQ8" s="314"/>
      <c r="IR8" s="314"/>
      <c r="IS8" s="314"/>
      <c r="IT8" s="314"/>
      <c r="IU8" s="314"/>
      <c r="IV8" s="314"/>
    </row>
    <row r="9" spans="1:256" s="313" customFormat="1" ht="6.75" customHeight="1">
      <c r="A9" s="309"/>
      <c r="B9" s="316"/>
      <c r="C9" s="310"/>
      <c r="D9" s="319"/>
      <c r="E9" s="310"/>
      <c r="F9" s="310"/>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314"/>
      <c r="BK9" s="314"/>
      <c r="BL9" s="314"/>
      <c r="BM9" s="314"/>
      <c r="BN9" s="314"/>
      <c r="BO9" s="314"/>
      <c r="BP9" s="314"/>
      <c r="BQ9" s="314"/>
      <c r="BR9" s="314"/>
      <c r="BS9" s="314"/>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c r="CX9" s="314"/>
      <c r="CY9" s="314"/>
      <c r="CZ9" s="314"/>
      <c r="DA9" s="314"/>
      <c r="DB9" s="314"/>
      <c r="DC9" s="314"/>
      <c r="DD9" s="314"/>
      <c r="DE9" s="314"/>
      <c r="DF9" s="314"/>
      <c r="DG9" s="314"/>
      <c r="DH9" s="314"/>
      <c r="DI9" s="314"/>
      <c r="DJ9" s="314"/>
      <c r="DK9" s="314"/>
      <c r="DL9" s="314"/>
      <c r="DM9" s="314"/>
      <c r="DN9" s="314"/>
      <c r="DO9" s="314"/>
      <c r="DP9" s="314"/>
      <c r="DQ9" s="314"/>
      <c r="DR9" s="314"/>
      <c r="DS9" s="314"/>
      <c r="DT9" s="314"/>
      <c r="DU9" s="314"/>
      <c r="DV9" s="314"/>
      <c r="DW9" s="314"/>
      <c r="DX9" s="314"/>
      <c r="DY9" s="314"/>
      <c r="DZ9" s="314"/>
      <c r="EA9" s="314"/>
      <c r="EB9" s="314"/>
      <c r="EC9" s="314"/>
      <c r="ED9" s="314"/>
      <c r="EE9" s="314"/>
      <c r="EF9" s="314"/>
      <c r="EG9" s="314"/>
      <c r="EH9" s="314"/>
      <c r="EI9" s="314"/>
      <c r="EJ9" s="314"/>
      <c r="EK9" s="314"/>
      <c r="EL9" s="314"/>
      <c r="EM9" s="314"/>
      <c r="EN9" s="314"/>
      <c r="EO9" s="314"/>
      <c r="EP9" s="314"/>
      <c r="EQ9" s="314"/>
      <c r="ER9" s="314"/>
      <c r="ES9" s="314"/>
      <c r="ET9" s="314"/>
      <c r="EU9" s="314"/>
      <c r="EV9" s="314"/>
      <c r="EW9" s="314"/>
      <c r="EX9" s="314"/>
      <c r="EY9" s="314"/>
      <c r="EZ9" s="314"/>
      <c r="FA9" s="314"/>
      <c r="FB9" s="314"/>
      <c r="FC9" s="314"/>
      <c r="FD9" s="314"/>
      <c r="FE9" s="314"/>
      <c r="FF9" s="314"/>
      <c r="FG9" s="314"/>
      <c r="FH9" s="314"/>
      <c r="FI9" s="314"/>
      <c r="FJ9" s="314"/>
      <c r="FK9" s="314"/>
      <c r="FL9" s="314"/>
      <c r="FM9" s="314"/>
      <c r="FN9" s="314"/>
      <c r="FO9" s="314"/>
      <c r="FP9" s="314"/>
      <c r="FQ9" s="314"/>
      <c r="FR9" s="314"/>
      <c r="FS9" s="314"/>
      <c r="FT9" s="314"/>
      <c r="FU9" s="314"/>
      <c r="FV9" s="314"/>
      <c r="FW9" s="314"/>
      <c r="FX9" s="314"/>
      <c r="FY9" s="314"/>
      <c r="FZ9" s="314"/>
      <c r="GA9" s="314"/>
      <c r="GB9" s="314"/>
      <c r="GC9" s="314"/>
      <c r="GD9" s="314"/>
      <c r="GE9" s="314"/>
      <c r="GF9" s="314"/>
      <c r="GG9" s="314"/>
      <c r="GH9" s="314"/>
      <c r="GI9" s="314"/>
      <c r="GJ9" s="314"/>
      <c r="GK9" s="314"/>
      <c r="GL9" s="314"/>
      <c r="GM9" s="314"/>
      <c r="GN9" s="314"/>
      <c r="GO9" s="314"/>
      <c r="GP9" s="314"/>
      <c r="GQ9" s="314"/>
      <c r="GR9" s="314"/>
      <c r="GS9" s="314"/>
      <c r="GT9" s="314"/>
      <c r="GU9" s="314"/>
      <c r="GV9" s="314"/>
      <c r="GW9" s="314"/>
      <c r="GX9" s="314"/>
      <c r="GY9" s="314"/>
      <c r="GZ9" s="314"/>
      <c r="HA9" s="314"/>
      <c r="HB9" s="314"/>
      <c r="HC9" s="314"/>
      <c r="HD9" s="314"/>
      <c r="HE9" s="314"/>
      <c r="HF9" s="314"/>
      <c r="HG9" s="314"/>
      <c r="HH9" s="314"/>
      <c r="HI9" s="314"/>
      <c r="HJ9" s="314"/>
      <c r="HK9" s="314"/>
      <c r="HL9" s="314"/>
      <c r="HM9" s="314"/>
      <c r="HN9" s="314"/>
      <c r="HO9" s="314"/>
      <c r="HP9" s="314"/>
      <c r="HQ9" s="314"/>
      <c r="HR9" s="314"/>
      <c r="HS9" s="314"/>
      <c r="HT9" s="314"/>
      <c r="HU9" s="314"/>
      <c r="HV9" s="314"/>
      <c r="HW9" s="314"/>
      <c r="HX9" s="314"/>
      <c r="HY9" s="314"/>
      <c r="HZ9" s="314"/>
      <c r="IA9" s="314"/>
      <c r="IB9" s="314"/>
      <c r="IC9" s="314"/>
      <c r="ID9" s="314"/>
      <c r="IE9" s="314"/>
      <c r="IF9" s="314"/>
      <c r="IG9" s="314"/>
      <c r="IH9" s="314"/>
      <c r="II9" s="314"/>
      <c r="IJ9" s="314"/>
      <c r="IK9" s="314"/>
      <c r="IL9" s="314"/>
      <c r="IM9" s="314"/>
      <c r="IN9" s="314"/>
      <c r="IO9" s="314"/>
      <c r="IP9" s="314"/>
      <c r="IQ9" s="314"/>
      <c r="IR9" s="314"/>
      <c r="IS9" s="314"/>
      <c r="IT9" s="314"/>
      <c r="IU9" s="314"/>
      <c r="IV9" s="314"/>
    </row>
    <row r="10" spans="1:256" s="313" customFormat="1">
      <c r="A10" s="3011" t="s">
        <v>4057</v>
      </c>
      <c r="B10" s="1370" t="e">
        <f>VLOOKUP($B$1,VLOOKUP!A79:D106,2,FALSE)</f>
        <v>#N/A</v>
      </c>
      <c r="C10" s="321"/>
      <c r="D10" s="1370" t="e">
        <f>VLOOKUP($B$1,VLOOKUP!A79:D106,3,FALSE)</f>
        <v>#N/A</v>
      </c>
      <c r="E10" s="321"/>
      <c r="F10" s="1368" t="e">
        <f>B10+D10</f>
        <v>#N/A</v>
      </c>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4"/>
      <c r="BG10" s="314"/>
      <c r="BH10" s="314"/>
      <c r="BI10" s="314"/>
      <c r="BJ10" s="314"/>
      <c r="BK10" s="314"/>
      <c r="BL10" s="314"/>
      <c r="BM10" s="314"/>
      <c r="BN10" s="314"/>
      <c r="BO10" s="314"/>
      <c r="BP10" s="314"/>
      <c r="BQ10" s="314"/>
      <c r="BR10" s="314"/>
      <c r="BS10" s="314"/>
      <c r="BT10" s="314"/>
      <c r="BU10" s="314"/>
      <c r="BV10" s="314"/>
      <c r="BW10" s="314"/>
      <c r="BX10" s="314"/>
      <c r="BY10" s="314"/>
      <c r="BZ10" s="314"/>
      <c r="CA10" s="314"/>
      <c r="CB10" s="314"/>
      <c r="CC10" s="314"/>
      <c r="CD10" s="314"/>
      <c r="CE10" s="314"/>
      <c r="CF10" s="314"/>
      <c r="CG10" s="314"/>
      <c r="CH10" s="314"/>
      <c r="CI10" s="314"/>
      <c r="CJ10" s="314"/>
      <c r="CK10" s="314"/>
      <c r="CL10" s="314"/>
      <c r="CM10" s="314"/>
      <c r="CN10" s="314"/>
      <c r="CO10" s="314"/>
      <c r="CP10" s="314"/>
      <c r="CQ10" s="314"/>
      <c r="CR10" s="314"/>
      <c r="CS10" s="314"/>
      <c r="CT10" s="314"/>
      <c r="CU10" s="314"/>
      <c r="CV10" s="314"/>
      <c r="CW10" s="314"/>
      <c r="CX10" s="314"/>
      <c r="CY10" s="314"/>
      <c r="CZ10" s="314"/>
      <c r="DA10" s="314"/>
      <c r="DB10" s="314"/>
      <c r="DC10" s="314"/>
      <c r="DD10" s="314"/>
      <c r="DE10" s="314"/>
      <c r="DF10" s="314"/>
      <c r="DG10" s="314"/>
      <c r="DH10" s="314"/>
      <c r="DI10" s="314"/>
      <c r="DJ10" s="314"/>
      <c r="DK10" s="314"/>
      <c r="DL10" s="314"/>
      <c r="DM10" s="314"/>
      <c r="DN10" s="314"/>
      <c r="DO10" s="314"/>
      <c r="DP10" s="314"/>
      <c r="DQ10" s="314"/>
      <c r="DR10" s="314"/>
      <c r="DS10" s="314"/>
      <c r="DT10" s="314"/>
      <c r="DU10" s="314"/>
      <c r="DV10" s="314"/>
      <c r="DW10" s="314"/>
      <c r="DX10" s="314"/>
      <c r="DY10" s="314"/>
      <c r="DZ10" s="314"/>
      <c r="EA10" s="314"/>
      <c r="EB10" s="314"/>
      <c r="EC10" s="314"/>
      <c r="ED10" s="314"/>
      <c r="EE10" s="314"/>
      <c r="EF10" s="314"/>
      <c r="EG10" s="314"/>
      <c r="EH10" s="314"/>
      <c r="EI10" s="314"/>
      <c r="EJ10" s="314"/>
      <c r="EK10" s="314"/>
      <c r="EL10" s="314"/>
      <c r="EM10" s="314"/>
      <c r="EN10" s="314"/>
      <c r="EO10" s="314"/>
      <c r="EP10" s="314"/>
      <c r="EQ10" s="314"/>
      <c r="ER10" s="314"/>
      <c r="ES10" s="314"/>
      <c r="ET10" s="314"/>
      <c r="EU10" s="314"/>
      <c r="EV10" s="314"/>
      <c r="EW10" s="314"/>
      <c r="EX10" s="314"/>
      <c r="EY10" s="314"/>
      <c r="EZ10" s="314"/>
      <c r="FA10" s="314"/>
      <c r="FB10" s="314"/>
      <c r="FC10" s="314"/>
      <c r="FD10" s="314"/>
      <c r="FE10" s="314"/>
      <c r="FF10" s="314"/>
      <c r="FG10" s="314"/>
      <c r="FH10" s="314"/>
      <c r="FI10" s="314"/>
      <c r="FJ10" s="314"/>
      <c r="FK10" s="314"/>
      <c r="FL10" s="314"/>
      <c r="FM10" s="314"/>
      <c r="FN10" s="314"/>
      <c r="FO10" s="314"/>
      <c r="FP10" s="314"/>
      <c r="FQ10" s="314"/>
      <c r="FR10" s="314"/>
      <c r="FS10" s="314"/>
      <c r="FT10" s="314"/>
      <c r="FU10" s="314"/>
      <c r="FV10" s="314"/>
      <c r="FW10" s="314"/>
      <c r="FX10" s="314"/>
      <c r="FY10" s="314"/>
      <c r="FZ10" s="314"/>
      <c r="GA10" s="314"/>
      <c r="GB10" s="314"/>
      <c r="GC10" s="314"/>
      <c r="GD10" s="314"/>
      <c r="GE10" s="314"/>
      <c r="GF10" s="314"/>
      <c r="GG10" s="314"/>
      <c r="GH10" s="314"/>
      <c r="GI10" s="314"/>
      <c r="GJ10" s="314"/>
      <c r="GK10" s="314"/>
      <c r="GL10" s="314"/>
      <c r="GM10" s="314"/>
      <c r="GN10" s="314"/>
      <c r="GO10" s="314"/>
      <c r="GP10" s="314"/>
      <c r="GQ10" s="314"/>
      <c r="GR10" s="314"/>
      <c r="GS10" s="314"/>
      <c r="GT10" s="314"/>
      <c r="GU10" s="314"/>
      <c r="GV10" s="314"/>
      <c r="GW10" s="314"/>
      <c r="GX10" s="314"/>
      <c r="GY10" s="314"/>
      <c r="GZ10" s="314"/>
      <c r="HA10" s="314"/>
      <c r="HB10" s="314"/>
      <c r="HC10" s="314"/>
      <c r="HD10" s="314"/>
      <c r="HE10" s="314"/>
      <c r="HF10" s="314"/>
      <c r="HG10" s="314"/>
      <c r="HH10" s="314"/>
      <c r="HI10" s="314"/>
      <c r="HJ10" s="314"/>
      <c r="HK10" s="314"/>
      <c r="HL10" s="314"/>
      <c r="HM10" s="314"/>
      <c r="HN10" s="314"/>
      <c r="HO10" s="314"/>
      <c r="HP10" s="314"/>
      <c r="HQ10" s="314"/>
      <c r="HR10" s="314"/>
      <c r="HS10" s="314"/>
      <c r="HT10" s="314"/>
      <c r="HU10" s="314"/>
      <c r="HV10" s="314"/>
      <c r="HW10" s="314"/>
      <c r="HX10" s="314"/>
      <c r="HY10" s="314"/>
      <c r="HZ10" s="314"/>
      <c r="IA10" s="314"/>
      <c r="IB10" s="314"/>
      <c r="IC10" s="314"/>
      <c r="ID10" s="314"/>
      <c r="IE10" s="314"/>
      <c r="IF10" s="314"/>
      <c r="IG10" s="314"/>
      <c r="IH10" s="314"/>
      <c r="II10" s="314"/>
      <c r="IJ10" s="314"/>
      <c r="IK10" s="314"/>
      <c r="IL10" s="314"/>
      <c r="IM10" s="314"/>
      <c r="IN10" s="314"/>
      <c r="IO10" s="314"/>
      <c r="IP10" s="314"/>
      <c r="IQ10" s="314"/>
      <c r="IR10" s="314"/>
      <c r="IS10" s="314"/>
      <c r="IT10" s="314"/>
      <c r="IU10" s="314"/>
      <c r="IV10" s="314"/>
    </row>
    <row r="11" spans="1:256" s="313" customFormat="1" ht="6.75" customHeight="1">
      <c r="A11" s="316"/>
      <c r="B11" s="3567"/>
      <c r="C11" s="322"/>
      <c r="D11" s="3568"/>
      <c r="E11" s="322"/>
      <c r="F11" s="3568"/>
      <c r="J11" s="314"/>
      <c r="K11" s="314"/>
      <c r="L11" s="314"/>
      <c r="M11" s="314"/>
      <c r="N11" s="314"/>
      <c r="O11" s="314"/>
      <c r="P11" s="314"/>
      <c r="Q11" s="314"/>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c r="CQ11" s="314"/>
      <c r="CR11" s="314"/>
      <c r="CS11" s="314"/>
      <c r="CT11" s="314"/>
      <c r="CU11" s="314"/>
      <c r="CV11" s="314"/>
      <c r="CW11" s="314"/>
      <c r="CX11" s="314"/>
      <c r="CY11" s="314"/>
      <c r="CZ11" s="314"/>
      <c r="DA11" s="314"/>
      <c r="DB11" s="314"/>
      <c r="DC11" s="314"/>
      <c r="DD11" s="314"/>
      <c r="DE11" s="314"/>
      <c r="DF11" s="314"/>
      <c r="DG11" s="314"/>
      <c r="DH11" s="314"/>
      <c r="DI11" s="314"/>
      <c r="DJ11" s="314"/>
      <c r="DK11" s="314"/>
      <c r="DL11" s="314"/>
      <c r="DM11" s="314"/>
      <c r="DN11" s="314"/>
      <c r="DO11" s="314"/>
      <c r="DP11" s="314"/>
      <c r="DQ11" s="314"/>
      <c r="DR11" s="314"/>
      <c r="DS11" s="314"/>
      <c r="DT11" s="314"/>
      <c r="DU11" s="314"/>
      <c r="DV11" s="314"/>
      <c r="DW11" s="314"/>
      <c r="DX11" s="314"/>
      <c r="DY11" s="314"/>
      <c r="DZ11" s="314"/>
      <c r="EA11" s="314"/>
      <c r="EB11" s="314"/>
      <c r="EC11" s="314"/>
      <c r="ED11" s="314"/>
      <c r="EE11" s="314"/>
      <c r="EF11" s="314"/>
      <c r="EG11" s="314"/>
      <c r="EH11" s="314"/>
      <c r="EI11" s="314"/>
      <c r="EJ11" s="314"/>
      <c r="EK11" s="314"/>
      <c r="EL11" s="314"/>
      <c r="EM11" s="314"/>
      <c r="EN11" s="314"/>
      <c r="EO11" s="314"/>
      <c r="EP11" s="314"/>
      <c r="EQ11" s="314"/>
      <c r="ER11" s="314"/>
      <c r="ES11" s="314"/>
      <c r="ET11" s="314"/>
      <c r="EU11" s="314"/>
      <c r="EV11" s="314"/>
      <c r="EW11" s="314"/>
      <c r="EX11" s="314"/>
      <c r="EY11" s="314"/>
      <c r="EZ11" s="314"/>
      <c r="FA11" s="314"/>
      <c r="FB11" s="314"/>
      <c r="FC11" s="314"/>
      <c r="FD11" s="314"/>
      <c r="FE11" s="314"/>
      <c r="FF11" s="314"/>
      <c r="FG11" s="314"/>
      <c r="FH11" s="314"/>
      <c r="FI11" s="314"/>
      <c r="FJ11" s="314"/>
      <c r="FK11" s="314"/>
      <c r="FL11" s="314"/>
      <c r="FM11" s="314"/>
      <c r="FN11" s="314"/>
      <c r="FO11" s="314"/>
      <c r="FP11" s="314"/>
      <c r="FQ11" s="314"/>
      <c r="FR11" s="314"/>
      <c r="FS11" s="314"/>
      <c r="FT11" s="314"/>
      <c r="FU11" s="314"/>
      <c r="FV11" s="314"/>
      <c r="FW11" s="314"/>
      <c r="FX11" s="314"/>
      <c r="FY11" s="314"/>
      <c r="FZ11" s="314"/>
      <c r="GA11" s="314"/>
      <c r="GB11" s="314"/>
      <c r="GC11" s="314"/>
      <c r="GD11" s="314"/>
      <c r="GE11" s="314"/>
      <c r="GF11" s="314"/>
      <c r="GG11" s="314"/>
      <c r="GH11" s="314"/>
      <c r="GI11" s="314"/>
      <c r="GJ11" s="314"/>
      <c r="GK11" s="314"/>
      <c r="GL11" s="314"/>
      <c r="GM11" s="314"/>
      <c r="GN11" s="314"/>
      <c r="GO11" s="314"/>
      <c r="GP11" s="314"/>
      <c r="GQ11" s="314"/>
      <c r="GR11" s="314"/>
      <c r="GS11" s="314"/>
      <c r="GT11" s="314"/>
      <c r="GU11" s="314"/>
      <c r="GV11" s="314"/>
      <c r="GW11" s="314"/>
      <c r="GX11" s="314"/>
      <c r="GY11" s="314"/>
      <c r="GZ11" s="314"/>
      <c r="HA11" s="314"/>
      <c r="HB11" s="314"/>
      <c r="HC11" s="314"/>
      <c r="HD11" s="314"/>
      <c r="HE11" s="314"/>
      <c r="HF11" s="314"/>
      <c r="HG11" s="314"/>
      <c r="HH11" s="314"/>
      <c r="HI11" s="314"/>
      <c r="HJ11" s="314"/>
      <c r="HK11" s="314"/>
      <c r="HL11" s="314"/>
      <c r="HM11" s="314"/>
      <c r="HN11" s="314"/>
      <c r="HO11" s="314"/>
      <c r="HP11" s="314"/>
      <c r="HQ11" s="314"/>
      <c r="HR11" s="314"/>
      <c r="HS11" s="314"/>
      <c r="HT11" s="314"/>
      <c r="HU11" s="314"/>
      <c r="HV11" s="314"/>
      <c r="HW11" s="314"/>
      <c r="HX11" s="314"/>
      <c r="HY11" s="314"/>
      <c r="HZ11" s="314"/>
      <c r="IA11" s="314"/>
      <c r="IB11" s="314"/>
      <c r="IC11" s="314"/>
      <c r="ID11" s="314"/>
      <c r="IE11" s="314"/>
      <c r="IF11" s="314"/>
      <c r="IG11" s="314"/>
      <c r="IH11" s="314"/>
      <c r="II11" s="314"/>
      <c r="IJ11" s="314"/>
      <c r="IK11" s="314"/>
      <c r="IL11" s="314"/>
      <c r="IM11" s="314"/>
      <c r="IN11" s="314"/>
      <c r="IO11" s="314"/>
      <c r="IP11" s="314"/>
      <c r="IQ11" s="314"/>
      <c r="IR11" s="314"/>
      <c r="IS11" s="314"/>
      <c r="IT11" s="314"/>
      <c r="IU11" s="314"/>
      <c r="IV11" s="314"/>
    </row>
    <row r="12" spans="1:256" s="313" customFormat="1">
      <c r="A12" s="323" t="s">
        <v>2354</v>
      </c>
      <c r="J12" s="314"/>
      <c r="K12" s="314"/>
      <c r="L12" s="314"/>
      <c r="M12" s="314"/>
      <c r="N12" s="314"/>
      <c r="O12" s="314"/>
      <c r="P12" s="314"/>
      <c r="Q12" s="314"/>
      <c r="R12" s="314"/>
      <c r="S12" s="314"/>
      <c r="T12" s="314"/>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c r="BK12" s="314"/>
      <c r="BL12" s="314"/>
      <c r="BM12" s="314"/>
      <c r="BN12" s="314"/>
      <c r="BO12" s="314"/>
      <c r="BP12" s="314"/>
      <c r="BQ12" s="314"/>
      <c r="BR12" s="314"/>
      <c r="BS12" s="314"/>
      <c r="BT12" s="314"/>
      <c r="BU12" s="314"/>
      <c r="BV12" s="314"/>
      <c r="BW12" s="314"/>
      <c r="BX12" s="314"/>
      <c r="BY12" s="314"/>
      <c r="BZ12" s="314"/>
      <c r="CA12" s="314"/>
      <c r="CB12" s="314"/>
      <c r="CC12" s="314"/>
      <c r="CD12" s="314"/>
      <c r="CE12" s="314"/>
      <c r="CF12" s="314"/>
      <c r="CG12" s="314"/>
      <c r="CH12" s="314"/>
      <c r="CI12" s="314"/>
      <c r="CJ12" s="314"/>
      <c r="CK12" s="314"/>
      <c r="CL12" s="314"/>
      <c r="CM12" s="314"/>
      <c r="CN12" s="314"/>
      <c r="CO12" s="314"/>
      <c r="CP12" s="314"/>
      <c r="CQ12" s="314"/>
      <c r="CR12" s="314"/>
      <c r="CS12" s="314"/>
      <c r="CT12" s="314"/>
      <c r="CU12" s="314"/>
      <c r="CV12" s="314"/>
      <c r="CW12" s="314"/>
      <c r="CX12" s="314"/>
      <c r="CY12" s="314"/>
      <c r="CZ12" s="314"/>
      <c r="DA12" s="314"/>
      <c r="DB12" s="314"/>
      <c r="DC12" s="314"/>
      <c r="DD12" s="314"/>
      <c r="DE12" s="314"/>
      <c r="DF12" s="314"/>
      <c r="DG12" s="314"/>
      <c r="DH12" s="314"/>
      <c r="DI12" s="314"/>
      <c r="DJ12" s="314"/>
      <c r="DK12" s="314"/>
      <c r="DL12" s="314"/>
      <c r="DM12" s="314"/>
      <c r="DN12" s="314"/>
      <c r="DO12" s="314"/>
      <c r="DP12" s="314"/>
      <c r="DQ12" s="314"/>
      <c r="DR12" s="314"/>
      <c r="DS12" s="314"/>
      <c r="DT12" s="314"/>
      <c r="DU12" s="314"/>
      <c r="DV12" s="314"/>
      <c r="DW12" s="314"/>
      <c r="DX12" s="314"/>
      <c r="DY12" s="314"/>
      <c r="DZ12" s="314"/>
      <c r="EA12" s="314"/>
      <c r="EB12" s="314"/>
      <c r="EC12" s="314"/>
      <c r="ED12" s="314"/>
      <c r="EE12" s="314"/>
      <c r="EF12" s="314"/>
      <c r="EG12" s="314"/>
      <c r="EH12" s="314"/>
      <c r="EI12" s="314"/>
      <c r="EJ12" s="314"/>
      <c r="EK12" s="314"/>
      <c r="EL12" s="314"/>
      <c r="EM12" s="314"/>
      <c r="EN12" s="314"/>
      <c r="EO12" s="314"/>
      <c r="EP12" s="314"/>
      <c r="EQ12" s="314"/>
      <c r="ER12" s="314"/>
      <c r="ES12" s="314"/>
      <c r="ET12" s="314"/>
      <c r="EU12" s="314"/>
      <c r="EV12" s="314"/>
      <c r="EW12" s="314"/>
      <c r="EX12" s="314"/>
      <c r="EY12" s="314"/>
      <c r="EZ12" s="314"/>
      <c r="FA12" s="314"/>
      <c r="FB12" s="314"/>
      <c r="FC12" s="314"/>
      <c r="FD12" s="314"/>
      <c r="FE12" s="314"/>
      <c r="FF12" s="314"/>
      <c r="FG12" s="314"/>
      <c r="FH12" s="314"/>
      <c r="FI12" s="314"/>
      <c r="FJ12" s="314"/>
      <c r="FK12" s="314"/>
      <c r="FL12" s="314"/>
      <c r="FM12" s="314"/>
      <c r="FN12" s="314"/>
      <c r="FO12" s="314"/>
      <c r="FP12" s="314"/>
      <c r="FQ12" s="314"/>
      <c r="FR12" s="314"/>
      <c r="FS12" s="314"/>
      <c r="FT12" s="314"/>
      <c r="FU12" s="314"/>
      <c r="FV12" s="314"/>
      <c r="FW12" s="314"/>
      <c r="FX12" s="314"/>
      <c r="FY12" s="314"/>
      <c r="FZ12" s="314"/>
      <c r="GA12" s="314"/>
      <c r="GB12" s="314"/>
      <c r="GC12" s="314"/>
      <c r="GD12" s="314"/>
      <c r="GE12" s="314"/>
      <c r="GF12" s="314"/>
      <c r="GG12" s="314"/>
      <c r="GH12" s="314"/>
      <c r="GI12" s="314"/>
      <c r="GJ12" s="314"/>
      <c r="GK12" s="314"/>
      <c r="GL12" s="314"/>
      <c r="GM12" s="314"/>
      <c r="GN12" s="314"/>
      <c r="GO12" s="314"/>
      <c r="GP12" s="314"/>
      <c r="GQ12" s="314"/>
      <c r="GR12" s="314"/>
      <c r="GS12" s="314"/>
      <c r="GT12" s="314"/>
      <c r="GU12" s="314"/>
      <c r="GV12" s="314"/>
      <c r="GW12" s="314"/>
      <c r="GX12" s="314"/>
      <c r="GY12" s="314"/>
      <c r="GZ12" s="314"/>
      <c r="HA12" s="314"/>
      <c r="HB12" s="314"/>
      <c r="HC12" s="314"/>
      <c r="HD12" s="314"/>
      <c r="HE12" s="314"/>
      <c r="HF12" s="314"/>
      <c r="HG12" s="314"/>
      <c r="HH12" s="314"/>
      <c r="HI12" s="314"/>
      <c r="HJ12" s="314"/>
      <c r="HK12" s="314"/>
      <c r="HL12" s="314"/>
      <c r="HM12" s="314"/>
      <c r="HN12" s="314"/>
      <c r="HO12" s="314"/>
      <c r="HP12" s="314"/>
      <c r="HQ12" s="314"/>
      <c r="HR12" s="314"/>
      <c r="HS12" s="314"/>
      <c r="HT12" s="314"/>
      <c r="HU12" s="314"/>
      <c r="HV12" s="314"/>
      <c r="HW12" s="314"/>
      <c r="HX12" s="314"/>
      <c r="HY12" s="314"/>
      <c r="HZ12" s="314"/>
      <c r="IA12" s="314"/>
      <c r="IB12" s="314"/>
      <c r="IC12" s="314"/>
      <c r="ID12" s="314"/>
      <c r="IE12" s="314"/>
      <c r="IF12" s="314"/>
      <c r="IG12" s="314"/>
      <c r="IH12" s="314"/>
      <c r="II12" s="314"/>
      <c r="IJ12" s="314"/>
      <c r="IK12" s="314"/>
      <c r="IL12" s="314"/>
      <c r="IM12" s="314"/>
      <c r="IN12" s="314"/>
      <c r="IO12" s="314"/>
      <c r="IP12" s="314"/>
      <c r="IQ12" s="314"/>
      <c r="IR12" s="314"/>
      <c r="IS12" s="314"/>
      <c r="IT12" s="314"/>
      <c r="IU12" s="314"/>
      <c r="IV12" s="314"/>
    </row>
    <row r="13" spans="1:256" s="313" customFormat="1">
      <c r="A13" s="320" t="s">
        <v>2625</v>
      </c>
      <c r="G13" s="1120" t="s">
        <v>2308</v>
      </c>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4"/>
      <c r="BP13" s="314"/>
      <c r="BQ13" s="314"/>
      <c r="BR13" s="314"/>
      <c r="BS13" s="314"/>
      <c r="BT13" s="314"/>
      <c r="BU13" s="314"/>
      <c r="BV13" s="314"/>
      <c r="BW13" s="314"/>
      <c r="BX13" s="314"/>
      <c r="BY13" s="314"/>
      <c r="BZ13" s="314"/>
      <c r="CA13" s="314"/>
      <c r="CB13" s="314"/>
      <c r="CC13" s="314"/>
      <c r="CD13" s="314"/>
      <c r="CE13" s="314"/>
      <c r="CF13" s="314"/>
      <c r="CG13" s="314"/>
      <c r="CH13" s="314"/>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4"/>
      <c r="ET13" s="314"/>
      <c r="EU13" s="314"/>
      <c r="EV13" s="314"/>
      <c r="EW13" s="314"/>
      <c r="EX13" s="314"/>
      <c r="EY13" s="314"/>
      <c r="EZ13" s="314"/>
      <c r="FA13" s="314"/>
      <c r="FB13" s="314"/>
      <c r="FC13" s="314"/>
      <c r="FD13" s="314"/>
      <c r="FE13" s="314"/>
      <c r="FF13" s="314"/>
      <c r="FG13" s="314"/>
      <c r="FH13" s="314"/>
      <c r="FI13" s="314"/>
      <c r="FJ13" s="314"/>
      <c r="FK13" s="314"/>
      <c r="FL13" s="314"/>
      <c r="FM13" s="314"/>
      <c r="FN13" s="314"/>
      <c r="FO13" s="314"/>
      <c r="FP13" s="314"/>
      <c r="FQ13" s="314"/>
      <c r="FR13" s="314"/>
      <c r="FS13" s="314"/>
      <c r="FT13" s="314"/>
      <c r="FU13" s="314"/>
      <c r="FV13" s="314"/>
      <c r="FW13" s="314"/>
      <c r="FX13" s="314"/>
      <c r="FY13" s="314"/>
      <c r="FZ13" s="314"/>
      <c r="GA13" s="314"/>
      <c r="GB13" s="314"/>
      <c r="GC13" s="314"/>
      <c r="GD13" s="314"/>
      <c r="GE13" s="314"/>
      <c r="GF13" s="314"/>
      <c r="GG13" s="314"/>
      <c r="GH13" s="314"/>
      <c r="GI13" s="314"/>
      <c r="GJ13" s="314"/>
      <c r="GK13" s="314"/>
      <c r="GL13" s="314"/>
      <c r="GM13" s="314"/>
      <c r="GN13" s="314"/>
      <c r="GO13" s="314"/>
      <c r="GP13" s="314"/>
      <c r="GQ13" s="314"/>
      <c r="GR13" s="314"/>
      <c r="GS13" s="314"/>
      <c r="GT13" s="314"/>
      <c r="GU13" s="314"/>
      <c r="GV13" s="314"/>
      <c r="GW13" s="314"/>
      <c r="GX13" s="314"/>
      <c r="GY13" s="314"/>
      <c r="GZ13" s="314"/>
      <c r="HA13" s="314"/>
      <c r="HB13" s="314"/>
      <c r="HC13" s="314"/>
      <c r="HD13" s="314"/>
      <c r="HE13" s="314"/>
      <c r="HF13" s="314"/>
      <c r="HG13" s="314"/>
      <c r="HH13" s="314"/>
      <c r="HI13" s="314"/>
      <c r="HJ13" s="314"/>
      <c r="HK13" s="314"/>
      <c r="HL13" s="314"/>
      <c r="HM13" s="314"/>
      <c r="HN13" s="314"/>
      <c r="HO13" s="314"/>
      <c r="HP13" s="314"/>
      <c r="HQ13" s="314"/>
      <c r="HR13" s="314"/>
      <c r="HS13" s="314"/>
      <c r="HT13" s="314"/>
      <c r="HU13" s="314"/>
      <c r="HV13" s="314"/>
      <c r="HW13" s="314"/>
      <c r="HX13" s="314"/>
      <c r="HY13" s="314"/>
      <c r="HZ13" s="314"/>
      <c r="IA13" s="314"/>
      <c r="IB13" s="314"/>
      <c r="IC13" s="314"/>
      <c r="ID13" s="314"/>
      <c r="IE13" s="314"/>
      <c r="IF13" s="314"/>
      <c r="IG13" s="314"/>
      <c r="IH13" s="314"/>
      <c r="II13" s="314"/>
      <c r="IJ13" s="314"/>
      <c r="IK13" s="314"/>
      <c r="IL13" s="314"/>
      <c r="IM13" s="314"/>
      <c r="IN13" s="314"/>
      <c r="IO13" s="314"/>
      <c r="IP13" s="314"/>
      <c r="IQ13" s="314"/>
      <c r="IR13" s="314"/>
      <c r="IS13" s="314"/>
      <c r="IT13" s="314"/>
      <c r="IU13" s="314"/>
      <c r="IV13" s="314"/>
    </row>
    <row r="14" spans="1:256" s="313" customFormat="1">
      <c r="A14" s="324" t="s">
        <v>2626</v>
      </c>
      <c r="B14" s="1359">
        <f>'Accounts by GL'!O226</f>
        <v>0</v>
      </c>
      <c r="C14" s="326"/>
      <c r="D14" s="1360">
        <v>0</v>
      </c>
      <c r="E14" s="326"/>
      <c r="F14" s="1359">
        <f>B14+D14</f>
        <v>0</v>
      </c>
      <c r="G14" s="783"/>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4"/>
      <c r="BP14" s="314"/>
      <c r="BQ14" s="314"/>
      <c r="BR14" s="314"/>
      <c r="BS14" s="314"/>
      <c r="BT14" s="314"/>
      <c r="BU14" s="314"/>
      <c r="BV14" s="314"/>
      <c r="BW14" s="314"/>
      <c r="BX14" s="314"/>
      <c r="BY14" s="314"/>
      <c r="BZ14" s="314"/>
      <c r="CA14" s="314"/>
      <c r="CB14" s="314"/>
      <c r="CC14" s="314"/>
      <c r="CD14" s="314"/>
      <c r="CE14" s="314"/>
      <c r="CF14" s="314"/>
      <c r="CG14" s="314"/>
      <c r="CH14" s="314"/>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4"/>
      <c r="ET14" s="314"/>
      <c r="EU14" s="314"/>
      <c r="EV14" s="314"/>
      <c r="EW14" s="314"/>
      <c r="EX14" s="314"/>
      <c r="EY14" s="314"/>
      <c r="EZ14" s="314"/>
      <c r="FA14" s="314"/>
      <c r="FB14" s="314"/>
      <c r="FC14" s="314"/>
      <c r="FD14" s="314"/>
      <c r="FE14" s="314"/>
      <c r="FF14" s="314"/>
      <c r="FG14" s="314"/>
      <c r="FH14" s="314"/>
      <c r="FI14" s="314"/>
      <c r="FJ14" s="314"/>
      <c r="FK14" s="314"/>
      <c r="FL14" s="314"/>
      <c r="FM14" s="314"/>
      <c r="FN14" s="314"/>
      <c r="FO14" s="314"/>
      <c r="FP14" s="314"/>
      <c r="FQ14" s="314"/>
      <c r="FR14" s="314"/>
      <c r="FS14" s="314"/>
      <c r="FT14" s="314"/>
      <c r="FU14" s="314"/>
      <c r="FV14" s="314"/>
      <c r="FW14" s="314"/>
      <c r="FX14" s="314"/>
      <c r="FY14" s="314"/>
      <c r="FZ14" s="314"/>
      <c r="GA14" s="314"/>
      <c r="GB14" s="314"/>
      <c r="GC14" s="314"/>
      <c r="GD14" s="314"/>
      <c r="GE14" s="314"/>
      <c r="GF14" s="314"/>
      <c r="GG14" s="314"/>
      <c r="GH14" s="314"/>
      <c r="GI14" s="314"/>
      <c r="GJ14" s="314"/>
      <c r="GK14" s="314"/>
      <c r="GL14" s="314"/>
      <c r="GM14" s="314"/>
      <c r="GN14" s="314"/>
      <c r="GO14" s="314"/>
      <c r="GP14" s="314"/>
      <c r="GQ14" s="314"/>
      <c r="GR14" s="314"/>
      <c r="GS14" s="314"/>
      <c r="GT14" s="314"/>
      <c r="GU14" s="314"/>
      <c r="GV14" s="314"/>
      <c r="GW14" s="314"/>
      <c r="GX14" s="314"/>
      <c r="GY14" s="314"/>
      <c r="GZ14" s="314"/>
      <c r="HA14" s="314"/>
      <c r="HB14" s="314"/>
      <c r="HC14" s="314"/>
      <c r="HD14" s="314"/>
      <c r="HE14" s="314"/>
      <c r="HF14" s="314"/>
      <c r="HG14" s="314"/>
      <c r="HH14" s="314"/>
      <c r="HI14" s="314"/>
      <c r="HJ14" s="314"/>
      <c r="HK14" s="314"/>
      <c r="HL14" s="314"/>
      <c r="HM14" s="314"/>
      <c r="HN14" s="314"/>
      <c r="HO14" s="314"/>
      <c r="HP14" s="314"/>
      <c r="HQ14" s="314"/>
      <c r="HR14" s="314"/>
      <c r="HS14" s="314"/>
      <c r="HT14" s="314"/>
      <c r="HU14" s="314"/>
      <c r="HV14" s="314"/>
      <c r="HW14" s="314"/>
      <c r="HX14" s="314"/>
      <c r="HY14" s="314"/>
      <c r="HZ14" s="314"/>
      <c r="IA14" s="314"/>
      <c r="IB14" s="314"/>
      <c r="IC14" s="314"/>
      <c r="ID14" s="314"/>
      <c r="IE14" s="314"/>
      <c r="IF14" s="314"/>
      <c r="IG14" s="314"/>
      <c r="IH14" s="314"/>
      <c r="II14" s="314"/>
      <c r="IJ14" s="314"/>
      <c r="IK14" s="314"/>
      <c r="IL14" s="314"/>
      <c r="IM14" s="314"/>
      <c r="IN14" s="314"/>
      <c r="IO14" s="314"/>
      <c r="IP14" s="314"/>
      <c r="IQ14" s="314"/>
      <c r="IR14" s="314"/>
      <c r="IS14" s="314"/>
      <c r="IT14" s="314"/>
      <c r="IU14" s="314"/>
      <c r="IV14" s="314"/>
    </row>
    <row r="15" spans="1:256" s="313" customFormat="1">
      <c r="A15" s="324" t="s">
        <v>2627</v>
      </c>
      <c r="B15" s="1359">
        <f>'Accounts by GL'!O227</f>
        <v>0</v>
      </c>
      <c r="C15" s="325"/>
      <c r="D15" s="1360">
        <v>0</v>
      </c>
      <c r="E15" s="326"/>
      <c r="F15" s="1359">
        <f>B15+D15</f>
        <v>0</v>
      </c>
      <c r="G15" s="783"/>
      <c r="J15" s="314"/>
      <c r="K15" s="314"/>
      <c r="L15" s="314"/>
      <c r="M15" s="314"/>
      <c r="N15" s="314"/>
      <c r="O15" s="314"/>
      <c r="P15" s="314"/>
      <c r="Q15" s="314"/>
      <c r="R15" s="314"/>
      <c r="S15" s="314"/>
      <c r="T15" s="314"/>
      <c r="U15" s="314"/>
      <c r="V15" s="314"/>
      <c r="W15" s="314"/>
      <c r="X15" s="314"/>
      <c r="Y15" s="314"/>
      <c r="Z15" s="314"/>
      <c r="AA15" s="314"/>
      <c r="AB15" s="314"/>
      <c r="AC15" s="314"/>
      <c r="AD15" s="314"/>
      <c r="AE15" s="314"/>
      <c r="AF15" s="314"/>
      <c r="AG15" s="314"/>
      <c r="AH15" s="314"/>
      <c r="AI15" s="314"/>
      <c r="AJ15" s="314"/>
      <c r="AK15" s="314"/>
      <c r="AL15" s="314"/>
      <c r="AM15" s="314"/>
      <c r="AN15" s="314"/>
      <c r="AO15" s="314"/>
      <c r="AP15" s="314"/>
      <c r="AQ15" s="314"/>
      <c r="AR15" s="314"/>
      <c r="AS15" s="314"/>
      <c r="AT15" s="314"/>
      <c r="AU15" s="314"/>
      <c r="AV15" s="314"/>
      <c r="AW15" s="314"/>
      <c r="AX15" s="314"/>
      <c r="AY15" s="314"/>
      <c r="AZ15" s="314"/>
      <c r="BA15" s="314"/>
      <c r="BB15" s="314"/>
      <c r="BC15" s="314"/>
      <c r="BD15" s="314"/>
      <c r="BE15" s="314"/>
      <c r="BF15" s="314"/>
      <c r="BG15" s="314"/>
      <c r="BH15" s="314"/>
      <c r="BI15" s="314"/>
      <c r="BJ15" s="314"/>
      <c r="BK15" s="314"/>
      <c r="BL15" s="314"/>
      <c r="BM15" s="314"/>
      <c r="BN15" s="314"/>
      <c r="BO15" s="314"/>
      <c r="BP15" s="314"/>
      <c r="BQ15" s="314"/>
      <c r="BR15" s="314"/>
      <c r="BS15" s="314"/>
      <c r="BT15" s="314"/>
      <c r="BU15" s="314"/>
      <c r="BV15" s="314"/>
      <c r="BW15" s="314"/>
      <c r="BX15" s="314"/>
      <c r="BY15" s="314"/>
      <c r="BZ15" s="314"/>
      <c r="CA15" s="314"/>
      <c r="CB15" s="314"/>
      <c r="CC15" s="314"/>
      <c r="CD15" s="314"/>
      <c r="CE15" s="314"/>
      <c r="CF15" s="314"/>
      <c r="CG15" s="314"/>
      <c r="CH15" s="314"/>
      <c r="CI15" s="314"/>
      <c r="CJ15" s="314"/>
      <c r="CK15" s="314"/>
      <c r="CL15" s="314"/>
      <c r="CM15" s="314"/>
      <c r="CN15" s="314"/>
      <c r="CO15" s="314"/>
      <c r="CP15" s="314"/>
      <c r="CQ15" s="314"/>
      <c r="CR15" s="314"/>
      <c r="CS15" s="314"/>
      <c r="CT15" s="314"/>
      <c r="CU15" s="314"/>
      <c r="CV15" s="314"/>
      <c r="CW15" s="314"/>
      <c r="CX15" s="314"/>
      <c r="CY15" s="314"/>
      <c r="CZ15" s="314"/>
      <c r="DA15" s="314"/>
      <c r="DB15" s="314"/>
      <c r="DC15" s="314"/>
      <c r="DD15" s="314"/>
      <c r="DE15" s="314"/>
      <c r="DF15" s="314"/>
      <c r="DG15" s="314"/>
      <c r="DH15" s="314"/>
      <c r="DI15" s="314"/>
      <c r="DJ15" s="314"/>
      <c r="DK15" s="314"/>
      <c r="DL15" s="314"/>
      <c r="DM15" s="314"/>
      <c r="DN15" s="314"/>
      <c r="DO15" s="314"/>
      <c r="DP15" s="314"/>
      <c r="DQ15" s="314"/>
      <c r="DR15" s="314"/>
      <c r="DS15" s="314"/>
      <c r="DT15" s="314"/>
      <c r="DU15" s="314"/>
      <c r="DV15" s="314"/>
      <c r="DW15" s="314"/>
      <c r="DX15" s="314"/>
      <c r="DY15" s="314"/>
      <c r="DZ15" s="314"/>
      <c r="EA15" s="314"/>
      <c r="EB15" s="314"/>
      <c r="EC15" s="314"/>
      <c r="ED15" s="314"/>
      <c r="EE15" s="314"/>
      <c r="EF15" s="314"/>
      <c r="EG15" s="314"/>
      <c r="EH15" s="314"/>
      <c r="EI15" s="314"/>
      <c r="EJ15" s="314"/>
      <c r="EK15" s="314"/>
      <c r="EL15" s="314"/>
      <c r="EM15" s="314"/>
      <c r="EN15" s="314"/>
      <c r="EO15" s="314"/>
      <c r="EP15" s="314"/>
      <c r="EQ15" s="314"/>
      <c r="ER15" s="314"/>
      <c r="ES15" s="314"/>
      <c r="ET15" s="314"/>
      <c r="EU15" s="314"/>
      <c r="EV15" s="314"/>
      <c r="EW15" s="314"/>
      <c r="EX15" s="314"/>
      <c r="EY15" s="314"/>
      <c r="EZ15" s="314"/>
      <c r="FA15" s="314"/>
      <c r="FB15" s="314"/>
      <c r="FC15" s="314"/>
      <c r="FD15" s="314"/>
      <c r="FE15" s="314"/>
      <c r="FF15" s="314"/>
      <c r="FG15" s="314"/>
      <c r="FH15" s="314"/>
      <c r="FI15" s="314"/>
      <c r="FJ15" s="314"/>
      <c r="FK15" s="314"/>
      <c r="FL15" s="314"/>
      <c r="FM15" s="314"/>
      <c r="FN15" s="314"/>
      <c r="FO15" s="314"/>
      <c r="FP15" s="314"/>
      <c r="FQ15" s="314"/>
      <c r="FR15" s="314"/>
      <c r="FS15" s="314"/>
      <c r="FT15" s="314"/>
      <c r="FU15" s="314"/>
      <c r="FV15" s="314"/>
      <c r="FW15" s="314"/>
      <c r="FX15" s="314"/>
      <c r="FY15" s="314"/>
      <c r="FZ15" s="314"/>
      <c r="GA15" s="314"/>
      <c r="GB15" s="314"/>
      <c r="GC15" s="314"/>
      <c r="GD15" s="314"/>
      <c r="GE15" s="314"/>
      <c r="GF15" s="314"/>
      <c r="GG15" s="314"/>
      <c r="GH15" s="314"/>
      <c r="GI15" s="314"/>
      <c r="GJ15" s="314"/>
      <c r="GK15" s="314"/>
      <c r="GL15" s="314"/>
      <c r="GM15" s="314"/>
      <c r="GN15" s="314"/>
      <c r="GO15" s="314"/>
      <c r="GP15" s="314"/>
      <c r="GQ15" s="314"/>
      <c r="GR15" s="314"/>
      <c r="GS15" s="314"/>
      <c r="GT15" s="314"/>
      <c r="GU15" s="314"/>
      <c r="GV15" s="314"/>
      <c r="GW15" s="314"/>
      <c r="GX15" s="314"/>
      <c r="GY15" s="314"/>
      <c r="GZ15" s="314"/>
      <c r="HA15" s="314"/>
      <c r="HB15" s="314"/>
      <c r="HC15" s="314"/>
      <c r="HD15" s="314"/>
      <c r="HE15" s="314"/>
      <c r="HF15" s="314"/>
      <c r="HG15" s="314"/>
      <c r="HH15" s="314"/>
      <c r="HI15" s="314"/>
      <c r="HJ15" s="314"/>
      <c r="HK15" s="314"/>
      <c r="HL15" s="314"/>
      <c r="HM15" s="314"/>
      <c r="HN15" s="314"/>
      <c r="HO15" s="314"/>
      <c r="HP15" s="314"/>
      <c r="HQ15" s="314"/>
      <c r="HR15" s="314"/>
      <c r="HS15" s="314"/>
      <c r="HT15" s="314"/>
      <c r="HU15" s="314"/>
      <c r="HV15" s="314"/>
      <c r="HW15" s="314"/>
      <c r="HX15" s="314"/>
      <c r="HY15" s="314"/>
      <c r="HZ15" s="314"/>
      <c r="IA15" s="314"/>
      <c r="IB15" s="314"/>
      <c r="IC15" s="314"/>
      <c r="ID15" s="314"/>
      <c r="IE15" s="314"/>
      <c r="IF15" s="314"/>
      <c r="IG15" s="314"/>
      <c r="IH15" s="314"/>
      <c r="II15" s="314"/>
      <c r="IJ15" s="314"/>
      <c r="IK15" s="314"/>
      <c r="IL15" s="314"/>
      <c r="IM15" s="314"/>
      <c r="IN15" s="314"/>
      <c r="IO15" s="314"/>
      <c r="IP15" s="314"/>
      <c r="IQ15" s="314"/>
      <c r="IR15" s="314"/>
      <c r="IS15" s="314"/>
      <c r="IT15" s="314"/>
      <c r="IU15" s="314"/>
      <c r="IV15" s="314"/>
    </row>
    <row r="16" spans="1:256" s="313" customFormat="1">
      <c r="A16" s="324" t="s">
        <v>2628</v>
      </c>
      <c r="B16" s="1359">
        <f>'Accounts by GL'!O228</f>
        <v>0</v>
      </c>
      <c r="C16" s="325"/>
      <c r="D16" s="1361">
        <v>0</v>
      </c>
      <c r="E16" s="326"/>
      <c r="F16" s="1363">
        <f>B16+D16</f>
        <v>0</v>
      </c>
      <c r="G16" s="783"/>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314"/>
      <c r="AQ16" s="314"/>
      <c r="AR16" s="314"/>
      <c r="AS16" s="314"/>
      <c r="AT16" s="314"/>
      <c r="AU16" s="314"/>
      <c r="AV16" s="314"/>
      <c r="AW16" s="314"/>
      <c r="AX16" s="314"/>
      <c r="AY16" s="314"/>
      <c r="AZ16" s="314"/>
      <c r="BA16" s="314"/>
      <c r="BB16" s="314"/>
      <c r="BC16" s="314"/>
      <c r="BD16" s="314"/>
      <c r="BE16" s="314"/>
      <c r="BF16" s="314"/>
      <c r="BG16" s="314"/>
      <c r="BH16" s="314"/>
      <c r="BI16" s="314"/>
      <c r="BJ16" s="314"/>
      <c r="BK16" s="314"/>
      <c r="BL16" s="314"/>
      <c r="BM16" s="314"/>
      <c r="BN16" s="314"/>
      <c r="BO16" s="314"/>
      <c r="BP16" s="314"/>
      <c r="BQ16" s="314"/>
      <c r="BR16" s="314"/>
      <c r="BS16" s="314"/>
      <c r="BT16" s="314"/>
      <c r="BU16" s="314"/>
      <c r="BV16" s="314"/>
      <c r="BW16" s="314"/>
      <c r="BX16" s="314"/>
      <c r="BY16" s="314"/>
      <c r="BZ16" s="314"/>
      <c r="CA16" s="314"/>
      <c r="CB16" s="314"/>
      <c r="CC16" s="314"/>
      <c r="CD16" s="314"/>
      <c r="CE16" s="314"/>
      <c r="CF16" s="314"/>
      <c r="CG16" s="314"/>
      <c r="CH16" s="314"/>
      <c r="CI16" s="314"/>
      <c r="CJ16" s="314"/>
      <c r="CK16" s="314"/>
      <c r="CL16" s="314"/>
      <c r="CM16" s="314"/>
      <c r="CN16" s="314"/>
      <c r="CO16" s="314"/>
      <c r="CP16" s="314"/>
      <c r="CQ16" s="314"/>
      <c r="CR16" s="314"/>
      <c r="CS16" s="314"/>
      <c r="CT16" s="314"/>
      <c r="CU16" s="314"/>
      <c r="CV16" s="314"/>
      <c r="CW16" s="314"/>
      <c r="CX16" s="314"/>
      <c r="CY16" s="314"/>
      <c r="CZ16" s="314"/>
      <c r="DA16" s="314"/>
      <c r="DB16" s="314"/>
      <c r="DC16" s="314"/>
      <c r="DD16" s="314"/>
      <c r="DE16" s="314"/>
      <c r="DF16" s="314"/>
      <c r="DG16" s="314"/>
      <c r="DH16" s="314"/>
      <c r="DI16" s="314"/>
      <c r="DJ16" s="314"/>
      <c r="DK16" s="314"/>
      <c r="DL16" s="314"/>
      <c r="DM16" s="314"/>
      <c r="DN16" s="314"/>
      <c r="DO16" s="314"/>
      <c r="DP16" s="314"/>
      <c r="DQ16" s="314"/>
      <c r="DR16" s="314"/>
      <c r="DS16" s="314"/>
      <c r="DT16" s="314"/>
      <c r="DU16" s="314"/>
      <c r="DV16" s="314"/>
      <c r="DW16" s="314"/>
      <c r="DX16" s="314"/>
      <c r="DY16" s="314"/>
      <c r="DZ16" s="314"/>
      <c r="EA16" s="314"/>
      <c r="EB16" s="314"/>
      <c r="EC16" s="314"/>
      <c r="ED16" s="314"/>
      <c r="EE16" s="314"/>
      <c r="EF16" s="314"/>
      <c r="EG16" s="314"/>
      <c r="EH16" s="314"/>
      <c r="EI16" s="314"/>
      <c r="EJ16" s="314"/>
      <c r="EK16" s="314"/>
      <c r="EL16" s="314"/>
      <c r="EM16" s="314"/>
      <c r="EN16" s="314"/>
      <c r="EO16" s="314"/>
      <c r="EP16" s="314"/>
      <c r="EQ16" s="314"/>
      <c r="ER16" s="314"/>
      <c r="ES16" s="314"/>
      <c r="ET16" s="314"/>
      <c r="EU16" s="314"/>
      <c r="EV16" s="314"/>
      <c r="EW16" s="314"/>
      <c r="EX16" s="314"/>
      <c r="EY16" s="314"/>
      <c r="EZ16" s="314"/>
      <c r="FA16" s="314"/>
      <c r="FB16" s="314"/>
      <c r="FC16" s="314"/>
      <c r="FD16" s="314"/>
      <c r="FE16" s="314"/>
      <c r="FF16" s="314"/>
      <c r="FG16" s="314"/>
      <c r="FH16" s="314"/>
      <c r="FI16" s="314"/>
      <c r="FJ16" s="314"/>
      <c r="FK16" s="314"/>
      <c r="FL16" s="314"/>
      <c r="FM16" s="314"/>
      <c r="FN16" s="314"/>
      <c r="FO16" s="314"/>
      <c r="FP16" s="314"/>
      <c r="FQ16" s="314"/>
      <c r="FR16" s="314"/>
      <c r="FS16" s="314"/>
      <c r="FT16" s="314"/>
      <c r="FU16" s="314"/>
      <c r="FV16" s="314"/>
      <c r="FW16" s="314"/>
      <c r="FX16" s="314"/>
      <c r="FY16" s="314"/>
      <c r="FZ16" s="314"/>
      <c r="GA16" s="314"/>
      <c r="GB16" s="314"/>
      <c r="GC16" s="314"/>
      <c r="GD16" s="314"/>
      <c r="GE16" s="314"/>
      <c r="GF16" s="314"/>
      <c r="GG16" s="314"/>
      <c r="GH16" s="314"/>
      <c r="GI16" s="314"/>
      <c r="GJ16" s="314"/>
      <c r="GK16" s="314"/>
      <c r="GL16" s="314"/>
      <c r="GM16" s="314"/>
      <c r="GN16" s="314"/>
      <c r="GO16" s="314"/>
      <c r="GP16" s="314"/>
      <c r="GQ16" s="314"/>
      <c r="GR16" s="314"/>
      <c r="GS16" s="314"/>
      <c r="GT16" s="314"/>
      <c r="GU16" s="314"/>
      <c r="GV16" s="314"/>
      <c r="GW16" s="314"/>
      <c r="GX16" s="314"/>
      <c r="GY16" s="314"/>
      <c r="GZ16" s="314"/>
      <c r="HA16" s="314"/>
      <c r="HB16" s="314"/>
      <c r="HC16" s="314"/>
      <c r="HD16" s="314"/>
      <c r="HE16" s="314"/>
      <c r="HF16" s="314"/>
      <c r="HG16" s="314"/>
      <c r="HH16" s="314"/>
      <c r="HI16" s="314"/>
      <c r="HJ16" s="314"/>
      <c r="HK16" s="314"/>
      <c r="HL16" s="314"/>
      <c r="HM16" s="314"/>
      <c r="HN16" s="314"/>
      <c r="HO16" s="314"/>
      <c r="HP16" s="314"/>
      <c r="HQ16" s="314"/>
      <c r="HR16" s="314"/>
      <c r="HS16" s="314"/>
      <c r="HT16" s="314"/>
      <c r="HU16" s="314"/>
      <c r="HV16" s="314"/>
      <c r="HW16" s="314"/>
      <c r="HX16" s="314"/>
      <c r="HY16" s="314"/>
      <c r="HZ16" s="314"/>
      <c r="IA16" s="314"/>
      <c r="IB16" s="314"/>
      <c r="IC16" s="314"/>
      <c r="ID16" s="314"/>
      <c r="IE16" s="314"/>
      <c r="IF16" s="314"/>
      <c r="IG16" s="314"/>
      <c r="IH16" s="314"/>
      <c r="II16" s="314"/>
      <c r="IJ16" s="314"/>
      <c r="IK16" s="314"/>
      <c r="IL16" s="314"/>
      <c r="IM16" s="314"/>
      <c r="IN16" s="314"/>
      <c r="IO16" s="314"/>
      <c r="IP16" s="314"/>
      <c r="IQ16" s="314"/>
      <c r="IR16" s="314"/>
      <c r="IS16" s="314"/>
      <c r="IT16" s="314"/>
      <c r="IU16" s="314"/>
      <c r="IV16" s="314"/>
    </row>
    <row r="17" spans="1:256" s="313" customFormat="1">
      <c r="A17" s="324" t="s">
        <v>2629</v>
      </c>
      <c r="B17" s="3316">
        <f>SUM(B14:B16)</f>
        <v>0</v>
      </c>
      <c r="C17" s="329"/>
      <c r="D17" s="1362">
        <f>SUM(D14:D16)</f>
        <v>0</v>
      </c>
      <c r="E17" s="329"/>
      <c r="F17" s="1362">
        <f>B17+D17</f>
        <v>0</v>
      </c>
      <c r="G17" s="783"/>
      <c r="J17" s="314"/>
      <c r="K17" s="314"/>
      <c r="L17" s="314"/>
      <c r="M17" s="314"/>
      <c r="N17" s="314"/>
      <c r="O17" s="314"/>
      <c r="P17" s="314"/>
      <c r="Q17" s="314"/>
      <c r="R17" s="314"/>
      <c r="S17" s="314"/>
      <c r="T17" s="314"/>
      <c r="U17" s="314"/>
      <c r="V17" s="314"/>
      <c r="W17" s="314"/>
      <c r="X17" s="314"/>
      <c r="Y17" s="314"/>
      <c r="Z17" s="314"/>
      <c r="AA17" s="314"/>
      <c r="AB17" s="314"/>
      <c r="AC17" s="314"/>
      <c r="AD17" s="314"/>
      <c r="AE17" s="314"/>
      <c r="AF17" s="314"/>
      <c r="AG17" s="314"/>
      <c r="AH17" s="314"/>
      <c r="AI17" s="314"/>
      <c r="AJ17" s="314"/>
      <c r="AK17" s="314"/>
      <c r="AL17" s="314"/>
      <c r="AM17" s="314"/>
      <c r="AN17" s="314"/>
      <c r="AO17" s="314"/>
      <c r="AP17" s="314"/>
      <c r="AQ17" s="314"/>
      <c r="AR17" s="314"/>
      <c r="AS17" s="314"/>
      <c r="AT17" s="314"/>
      <c r="AU17" s="314"/>
      <c r="AV17" s="314"/>
      <c r="AW17" s="314"/>
      <c r="AX17" s="314"/>
      <c r="AY17" s="314"/>
      <c r="AZ17" s="314"/>
      <c r="BA17" s="314"/>
      <c r="BB17" s="314"/>
      <c r="BC17" s="314"/>
      <c r="BD17" s="314"/>
      <c r="BE17" s="314"/>
      <c r="BF17" s="314"/>
      <c r="BG17" s="314"/>
      <c r="BH17" s="314"/>
      <c r="BI17" s="314"/>
      <c r="BJ17" s="314"/>
      <c r="BK17" s="314"/>
      <c r="BL17" s="314"/>
      <c r="BM17" s="314"/>
      <c r="BN17" s="314"/>
      <c r="BO17" s="314"/>
      <c r="BP17" s="314"/>
      <c r="BQ17" s="314"/>
      <c r="BR17" s="314"/>
      <c r="BS17" s="314"/>
      <c r="BT17" s="314"/>
      <c r="BU17" s="314"/>
      <c r="BV17" s="314"/>
      <c r="BW17" s="314"/>
      <c r="BX17" s="314"/>
      <c r="BY17" s="314"/>
      <c r="BZ17" s="314"/>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c r="CX17" s="314"/>
      <c r="CY17" s="314"/>
      <c r="CZ17" s="314"/>
      <c r="DA17" s="314"/>
      <c r="DB17" s="314"/>
      <c r="DC17" s="314"/>
      <c r="DD17" s="314"/>
      <c r="DE17" s="314"/>
      <c r="DF17" s="314"/>
      <c r="DG17" s="314"/>
      <c r="DH17" s="314"/>
      <c r="DI17" s="314"/>
      <c r="DJ17" s="314"/>
      <c r="DK17" s="314"/>
      <c r="DL17" s="314"/>
      <c r="DM17" s="314"/>
      <c r="DN17" s="314"/>
      <c r="DO17" s="314"/>
      <c r="DP17" s="314"/>
      <c r="DQ17" s="314"/>
      <c r="DR17" s="314"/>
      <c r="DS17" s="314"/>
      <c r="DT17" s="314"/>
      <c r="DU17" s="314"/>
      <c r="DV17" s="314"/>
      <c r="DW17" s="314"/>
      <c r="DX17" s="314"/>
      <c r="DY17" s="314"/>
      <c r="DZ17" s="314"/>
      <c r="EA17" s="314"/>
      <c r="EB17" s="314"/>
      <c r="EC17" s="314"/>
      <c r="ED17" s="314"/>
      <c r="EE17" s="314"/>
      <c r="EF17" s="314"/>
      <c r="EG17" s="314"/>
      <c r="EH17" s="314"/>
      <c r="EI17" s="314"/>
      <c r="EJ17" s="314"/>
      <c r="EK17" s="314"/>
      <c r="EL17" s="314"/>
      <c r="EM17" s="314"/>
      <c r="EN17" s="314"/>
      <c r="EO17" s="314"/>
      <c r="EP17" s="314"/>
      <c r="EQ17" s="314"/>
      <c r="ER17" s="314"/>
      <c r="ES17" s="314"/>
      <c r="ET17" s="314"/>
      <c r="EU17" s="314"/>
      <c r="EV17" s="314"/>
      <c r="EW17" s="314"/>
      <c r="EX17" s="314"/>
      <c r="EY17" s="314"/>
      <c r="EZ17" s="314"/>
      <c r="FA17" s="314"/>
      <c r="FB17" s="314"/>
      <c r="FC17" s="314"/>
      <c r="FD17" s="314"/>
      <c r="FE17" s="314"/>
      <c r="FF17" s="314"/>
      <c r="FG17" s="314"/>
      <c r="FH17" s="314"/>
      <c r="FI17" s="314"/>
      <c r="FJ17" s="314"/>
      <c r="FK17" s="314"/>
      <c r="FL17" s="314"/>
      <c r="FM17" s="314"/>
      <c r="FN17" s="314"/>
      <c r="FO17" s="314"/>
      <c r="FP17" s="314"/>
      <c r="FQ17" s="314"/>
      <c r="FR17" s="314"/>
      <c r="FS17" s="314"/>
      <c r="FT17" s="314"/>
      <c r="FU17" s="314"/>
      <c r="FV17" s="314"/>
      <c r="FW17" s="314"/>
      <c r="FX17" s="314"/>
      <c r="FY17" s="314"/>
      <c r="FZ17" s="314"/>
      <c r="GA17" s="314"/>
      <c r="GB17" s="314"/>
      <c r="GC17" s="314"/>
      <c r="GD17" s="314"/>
      <c r="GE17" s="314"/>
      <c r="GF17" s="314"/>
      <c r="GG17" s="314"/>
      <c r="GH17" s="314"/>
      <c r="GI17" s="314"/>
      <c r="GJ17" s="314"/>
      <c r="GK17" s="314"/>
      <c r="GL17" s="314"/>
      <c r="GM17" s="314"/>
      <c r="GN17" s="314"/>
      <c r="GO17" s="314"/>
      <c r="GP17" s="314"/>
      <c r="GQ17" s="314"/>
      <c r="GR17" s="314"/>
      <c r="GS17" s="314"/>
      <c r="GT17" s="314"/>
      <c r="GU17" s="314"/>
      <c r="GV17" s="314"/>
      <c r="GW17" s="314"/>
      <c r="GX17" s="314"/>
      <c r="GY17" s="314"/>
      <c r="GZ17" s="314"/>
      <c r="HA17" s="314"/>
      <c r="HB17" s="314"/>
      <c r="HC17" s="314"/>
      <c r="HD17" s="314"/>
      <c r="HE17" s="314"/>
      <c r="HF17" s="314"/>
      <c r="HG17" s="314"/>
      <c r="HH17" s="314"/>
      <c r="HI17" s="314"/>
      <c r="HJ17" s="314"/>
      <c r="HK17" s="314"/>
      <c r="HL17" s="314"/>
      <c r="HM17" s="314"/>
      <c r="HN17" s="314"/>
      <c r="HO17" s="314"/>
      <c r="HP17" s="314"/>
      <c r="HQ17" s="314"/>
      <c r="HR17" s="314"/>
      <c r="HS17" s="314"/>
      <c r="HT17" s="314"/>
      <c r="HU17" s="314"/>
      <c r="HV17" s="314"/>
      <c r="HW17" s="314"/>
      <c r="HX17" s="314"/>
      <c r="HY17" s="314"/>
      <c r="HZ17" s="314"/>
      <c r="IA17" s="314"/>
      <c r="IB17" s="314"/>
      <c r="IC17" s="314"/>
      <c r="ID17" s="314"/>
      <c r="IE17" s="314"/>
      <c r="IF17" s="314"/>
      <c r="IG17" s="314"/>
      <c r="IH17" s="314"/>
      <c r="II17" s="314"/>
      <c r="IJ17" s="314"/>
      <c r="IK17" s="314"/>
      <c r="IL17" s="314"/>
      <c r="IM17" s="314"/>
      <c r="IN17" s="314"/>
      <c r="IO17" s="314"/>
      <c r="IP17" s="314"/>
      <c r="IQ17" s="314"/>
      <c r="IR17" s="314"/>
      <c r="IS17" s="314"/>
      <c r="IT17" s="314"/>
      <c r="IU17" s="314"/>
      <c r="IV17" s="314"/>
    </row>
    <row r="18" spans="1:256" s="313" customFormat="1" ht="6.75" customHeight="1">
      <c r="A18" s="316"/>
      <c r="B18" s="330"/>
      <c r="C18" s="331"/>
      <c r="D18" s="3568"/>
      <c r="E18" s="331"/>
      <c r="F18" s="3568"/>
      <c r="G18" s="783"/>
      <c r="J18" s="314"/>
      <c r="K18" s="314"/>
      <c r="L18" s="314"/>
      <c r="M18" s="314"/>
      <c r="N18" s="314"/>
      <c r="O18" s="314"/>
      <c r="P18" s="314"/>
      <c r="Q18" s="314"/>
      <c r="R18" s="314"/>
      <c r="S18" s="314"/>
      <c r="T18" s="314"/>
      <c r="U18" s="314"/>
      <c r="V18" s="314"/>
      <c r="W18" s="314"/>
      <c r="X18" s="314"/>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314"/>
      <c r="BB18" s="314"/>
      <c r="BC18" s="314"/>
      <c r="BD18" s="314"/>
      <c r="BE18" s="314"/>
      <c r="BF18" s="314"/>
      <c r="BG18" s="314"/>
      <c r="BH18" s="314"/>
      <c r="BI18" s="314"/>
      <c r="BJ18" s="314"/>
      <c r="BK18" s="314"/>
      <c r="BL18" s="314"/>
      <c r="BM18" s="314"/>
      <c r="BN18" s="314"/>
      <c r="BO18" s="314"/>
      <c r="BP18" s="314"/>
      <c r="BQ18" s="314"/>
      <c r="BR18" s="314"/>
      <c r="BS18" s="314"/>
      <c r="BT18" s="314"/>
      <c r="BU18" s="314"/>
      <c r="BV18" s="314"/>
      <c r="BW18" s="314"/>
      <c r="BX18" s="314"/>
      <c r="BY18" s="314"/>
      <c r="BZ18" s="314"/>
      <c r="CA18" s="314"/>
      <c r="CB18" s="314"/>
      <c r="CC18" s="314"/>
      <c r="CD18" s="314"/>
      <c r="CE18" s="314"/>
      <c r="CF18" s="314"/>
      <c r="CG18" s="314"/>
      <c r="CH18" s="314"/>
      <c r="CI18" s="314"/>
      <c r="CJ18" s="314"/>
      <c r="CK18" s="314"/>
      <c r="CL18" s="314"/>
      <c r="CM18" s="314"/>
      <c r="CN18" s="314"/>
      <c r="CO18" s="314"/>
      <c r="CP18" s="314"/>
      <c r="CQ18" s="314"/>
      <c r="CR18" s="314"/>
      <c r="CS18" s="314"/>
      <c r="CT18" s="314"/>
      <c r="CU18" s="314"/>
      <c r="CV18" s="314"/>
      <c r="CW18" s="314"/>
      <c r="CX18" s="314"/>
      <c r="CY18" s="314"/>
      <c r="CZ18" s="314"/>
      <c r="DA18" s="314"/>
      <c r="DB18" s="314"/>
      <c r="DC18" s="314"/>
      <c r="DD18" s="314"/>
      <c r="DE18" s="314"/>
      <c r="DF18" s="314"/>
      <c r="DG18" s="314"/>
      <c r="DH18" s="314"/>
      <c r="DI18" s="314"/>
      <c r="DJ18" s="314"/>
      <c r="DK18" s="314"/>
      <c r="DL18" s="314"/>
      <c r="DM18" s="314"/>
      <c r="DN18" s="314"/>
      <c r="DO18" s="314"/>
      <c r="DP18" s="314"/>
      <c r="DQ18" s="314"/>
      <c r="DR18" s="314"/>
      <c r="DS18" s="314"/>
      <c r="DT18" s="314"/>
      <c r="DU18" s="314"/>
      <c r="DV18" s="314"/>
      <c r="DW18" s="314"/>
      <c r="DX18" s="314"/>
      <c r="DY18" s="314"/>
      <c r="DZ18" s="314"/>
      <c r="EA18" s="314"/>
      <c r="EB18" s="314"/>
      <c r="EC18" s="314"/>
      <c r="ED18" s="314"/>
      <c r="EE18" s="314"/>
      <c r="EF18" s="314"/>
      <c r="EG18" s="314"/>
      <c r="EH18" s="314"/>
      <c r="EI18" s="314"/>
      <c r="EJ18" s="314"/>
      <c r="EK18" s="314"/>
      <c r="EL18" s="314"/>
      <c r="EM18" s="314"/>
      <c r="EN18" s="314"/>
      <c r="EO18" s="314"/>
      <c r="EP18" s="314"/>
      <c r="EQ18" s="314"/>
      <c r="ER18" s="314"/>
      <c r="ES18" s="314"/>
      <c r="ET18" s="314"/>
      <c r="EU18" s="314"/>
      <c r="EV18" s="314"/>
      <c r="EW18" s="314"/>
      <c r="EX18" s="314"/>
      <c r="EY18" s="314"/>
      <c r="EZ18" s="314"/>
      <c r="FA18" s="314"/>
      <c r="FB18" s="314"/>
      <c r="FC18" s="314"/>
      <c r="FD18" s="314"/>
      <c r="FE18" s="314"/>
      <c r="FF18" s="314"/>
      <c r="FG18" s="314"/>
      <c r="FH18" s="314"/>
      <c r="FI18" s="314"/>
      <c r="FJ18" s="314"/>
      <c r="FK18" s="314"/>
      <c r="FL18" s="314"/>
      <c r="FM18" s="314"/>
      <c r="FN18" s="314"/>
      <c r="FO18" s="314"/>
      <c r="FP18" s="314"/>
      <c r="FQ18" s="314"/>
      <c r="FR18" s="314"/>
      <c r="FS18" s="314"/>
      <c r="FT18" s="314"/>
      <c r="FU18" s="314"/>
      <c r="FV18" s="314"/>
      <c r="FW18" s="314"/>
      <c r="FX18" s="314"/>
      <c r="FY18" s="314"/>
      <c r="FZ18" s="314"/>
      <c r="GA18" s="314"/>
      <c r="GB18" s="314"/>
      <c r="GC18" s="314"/>
      <c r="GD18" s="314"/>
      <c r="GE18" s="314"/>
      <c r="GF18" s="314"/>
      <c r="GG18" s="314"/>
      <c r="GH18" s="314"/>
      <c r="GI18" s="314"/>
      <c r="GJ18" s="314"/>
      <c r="GK18" s="314"/>
      <c r="GL18" s="314"/>
      <c r="GM18" s="314"/>
      <c r="GN18" s="314"/>
      <c r="GO18" s="314"/>
      <c r="GP18" s="314"/>
      <c r="GQ18" s="314"/>
      <c r="GR18" s="314"/>
      <c r="GS18" s="314"/>
      <c r="GT18" s="314"/>
      <c r="GU18" s="314"/>
      <c r="GV18" s="314"/>
      <c r="GW18" s="314"/>
      <c r="GX18" s="314"/>
      <c r="GY18" s="314"/>
      <c r="GZ18" s="314"/>
      <c r="HA18" s="314"/>
      <c r="HB18" s="314"/>
      <c r="HC18" s="314"/>
      <c r="HD18" s="314"/>
      <c r="HE18" s="314"/>
      <c r="HF18" s="314"/>
      <c r="HG18" s="314"/>
      <c r="HH18" s="314"/>
      <c r="HI18" s="314"/>
      <c r="HJ18" s="314"/>
      <c r="HK18" s="314"/>
      <c r="HL18" s="314"/>
      <c r="HM18" s="314"/>
      <c r="HN18" s="314"/>
      <c r="HO18" s="314"/>
      <c r="HP18" s="314"/>
      <c r="HQ18" s="314"/>
      <c r="HR18" s="314"/>
      <c r="HS18" s="314"/>
      <c r="HT18" s="314"/>
      <c r="HU18" s="314"/>
      <c r="HV18" s="314"/>
      <c r="HW18" s="314"/>
      <c r="HX18" s="314"/>
      <c r="HY18" s="314"/>
      <c r="HZ18" s="314"/>
      <c r="IA18" s="314"/>
      <c r="IB18" s="314"/>
      <c r="IC18" s="314"/>
      <c r="ID18" s="314"/>
      <c r="IE18" s="314"/>
      <c r="IF18" s="314"/>
      <c r="IG18" s="314"/>
      <c r="IH18" s="314"/>
      <c r="II18" s="314"/>
      <c r="IJ18" s="314"/>
      <c r="IK18" s="314"/>
      <c r="IL18" s="314"/>
      <c r="IM18" s="314"/>
      <c r="IN18" s="314"/>
      <c r="IO18" s="314"/>
      <c r="IP18" s="314"/>
      <c r="IQ18" s="314"/>
      <c r="IR18" s="314"/>
      <c r="IS18" s="314"/>
      <c r="IT18" s="314"/>
      <c r="IU18" s="314"/>
      <c r="IV18" s="314"/>
    </row>
    <row r="19" spans="1:256" s="313" customFormat="1">
      <c r="A19" s="316" t="s">
        <v>2630</v>
      </c>
      <c r="B19" s="1364">
        <v>0</v>
      </c>
      <c r="C19" s="331"/>
      <c r="D19" s="1365">
        <v>0</v>
      </c>
      <c r="E19" s="331"/>
      <c r="F19" s="1366">
        <f>B19+D19</f>
        <v>0</v>
      </c>
      <c r="G19" s="783"/>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4"/>
      <c r="BK19" s="314"/>
      <c r="BL19" s="314"/>
      <c r="BM19" s="314"/>
      <c r="BN19" s="314"/>
      <c r="BO19" s="314"/>
      <c r="BP19" s="314"/>
      <c r="BQ19" s="314"/>
      <c r="BR19" s="314"/>
      <c r="BS19" s="314"/>
      <c r="BT19" s="314"/>
      <c r="BU19" s="314"/>
      <c r="BV19" s="314"/>
      <c r="BW19" s="314"/>
      <c r="BX19" s="314"/>
      <c r="BY19" s="314"/>
      <c r="BZ19" s="314"/>
      <c r="CA19" s="314"/>
      <c r="CB19" s="314"/>
      <c r="CC19" s="314"/>
      <c r="CD19" s="314"/>
      <c r="CE19" s="314"/>
      <c r="CF19" s="314"/>
      <c r="CG19" s="314"/>
      <c r="CH19" s="314"/>
      <c r="CI19" s="314"/>
      <c r="CJ19" s="314"/>
      <c r="CK19" s="314"/>
      <c r="CL19" s="314"/>
      <c r="CM19" s="314"/>
      <c r="CN19" s="314"/>
      <c r="CO19" s="314"/>
      <c r="CP19" s="314"/>
      <c r="CQ19" s="314"/>
      <c r="CR19" s="314"/>
      <c r="CS19" s="314"/>
      <c r="CT19" s="314"/>
      <c r="CU19" s="314"/>
      <c r="CV19" s="314"/>
      <c r="CW19" s="314"/>
      <c r="CX19" s="314"/>
      <c r="CY19" s="314"/>
      <c r="CZ19" s="314"/>
      <c r="DA19" s="314"/>
      <c r="DB19" s="314"/>
      <c r="DC19" s="314"/>
      <c r="DD19" s="314"/>
      <c r="DE19" s="314"/>
      <c r="DF19" s="314"/>
      <c r="DG19" s="314"/>
      <c r="DH19" s="314"/>
      <c r="DI19" s="314"/>
      <c r="DJ19" s="314"/>
      <c r="DK19" s="314"/>
      <c r="DL19" s="314"/>
      <c r="DM19" s="314"/>
      <c r="DN19" s="314"/>
      <c r="DO19" s="314"/>
      <c r="DP19" s="314"/>
      <c r="DQ19" s="314"/>
      <c r="DR19" s="314"/>
      <c r="DS19" s="314"/>
      <c r="DT19" s="314"/>
      <c r="DU19" s="314"/>
      <c r="DV19" s="314"/>
      <c r="DW19" s="314"/>
      <c r="DX19" s="314"/>
      <c r="DY19" s="314"/>
      <c r="DZ19" s="314"/>
      <c r="EA19" s="314"/>
      <c r="EB19" s="314"/>
      <c r="EC19" s="314"/>
      <c r="ED19" s="314"/>
      <c r="EE19" s="314"/>
      <c r="EF19" s="314"/>
      <c r="EG19" s="314"/>
      <c r="EH19" s="314"/>
      <c r="EI19" s="314"/>
      <c r="EJ19" s="314"/>
      <c r="EK19" s="314"/>
      <c r="EL19" s="314"/>
      <c r="EM19" s="314"/>
      <c r="EN19" s="314"/>
      <c r="EO19" s="314"/>
      <c r="EP19" s="314"/>
      <c r="EQ19" s="314"/>
      <c r="ER19" s="314"/>
      <c r="ES19" s="314"/>
      <c r="ET19" s="314"/>
      <c r="EU19" s="314"/>
      <c r="EV19" s="314"/>
      <c r="EW19" s="314"/>
      <c r="EX19" s="314"/>
      <c r="EY19" s="314"/>
      <c r="EZ19" s="314"/>
      <c r="FA19" s="314"/>
      <c r="FB19" s="314"/>
      <c r="FC19" s="314"/>
      <c r="FD19" s="314"/>
      <c r="FE19" s="314"/>
      <c r="FF19" s="314"/>
      <c r="FG19" s="314"/>
      <c r="FH19" s="314"/>
      <c r="FI19" s="314"/>
      <c r="FJ19" s="314"/>
      <c r="FK19" s="314"/>
      <c r="FL19" s="314"/>
      <c r="FM19" s="314"/>
      <c r="FN19" s="314"/>
      <c r="FO19" s="314"/>
      <c r="FP19" s="314"/>
      <c r="FQ19" s="314"/>
      <c r="FR19" s="314"/>
      <c r="FS19" s="314"/>
      <c r="FT19" s="314"/>
      <c r="FU19" s="314"/>
      <c r="FV19" s="314"/>
      <c r="FW19" s="314"/>
      <c r="FX19" s="314"/>
      <c r="FY19" s="314"/>
      <c r="FZ19" s="314"/>
      <c r="GA19" s="314"/>
      <c r="GB19" s="314"/>
      <c r="GC19" s="314"/>
      <c r="GD19" s="314"/>
      <c r="GE19" s="314"/>
      <c r="GF19" s="314"/>
      <c r="GG19" s="314"/>
      <c r="GH19" s="314"/>
      <c r="GI19" s="314"/>
      <c r="GJ19" s="314"/>
      <c r="GK19" s="314"/>
      <c r="GL19" s="314"/>
      <c r="GM19" s="314"/>
      <c r="GN19" s="314"/>
      <c r="GO19" s="314"/>
      <c r="GP19" s="314"/>
      <c r="GQ19" s="314"/>
      <c r="GR19" s="314"/>
      <c r="GS19" s="314"/>
      <c r="GT19" s="314"/>
      <c r="GU19" s="314"/>
      <c r="GV19" s="314"/>
      <c r="GW19" s="314"/>
      <c r="GX19" s="314"/>
      <c r="GY19" s="314"/>
      <c r="GZ19" s="314"/>
      <c r="HA19" s="314"/>
      <c r="HB19" s="314"/>
      <c r="HC19" s="314"/>
      <c r="HD19" s="314"/>
      <c r="HE19" s="314"/>
      <c r="HF19" s="314"/>
      <c r="HG19" s="314"/>
      <c r="HH19" s="314"/>
      <c r="HI19" s="314"/>
      <c r="HJ19" s="314"/>
      <c r="HK19" s="314"/>
      <c r="HL19" s="314"/>
      <c r="HM19" s="314"/>
      <c r="HN19" s="314"/>
      <c r="HO19" s="314"/>
      <c r="HP19" s="314"/>
      <c r="HQ19" s="314"/>
      <c r="HR19" s="314"/>
      <c r="HS19" s="314"/>
      <c r="HT19" s="314"/>
      <c r="HU19" s="314"/>
      <c r="HV19" s="314"/>
      <c r="HW19" s="314"/>
      <c r="HX19" s="314"/>
      <c r="HY19" s="314"/>
      <c r="HZ19" s="314"/>
      <c r="IA19" s="314"/>
      <c r="IB19" s="314"/>
      <c r="IC19" s="314"/>
      <c r="ID19" s="314"/>
      <c r="IE19" s="314"/>
      <c r="IF19" s="314"/>
      <c r="IG19" s="314"/>
      <c r="IH19" s="314"/>
      <c r="II19" s="314"/>
      <c r="IJ19" s="314"/>
      <c r="IK19" s="314"/>
      <c r="IL19" s="314"/>
      <c r="IM19" s="314"/>
      <c r="IN19" s="314"/>
      <c r="IO19" s="314"/>
      <c r="IP19" s="314"/>
      <c r="IQ19" s="314"/>
      <c r="IR19" s="314"/>
      <c r="IS19" s="314"/>
      <c r="IT19" s="314"/>
      <c r="IU19" s="314"/>
      <c r="IV19" s="314"/>
    </row>
    <row r="20" spans="1:256" s="313" customFormat="1" ht="6.75" customHeight="1">
      <c r="A20" s="316"/>
      <c r="B20" s="3567"/>
      <c r="C20" s="331"/>
      <c r="D20" s="3568"/>
      <c r="E20" s="331"/>
      <c r="F20" s="3568"/>
      <c r="G20" s="783"/>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Q20" s="314"/>
      <c r="BR20" s="314"/>
      <c r="BS20" s="314"/>
      <c r="BT20" s="314"/>
      <c r="BU20" s="314"/>
      <c r="BV20" s="314"/>
      <c r="BW20" s="314"/>
      <c r="BX20" s="314"/>
      <c r="BY20" s="314"/>
      <c r="BZ20" s="314"/>
      <c r="CA20" s="314"/>
      <c r="CB20" s="314"/>
      <c r="CC20" s="314"/>
      <c r="CD20" s="314"/>
      <c r="CE20" s="314"/>
      <c r="CF20" s="314"/>
      <c r="CG20" s="314"/>
      <c r="CH20" s="314"/>
      <c r="CI20" s="314"/>
      <c r="CJ20" s="314"/>
      <c r="CK20" s="314"/>
      <c r="CL20" s="314"/>
      <c r="CM20" s="314"/>
      <c r="CN20" s="314"/>
      <c r="CO20" s="314"/>
      <c r="CP20" s="314"/>
      <c r="CQ20" s="314"/>
      <c r="CR20" s="314"/>
      <c r="CS20" s="314"/>
      <c r="CT20" s="314"/>
      <c r="CU20" s="314"/>
      <c r="CV20" s="314"/>
      <c r="CW20" s="314"/>
      <c r="CX20" s="314"/>
      <c r="CY20" s="314"/>
      <c r="CZ20" s="314"/>
      <c r="DA20" s="314"/>
      <c r="DB20" s="314"/>
      <c r="DC20" s="314"/>
      <c r="DD20" s="314"/>
      <c r="DE20" s="314"/>
      <c r="DF20" s="314"/>
      <c r="DG20" s="314"/>
      <c r="DH20" s="314"/>
      <c r="DI20" s="314"/>
      <c r="DJ20" s="314"/>
      <c r="DK20" s="314"/>
      <c r="DL20" s="314"/>
      <c r="DM20" s="314"/>
      <c r="DN20" s="314"/>
      <c r="DO20" s="314"/>
      <c r="DP20" s="314"/>
      <c r="DQ20" s="314"/>
      <c r="DR20" s="314"/>
      <c r="DS20" s="314"/>
      <c r="DT20" s="314"/>
      <c r="DU20" s="314"/>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c r="EU20" s="314"/>
      <c r="EV20" s="314"/>
      <c r="EW20" s="314"/>
      <c r="EX20" s="314"/>
      <c r="EY20" s="314"/>
      <c r="EZ20" s="314"/>
      <c r="FA20" s="314"/>
      <c r="FB20" s="314"/>
      <c r="FC20" s="314"/>
      <c r="FD20" s="314"/>
      <c r="FE20" s="314"/>
      <c r="FF20" s="314"/>
      <c r="FG20" s="314"/>
      <c r="FH20" s="314"/>
      <c r="FI20" s="314"/>
      <c r="FJ20" s="314"/>
      <c r="FK20" s="314"/>
      <c r="FL20" s="314"/>
      <c r="FM20" s="314"/>
      <c r="FN20" s="314"/>
      <c r="FO20" s="314"/>
      <c r="FP20" s="314"/>
      <c r="FQ20" s="314"/>
      <c r="FR20" s="314"/>
      <c r="FS20" s="314"/>
      <c r="FT20" s="314"/>
      <c r="FU20" s="314"/>
      <c r="FV20" s="314"/>
      <c r="FW20" s="314"/>
      <c r="FX20" s="314"/>
      <c r="FY20" s="314"/>
      <c r="FZ20" s="314"/>
      <c r="GA20" s="314"/>
      <c r="GB20" s="314"/>
      <c r="GC20" s="314"/>
      <c r="GD20" s="314"/>
      <c r="GE20" s="314"/>
      <c r="GF20" s="314"/>
      <c r="GG20" s="314"/>
      <c r="GH20" s="314"/>
      <c r="GI20" s="314"/>
      <c r="GJ20" s="314"/>
      <c r="GK20" s="314"/>
      <c r="GL20" s="314"/>
      <c r="GM20" s="314"/>
      <c r="GN20" s="314"/>
      <c r="GO20" s="314"/>
      <c r="GP20" s="314"/>
      <c r="GQ20" s="314"/>
      <c r="GR20" s="314"/>
      <c r="GS20" s="314"/>
      <c r="GT20" s="314"/>
      <c r="GU20" s="314"/>
      <c r="GV20" s="314"/>
      <c r="GW20" s="314"/>
      <c r="GX20" s="314"/>
      <c r="GY20" s="314"/>
      <c r="GZ20" s="314"/>
      <c r="HA20" s="314"/>
      <c r="HB20" s="314"/>
      <c r="HC20" s="314"/>
      <c r="HD20" s="314"/>
      <c r="HE20" s="314"/>
      <c r="HF20" s="314"/>
      <c r="HG20" s="314"/>
      <c r="HH20" s="314"/>
      <c r="HI20" s="314"/>
      <c r="HJ20" s="314"/>
      <c r="HK20" s="314"/>
      <c r="HL20" s="314"/>
      <c r="HM20" s="314"/>
      <c r="HN20" s="314"/>
      <c r="HO20" s="314"/>
      <c r="HP20" s="314"/>
      <c r="HQ20" s="314"/>
      <c r="HR20" s="314"/>
      <c r="HS20" s="314"/>
      <c r="HT20" s="314"/>
      <c r="HU20" s="314"/>
      <c r="HV20" s="314"/>
      <c r="HW20" s="314"/>
      <c r="HX20" s="314"/>
      <c r="HY20" s="314"/>
      <c r="HZ20" s="314"/>
      <c r="IA20" s="314"/>
      <c r="IB20" s="314"/>
      <c r="IC20" s="314"/>
      <c r="ID20" s="314"/>
      <c r="IE20" s="314"/>
      <c r="IF20" s="314"/>
      <c r="IG20" s="314"/>
      <c r="IH20" s="314"/>
      <c r="II20" s="314"/>
      <c r="IJ20" s="314"/>
      <c r="IK20" s="314"/>
      <c r="IL20" s="314"/>
      <c r="IM20" s="314"/>
      <c r="IN20" s="314"/>
      <c r="IO20" s="314"/>
      <c r="IP20" s="314"/>
      <c r="IQ20" s="314"/>
      <c r="IR20" s="314"/>
      <c r="IS20" s="314"/>
      <c r="IT20" s="314"/>
      <c r="IU20" s="314"/>
      <c r="IV20" s="314"/>
    </row>
    <row r="21" spans="1:256" s="313" customFormat="1">
      <c r="A21" s="666" t="s">
        <v>2631</v>
      </c>
      <c r="B21" s="332" t="s">
        <v>294</v>
      </c>
      <c r="C21" s="331"/>
      <c r="D21" s="1365">
        <v>0</v>
      </c>
      <c r="E21" s="331"/>
      <c r="F21" s="1366">
        <f>D21</f>
        <v>0</v>
      </c>
      <c r="G21" s="783"/>
      <c r="J21" s="314"/>
      <c r="K21" s="314"/>
      <c r="L21" s="314"/>
      <c r="M21" s="314"/>
      <c r="N21" s="314"/>
      <c r="O21" s="314"/>
      <c r="P21" s="314"/>
      <c r="Q21" s="314"/>
      <c r="R21" s="314"/>
      <c r="S21" s="314"/>
      <c r="T21" s="314"/>
      <c r="U21" s="314"/>
      <c r="V21" s="314"/>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14"/>
      <c r="AS21" s="314"/>
      <c r="AT21" s="314"/>
      <c r="AU21" s="314"/>
      <c r="AV21" s="314"/>
      <c r="AW21" s="314"/>
      <c r="AX21" s="314"/>
      <c r="AY21" s="314"/>
      <c r="AZ21" s="314"/>
      <c r="BA21" s="314"/>
      <c r="BB21" s="314"/>
      <c r="BC21" s="314"/>
      <c r="BD21" s="314"/>
      <c r="BE21" s="314"/>
      <c r="BF21" s="314"/>
      <c r="BG21" s="314"/>
      <c r="BH21" s="314"/>
      <c r="BI21" s="314"/>
      <c r="BJ21" s="314"/>
      <c r="BK21" s="314"/>
      <c r="BL21" s="314"/>
      <c r="BM21" s="314"/>
      <c r="BN21" s="314"/>
      <c r="BO21" s="314"/>
      <c r="BP21" s="314"/>
      <c r="BQ21" s="314"/>
      <c r="BR21" s="314"/>
      <c r="BS21" s="314"/>
      <c r="BT21" s="314"/>
      <c r="BU21" s="314"/>
      <c r="BV21" s="314"/>
      <c r="BW21" s="314"/>
      <c r="BX21" s="314"/>
      <c r="BY21" s="314"/>
      <c r="BZ21" s="314"/>
      <c r="CA21" s="314"/>
      <c r="CB21" s="314"/>
      <c r="CC21" s="314"/>
      <c r="CD21" s="314"/>
      <c r="CE21" s="314"/>
      <c r="CF21" s="314"/>
      <c r="CG21" s="314"/>
      <c r="CH21" s="314"/>
      <c r="CI21" s="314"/>
      <c r="CJ21" s="314"/>
      <c r="CK21" s="314"/>
      <c r="CL21" s="314"/>
      <c r="CM21" s="314"/>
      <c r="CN21" s="314"/>
      <c r="CO21" s="314"/>
      <c r="CP21" s="314"/>
      <c r="CQ21" s="314"/>
      <c r="CR21" s="314"/>
      <c r="CS21" s="314"/>
      <c r="CT21" s="314"/>
      <c r="CU21" s="314"/>
      <c r="CV21" s="314"/>
      <c r="CW21" s="314"/>
      <c r="CX21" s="314"/>
      <c r="CY21" s="314"/>
      <c r="CZ21" s="314"/>
      <c r="DA21" s="314"/>
      <c r="DB21" s="314"/>
      <c r="DC21" s="314"/>
      <c r="DD21" s="314"/>
      <c r="DE21" s="314"/>
      <c r="DF21" s="314"/>
      <c r="DG21" s="314"/>
      <c r="DH21" s="314"/>
      <c r="DI21" s="314"/>
      <c r="DJ21" s="314"/>
      <c r="DK21" s="314"/>
      <c r="DL21" s="314"/>
      <c r="DM21" s="314"/>
      <c r="DN21" s="314"/>
      <c r="DO21" s="314"/>
      <c r="DP21" s="314"/>
      <c r="DQ21" s="314"/>
      <c r="DR21" s="314"/>
      <c r="DS21" s="314"/>
      <c r="DT21" s="314"/>
      <c r="DU21" s="314"/>
      <c r="DV21" s="314"/>
      <c r="DW21" s="314"/>
      <c r="DX21" s="314"/>
      <c r="DY21" s="314"/>
      <c r="DZ21" s="314"/>
      <c r="EA21" s="314"/>
      <c r="EB21" s="314"/>
      <c r="EC21" s="314"/>
      <c r="ED21" s="314"/>
      <c r="EE21" s="314"/>
      <c r="EF21" s="314"/>
      <c r="EG21" s="314"/>
      <c r="EH21" s="314"/>
      <c r="EI21" s="314"/>
      <c r="EJ21" s="314"/>
      <c r="EK21" s="314"/>
      <c r="EL21" s="314"/>
      <c r="EM21" s="314"/>
      <c r="EN21" s="314"/>
      <c r="EO21" s="314"/>
      <c r="EP21" s="314"/>
      <c r="EQ21" s="314"/>
      <c r="ER21" s="314"/>
      <c r="ES21" s="314"/>
      <c r="ET21" s="314"/>
      <c r="EU21" s="314"/>
      <c r="EV21" s="314"/>
      <c r="EW21" s="314"/>
      <c r="EX21" s="314"/>
      <c r="EY21" s="314"/>
      <c r="EZ21" s="314"/>
      <c r="FA21" s="314"/>
      <c r="FB21" s="314"/>
      <c r="FC21" s="314"/>
      <c r="FD21" s="314"/>
      <c r="FE21" s="314"/>
      <c r="FF21" s="314"/>
      <c r="FG21" s="314"/>
      <c r="FH21" s="314"/>
      <c r="FI21" s="314"/>
      <c r="FJ21" s="314"/>
      <c r="FK21" s="314"/>
      <c r="FL21" s="314"/>
      <c r="FM21" s="314"/>
      <c r="FN21" s="314"/>
      <c r="FO21" s="314"/>
      <c r="FP21" s="314"/>
      <c r="FQ21" s="314"/>
      <c r="FR21" s="314"/>
      <c r="FS21" s="314"/>
      <c r="FT21" s="314"/>
      <c r="FU21" s="314"/>
      <c r="FV21" s="314"/>
      <c r="FW21" s="314"/>
      <c r="FX21" s="314"/>
      <c r="FY21" s="314"/>
      <c r="FZ21" s="314"/>
      <c r="GA21" s="314"/>
      <c r="GB21" s="314"/>
      <c r="GC21" s="314"/>
      <c r="GD21" s="314"/>
      <c r="GE21" s="314"/>
      <c r="GF21" s="314"/>
      <c r="GG21" s="314"/>
      <c r="GH21" s="314"/>
      <c r="GI21" s="314"/>
      <c r="GJ21" s="314"/>
      <c r="GK21" s="314"/>
      <c r="GL21" s="314"/>
      <c r="GM21" s="314"/>
      <c r="GN21" s="314"/>
      <c r="GO21" s="314"/>
      <c r="GP21" s="314"/>
      <c r="GQ21" s="314"/>
      <c r="GR21" s="314"/>
      <c r="GS21" s="314"/>
      <c r="GT21" s="314"/>
      <c r="GU21" s="314"/>
      <c r="GV21" s="314"/>
      <c r="GW21" s="314"/>
      <c r="GX21" s="314"/>
      <c r="GY21" s="314"/>
      <c r="GZ21" s="314"/>
      <c r="HA21" s="314"/>
      <c r="HB21" s="314"/>
      <c r="HC21" s="314"/>
      <c r="HD21" s="314"/>
      <c r="HE21" s="314"/>
      <c r="HF21" s="314"/>
      <c r="HG21" s="314"/>
      <c r="HH21" s="314"/>
      <c r="HI21" s="314"/>
      <c r="HJ21" s="314"/>
      <c r="HK21" s="314"/>
      <c r="HL21" s="314"/>
      <c r="HM21" s="314"/>
      <c r="HN21" s="314"/>
      <c r="HO21" s="314"/>
      <c r="HP21" s="314"/>
      <c r="HQ21" s="314"/>
      <c r="HR21" s="314"/>
      <c r="HS21" s="314"/>
      <c r="HT21" s="314"/>
      <c r="HU21" s="314"/>
      <c r="HV21" s="314"/>
      <c r="HW21" s="314"/>
      <c r="HX21" s="314"/>
      <c r="HY21" s="314"/>
      <c r="HZ21" s="314"/>
      <c r="IA21" s="314"/>
      <c r="IB21" s="314"/>
      <c r="IC21" s="314"/>
      <c r="ID21" s="314"/>
      <c r="IE21" s="314"/>
      <c r="IF21" s="314"/>
      <c r="IG21" s="314"/>
      <c r="IH21" s="314"/>
      <c r="II21" s="314"/>
      <c r="IJ21" s="314"/>
      <c r="IK21" s="314"/>
      <c r="IL21" s="314"/>
      <c r="IM21" s="314"/>
      <c r="IN21" s="314"/>
      <c r="IO21" s="314"/>
      <c r="IP21" s="314"/>
      <c r="IQ21" s="314"/>
      <c r="IR21" s="314"/>
      <c r="IS21" s="314"/>
      <c r="IT21" s="314"/>
      <c r="IU21" s="314"/>
      <c r="IV21" s="314"/>
    </row>
    <row r="22" spans="1:256" s="313" customFormat="1" ht="6.75" customHeight="1">
      <c r="A22" s="320"/>
      <c r="B22" s="3567"/>
      <c r="C22" s="331"/>
      <c r="D22" s="3568"/>
      <c r="E22" s="331"/>
      <c r="F22" s="3568"/>
      <c r="G22" s="783"/>
      <c r="J22" s="314"/>
      <c r="K22" s="314"/>
      <c r="L22" s="314"/>
      <c r="M22" s="314"/>
      <c r="N22" s="314"/>
      <c r="O22" s="314"/>
      <c r="P22" s="314"/>
      <c r="Q22" s="314"/>
      <c r="R22" s="314"/>
      <c r="S22" s="314"/>
      <c r="T22" s="314"/>
      <c r="U22" s="314"/>
      <c r="V22" s="314"/>
      <c r="W22" s="314"/>
      <c r="X22" s="314"/>
      <c r="Y22" s="314"/>
      <c r="Z22" s="314"/>
      <c r="AA22" s="314"/>
      <c r="AB22" s="314"/>
      <c r="AC22" s="314"/>
      <c r="AD22" s="314"/>
      <c r="AE22" s="314"/>
      <c r="AF22" s="314"/>
      <c r="AG22" s="314"/>
      <c r="AH22" s="314"/>
      <c r="AI22" s="314"/>
      <c r="AJ22" s="314"/>
      <c r="AK22" s="314"/>
      <c r="AL22" s="314"/>
      <c r="AM22" s="314"/>
      <c r="AN22" s="314"/>
      <c r="AO22" s="314"/>
      <c r="AP22" s="314"/>
      <c r="AQ22" s="314"/>
      <c r="AR22" s="314"/>
      <c r="AS22" s="314"/>
      <c r="AT22" s="314"/>
      <c r="AU22" s="314"/>
      <c r="AV22" s="314"/>
      <c r="AW22" s="314"/>
      <c r="AX22" s="314"/>
      <c r="AY22" s="314"/>
      <c r="AZ22" s="314"/>
      <c r="BA22" s="314"/>
      <c r="BB22" s="314"/>
      <c r="BC22" s="314"/>
      <c r="BD22" s="314"/>
      <c r="BE22" s="314"/>
      <c r="BF22" s="314"/>
      <c r="BG22" s="314"/>
      <c r="BH22" s="314"/>
      <c r="BI22" s="314"/>
      <c r="BJ22" s="314"/>
      <c r="BK22" s="314"/>
      <c r="BL22" s="314"/>
      <c r="BM22" s="314"/>
      <c r="BN22" s="314"/>
      <c r="BO22" s="314"/>
      <c r="BP22" s="314"/>
      <c r="BQ22" s="314"/>
      <c r="BR22" s="314"/>
      <c r="BS22" s="314"/>
      <c r="BT22" s="314"/>
      <c r="BU22" s="314"/>
      <c r="BV22" s="314"/>
      <c r="BW22" s="314"/>
      <c r="BX22" s="314"/>
      <c r="BY22" s="314"/>
      <c r="BZ22" s="314"/>
      <c r="CA22" s="314"/>
      <c r="CB22" s="314"/>
      <c r="CC22" s="314"/>
      <c r="CD22" s="314"/>
      <c r="CE22" s="314"/>
      <c r="CF22" s="314"/>
      <c r="CG22" s="314"/>
      <c r="CH22" s="314"/>
      <c r="CI22" s="314"/>
      <c r="CJ22" s="314"/>
      <c r="CK22" s="314"/>
      <c r="CL22" s="314"/>
      <c r="CM22" s="314"/>
      <c r="CN22" s="314"/>
      <c r="CO22" s="314"/>
      <c r="CP22" s="314"/>
      <c r="CQ22" s="314"/>
      <c r="CR22" s="314"/>
      <c r="CS22" s="314"/>
      <c r="CT22" s="314"/>
      <c r="CU22" s="314"/>
      <c r="CV22" s="314"/>
      <c r="CW22" s="314"/>
      <c r="CX22" s="314"/>
      <c r="CY22" s="314"/>
      <c r="CZ22" s="314"/>
      <c r="DA22" s="314"/>
      <c r="DB22" s="314"/>
      <c r="DC22" s="314"/>
      <c r="DD22" s="314"/>
      <c r="DE22" s="314"/>
      <c r="DF22" s="314"/>
      <c r="DG22" s="314"/>
      <c r="DH22" s="314"/>
      <c r="DI22" s="314"/>
      <c r="DJ22" s="314"/>
      <c r="DK22" s="314"/>
      <c r="DL22" s="314"/>
      <c r="DM22" s="314"/>
      <c r="DN22" s="314"/>
      <c r="DO22" s="314"/>
      <c r="DP22" s="314"/>
      <c r="DQ22" s="314"/>
      <c r="DR22" s="314"/>
      <c r="DS22" s="314"/>
      <c r="DT22" s="314"/>
      <c r="DU22" s="314"/>
      <c r="DV22" s="314"/>
      <c r="DW22" s="314"/>
      <c r="DX22" s="314"/>
      <c r="DY22" s="314"/>
      <c r="DZ22" s="314"/>
      <c r="EA22" s="314"/>
      <c r="EB22" s="314"/>
      <c r="EC22" s="314"/>
      <c r="ED22" s="314"/>
      <c r="EE22" s="314"/>
      <c r="EF22" s="314"/>
      <c r="EG22" s="314"/>
      <c r="EH22" s="314"/>
      <c r="EI22" s="314"/>
      <c r="EJ22" s="314"/>
      <c r="EK22" s="314"/>
      <c r="EL22" s="314"/>
      <c r="EM22" s="314"/>
      <c r="EN22" s="314"/>
      <c r="EO22" s="314"/>
      <c r="EP22" s="314"/>
      <c r="EQ22" s="314"/>
      <c r="ER22" s="314"/>
      <c r="ES22" s="314"/>
      <c r="ET22" s="314"/>
      <c r="EU22" s="314"/>
      <c r="EV22" s="314"/>
      <c r="EW22" s="314"/>
      <c r="EX22" s="314"/>
      <c r="EY22" s="314"/>
      <c r="EZ22" s="314"/>
      <c r="FA22" s="314"/>
      <c r="FB22" s="314"/>
      <c r="FC22" s="314"/>
      <c r="FD22" s="314"/>
      <c r="FE22" s="314"/>
      <c r="FF22" s="314"/>
      <c r="FG22" s="314"/>
      <c r="FH22" s="314"/>
      <c r="FI22" s="314"/>
      <c r="FJ22" s="314"/>
      <c r="FK22" s="314"/>
      <c r="FL22" s="314"/>
      <c r="FM22" s="314"/>
      <c r="FN22" s="314"/>
      <c r="FO22" s="314"/>
      <c r="FP22" s="314"/>
      <c r="FQ22" s="314"/>
      <c r="FR22" s="314"/>
      <c r="FS22" s="314"/>
      <c r="FT22" s="314"/>
      <c r="FU22" s="314"/>
      <c r="FV22" s="314"/>
      <c r="FW22" s="314"/>
      <c r="FX22" s="314"/>
      <c r="FY22" s="314"/>
      <c r="FZ22" s="314"/>
      <c r="GA22" s="314"/>
      <c r="GB22" s="314"/>
      <c r="GC22" s="314"/>
      <c r="GD22" s="314"/>
      <c r="GE22" s="314"/>
      <c r="GF22" s="314"/>
      <c r="GG22" s="314"/>
      <c r="GH22" s="314"/>
      <c r="GI22" s="314"/>
      <c r="GJ22" s="314"/>
      <c r="GK22" s="314"/>
      <c r="GL22" s="314"/>
      <c r="GM22" s="314"/>
      <c r="GN22" s="314"/>
      <c r="GO22" s="314"/>
      <c r="GP22" s="314"/>
      <c r="GQ22" s="314"/>
      <c r="GR22" s="314"/>
      <c r="GS22" s="314"/>
      <c r="GT22" s="314"/>
      <c r="GU22" s="314"/>
      <c r="GV22" s="314"/>
      <c r="GW22" s="314"/>
      <c r="GX22" s="314"/>
      <c r="GY22" s="314"/>
      <c r="GZ22" s="314"/>
      <c r="HA22" s="314"/>
      <c r="HB22" s="314"/>
      <c r="HC22" s="314"/>
      <c r="HD22" s="314"/>
      <c r="HE22" s="314"/>
      <c r="HF22" s="314"/>
      <c r="HG22" s="314"/>
      <c r="HH22" s="314"/>
      <c r="HI22" s="314"/>
      <c r="HJ22" s="314"/>
      <c r="HK22" s="314"/>
      <c r="HL22" s="314"/>
      <c r="HM22" s="314"/>
      <c r="HN22" s="314"/>
      <c r="HO22" s="314"/>
      <c r="HP22" s="314"/>
      <c r="HQ22" s="314"/>
      <c r="HR22" s="314"/>
      <c r="HS22" s="314"/>
      <c r="HT22" s="314"/>
      <c r="HU22" s="314"/>
      <c r="HV22" s="314"/>
      <c r="HW22" s="314"/>
      <c r="HX22" s="314"/>
      <c r="HY22" s="314"/>
      <c r="HZ22" s="314"/>
      <c r="IA22" s="314"/>
      <c r="IB22" s="314"/>
      <c r="IC22" s="314"/>
      <c r="ID22" s="314"/>
      <c r="IE22" s="314"/>
      <c r="IF22" s="314"/>
      <c r="IG22" s="314"/>
      <c r="IH22" s="314"/>
      <c r="II22" s="314"/>
      <c r="IJ22" s="314"/>
      <c r="IK22" s="314"/>
      <c r="IL22" s="314"/>
      <c r="IM22" s="314"/>
      <c r="IN22" s="314"/>
      <c r="IO22" s="314"/>
      <c r="IP22" s="314"/>
      <c r="IQ22" s="314"/>
      <c r="IR22" s="314"/>
      <c r="IS22" s="314"/>
      <c r="IT22" s="314"/>
      <c r="IU22" s="314"/>
      <c r="IV22" s="314"/>
    </row>
    <row r="23" spans="1:256" s="313" customFormat="1">
      <c r="A23" s="320" t="s">
        <v>2632</v>
      </c>
      <c r="B23" s="1367">
        <f>B17+B19</f>
        <v>0</v>
      </c>
      <c r="C23" s="331"/>
      <c r="D23" s="1368">
        <f>D17+D19+D21</f>
        <v>0</v>
      </c>
      <c r="E23" s="331"/>
      <c r="F23" s="1368">
        <f>F17+F19+F21</f>
        <v>0</v>
      </c>
      <c r="G23" s="783"/>
      <c r="J23" s="314"/>
      <c r="K23" s="314"/>
      <c r="L23" s="314"/>
      <c r="M23" s="314"/>
      <c r="N23" s="314"/>
      <c r="O23" s="314"/>
      <c r="P23" s="314"/>
      <c r="Q23" s="314"/>
      <c r="R23" s="314"/>
      <c r="S23" s="314"/>
      <c r="T23" s="314"/>
      <c r="U23" s="314"/>
      <c r="V23" s="314"/>
      <c r="W23" s="314"/>
      <c r="X23" s="314"/>
      <c r="Y23" s="314"/>
      <c r="Z23" s="314"/>
      <c r="AA23" s="314"/>
      <c r="AB23" s="314"/>
      <c r="AC23" s="314"/>
      <c r="AD23" s="314"/>
      <c r="AE23" s="314"/>
      <c r="AF23" s="314"/>
      <c r="AG23" s="314"/>
      <c r="AH23" s="314"/>
      <c r="AI23" s="314"/>
      <c r="AJ23" s="314"/>
      <c r="AK23" s="314"/>
      <c r="AL23" s="314"/>
      <c r="AM23" s="314"/>
      <c r="AN23" s="314"/>
      <c r="AO23" s="314"/>
      <c r="AP23" s="314"/>
      <c r="AQ23" s="314"/>
      <c r="AR23" s="314"/>
      <c r="AS23" s="314"/>
      <c r="AT23" s="314"/>
      <c r="AU23" s="314"/>
      <c r="AV23" s="314"/>
      <c r="AW23" s="314"/>
      <c r="AX23" s="314"/>
      <c r="AY23" s="314"/>
      <c r="AZ23" s="314"/>
      <c r="BA23" s="314"/>
      <c r="BB23" s="314"/>
      <c r="BC23" s="314"/>
      <c r="BD23" s="314"/>
      <c r="BE23" s="314"/>
      <c r="BF23" s="314"/>
      <c r="BG23" s="314"/>
      <c r="BH23" s="314"/>
      <c r="BI23" s="314"/>
      <c r="BJ23" s="314"/>
      <c r="BK23" s="314"/>
      <c r="BL23" s="314"/>
      <c r="BM23" s="314"/>
      <c r="BN23" s="314"/>
      <c r="BO23" s="314"/>
      <c r="BP23" s="314"/>
      <c r="BQ23" s="314"/>
      <c r="BR23" s="314"/>
      <c r="BS23" s="314"/>
      <c r="BT23" s="314"/>
      <c r="BU23" s="314"/>
      <c r="BV23" s="314"/>
      <c r="BW23" s="314"/>
      <c r="BX23" s="314"/>
      <c r="BY23" s="314"/>
      <c r="BZ23" s="314"/>
      <c r="CA23" s="314"/>
      <c r="CB23" s="314"/>
      <c r="CC23" s="314"/>
      <c r="CD23" s="314"/>
      <c r="CE23" s="314"/>
      <c r="CF23" s="314"/>
      <c r="CG23" s="314"/>
      <c r="CH23" s="314"/>
      <c r="CI23" s="314"/>
      <c r="CJ23" s="314"/>
      <c r="CK23" s="314"/>
      <c r="CL23" s="314"/>
      <c r="CM23" s="314"/>
      <c r="CN23" s="314"/>
      <c r="CO23" s="314"/>
      <c r="CP23" s="314"/>
      <c r="CQ23" s="314"/>
      <c r="CR23" s="314"/>
      <c r="CS23" s="314"/>
      <c r="CT23" s="314"/>
      <c r="CU23" s="314"/>
      <c r="CV23" s="314"/>
      <c r="CW23" s="314"/>
      <c r="CX23" s="314"/>
      <c r="CY23" s="314"/>
      <c r="CZ23" s="314"/>
      <c r="DA23" s="314"/>
      <c r="DB23" s="314"/>
      <c r="DC23" s="314"/>
      <c r="DD23" s="314"/>
      <c r="DE23" s="314"/>
      <c r="DF23" s="314"/>
      <c r="DG23" s="314"/>
      <c r="DH23" s="314"/>
      <c r="DI23" s="314"/>
      <c r="DJ23" s="314"/>
      <c r="DK23" s="314"/>
      <c r="DL23" s="314"/>
      <c r="DM23" s="314"/>
      <c r="DN23" s="314"/>
      <c r="DO23" s="314"/>
      <c r="DP23" s="314"/>
      <c r="DQ23" s="314"/>
      <c r="DR23" s="314"/>
      <c r="DS23" s="314"/>
      <c r="DT23" s="314"/>
      <c r="DU23" s="314"/>
      <c r="DV23" s="314"/>
      <c r="DW23" s="314"/>
      <c r="DX23" s="314"/>
      <c r="DY23" s="314"/>
      <c r="DZ23" s="314"/>
      <c r="EA23" s="314"/>
      <c r="EB23" s="314"/>
      <c r="EC23" s="314"/>
      <c r="ED23" s="314"/>
      <c r="EE23" s="314"/>
      <c r="EF23" s="314"/>
      <c r="EG23" s="314"/>
      <c r="EH23" s="314"/>
      <c r="EI23" s="314"/>
      <c r="EJ23" s="314"/>
      <c r="EK23" s="314"/>
      <c r="EL23" s="314"/>
      <c r="EM23" s="314"/>
      <c r="EN23" s="314"/>
      <c r="EO23" s="314"/>
      <c r="EP23" s="314"/>
      <c r="EQ23" s="314"/>
      <c r="ER23" s="314"/>
      <c r="ES23" s="314"/>
      <c r="ET23" s="314"/>
      <c r="EU23" s="314"/>
      <c r="EV23" s="314"/>
      <c r="EW23" s="314"/>
      <c r="EX23" s="314"/>
      <c r="EY23" s="314"/>
      <c r="EZ23" s="314"/>
      <c r="FA23" s="314"/>
      <c r="FB23" s="314"/>
      <c r="FC23" s="314"/>
      <c r="FD23" s="314"/>
      <c r="FE23" s="314"/>
      <c r="FF23" s="314"/>
      <c r="FG23" s="314"/>
      <c r="FH23" s="314"/>
      <c r="FI23" s="314"/>
      <c r="FJ23" s="314"/>
      <c r="FK23" s="314"/>
      <c r="FL23" s="314"/>
      <c r="FM23" s="314"/>
      <c r="FN23" s="314"/>
      <c r="FO23" s="314"/>
      <c r="FP23" s="314"/>
      <c r="FQ23" s="314"/>
      <c r="FR23" s="314"/>
      <c r="FS23" s="314"/>
      <c r="FT23" s="314"/>
      <c r="FU23" s="314"/>
      <c r="FV23" s="314"/>
      <c r="FW23" s="314"/>
      <c r="FX23" s="314"/>
      <c r="FY23" s="314"/>
      <c r="FZ23" s="314"/>
      <c r="GA23" s="314"/>
      <c r="GB23" s="314"/>
      <c r="GC23" s="314"/>
      <c r="GD23" s="314"/>
      <c r="GE23" s="314"/>
      <c r="GF23" s="314"/>
      <c r="GG23" s="314"/>
      <c r="GH23" s="314"/>
      <c r="GI23" s="314"/>
      <c r="GJ23" s="314"/>
      <c r="GK23" s="314"/>
      <c r="GL23" s="314"/>
      <c r="GM23" s="314"/>
      <c r="GN23" s="314"/>
      <c r="GO23" s="314"/>
      <c r="GP23" s="314"/>
      <c r="GQ23" s="314"/>
      <c r="GR23" s="314"/>
      <c r="GS23" s="314"/>
      <c r="GT23" s="314"/>
      <c r="GU23" s="314"/>
      <c r="GV23" s="314"/>
      <c r="GW23" s="314"/>
      <c r="GX23" s="314"/>
      <c r="GY23" s="314"/>
      <c r="GZ23" s="314"/>
      <c r="HA23" s="314"/>
      <c r="HB23" s="314"/>
      <c r="HC23" s="314"/>
      <c r="HD23" s="314"/>
      <c r="HE23" s="314"/>
      <c r="HF23" s="314"/>
      <c r="HG23" s="314"/>
      <c r="HH23" s="314"/>
      <c r="HI23" s="314"/>
      <c r="HJ23" s="314"/>
      <c r="HK23" s="314"/>
      <c r="HL23" s="314"/>
      <c r="HM23" s="314"/>
      <c r="HN23" s="314"/>
      <c r="HO23" s="314"/>
      <c r="HP23" s="314"/>
      <c r="HQ23" s="314"/>
      <c r="HR23" s="314"/>
      <c r="HS23" s="314"/>
      <c r="HT23" s="314"/>
      <c r="HU23" s="314"/>
      <c r="HV23" s="314"/>
      <c r="HW23" s="314"/>
      <c r="HX23" s="314"/>
      <c r="HY23" s="314"/>
      <c r="HZ23" s="314"/>
      <c r="IA23" s="314"/>
      <c r="IB23" s="314"/>
      <c r="IC23" s="314"/>
      <c r="ID23" s="314"/>
      <c r="IE23" s="314"/>
      <c r="IF23" s="314"/>
      <c r="IG23" s="314"/>
      <c r="IH23" s="314"/>
      <c r="II23" s="314"/>
      <c r="IJ23" s="314"/>
      <c r="IK23" s="314"/>
      <c r="IL23" s="314"/>
      <c r="IM23" s="314"/>
      <c r="IN23" s="314"/>
      <c r="IO23" s="314"/>
      <c r="IP23" s="314"/>
      <c r="IQ23" s="314"/>
      <c r="IR23" s="314"/>
      <c r="IS23" s="314"/>
      <c r="IT23" s="314"/>
      <c r="IU23" s="314"/>
      <c r="IV23" s="314"/>
    </row>
    <row r="24" spans="1:256" s="313" customFormat="1" ht="6.75" customHeight="1">
      <c r="A24" s="320"/>
      <c r="G24" s="783"/>
      <c r="J24" s="314"/>
      <c r="K24" s="314"/>
      <c r="L24" s="314"/>
      <c r="M24" s="314"/>
      <c r="N24" s="314"/>
      <c r="O24" s="314"/>
      <c r="P24" s="314"/>
      <c r="Q24" s="314"/>
      <c r="R24" s="314"/>
      <c r="S24" s="314"/>
      <c r="T24" s="314"/>
      <c r="U24" s="314"/>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314"/>
      <c r="AV24" s="314"/>
      <c r="AW24" s="314"/>
      <c r="AX24" s="314"/>
      <c r="AY24" s="314"/>
      <c r="AZ24" s="314"/>
      <c r="BA24" s="314"/>
      <c r="BB24" s="314"/>
      <c r="BC24" s="314"/>
      <c r="BD24" s="314"/>
      <c r="BE24" s="314"/>
      <c r="BF24" s="314"/>
      <c r="BG24" s="314"/>
      <c r="BH24" s="314"/>
      <c r="BI24" s="314"/>
      <c r="BJ24" s="314"/>
      <c r="BK24" s="314"/>
      <c r="BL24" s="314"/>
      <c r="BM24" s="314"/>
      <c r="BN24" s="314"/>
      <c r="BO24" s="314"/>
      <c r="BP24" s="314"/>
      <c r="BQ24" s="314"/>
      <c r="BR24" s="314"/>
      <c r="BS24" s="314"/>
      <c r="BT24" s="314"/>
      <c r="BU24" s="314"/>
      <c r="BV24" s="314"/>
      <c r="BW24" s="314"/>
      <c r="BX24" s="314"/>
      <c r="BY24" s="314"/>
      <c r="BZ24" s="314"/>
      <c r="CA24" s="314"/>
      <c r="CB24" s="314"/>
      <c r="CC24" s="314"/>
      <c r="CD24" s="314"/>
      <c r="CE24" s="314"/>
      <c r="CF24" s="314"/>
      <c r="CG24" s="314"/>
      <c r="CH24" s="314"/>
      <c r="CI24" s="314"/>
      <c r="CJ24" s="314"/>
      <c r="CK24" s="314"/>
      <c r="CL24" s="314"/>
      <c r="CM24" s="314"/>
      <c r="CN24" s="314"/>
      <c r="CO24" s="314"/>
      <c r="CP24" s="314"/>
      <c r="CQ24" s="314"/>
      <c r="CR24" s="314"/>
      <c r="CS24" s="314"/>
      <c r="CT24" s="314"/>
      <c r="CU24" s="314"/>
      <c r="CV24" s="314"/>
      <c r="CW24" s="314"/>
      <c r="CX24" s="314"/>
      <c r="CY24" s="314"/>
      <c r="CZ24" s="314"/>
      <c r="DA24" s="314"/>
      <c r="DB24" s="314"/>
      <c r="DC24" s="314"/>
      <c r="DD24" s="314"/>
      <c r="DE24" s="314"/>
      <c r="DF24" s="314"/>
      <c r="DG24" s="314"/>
      <c r="DH24" s="314"/>
      <c r="DI24" s="314"/>
      <c r="DJ24" s="314"/>
      <c r="DK24" s="314"/>
      <c r="DL24" s="314"/>
      <c r="DM24" s="314"/>
      <c r="DN24" s="314"/>
      <c r="DO24" s="314"/>
      <c r="DP24" s="314"/>
      <c r="DQ24" s="314"/>
      <c r="DR24" s="314"/>
      <c r="DS24" s="314"/>
      <c r="DT24" s="314"/>
      <c r="DU24" s="314"/>
      <c r="DV24" s="314"/>
      <c r="DW24" s="314"/>
      <c r="DX24" s="314"/>
      <c r="DY24" s="314"/>
      <c r="DZ24" s="314"/>
      <c r="EA24" s="314"/>
      <c r="EB24" s="314"/>
      <c r="EC24" s="314"/>
      <c r="ED24" s="314"/>
      <c r="EE24" s="314"/>
      <c r="EF24" s="314"/>
      <c r="EG24" s="314"/>
      <c r="EH24" s="314"/>
      <c r="EI24" s="314"/>
      <c r="EJ24" s="314"/>
      <c r="EK24" s="314"/>
      <c r="EL24" s="314"/>
      <c r="EM24" s="314"/>
      <c r="EN24" s="314"/>
      <c r="EO24" s="314"/>
      <c r="EP24" s="314"/>
      <c r="EQ24" s="314"/>
      <c r="ER24" s="314"/>
      <c r="ES24" s="314"/>
      <c r="ET24" s="314"/>
      <c r="EU24" s="314"/>
      <c r="EV24" s="314"/>
      <c r="EW24" s="314"/>
      <c r="EX24" s="314"/>
      <c r="EY24" s="314"/>
      <c r="EZ24" s="314"/>
      <c r="FA24" s="314"/>
      <c r="FB24" s="314"/>
      <c r="FC24" s="314"/>
      <c r="FD24" s="314"/>
      <c r="FE24" s="314"/>
      <c r="FF24" s="314"/>
      <c r="FG24" s="314"/>
      <c r="FH24" s="314"/>
      <c r="FI24" s="314"/>
      <c r="FJ24" s="314"/>
      <c r="FK24" s="314"/>
      <c r="FL24" s="314"/>
      <c r="FM24" s="314"/>
      <c r="FN24" s="314"/>
      <c r="FO24" s="314"/>
      <c r="FP24" s="314"/>
      <c r="FQ24" s="314"/>
      <c r="FR24" s="314"/>
      <c r="FS24" s="314"/>
      <c r="FT24" s="314"/>
      <c r="FU24" s="314"/>
      <c r="FV24" s="314"/>
      <c r="FW24" s="314"/>
      <c r="FX24" s="314"/>
      <c r="FY24" s="314"/>
      <c r="FZ24" s="314"/>
      <c r="GA24" s="314"/>
      <c r="GB24" s="314"/>
      <c r="GC24" s="314"/>
      <c r="GD24" s="314"/>
      <c r="GE24" s="314"/>
      <c r="GF24" s="314"/>
      <c r="GG24" s="314"/>
      <c r="GH24" s="314"/>
      <c r="GI24" s="314"/>
      <c r="GJ24" s="314"/>
      <c r="GK24" s="314"/>
      <c r="GL24" s="314"/>
      <c r="GM24" s="314"/>
      <c r="GN24" s="314"/>
      <c r="GO24" s="314"/>
      <c r="GP24" s="314"/>
      <c r="GQ24" s="314"/>
      <c r="GR24" s="314"/>
      <c r="GS24" s="314"/>
      <c r="GT24" s="314"/>
      <c r="GU24" s="314"/>
      <c r="GV24" s="314"/>
      <c r="GW24" s="314"/>
      <c r="GX24" s="314"/>
      <c r="GY24" s="314"/>
      <c r="GZ24" s="314"/>
      <c r="HA24" s="314"/>
      <c r="HB24" s="314"/>
      <c r="HC24" s="314"/>
      <c r="HD24" s="314"/>
      <c r="HE24" s="314"/>
      <c r="HF24" s="314"/>
      <c r="HG24" s="314"/>
      <c r="HH24" s="314"/>
      <c r="HI24" s="314"/>
      <c r="HJ24" s="314"/>
      <c r="HK24" s="314"/>
      <c r="HL24" s="314"/>
      <c r="HM24" s="314"/>
      <c r="HN24" s="314"/>
      <c r="HO24" s="314"/>
      <c r="HP24" s="314"/>
      <c r="HQ24" s="314"/>
      <c r="HR24" s="314"/>
      <c r="HS24" s="314"/>
      <c r="HT24" s="314"/>
      <c r="HU24" s="314"/>
      <c r="HV24" s="314"/>
      <c r="HW24" s="314"/>
      <c r="HX24" s="314"/>
      <c r="HY24" s="314"/>
      <c r="HZ24" s="314"/>
      <c r="IA24" s="314"/>
      <c r="IB24" s="314"/>
      <c r="IC24" s="314"/>
      <c r="ID24" s="314"/>
      <c r="IE24" s="314"/>
      <c r="IF24" s="314"/>
      <c r="IG24" s="314"/>
      <c r="IH24" s="314"/>
      <c r="II24" s="314"/>
      <c r="IJ24" s="314"/>
      <c r="IK24" s="314"/>
      <c r="IL24" s="314"/>
      <c r="IM24" s="314"/>
      <c r="IN24" s="314"/>
      <c r="IO24" s="314"/>
      <c r="IP24" s="314"/>
      <c r="IQ24" s="314"/>
      <c r="IR24" s="314"/>
      <c r="IS24" s="314"/>
      <c r="IT24" s="314"/>
      <c r="IU24" s="314"/>
      <c r="IV24" s="314"/>
    </row>
    <row r="25" spans="1:256" s="313" customFormat="1">
      <c r="A25" s="323" t="s">
        <v>2633</v>
      </c>
      <c r="G25" s="783"/>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314"/>
      <c r="AV25" s="314"/>
      <c r="AW25" s="314"/>
      <c r="AX25" s="314"/>
      <c r="AY25" s="314"/>
      <c r="AZ25" s="314"/>
      <c r="BA25" s="314"/>
      <c r="BB25" s="314"/>
      <c r="BC25" s="314"/>
      <c r="BD25" s="314"/>
      <c r="BE25" s="314"/>
      <c r="BF25" s="314"/>
      <c r="BG25" s="314"/>
      <c r="BH25" s="314"/>
      <c r="BI25" s="314"/>
      <c r="BJ25" s="314"/>
      <c r="BK25" s="314"/>
      <c r="BL25" s="314"/>
      <c r="BM25" s="314"/>
      <c r="BN25" s="314"/>
      <c r="BO25" s="314"/>
      <c r="BP25" s="314"/>
      <c r="BQ25" s="314"/>
      <c r="BR25" s="314"/>
      <c r="BS25" s="314"/>
      <c r="BT25" s="314"/>
      <c r="BU25" s="314"/>
      <c r="BV25" s="314"/>
      <c r="BW25" s="314"/>
      <c r="BX25" s="314"/>
      <c r="BY25" s="314"/>
      <c r="BZ25" s="314"/>
      <c r="CA25" s="314"/>
      <c r="CB25" s="314"/>
      <c r="CC25" s="314"/>
      <c r="CD25" s="314"/>
      <c r="CE25" s="314"/>
      <c r="CF25" s="314"/>
      <c r="CG25" s="314"/>
      <c r="CH25" s="314"/>
      <c r="CI25" s="314"/>
      <c r="CJ25" s="314"/>
      <c r="CK25" s="314"/>
      <c r="CL25" s="314"/>
      <c r="CM25" s="314"/>
      <c r="CN25" s="314"/>
      <c r="CO25" s="314"/>
      <c r="CP25" s="314"/>
      <c r="CQ25" s="314"/>
      <c r="CR25" s="314"/>
      <c r="CS25" s="314"/>
      <c r="CT25" s="314"/>
      <c r="CU25" s="314"/>
      <c r="CV25" s="314"/>
      <c r="CW25" s="314"/>
      <c r="CX25" s="314"/>
      <c r="CY25" s="314"/>
      <c r="CZ25" s="314"/>
      <c r="DA25" s="314"/>
      <c r="DB25" s="314"/>
      <c r="DC25" s="314"/>
      <c r="DD25" s="314"/>
      <c r="DE25" s="314"/>
      <c r="DF25" s="314"/>
      <c r="DG25" s="314"/>
      <c r="DH25" s="314"/>
      <c r="DI25" s="314"/>
      <c r="DJ25" s="314"/>
      <c r="DK25" s="314"/>
      <c r="DL25" s="314"/>
      <c r="DM25" s="314"/>
      <c r="DN25" s="314"/>
      <c r="DO25" s="314"/>
      <c r="DP25" s="314"/>
      <c r="DQ25" s="314"/>
      <c r="DR25" s="314"/>
      <c r="DS25" s="314"/>
      <c r="DT25" s="314"/>
      <c r="DU25" s="314"/>
      <c r="DV25" s="314"/>
      <c r="DW25" s="314"/>
      <c r="DX25" s="314"/>
      <c r="DY25" s="314"/>
      <c r="DZ25" s="314"/>
      <c r="EA25" s="314"/>
      <c r="EB25" s="314"/>
      <c r="EC25" s="314"/>
      <c r="ED25" s="314"/>
      <c r="EE25" s="314"/>
      <c r="EF25" s="314"/>
      <c r="EG25" s="314"/>
      <c r="EH25" s="314"/>
      <c r="EI25" s="314"/>
      <c r="EJ25" s="314"/>
      <c r="EK25" s="314"/>
      <c r="EL25" s="314"/>
      <c r="EM25" s="314"/>
      <c r="EN25" s="314"/>
      <c r="EO25" s="314"/>
      <c r="EP25" s="314"/>
      <c r="EQ25" s="314"/>
      <c r="ER25" s="314"/>
      <c r="ES25" s="314"/>
      <c r="ET25" s="314"/>
      <c r="EU25" s="314"/>
      <c r="EV25" s="314"/>
      <c r="EW25" s="314"/>
      <c r="EX25" s="314"/>
      <c r="EY25" s="314"/>
      <c r="EZ25" s="314"/>
      <c r="FA25" s="314"/>
      <c r="FB25" s="314"/>
      <c r="FC25" s="314"/>
      <c r="FD25" s="314"/>
      <c r="FE25" s="314"/>
      <c r="FF25" s="314"/>
      <c r="FG25" s="314"/>
      <c r="FH25" s="314"/>
      <c r="FI25" s="314"/>
      <c r="FJ25" s="314"/>
      <c r="FK25" s="314"/>
      <c r="FL25" s="314"/>
      <c r="FM25" s="314"/>
      <c r="FN25" s="314"/>
      <c r="FO25" s="314"/>
      <c r="FP25" s="314"/>
      <c r="FQ25" s="314"/>
      <c r="FR25" s="314"/>
      <c r="FS25" s="314"/>
      <c r="FT25" s="314"/>
      <c r="FU25" s="314"/>
      <c r="FV25" s="314"/>
      <c r="FW25" s="314"/>
      <c r="FX25" s="314"/>
      <c r="FY25" s="314"/>
      <c r="FZ25" s="314"/>
      <c r="GA25" s="314"/>
      <c r="GB25" s="314"/>
      <c r="GC25" s="314"/>
      <c r="GD25" s="314"/>
      <c r="GE25" s="314"/>
      <c r="GF25" s="314"/>
      <c r="GG25" s="314"/>
      <c r="GH25" s="314"/>
      <c r="GI25" s="314"/>
      <c r="GJ25" s="314"/>
      <c r="GK25" s="314"/>
      <c r="GL25" s="314"/>
      <c r="GM25" s="314"/>
      <c r="GN25" s="314"/>
      <c r="GO25" s="314"/>
      <c r="GP25" s="314"/>
      <c r="GQ25" s="314"/>
      <c r="GR25" s="314"/>
      <c r="GS25" s="314"/>
      <c r="GT25" s="314"/>
      <c r="GU25" s="314"/>
      <c r="GV25" s="314"/>
      <c r="GW25" s="314"/>
      <c r="GX25" s="314"/>
      <c r="GY25" s="314"/>
      <c r="GZ25" s="314"/>
      <c r="HA25" s="314"/>
      <c r="HB25" s="314"/>
      <c r="HC25" s="314"/>
      <c r="HD25" s="314"/>
      <c r="HE25" s="314"/>
      <c r="HF25" s="314"/>
      <c r="HG25" s="314"/>
      <c r="HH25" s="314"/>
      <c r="HI25" s="314"/>
      <c r="HJ25" s="314"/>
      <c r="HK25" s="314"/>
      <c r="HL25" s="314"/>
      <c r="HM25" s="314"/>
      <c r="HN25" s="314"/>
      <c r="HO25" s="314"/>
      <c r="HP25" s="314"/>
      <c r="HQ25" s="314"/>
      <c r="HR25" s="314"/>
      <c r="HS25" s="314"/>
      <c r="HT25" s="314"/>
      <c r="HU25" s="314"/>
      <c r="HV25" s="314"/>
      <c r="HW25" s="314"/>
      <c r="HX25" s="314"/>
      <c r="HY25" s="314"/>
      <c r="HZ25" s="314"/>
      <c r="IA25" s="314"/>
      <c r="IB25" s="314"/>
      <c r="IC25" s="314"/>
      <c r="ID25" s="314"/>
      <c r="IE25" s="314"/>
      <c r="IF25" s="314"/>
      <c r="IG25" s="314"/>
      <c r="IH25" s="314"/>
      <c r="II25" s="314"/>
      <c r="IJ25" s="314"/>
      <c r="IK25" s="314"/>
      <c r="IL25" s="314"/>
      <c r="IM25" s="314"/>
      <c r="IN25" s="314"/>
      <c r="IO25" s="314"/>
      <c r="IP25" s="314"/>
      <c r="IQ25" s="314"/>
      <c r="IR25" s="314"/>
      <c r="IS25" s="314"/>
      <c r="IT25" s="314"/>
      <c r="IU25" s="314"/>
      <c r="IV25" s="314"/>
    </row>
    <row r="26" spans="1:256" s="313" customFormat="1">
      <c r="A26" s="316" t="s">
        <v>2634</v>
      </c>
      <c r="B26" s="1365">
        <v>0</v>
      </c>
      <c r="C26" s="331"/>
      <c r="D26" s="1365">
        <v>0</v>
      </c>
      <c r="E26" s="331"/>
      <c r="F26" s="1366">
        <f t="shared" ref="F26:F32" si="0">B26+D26</f>
        <v>0</v>
      </c>
      <c r="G26" s="783"/>
      <c r="J26" s="314"/>
      <c r="K26" s="314"/>
      <c r="L26" s="314"/>
      <c r="M26" s="314"/>
      <c r="N26" s="314"/>
      <c r="O26" s="314"/>
      <c r="P26" s="314"/>
      <c r="Q26" s="314"/>
      <c r="R26" s="314"/>
      <c r="S26" s="314"/>
      <c r="T26" s="314"/>
      <c r="U26" s="314"/>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314"/>
      <c r="AV26" s="314"/>
      <c r="AW26" s="314"/>
      <c r="AX26" s="314"/>
      <c r="AY26" s="314"/>
      <c r="AZ26" s="314"/>
      <c r="BA26" s="314"/>
      <c r="BB26" s="314"/>
      <c r="BC26" s="314"/>
      <c r="BD26" s="314"/>
      <c r="BE26" s="314"/>
      <c r="BF26" s="314"/>
      <c r="BG26" s="314"/>
      <c r="BH26" s="314"/>
      <c r="BI26" s="314"/>
      <c r="BJ26" s="314"/>
      <c r="BK26" s="314"/>
      <c r="BL26" s="314"/>
      <c r="BM26" s="314"/>
      <c r="BN26" s="314"/>
      <c r="BO26" s="314"/>
      <c r="BP26" s="314"/>
      <c r="BQ26" s="314"/>
      <c r="BR26" s="314"/>
      <c r="BS26" s="314"/>
      <c r="BT26" s="314"/>
      <c r="BU26" s="314"/>
      <c r="BV26" s="314"/>
      <c r="BW26" s="314"/>
      <c r="BX26" s="314"/>
      <c r="BY26" s="314"/>
      <c r="BZ26" s="314"/>
      <c r="CA26" s="314"/>
      <c r="CB26" s="314"/>
      <c r="CC26" s="314"/>
      <c r="CD26" s="314"/>
      <c r="CE26" s="314"/>
      <c r="CF26" s="314"/>
      <c r="CG26" s="314"/>
      <c r="CH26" s="314"/>
      <c r="CI26" s="314"/>
      <c r="CJ26" s="314"/>
      <c r="CK26" s="314"/>
      <c r="CL26" s="314"/>
      <c r="CM26" s="314"/>
      <c r="CN26" s="314"/>
      <c r="CO26" s="314"/>
      <c r="CP26" s="314"/>
      <c r="CQ26" s="314"/>
      <c r="CR26" s="314"/>
      <c r="CS26" s="314"/>
      <c r="CT26" s="314"/>
      <c r="CU26" s="314"/>
      <c r="CV26" s="314"/>
      <c r="CW26" s="314"/>
      <c r="CX26" s="314"/>
      <c r="CY26" s="314"/>
      <c r="CZ26" s="314"/>
      <c r="DA26" s="314"/>
      <c r="DB26" s="314"/>
      <c r="DC26" s="314"/>
      <c r="DD26" s="314"/>
      <c r="DE26" s="314"/>
      <c r="DF26" s="314"/>
      <c r="DG26" s="314"/>
      <c r="DH26" s="314"/>
      <c r="DI26" s="314"/>
      <c r="DJ26" s="314"/>
      <c r="DK26" s="314"/>
      <c r="DL26" s="314"/>
      <c r="DM26" s="314"/>
      <c r="DN26" s="314"/>
      <c r="DO26" s="314"/>
      <c r="DP26" s="314"/>
      <c r="DQ26" s="314"/>
      <c r="DR26" s="314"/>
      <c r="DS26" s="314"/>
      <c r="DT26" s="314"/>
      <c r="DU26" s="314"/>
      <c r="DV26" s="314"/>
      <c r="DW26" s="314"/>
      <c r="DX26" s="314"/>
      <c r="DY26" s="314"/>
      <c r="DZ26" s="314"/>
      <c r="EA26" s="314"/>
      <c r="EB26" s="314"/>
      <c r="EC26" s="314"/>
      <c r="ED26" s="314"/>
      <c r="EE26" s="314"/>
      <c r="EF26" s="314"/>
      <c r="EG26" s="314"/>
      <c r="EH26" s="314"/>
      <c r="EI26" s="314"/>
      <c r="EJ26" s="314"/>
      <c r="EK26" s="314"/>
      <c r="EL26" s="314"/>
      <c r="EM26" s="314"/>
      <c r="EN26" s="314"/>
      <c r="EO26" s="314"/>
      <c r="EP26" s="314"/>
      <c r="EQ26" s="314"/>
      <c r="ER26" s="314"/>
      <c r="ES26" s="314"/>
      <c r="ET26" s="314"/>
      <c r="EU26" s="314"/>
      <c r="EV26" s="314"/>
      <c r="EW26" s="314"/>
      <c r="EX26" s="314"/>
      <c r="EY26" s="314"/>
      <c r="EZ26" s="314"/>
      <c r="FA26" s="314"/>
      <c r="FB26" s="314"/>
      <c r="FC26" s="314"/>
      <c r="FD26" s="314"/>
      <c r="FE26" s="314"/>
      <c r="FF26" s="314"/>
      <c r="FG26" s="314"/>
      <c r="FH26" s="314"/>
      <c r="FI26" s="314"/>
      <c r="FJ26" s="314"/>
      <c r="FK26" s="314"/>
      <c r="FL26" s="314"/>
      <c r="FM26" s="314"/>
      <c r="FN26" s="314"/>
      <c r="FO26" s="314"/>
      <c r="FP26" s="314"/>
      <c r="FQ26" s="314"/>
      <c r="FR26" s="314"/>
      <c r="FS26" s="314"/>
      <c r="FT26" s="314"/>
      <c r="FU26" s="314"/>
      <c r="FV26" s="314"/>
      <c r="FW26" s="314"/>
      <c r="FX26" s="314"/>
      <c r="FY26" s="314"/>
      <c r="FZ26" s="314"/>
      <c r="GA26" s="314"/>
      <c r="GB26" s="314"/>
      <c r="GC26" s="314"/>
      <c r="GD26" s="314"/>
      <c r="GE26" s="314"/>
      <c r="GF26" s="314"/>
      <c r="GG26" s="314"/>
      <c r="GH26" s="314"/>
      <c r="GI26" s="314"/>
      <c r="GJ26" s="314"/>
      <c r="GK26" s="314"/>
      <c r="GL26" s="314"/>
      <c r="GM26" s="314"/>
      <c r="GN26" s="314"/>
      <c r="GO26" s="314"/>
      <c r="GP26" s="314"/>
      <c r="GQ26" s="314"/>
      <c r="GR26" s="314"/>
      <c r="GS26" s="314"/>
      <c r="GT26" s="314"/>
      <c r="GU26" s="314"/>
      <c r="GV26" s="314"/>
      <c r="GW26" s="314"/>
      <c r="GX26" s="314"/>
      <c r="GY26" s="314"/>
      <c r="GZ26" s="314"/>
      <c r="HA26" s="314"/>
      <c r="HB26" s="314"/>
      <c r="HC26" s="314"/>
      <c r="HD26" s="314"/>
      <c r="HE26" s="314"/>
      <c r="HF26" s="314"/>
      <c r="HG26" s="314"/>
      <c r="HH26" s="314"/>
      <c r="HI26" s="314"/>
      <c r="HJ26" s="314"/>
      <c r="HK26" s="314"/>
      <c r="HL26" s="314"/>
      <c r="HM26" s="314"/>
      <c r="HN26" s="314"/>
      <c r="HO26" s="314"/>
      <c r="HP26" s="314"/>
      <c r="HQ26" s="314"/>
      <c r="HR26" s="314"/>
      <c r="HS26" s="314"/>
      <c r="HT26" s="314"/>
      <c r="HU26" s="314"/>
      <c r="HV26" s="314"/>
      <c r="HW26" s="314"/>
      <c r="HX26" s="314"/>
      <c r="HY26" s="314"/>
      <c r="HZ26" s="314"/>
      <c r="IA26" s="314"/>
      <c r="IB26" s="314"/>
      <c r="IC26" s="314"/>
      <c r="ID26" s="314"/>
      <c r="IE26" s="314"/>
      <c r="IF26" s="314"/>
      <c r="IG26" s="314"/>
      <c r="IH26" s="314"/>
      <c r="II26" s="314"/>
      <c r="IJ26" s="314"/>
      <c r="IK26" s="314"/>
      <c r="IL26" s="314"/>
      <c r="IM26" s="314"/>
      <c r="IN26" s="314"/>
      <c r="IO26" s="314"/>
      <c r="IP26" s="314"/>
      <c r="IQ26" s="314"/>
      <c r="IR26" s="314"/>
      <c r="IS26" s="314"/>
      <c r="IT26" s="314"/>
      <c r="IU26" s="314"/>
      <c r="IV26" s="314"/>
    </row>
    <row r="27" spans="1:256" s="313" customFormat="1">
      <c r="A27" s="324" t="s">
        <v>2635</v>
      </c>
      <c r="B27" s="1365">
        <v>0</v>
      </c>
      <c r="C27" s="328"/>
      <c r="D27" s="1365">
        <v>0</v>
      </c>
      <c r="E27" s="328"/>
      <c r="F27" s="1362">
        <f t="shared" si="0"/>
        <v>0</v>
      </c>
      <c r="G27" s="783"/>
      <c r="J27" s="314"/>
      <c r="K27" s="314"/>
      <c r="L27" s="314"/>
      <c r="M27" s="314"/>
      <c r="N27" s="314"/>
      <c r="O27" s="314"/>
      <c r="P27" s="314"/>
      <c r="Q27" s="314"/>
      <c r="R27" s="314"/>
      <c r="S27" s="314"/>
      <c r="T27" s="314"/>
      <c r="U27" s="314"/>
      <c r="V27" s="314"/>
      <c r="W27" s="314"/>
      <c r="X27" s="314"/>
      <c r="Y27" s="314"/>
      <c r="Z27" s="314"/>
      <c r="AA27" s="314"/>
      <c r="AB27" s="314"/>
      <c r="AC27" s="314"/>
      <c r="AD27" s="314"/>
      <c r="AE27" s="314"/>
      <c r="AF27" s="314"/>
      <c r="AG27" s="314"/>
      <c r="AH27" s="314"/>
      <c r="AI27" s="314"/>
      <c r="AJ27" s="314"/>
      <c r="AK27" s="314"/>
      <c r="AL27" s="314"/>
      <c r="AM27" s="314"/>
      <c r="AN27" s="314"/>
      <c r="AO27" s="314"/>
      <c r="AP27" s="314"/>
      <c r="AQ27" s="314"/>
      <c r="AR27" s="314"/>
      <c r="AS27" s="314"/>
      <c r="AT27" s="314"/>
      <c r="AU27" s="314"/>
      <c r="AV27" s="314"/>
      <c r="AW27" s="314"/>
      <c r="AX27" s="314"/>
      <c r="AY27" s="314"/>
      <c r="AZ27" s="314"/>
      <c r="BA27" s="314"/>
      <c r="BB27" s="314"/>
      <c r="BC27" s="314"/>
      <c r="BD27" s="314"/>
      <c r="BE27" s="314"/>
      <c r="BF27" s="314"/>
      <c r="BG27" s="314"/>
      <c r="BH27" s="314"/>
      <c r="BI27" s="314"/>
      <c r="BJ27" s="314"/>
      <c r="BK27" s="314"/>
      <c r="BL27" s="314"/>
      <c r="BM27" s="314"/>
      <c r="BN27" s="314"/>
      <c r="BO27" s="314"/>
      <c r="BP27" s="314"/>
      <c r="BQ27" s="314"/>
      <c r="BR27" s="314"/>
      <c r="BS27" s="314"/>
      <c r="BT27" s="314"/>
      <c r="BU27" s="314"/>
      <c r="BV27" s="314"/>
      <c r="BW27" s="314"/>
      <c r="BX27" s="314"/>
      <c r="BY27" s="314"/>
      <c r="BZ27" s="314"/>
      <c r="CA27" s="314"/>
      <c r="CB27" s="314"/>
      <c r="CC27" s="314"/>
      <c r="CD27" s="314"/>
      <c r="CE27" s="314"/>
      <c r="CF27" s="314"/>
      <c r="CG27" s="314"/>
      <c r="CH27" s="314"/>
      <c r="CI27" s="314"/>
      <c r="CJ27" s="314"/>
      <c r="CK27" s="314"/>
      <c r="CL27" s="314"/>
      <c r="CM27" s="314"/>
      <c r="CN27" s="314"/>
      <c r="CO27" s="314"/>
      <c r="CP27" s="314"/>
      <c r="CQ27" s="314"/>
      <c r="CR27" s="314"/>
      <c r="CS27" s="314"/>
      <c r="CT27" s="314"/>
      <c r="CU27" s="314"/>
      <c r="CV27" s="314"/>
      <c r="CW27" s="314"/>
      <c r="CX27" s="314"/>
      <c r="CY27" s="314"/>
      <c r="CZ27" s="314"/>
      <c r="DA27" s="314"/>
      <c r="DB27" s="314"/>
      <c r="DC27" s="314"/>
      <c r="DD27" s="314"/>
      <c r="DE27" s="314"/>
      <c r="DF27" s="314"/>
      <c r="DG27" s="314"/>
      <c r="DH27" s="314"/>
      <c r="DI27" s="314"/>
      <c r="DJ27" s="314"/>
      <c r="DK27" s="314"/>
      <c r="DL27" s="314"/>
      <c r="DM27" s="314"/>
      <c r="DN27" s="314"/>
      <c r="DO27" s="314"/>
      <c r="DP27" s="314"/>
      <c r="DQ27" s="314"/>
      <c r="DR27" s="314"/>
      <c r="DS27" s="314"/>
      <c r="DT27" s="314"/>
      <c r="DU27" s="314"/>
      <c r="DV27" s="314"/>
      <c r="DW27" s="314"/>
      <c r="DX27" s="314"/>
      <c r="DY27" s="314"/>
      <c r="DZ27" s="314"/>
      <c r="EA27" s="314"/>
      <c r="EB27" s="314"/>
      <c r="EC27" s="314"/>
      <c r="ED27" s="314"/>
      <c r="EE27" s="314"/>
      <c r="EF27" s="314"/>
      <c r="EG27" s="314"/>
      <c r="EH27" s="314"/>
      <c r="EI27" s="314"/>
      <c r="EJ27" s="314"/>
      <c r="EK27" s="314"/>
      <c r="EL27" s="314"/>
      <c r="EM27" s="314"/>
      <c r="EN27" s="314"/>
      <c r="EO27" s="314"/>
      <c r="EP27" s="314"/>
      <c r="EQ27" s="314"/>
      <c r="ER27" s="314"/>
      <c r="ES27" s="314"/>
      <c r="ET27" s="314"/>
      <c r="EU27" s="314"/>
      <c r="EV27" s="314"/>
      <c r="EW27" s="314"/>
      <c r="EX27" s="314"/>
      <c r="EY27" s="314"/>
      <c r="EZ27" s="314"/>
      <c r="FA27" s="314"/>
      <c r="FB27" s="314"/>
      <c r="FC27" s="314"/>
      <c r="FD27" s="314"/>
      <c r="FE27" s="314"/>
      <c r="FF27" s="314"/>
      <c r="FG27" s="314"/>
      <c r="FH27" s="314"/>
      <c r="FI27" s="314"/>
      <c r="FJ27" s="314"/>
      <c r="FK27" s="314"/>
      <c r="FL27" s="314"/>
      <c r="FM27" s="314"/>
      <c r="FN27" s="314"/>
      <c r="FO27" s="314"/>
      <c r="FP27" s="314"/>
      <c r="FQ27" s="314"/>
      <c r="FR27" s="314"/>
      <c r="FS27" s="314"/>
      <c r="FT27" s="314"/>
      <c r="FU27" s="314"/>
      <c r="FV27" s="314"/>
      <c r="FW27" s="314"/>
      <c r="FX27" s="314"/>
      <c r="FY27" s="314"/>
      <c r="FZ27" s="314"/>
      <c r="GA27" s="314"/>
      <c r="GB27" s="314"/>
      <c r="GC27" s="314"/>
      <c r="GD27" s="314"/>
      <c r="GE27" s="314"/>
      <c r="GF27" s="314"/>
      <c r="GG27" s="314"/>
      <c r="GH27" s="314"/>
      <c r="GI27" s="314"/>
      <c r="GJ27" s="314"/>
      <c r="GK27" s="314"/>
      <c r="GL27" s="314"/>
      <c r="GM27" s="314"/>
      <c r="GN27" s="314"/>
      <c r="GO27" s="314"/>
      <c r="GP27" s="314"/>
      <c r="GQ27" s="314"/>
      <c r="GR27" s="314"/>
      <c r="GS27" s="314"/>
      <c r="GT27" s="314"/>
      <c r="GU27" s="314"/>
      <c r="GV27" s="314"/>
      <c r="GW27" s="314"/>
      <c r="GX27" s="314"/>
      <c r="GY27" s="314"/>
      <c r="GZ27" s="314"/>
      <c r="HA27" s="314"/>
      <c r="HB27" s="314"/>
      <c r="HC27" s="314"/>
      <c r="HD27" s="314"/>
      <c r="HE27" s="314"/>
      <c r="HF27" s="314"/>
      <c r="HG27" s="314"/>
      <c r="HH27" s="314"/>
      <c r="HI27" s="314"/>
      <c r="HJ27" s="314"/>
      <c r="HK27" s="314"/>
      <c r="HL27" s="314"/>
      <c r="HM27" s="314"/>
      <c r="HN27" s="314"/>
      <c r="HO27" s="314"/>
      <c r="HP27" s="314"/>
      <c r="HQ27" s="314"/>
      <c r="HR27" s="314"/>
      <c r="HS27" s="314"/>
      <c r="HT27" s="314"/>
      <c r="HU27" s="314"/>
      <c r="HV27" s="314"/>
      <c r="HW27" s="314"/>
      <c r="HX27" s="314"/>
      <c r="HY27" s="314"/>
      <c r="HZ27" s="314"/>
      <c r="IA27" s="314"/>
      <c r="IB27" s="314"/>
      <c r="IC27" s="314"/>
      <c r="ID27" s="314"/>
      <c r="IE27" s="314"/>
      <c r="IF27" s="314"/>
      <c r="IG27" s="314"/>
      <c r="IH27" s="314"/>
      <c r="II27" s="314"/>
      <c r="IJ27" s="314"/>
      <c r="IK27" s="314"/>
      <c r="IL27" s="314"/>
      <c r="IM27" s="314"/>
      <c r="IN27" s="314"/>
      <c r="IO27" s="314"/>
      <c r="IP27" s="314"/>
      <c r="IQ27" s="314"/>
      <c r="IR27" s="314"/>
      <c r="IS27" s="314"/>
      <c r="IT27" s="314"/>
      <c r="IU27" s="314"/>
      <c r="IV27" s="314"/>
    </row>
    <row r="28" spans="1:256" s="313" customFormat="1">
      <c r="A28" s="324" t="s">
        <v>2636</v>
      </c>
      <c r="B28" s="1365">
        <v>0</v>
      </c>
      <c r="C28" s="328"/>
      <c r="D28" s="1365">
        <v>0</v>
      </c>
      <c r="E28" s="328"/>
      <c r="F28" s="1362">
        <f t="shared" si="0"/>
        <v>0</v>
      </c>
      <c r="G28" s="783"/>
      <c r="J28" s="314"/>
      <c r="K28" s="314"/>
      <c r="L28" s="314"/>
      <c r="M28" s="314"/>
      <c r="N28" s="314"/>
      <c r="O28" s="314"/>
      <c r="P28" s="314"/>
      <c r="Q28" s="314"/>
      <c r="R28" s="314"/>
      <c r="S28" s="314"/>
      <c r="T28" s="314"/>
      <c r="U28" s="314"/>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314"/>
      <c r="AV28" s="314"/>
      <c r="AW28" s="314"/>
      <c r="AX28" s="314"/>
      <c r="AY28" s="314"/>
      <c r="AZ28" s="314"/>
      <c r="BA28" s="314"/>
      <c r="BB28" s="314"/>
      <c r="BC28" s="314"/>
      <c r="BD28" s="314"/>
      <c r="BE28" s="314"/>
      <c r="BF28" s="314"/>
      <c r="BG28" s="314"/>
      <c r="BH28" s="314"/>
      <c r="BI28" s="314"/>
      <c r="BJ28" s="314"/>
      <c r="BK28" s="314"/>
      <c r="BL28" s="314"/>
      <c r="BM28" s="314"/>
      <c r="BN28" s="314"/>
      <c r="BO28" s="314"/>
      <c r="BP28" s="314"/>
      <c r="BQ28" s="314"/>
      <c r="BR28" s="314"/>
      <c r="BS28" s="314"/>
      <c r="BT28" s="314"/>
      <c r="BU28" s="314"/>
      <c r="BV28" s="314"/>
      <c r="BW28" s="314"/>
      <c r="BX28" s="314"/>
      <c r="BY28" s="314"/>
      <c r="BZ28" s="314"/>
      <c r="CA28" s="314"/>
      <c r="CB28" s="314"/>
      <c r="CC28" s="314"/>
      <c r="CD28" s="314"/>
      <c r="CE28" s="314"/>
      <c r="CF28" s="314"/>
      <c r="CG28" s="314"/>
      <c r="CH28" s="314"/>
      <c r="CI28" s="314"/>
      <c r="CJ28" s="314"/>
      <c r="CK28" s="314"/>
      <c r="CL28" s="314"/>
      <c r="CM28" s="314"/>
      <c r="CN28" s="314"/>
      <c r="CO28" s="314"/>
      <c r="CP28" s="314"/>
      <c r="CQ28" s="314"/>
      <c r="CR28" s="314"/>
      <c r="CS28" s="314"/>
      <c r="CT28" s="314"/>
      <c r="CU28" s="314"/>
      <c r="CV28" s="314"/>
      <c r="CW28" s="314"/>
      <c r="CX28" s="314"/>
      <c r="CY28" s="314"/>
      <c r="CZ28" s="314"/>
      <c r="DA28" s="314"/>
      <c r="DB28" s="314"/>
      <c r="DC28" s="314"/>
      <c r="DD28" s="314"/>
      <c r="DE28" s="314"/>
      <c r="DF28" s="314"/>
      <c r="DG28" s="314"/>
      <c r="DH28" s="314"/>
      <c r="DI28" s="314"/>
      <c r="DJ28" s="314"/>
      <c r="DK28" s="314"/>
      <c r="DL28" s="314"/>
      <c r="DM28" s="314"/>
      <c r="DN28" s="314"/>
      <c r="DO28" s="314"/>
      <c r="DP28" s="314"/>
      <c r="DQ28" s="314"/>
      <c r="DR28" s="314"/>
      <c r="DS28" s="314"/>
      <c r="DT28" s="314"/>
      <c r="DU28" s="314"/>
      <c r="DV28" s="314"/>
      <c r="DW28" s="314"/>
      <c r="DX28" s="314"/>
      <c r="DY28" s="314"/>
      <c r="DZ28" s="314"/>
      <c r="EA28" s="314"/>
      <c r="EB28" s="314"/>
      <c r="EC28" s="314"/>
      <c r="ED28" s="314"/>
      <c r="EE28" s="314"/>
      <c r="EF28" s="314"/>
      <c r="EG28" s="314"/>
      <c r="EH28" s="314"/>
      <c r="EI28" s="314"/>
      <c r="EJ28" s="314"/>
      <c r="EK28" s="314"/>
      <c r="EL28" s="314"/>
      <c r="EM28" s="314"/>
      <c r="EN28" s="314"/>
      <c r="EO28" s="314"/>
      <c r="EP28" s="314"/>
      <c r="EQ28" s="314"/>
      <c r="ER28" s="314"/>
      <c r="ES28" s="314"/>
      <c r="ET28" s="314"/>
      <c r="EU28" s="314"/>
      <c r="EV28" s="314"/>
      <c r="EW28" s="314"/>
      <c r="EX28" s="314"/>
      <c r="EY28" s="314"/>
      <c r="EZ28" s="314"/>
      <c r="FA28" s="314"/>
      <c r="FB28" s="314"/>
      <c r="FC28" s="314"/>
      <c r="FD28" s="314"/>
      <c r="FE28" s="314"/>
      <c r="FF28" s="314"/>
      <c r="FG28" s="314"/>
      <c r="FH28" s="314"/>
      <c r="FI28" s="314"/>
      <c r="FJ28" s="314"/>
      <c r="FK28" s="314"/>
      <c r="FL28" s="314"/>
      <c r="FM28" s="314"/>
      <c r="FN28" s="314"/>
      <c r="FO28" s="314"/>
      <c r="FP28" s="314"/>
      <c r="FQ28" s="314"/>
      <c r="FR28" s="314"/>
      <c r="FS28" s="314"/>
      <c r="FT28" s="314"/>
      <c r="FU28" s="314"/>
      <c r="FV28" s="314"/>
      <c r="FW28" s="314"/>
      <c r="FX28" s="314"/>
      <c r="FY28" s="314"/>
      <c r="FZ28" s="314"/>
      <c r="GA28" s="314"/>
      <c r="GB28" s="314"/>
      <c r="GC28" s="314"/>
      <c r="GD28" s="314"/>
      <c r="GE28" s="314"/>
      <c r="GF28" s="314"/>
      <c r="GG28" s="314"/>
      <c r="GH28" s="314"/>
      <c r="GI28" s="314"/>
      <c r="GJ28" s="314"/>
      <c r="GK28" s="314"/>
      <c r="GL28" s="314"/>
      <c r="GM28" s="314"/>
      <c r="GN28" s="314"/>
      <c r="GO28" s="314"/>
      <c r="GP28" s="314"/>
      <c r="GQ28" s="314"/>
      <c r="GR28" s="314"/>
      <c r="GS28" s="314"/>
      <c r="GT28" s="314"/>
      <c r="GU28" s="314"/>
      <c r="GV28" s="314"/>
      <c r="GW28" s="314"/>
      <c r="GX28" s="314"/>
      <c r="GY28" s="314"/>
      <c r="GZ28" s="314"/>
      <c r="HA28" s="314"/>
      <c r="HB28" s="314"/>
      <c r="HC28" s="314"/>
      <c r="HD28" s="314"/>
      <c r="HE28" s="314"/>
      <c r="HF28" s="314"/>
      <c r="HG28" s="314"/>
      <c r="HH28" s="314"/>
      <c r="HI28" s="314"/>
      <c r="HJ28" s="314"/>
      <c r="HK28" s="314"/>
      <c r="HL28" s="314"/>
      <c r="HM28" s="314"/>
      <c r="HN28" s="314"/>
      <c r="HO28" s="314"/>
      <c r="HP28" s="314"/>
      <c r="HQ28" s="314"/>
      <c r="HR28" s="314"/>
      <c r="HS28" s="314"/>
      <c r="HT28" s="314"/>
      <c r="HU28" s="314"/>
      <c r="HV28" s="314"/>
      <c r="HW28" s="314"/>
      <c r="HX28" s="314"/>
      <c r="HY28" s="314"/>
      <c r="HZ28" s="314"/>
      <c r="IA28" s="314"/>
      <c r="IB28" s="314"/>
      <c r="IC28" s="314"/>
      <c r="ID28" s="314"/>
      <c r="IE28" s="314"/>
      <c r="IF28" s="314"/>
      <c r="IG28" s="314"/>
      <c r="IH28" s="314"/>
      <c r="II28" s="314"/>
      <c r="IJ28" s="314"/>
      <c r="IK28" s="314"/>
      <c r="IL28" s="314"/>
      <c r="IM28" s="314"/>
      <c r="IN28" s="314"/>
      <c r="IO28" s="314"/>
      <c r="IP28" s="314"/>
      <c r="IQ28" s="314"/>
      <c r="IR28" s="314"/>
      <c r="IS28" s="314"/>
      <c r="IT28" s="314"/>
      <c r="IU28" s="314"/>
      <c r="IV28" s="314"/>
    </row>
    <row r="29" spans="1:256" s="313" customFormat="1">
      <c r="A29" s="324" t="s">
        <v>2637</v>
      </c>
      <c r="B29" s="1365">
        <v>0</v>
      </c>
      <c r="C29" s="328"/>
      <c r="D29" s="1365">
        <v>0</v>
      </c>
      <c r="E29" s="328"/>
      <c r="F29" s="1362">
        <f t="shared" si="0"/>
        <v>0</v>
      </c>
      <c r="G29" s="783"/>
      <c r="J29" s="314"/>
      <c r="K29" s="314"/>
      <c r="L29" s="314"/>
      <c r="M29" s="314"/>
      <c r="N29" s="314"/>
      <c r="O29" s="314"/>
      <c r="P29" s="314"/>
      <c r="Q29" s="314"/>
      <c r="R29" s="314"/>
      <c r="S29" s="314"/>
      <c r="T29" s="314"/>
      <c r="U29" s="314"/>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4"/>
      <c r="BK29" s="314"/>
      <c r="BL29" s="314"/>
      <c r="BM29" s="314"/>
      <c r="BN29" s="314"/>
      <c r="BO29" s="314"/>
      <c r="BP29" s="314"/>
      <c r="BQ29" s="314"/>
      <c r="BR29" s="314"/>
      <c r="BS29" s="314"/>
      <c r="BT29" s="314"/>
      <c r="BU29" s="314"/>
      <c r="BV29" s="314"/>
      <c r="BW29" s="314"/>
      <c r="BX29" s="314"/>
      <c r="BY29" s="314"/>
      <c r="BZ29" s="314"/>
      <c r="CA29" s="314"/>
      <c r="CB29" s="314"/>
      <c r="CC29" s="314"/>
      <c r="CD29" s="314"/>
      <c r="CE29" s="314"/>
      <c r="CF29" s="314"/>
      <c r="CG29" s="314"/>
      <c r="CH29" s="314"/>
      <c r="CI29" s="314"/>
      <c r="CJ29" s="314"/>
      <c r="CK29" s="314"/>
      <c r="CL29" s="314"/>
      <c r="CM29" s="314"/>
      <c r="CN29" s="314"/>
      <c r="CO29" s="314"/>
      <c r="CP29" s="314"/>
      <c r="CQ29" s="314"/>
      <c r="CR29" s="314"/>
      <c r="CS29" s="314"/>
      <c r="CT29" s="314"/>
      <c r="CU29" s="314"/>
      <c r="CV29" s="314"/>
      <c r="CW29" s="314"/>
      <c r="CX29" s="314"/>
      <c r="CY29" s="314"/>
      <c r="CZ29" s="314"/>
      <c r="DA29" s="314"/>
      <c r="DB29" s="314"/>
      <c r="DC29" s="314"/>
      <c r="DD29" s="314"/>
      <c r="DE29" s="314"/>
      <c r="DF29" s="314"/>
      <c r="DG29" s="314"/>
      <c r="DH29" s="314"/>
      <c r="DI29" s="314"/>
      <c r="DJ29" s="314"/>
      <c r="DK29" s="314"/>
      <c r="DL29" s="314"/>
      <c r="DM29" s="314"/>
      <c r="DN29" s="314"/>
      <c r="DO29" s="314"/>
      <c r="DP29" s="314"/>
      <c r="DQ29" s="314"/>
      <c r="DR29" s="314"/>
      <c r="DS29" s="314"/>
      <c r="DT29" s="314"/>
      <c r="DU29" s="314"/>
      <c r="DV29" s="314"/>
      <c r="DW29" s="314"/>
      <c r="DX29" s="314"/>
      <c r="DY29" s="314"/>
      <c r="DZ29" s="314"/>
      <c r="EA29" s="314"/>
      <c r="EB29" s="314"/>
      <c r="EC29" s="314"/>
      <c r="ED29" s="314"/>
      <c r="EE29" s="314"/>
      <c r="EF29" s="314"/>
      <c r="EG29" s="314"/>
      <c r="EH29" s="314"/>
      <c r="EI29" s="314"/>
      <c r="EJ29" s="314"/>
      <c r="EK29" s="314"/>
      <c r="EL29" s="314"/>
      <c r="EM29" s="314"/>
      <c r="EN29" s="314"/>
      <c r="EO29" s="314"/>
      <c r="EP29" s="314"/>
      <c r="EQ29" s="314"/>
      <c r="ER29" s="314"/>
      <c r="ES29" s="314"/>
      <c r="ET29" s="314"/>
      <c r="EU29" s="314"/>
      <c r="EV29" s="314"/>
      <c r="EW29" s="314"/>
      <c r="EX29" s="314"/>
      <c r="EY29" s="314"/>
      <c r="EZ29" s="314"/>
      <c r="FA29" s="314"/>
      <c r="FB29" s="314"/>
      <c r="FC29" s="314"/>
      <c r="FD29" s="314"/>
      <c r="FE29" s="314"/>
      <c r="FF29" s="314"/>
      <c r="FG29" s="314"/>
      <c r="FH29" s="314"/>
      <c r="FI29" s="314"/>
      <c r="FJ29" s="314"/>
      <c r="FK29" s="314"/>
      <c r="FL29" s="314"/>
      <c r="FM29" s="314"/>
      <c r="FN29" s="314"/>
      <c r="FO29" s="314"/>
      <c r="FP29" s="314"/>
      <c r="FQ29" s="314"/>
      <c r="FR29" s="314"/>
      <c r="FS29" s="314"/>
      <c r="FT29" s="314"/>
      <c r="FU29" s="314"/>
      <c r="FV29" s="314"/>
      <c r="FW29" s="314"/>
      <c r="FX29" s="314"/>
      <c r="FY29" s="314"/>
      <c r="FZ29" s="314"/>
      <c r="GA29" s="314"/>
      <c r="GB29" s="314"/>
      <c r="GC29" s="314"/>
      <c r="GD29" s="314"/>
      <c r="GE29" s="314"/>
      <c r="GF29" s="314"/>
      <c r="GG29" s="314"/>
      <c r="GH29" s="314"/>
      <c r="GI29" s="314"/>
      <c r="GJ29" s="314"/>
      <c r="GK29" s="314"/>
      <c r="GL29" s="314"/>
      <c r="GM29" s="314"/>
      <c r="GN29" s="314"/>
      <c r="GO29" s="314"/>
      <c r="GP29" s="314"/>
      <c r="GQ29" s="314"/>
      <c r="GR29" s="314"/>
      <c r="GS29" s="314"/>
      <c r="GT29" s="314"/>
      <c r="GU29" s="314"/>
      <c r="GV29" s="314"/>
      <c r="GW29" s="314"/>
      <c r="GX29" s="314"/>
      <c r="GY29" s="314"/>
      <c r="GZ29" s="314"/>
      <c r="HA29" s="314"/>
      <c r="HB29" s="314"/>
      <c r="HC29" s="314"/>
      <c r="HD29" s="314"/>
      <c r="HE29" s="314"/>
      <c r="HF29" s="314"/>
      <c r="HG29" s="314"/>
      <c r="HH29" s="314"/>
      <c r="HI29" s="314"/>
      <c r="HJ29" s="314"/>
      <c r="HK29" s="314"/>
      <c r="HL29" s="314"/>
      <c r="HM29" s="314"/>
      <c r="HN29" s="314"/>
      <c r="HO29" s="314"/>
      <c r="HP29" s="314"/>
      <c r="HQ29" s="314"/>
      <c r="HR29" s="314"/>
      <c r="HS29" s="314"/>
      <c r="HT29" s="314"/>
      <c r="HU29" s="314"/>
      <c r="HV29" s="314"/>
      <c r="HW29" s="314"/>
      <c r="HX29" s="314"/>
      <c r="HY29" s="314"/>
      <c r="HZ29" s="314"/>
      <c r="IA29" s="314"/>
      <c r="IB29" s="314"/>
      <c r="IC29" s="314"/>
      <c r="ID29" s="314"/>
      <c r="IE29" s="314"/>
      <c r="IF29" s="314"/>
      <c r="IG29" s="314"/>
      <c r="IH29" s="314"/>
      <c r="II29" s="314"/>
      <c r="IJ29" s="314"/>
      <c r="IK29" s="314"/>
      <c r="IL29" s="314"/>
      <c r="IM29" s="314"/>
      <c r="IN29" s="314"/>
      <c r="IO29" s="314"/>
      <c r="IP29" s="314"/>
      <c r="IQ29" s="314"/>
      <c r="IR29" s="314"/>
      <c r="IS29" s="314"/>
      <c r="IT29" s="314"/>
      <c r="IU29" s="314"/>
      <c r="IV29" s="314"/>
    </row>
    <row r="30" spans="1:256" s="313" customFormat="1">
      <c r="A30" s="316" t="s">
        <v>2638</v>
      </c>
      <c r="B30" s="1365">
        <v>0</v>
      </c>
      <c r="C30" s="333"/>
      <c r="D30" s="1365">
        <v>0</v>
      </c>
      <c r="E30" s="333"/>
      <c r="F30" s="1366">
        <f t="shared" si="0"/>
        <v>0</v>
      </c>
      <c r="G30" s="783"/>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4"/>
      <c r="BJ30" s="314"/>
      <c r="BK30" s="314"/>
      <c r="BL30" s="314"/>
      <c r="BM30" s="314"/>
      <c r="BN30" s="314"/>
      <c r="BO30" s="314"/>
      <c r="BP30" s="314"/>
      <c r="BQ30" s="314"/>
      <c r="BR30" s="314"/>
      <c r="BS30" s="314"/>
      <c r="BT30" s="314"/>
      <c r="BU30" s="314"/>
      <c r="BV30" s="314"/>
      <c r="BW30" s="314"/>
      <c r="BX30" s="314"/>
      <c r="BY30" s="314"/>
      <c r="BZ30" s="314"/>
      <c r="CA30" s="314"/>
      <c r="CB30" s="314"/>
      <c r="CC30" s="314"/>
      <c r="CD30" s="314"/>
      <c r="CE30" s="314"/>
      <c r="CF30" s="314"/>
      <c r="CG30" s="314"/>
      <c r="CH30" s="314"/>
      <c r="CI30" s="314"/>
      <c r="CJ30" s="314"/>
      <c r="CK30" s="314"/>
      <c r="CL30" s="314"/>
      <c r="CM30" s="314"/>
      <c r="CN30" s="314"/>
      <c r="CO30" s="314"/>
      <c r="CP30" s="314"/>
      <c r="CQ30" s="314"/>
      <c r="CR30" s="314"/>
      <c r="CS30" s="314"/>
      <c r="CT30" s="314"/>
      <c r="CU30" s="314"/>
      <c r="CV30" s="314"/>
      <c r="CW30" s="314"/>
      <c r="CX30" s="314"/>
      <c r="CY30" s="314"/>
      <c r="CZ30" s="314"/>
      <c r="DA30" s="314"/>
      <c r="DB30" s="314"/>
      <c r="DC30" s="314"/>
      <c r="DD30" s="314"/>
      <c r="DE30" s="314"/>
      <c r="DF30" s="314"/>
      <c r="DG30" s="314"/>
      <c r="DH30" s="314"/>
      <c r="DI30" s="314"/>
      <c r="DJ30" s="314"/>
      <c r="DK30" s="314"/>
      <c r="DL30" s="314"/>
      <c r="DM30" s="314"/>
      <c r="DN30" s="314"/>
      <c r="DO30" s="314"/>
      <c r="DP30" s="314"/>
      <c r="DQ30" s="314"/>
      <c r="DR30" s="314"/>
      <c r="DS30" s="314"/>
      <c r="DT30" s="314"/>
      <c r="DU30" s="314"/>
      <c r="DV30" s="314"/>
      <c r="DW30" s="314"/>
      <c r="DX30" s="314"/>
      <c r="DY30" s="314"/>
      <c r="DZ30" s="314"/>
      <c r="EA30" s="314"/>
      <c r="EB30" s="314"/>
      <c r="EC30" s="314"/>
      <c r="ED30" s="314"/>
      <c r="EE30" s="314"/>
      <c r="EF30" s="314"/>
      <c r="EG30" s="314"/>
      <c r="EH30" s="314"/>
      <c r="EI30" s="314"/>
      <c r="EJ30" s="314"/>
      <c r="EK30" s="314"/>
      <c r="EL30" s="314"/>
      <c r="EM30" s="314"/>
      <c r="EN30" s="314"/>
      <c r="EO30" s="314"/>
      <c r="EP30" s="314"/>
      <c r="EQ30" s="314"/>
      <c r="ER30" s="314"/>
      <c r="ES30" s="314"/>
      <c r="ET30" s="314"/>
      <c r="EU30" s="314"/>
      <c r="EV30" s="314"/>
      <c r="EW30" s="314"/>
      <c r="EX30" s="314"/>
      <c r="EY30" s="314"/>
      <c r="EZ30" s="314"/>
      <c r="FA30" s="314"/>
      <c r="FB30" s="314"/>
      <c r="FC30" s="314"/>
      <c r="FD30" s="314"/>
      <c r="FE30" s="314"/>
      <c r="FF30" s="314"/>
      <c r="FG30" s="314"/>
      <c r="FH30" s="314"/>
      <c r="FI30" s="314"/>
      <c r="FJ30" s="314"/>
      <c r="FK30" s="314"/>
      <c r="FL30" s="314"/>
      <c r="FM30" s="314"/>
      <c r="FN30" s="314"/>
      <c r="FO30" s="314"/>
      <c r="FP30" s="314"/>
      <c r="FQ30" s="314"/>
      <c r="FR30" s="314"/>
      <c r="FS30" s="314"/>
      <c r="FT30" s="314"/>
      <c r="FU30" s="314"/>
      <c r="FV30" s="314"/>
      <c r="FW30" s="314"/>
      <c r="FX30" s="314"/>
      <c r="FY30" s="314"/>
      <c r="FZ30" s="314"/>
      <c r="GA30" s="314"/>
      <c r="GB30" s="314"/>
      <c r="GC30" s="314"/>
      <c r="GD30" s="314"/>
      <c r="GE30" s="314"/>
      <c r="GF30" s="314"/>
      <c r="GG30" s="314"/>
      <c r="GH30" s="314"/>
      <c r="GI30" s="314"/>
      <c r="GJ30" s="314"/>
      <c r="GK30" s="314"/>
      <c r="GL30" s="314"/>
      <c r="GM30" s="314"/>
      <c r="GN30" s="314"/>
      <c r="GO30" s="314"/>
      <c r="GP30" s="314"/>
      <c r="GQ30" s="314"/>
      <c r="GR30" s="314"/>
      <c r="GS30" s="314"/>
      <c r="GT30" s="314"/>
      <c r="GU30" s="314"/>
      <c r="GV30" s="314"/>
      <c r="GW30" s="314"/>
      <c r="GX30" s="314"/>
      <c r="GY30" s="314"/>
      <c r="GZ30" s="314"/>
      <c r="HA30" s="314"/>
      <c r="HB30" s="314"/>
      <c r="HC30" s="314"/>
      <c r="HD30" s="314"/>
      <c r="HE30" s="314"/>
      <c r="HF30" s="314"/>
      <c r="HG30" s="314"/>
      <c r="HH30" s="314"/>
      <c r="HI30" s="314"/>
      <c r="HJ30" s="314"/>
      <c r="HK30" s="314"/>
      <c r="HL30" s="314"/>
      <c r="HM30" s="314"/>
      <c r="HN30" s="314"/>
      <c r="HO30" s="314"/>
      <c r="HP30" s="314"/>
      <c r="HQ30" s="314"/>
      <c r="HR30" s="314"/>
      <c r="HS30" s="314"/>
      <c r="HT30" s="314"/>
      <c r="HU30" s="314"/>
      <c r="HV30" s="314"/>
      <c r="HW30" s="314"/>
      <c r="HX30" s="314"/>
      <c r="HY30" s="314"/>
      <c r="HZ30" s="314"/>
      <c r="IA30" s="314"/>
      <c r="IB30" s="314"/>
      <c r="IC30" s="314"/>
      <c r="ID30" s="314"/>
      <c r="IE30" s="314"/>
      <c r="IF30" s="314"/>
      <c r="IG30" s="314"/>
      <c r="IH30" s="314"/>
      <c r="II30" s="314"/>
      <c r="IJ30" s="314"/>
      <c r="IK30" s="314"/>
      <c r="IL30" s="314"/>
      <c r="IM30" s="314"/>
      <c r="IN30" s="314"/>
      <c r="IO30" s="314"/>
      <c r="IP30" s="314"/>
      <c r="IQ30" s="314"/>
      <c r="IR30" s="314"/>
      <c r="IS30" s="314"/>
      <c r="IT30" s="314"/>
      <c r="IU30" s="314"/>
      <c r="IV30" s="314"/>
    </row>
    <row r="31" spans="1:256" s="313" customFormat="1">
      <c r="A31" s="316" t="s">
        <v>2639</v>
      </c>
      <c r="B31" s="1365">
        <v>0</v>
      </c>
      <c r="C31" s="333"/>
      <c r="D31" s="1365">
        <v>0</v>
      </c>
      <c r="E31" s="333"/>
      <c r="F31" s="1366">
        <f t="shared" si="0"/>
        <v>0</v>
      </c>
      <c r="G31" s="783"/>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4"/>
      <c r="BJ31" s="314"/>
      <c r="BK31" s="314"/>
      <c r="BL31" s="314"/>
      <c r="BM31" s="314"/>
      <c r="BN31" s="314"/>
      <c r="BO31" s="314"/>
      <c r="BP31" s="314"/>
      <c r="BQ31" s="314"/>
      <c r="BR31" s="314"/>
      <c r="BS31" s="314"/>
      <c r="BT31" s="314"/>
      <c r="BU31" s="314"/>
      <c r="BV31" s="314"/>
      <c r="BW31" s="314"/>
      <c r="BX31" s="314"/>
      <c r="BY31" s="314"/>
      <c r="BZ31" s="314"/>
      <c r="CA31" s="314"/>
      <c r="CB31" s="314"/>
      <c r="CC31" s="314"/>
      <c r="CD31" s="314"/>
      <c r="CE31" s="314"/>
      <c r="CF31" s="314"/>
      <c r="CG31" s="314"/>
      <c r="CH31" s="314"/>
      <c r="CI31" s="314"/>
      <c r="CJ31" s="314"/>
      <c r="CK31" s="314"/>
      <c r="CL31" s="314"/>
      <c r="CM31" s="314"/>
      <c r="CN31" s="314"/>
      <c r="CO31" s="314"/>
      <c r="CP31" s="314"/>
      <c r="CQ31" s="314"/>
      <c r="CR31" s="314"/>
      <c r="CS31" s="314"/>
      <c r="CT31" s="314"/>
      <c r="CU31" s="314"/>
      <c r="CV31" s="314"/>
      <c r="CW31" s="314"/>
      <c r="CX31" s="314"/>
      <c r="CY31" s="314"/>
      <c r="CZ31" s="314"/>
      <c r="DA31" s="314"/>
      <c r="DB31" s="314"/>
      <c r="DC31" s="314"/>
      <c r="DD31" s="314"/>
      <c r="DE31" s="314"/>
      <c r="DF31" s="314"/>
      <c r="DG31" s="314"/>
      <c r="DH31" s="314"/>
      <c r="DI31" s="314"/>
      <c r="DJ31" s="314"/>
      <c r="DK31" s="314"/>
      <c r="DL31" s="314"/>
      <c r="DM31" s="314"/>
      <c r="DN31" s="314"/>
      <c r="DO31" s="314"/>
      <c r="DP31" s="314"/>
      <c r="DQ31" s="314"/>
      <c r="DR31" s="314"/>
      <c r="DS31" s="314"/>
      <c r="DT31" s="314"/>
      <c r="DU31" s="314"/>
      <c r="DV31" s="314"/>
      <c r="DW31" s="314"/>
      <c r="DX31" s="314"/>
      <c r="DY31" s="314"/>
      <c r="DZ31" s="314"/>
      <c r="EA31" s="314"/>
      <c r="EB31" s="314"/>
      <c r="EC31" s="314"/>
      <c r="ED31" s="314"/>
      <c r="EE31" s="314"/>
      <c r="EF31" s="314"/>
      <c r="EG31" s="314"/>
      <c r="EH31" s="314"/>
      <c r="EI31" s="314"/>
      <c r="EJ31" s="314"/>
      <c r="EK31" s="314"/>
      <c r="EL31" s="314"/>
      <c r="EM31" s="314"/>
      <c r="EN31" s="314"/>
      <c r="EO31" s="314"/>
      <c r="EP31" s="314"/>
      <c r="EQ31" s="314"/>
      <c r="ER31" s="314"/>
      <c r="ES31" s="314"/>
      <c r="ET31" s="314"/>
      <c r="EU31" s="314"/>
      <c r="EV31" s="314"/>
      <c r="EW31" s="314"/>
      <c r="EX31" s="314"/>
      <c r="EY31" s="314"/>
      <c r="EZ31" s="314"/>
      <c r="FA31" s="314"/>
      <c r="FB31" s="314"/>
      <c r="FC31" s="314"/>
      <c r="FD31" s="314"/>
      <c r="FE31" s="314"/>
      <c r="FF31" s="314"/>
      <c r="FG31" s="314"/>
      <c r="FH31" s="314"/>
      <c r="FI31" s="314"/>
      <c r="FJ31" s="314"/>
      <c r="FK31" s="314"/>
      <c r="FL31" s="314"/>
      <c r="FM31" s="314"/>
      <c r="FN31" s="314"/>
      <c r="FO31" s="314"/>
      <c r="FP31" s="314"/>
      <c r="FQ31" s="314"/>
      <c r="FR31" s="314"/>
      <c r="FS31" s="314"/>
      <c r="FT31" s="314"/>
      <c r="FU31" s="314"/>
      <c r="FV31" s="314"/>
      <c r="FW31" s="314"/>
      <c r="FX31" s="314"/>
      <c r="FY31" s="314"/>
      <c r="FZ31" s="314"/>
      <c r="GA31" s="314"/>
      <c r="GB31" s="314"/>
      <c r="GC31" s="314"/>
      <c r="GD31" s="314"/>
      <c r="GE31" s="314"/>
      <c r="GF31" s="314"/>
      <c r="GG31" s="314"/>
      <c r="GH31" s="314"/>
      <c r="GI31" s="314"/>
      <c r="GJ31" s="314"/>
      <c r="GK31" s="314"/>
      <c r="GL31" s="314"/>
      <c r="GM31" s="314"/>
      <c r="GN31" s="314"/>
      <c r="GO31" s="314"/>
      <c r="GP31" s="314"/>
      <c r="GQ31" s="314"/>
      <c r="GR31" s="314"/>
      <c r="GS31" s="314"/>
      <c r="GT31" s="314"/>
      <c r="GU31" s="314"/>
      <c r="GV31" s="314"/>
      <c r="GW31" s="314"/>
      <c r="GX31" s="314"/>
      <c r="GY31" s="314"/>
      <c r="GZ31" s="314"/>
      <c r="HA31" s="314"/>
      <c r="HB31" s="314"/>
      <c r="HC31" s="314"/>
      <c r="HD31" s="314"/>
      <c r="HE31" s="314"/>
      <c r="HF31" s="314"/>
      <c r="HG31" s="314"/>
      <c r="HH31" s="314"/>
      <c r="HI31" s="314"/>
      <c r="HJ31" s="314"/>
      <c r="HK31" s="314"/>
      <c r="HL31" s="314"/>
      <c r="HM31" s="314"/>
      <c r="HN31" s="314"/>
      <c r="HO31" s="314"/>
      <c r="HP31" s="314"/>
      <c r="HQ31" s="314"/>
      <c r="HR31" s="314"/>
      <c r="HS31" s="314"/>
      <c r="HT31" s="314"/>
      <c r="HU31" s="314"/>
      <c r="HV31" s="314"/>
      <c r="HW31" s="314"/>
      <c r="HX31" s="314"/>
      <c r="HY31" s="314"/>
      <c r="HZ31" s="314"/>
      <c r="IA31" s="314"/>
      <c r="IB31" s="314"/>
      <c r="IC31" s="314"/>
      <c r="ID31" s="314"/>
      <c r="IE31" s="314"/>
      <c r="IF31" s="314"/>
      <c r="IG31" s="314"/>
      <c r="IH31" s="314"/>
      <c r="II31" s="314"/>
      <c r="IJ31" s="314"/>
      <c r="IK31" s="314"/>
      <c r="IL31" s="314"/>
      <c r="IM31" s="314"/>
      <c r="IN31" s="314"/>
      <c r="IO31" s="314"/>
      <c r="IP31" s="314"/>
      <c r="IQ31" s="314"/>
      <c r="IR31" s="314"/>
      <c r="IS31" s="314"/>
      <c r="IT31" s="314"/>
      <c r="IU31" s="314"/>
      <c r="IV31" s="314"/>
    </row>
    <row r="32" spans="1:256" s="313" customFormat="1">
      <c r="A32" s="666" t="s">
        <v>2640</v>
      </c>
      <c r="B32" s="1361">
        <v>0</v>
      </c>
      <c r="C32" s="333"/>
      <c r="D32" s="1361">
        <v>0</v>
      </c>
      <c r="E32" s="333"/>
      <c r="F32" s="1369">
        <f t="shared" si="0"/>
        <v>0</v>
      </c>
      <c r="G32" s="783"/>
      <c r="J32" s="314"/>
      <c r="K32" s="314"/>
      <c r="L32" s="314"/>
      <c r="M32" s="314"/>
      <c r="N32" s="314"/>
      <c r="O32" s="314"/>
      <c r="P32" s="314"/>
      <c r="Q32" s="314"/>
      <c r="R32" s="314"/>
      <c r="S32" s="314"/>
      <c r="T32" s="314"/>
      <c r="U32" s="314"/>
      <c r="V32" s="314"/>
      <c r="W32" s="314"/>
      <c r="X32" s="314"/>
      <c r="Y32" s="314"/>
      <c r="Z32" s="314"/>
      <c r="AA32" s="314"/>
      <c r="AB32" s="314"/>
      <c r="AC32" s="314"/>
      <c r="AD32" s="314"/>
      <c r="AE32" s="314"/>
      <c r="AF32" s="314"/>
      <c r="AG32" s="314"/>
      <c r="AH32" s="314"/>
      <c r="AI32" s="314"/>
      <c r="AJ32" s="314"/>
      <c r="AK32" s="314"/>
      <c r="AL32" s="314"/>
      <c r="AM32" s="314"/>
      <c r="AN32" s="314"/>
      <c r="AO32" s="314"/>
      <c r="AP32" s="314"/>
      <c r="AQ32" s="314"/>
      <c r="AR32" s="314"/>
      <c r="AS32" s="314"/>
      <c r="AT32" s="314"/>
      <c r="AU32" s="314"/>
      <c r="AV32" s="314"/>
      <c r="AW32" s="314"/>
      <c r="AX32" s="314"/>
      <c r="AY32" s="314"/>
      <c r="AZ32" s="314"/>
      <c r="BA32" s="314"/>
      <c r="BB32" s="314"/>
      <c r="BC32" s="314"/>
      <c r="BD32" s="314"/>
      <c r="BE32" s="314"/>
      <c r="BF32" s="314"/>
      <c r="BG32" s="314"/>
      <c r="BH32" s="314"/>
      <c r="BI32" s="314"/>
      <c r="BJ32" s="314"/>
      <c r="BK32" s="314"/>
      <c r="BL32" s="314"/>
      <c r="BM32" s="314"/>
      <c r="BN32" s="314"/>
      <c r="BO32" s="314"/>
      <c r="BP32" s="314"/>
      <c r="BQ32" s="314"/>
      <c r="BR32" s="314"/>
      <c r="BS32" s="314"/>
      <c r="BT32" s="314"/>
      <c r="BU32" s="314"/>
      <c r="BV32" s="314"/>
      <c r="BW32" s="314"/>
      <c r="BX32" s="314"/>
      <c r="BY32" s="314"/>
      <c r="BZ32" s="314"/>
      <c r="CA32" s="314"/>
      <c r="CB32" s="314"/>
      <c r="CC32" s="314"/>
      <c r="CD32" s="314"/>
      <c r="CE32" s="314"/>
      <c r="CF32" s="314"/>
      <c r="CG32" s="314"/>
      <c r="CH32" s="314"/>
      <c r="CI32" s="314"/>
      <c r="CJ32" s="314"/>
      <c r="CK32" s="314"/>
      <c r="CL32" s="314"/>
      <c r="CM32" s="314"/>
      <c r="CN32" s="314"/>
      <c r="CO32" s="314"/>
      <c r="CP32" s="314"/>
      <c r="CQ32" s="314"/>
      <c r="CR32" s="314"/>
      <c r="CS32" s="314"/>
      <c r="CT32" s="314"/>
      <c r="CU32" s="314"/>
      <c r="CV32" s="314"/>
      <c r="CW32" s="314"/>
      <c r="CX32" s="314"/>
      <c r="CY32" s="314"/>
      <c r="CZ32" s="314"/>
      <c r="DA32" s="314"/>
      <c r="DB32" s="314"/>
      <c r="DC32" s="314"/>
      <c r="DD32" s="314"/>
      <c r="DE32" s="314"/>
      <c r="DF32" s="314"/>
      <c r="DG32" s="314"/>
      <c r="DH32" s="314"/>
      <c r="DI32" s="314"/>
      <c r="DJ32" s="314"/>
      <c r="DK32" s="314"/>
      <c r="DL32" s="314"/>
      <c r="DM32" s="314"/>
      <c r="DN32" s="314"/>
      <c r="DO32" s="314"/>
      <c r="DP32" s="314"/>
      <c r="DQ32" s="314"/>
      <c r="DR32" s="314"/>
      <c r="DS32" s="314"/>
      <c r="DT32" s="314"/>
      <c r="DU32" s="314"/>
      <c r="DV32" s="314"/>
      <c r="DW32" s="314"/>
      <c r="DX32" s="314"/>
      <c r="DY32" s="314"/>
      <c r="DZ32" s="314"/>
      <c r="EA32" s="314"/>
      <c r="EB32" s="314"/>
      <c r="EC32" s="314"/>
      <c r="ED32" s="314"/>
      <c r="EE32" s="314"/>
      <c r="EF32" s="314"/>
      <c r="EG32" s="314"/>
      <c r="EH32" s="314"/>
      <c r="EI32" s="314"/>
      <c r="EJ32" s="314"/>
      <c r="EK32" s="314"/>
      <c r="EL32" s="314"/>
      <c r="EM32" s="314"/>
      <c r="EN32" s="314"/>
      <c r="EO32" s="314"/>
      <c r="EP32" s="314"/>
      <c r="EQ32" s="314"/>
      <c r="ER32" s="314"/>
      <c r="ES32" s="314"/>
      <c r="ET32" s="314"/>
      <c r="EU32" s="314"/>
      <c r="EV32" s="314"/>
      <c r="EW32" s="314"/>
      <c r="EX32" s="314"/>
      <c r="EY32" s="314"/>
      <c r="EZ32" s="314"/>
      <c r="FA32" s="314"/>
      <c r="FB32" s="314"/>
      <c r="FC32" s="314"/>
      <c r="FD32" s="314"/>
      <c r="FE32" s="314"/>
      <c r="FF32" s="314"/>
      <c r="FG32" s="314"/>
      <c r="FH32" s="314"/>
      <c r="FI32" s="314"/>
      <c r="FJ32" s="314"/>
      <c r="FK32" s="314"/>
      <c r="FL32" s="314"/>
      <c r="FM32" s="314"/>
      <c r="FN32" s="314"/>
      <c r="FO32" s="314"/>
      <c r="FP32" s="314"/>
      <c r="FQ32" s="314"/>
      <c r="FR32" s="314"/>
      <c r="FS32" s="314"/>
      <c r="FT32" s="314"/>
      <c r="FU32" s="314"/>
      <c r="FV32" s="314"/>
      <c r="FW32" s="314"/>
      <c r="FX32" s="314"/>
      <c r="FY32" s="314"/>
      <c r="FZ32" s="314"/>
      <c r="GA32" s="314"/>
      <c r="GB32" s="314"/>
      <c r="GC32" s="314"/>
      <c r="GD32" s="314"/>
      <c r="GE32" s="314"/>
      <c r="GF32" s="314"/>
      <c r="GG32" s="314"/>
      <c r="GH32" s="314"/>
      <c r="GI32" s="314"/>
      <c r="GJ32" s="314"/>
      <c r="GK32" s="314"/>
      <c r="GL32" s="314"/>
      <c r="GM32" s="314"/>
      <c r="GN32" s="314"/>
      <c r="GO32" s="314"/>
      <c r="GP32" s="314"/>
      <c r="GQ32" s="314"/>
      <c r="GR32" s="314"/>
      <c r="GS32" s="314"/>
      <c r="GT32" s="314"/>
      <c r="GU32" s="314"/>
      <c r="GV32" s="314"/>
      <c r="GW32" s="314"/>
      <c r="GX32" s="314"/>
      <c r="GY32" s="314"/>
      <c r="GZ32" s="314"/>
      <c r="HA32" s="314"/>
      <c r="HB32" s="314"/>
      <c r="HC32" s="314"/>
      <c r="HD32" s="314"/>
      <c r="HE32" s="314"/>
      <c r="HF32" s="314"/>
      <c r="HG32" s="314"/>
      <c r="HH32" s="314"/>
      <c r="HI32" s="314"/>
      <c r="HJ32" s="314"/>
      <c r="HK32" s="314"/>
      <c r="HL32" s="314"/>
      <c r="HM32" s="314"/>
      <c r="HN32" s="314"/>
      <c r="HO32" s="314"/>
      <c r="HP32" s="314"/>
      <c r="HQ32" s="314"/>
      <c r="HR32" s="314"/>
      <c r="HS32" s="314"/>
      <c r="HT32" s="314"/>
      <c r="HU32" s="314"/>
      <c r="HV32" s="314"/>
      <c r="HW32" s="314"/>
      <c r="HX32" s="314"/>
      <c r="HY32" s="314"/>
      <c r="HZ32" s="314"/>
      <c r="IA32" s="314"/>
      <c r="IB32" s="314"/>
      <c r="IC32" s="314"/>
      <c r="ID32" s="314"/>
      <c r="IE32" s="314"/>
      <c r="IF32" s="314"/>
      <c r="IG32" s="314"/>
      <c r="IH32" s="314"/>
      <c r="II32" s="314"/>
      <c r="IJ32" s="314"/>
      <c r="IK32" s="314"/>
      <c r="IL32" s="314"/>
      <c r="IM32" s="314"/>
      <c r="IN32" s="314"/>
      <c r="IO32" s="314"/>
      <c r="IP32" s="314"/>
      <c r="IQ32" s="314"/>
      <c r="IR32" s="314"/>
      <c r="IS32" s="314"/>
      <c r="IT32" s="314"/>
      <c r="IU32" s="314"/>
      <c r="IV32" s="314"/>
    </row>
    <row r="33" spans="1:256" s="313" customFormat="1">
      <c r="A33" s="320" t="s">
        <v>2641</v>
      </c>
      <c r="B33" s="1367">
        <f>SUM(B26:B32)</f>
        <v>0</v>
      </c>
      <c r="C33" s="331"/>
      <c r="D33" s="1368">
        <f>SUM(D26:D32)</f>
        <v>0</v>
      </c>
      <c r="E33" s="331"/>
      <c r="F33" s="1368">
        <f>SUM(F26:F32)</f>
        <v>0</v>
      </c>
      <c r="G33" s="783"/>
      <c r="J33" s="314"/>
      <c r="K33" s="314"/>
      <c r="L33" s="314"/>
      <c r="M33" s="314"/>
      <c r="N33" s="314"/>
      <c r="O33" s="314"/>
      <c r="P33" s="314"/>
      <c r="Q33" s="314"/>
      <c r="R33" s="314"/>
      <c r="S33" s="314"/>
      <c r="T33" s="314"/>
      <c r="U33" s="314"/>
      <c r="V33" s="314"/>
      <c r="W33" s="314"/>
      <c r="X33" s="314"/>
      <c r="Y33" s="314"/>
      <c r="Z33" s="314"/>
      <c r="AA33" s="314"/>
      <c r="AB33" s="314"/>
      <c r="AC33" s="314"/>
      <c r="AD33" s="314"/>
      <c r="AE33" s="314"/>
      <c r="AF33" s="314"/>
      <c r="AG33" s="314"/>
      <c r="AH33" s="314"/>
      <c r="AI33" s="314"/>
      <c r="AJ33" s="314"/>
      <c r="AK33" s="314"/>
      <c r="AL33" s="314"/>
      <c r="AM33" s="314"/>
      <c r="AN33" s="314"/>
      <c r="AO33" s="314"/>
      <c r="AP33" s="314"/>
      <c r="AQ33" s="314"/>
      <c r="AR33" s="314"/>
      <c r="AS33" s="314"/>
      <c r="AT33" s="314"/>
      <c r="AU33" s="314"/>
      <c r="AV33" s="314"/>
      <c r="AW33" s="314"/>
      <c r="AX33" s="314"/>
      <c r="AY33" s="314"/>
      <c r="AZ33" s="314"/>
      <c r="BA33" s="314"/>
      <c r="BB33" s="314"/>
      <c r="BC33" s="314"/>
      <c r="BD33" s="314"/>
      <c r="BE33" s="314"/>
      <c r="BF33" s="314"/>
      <c r="BG33" s="314"/>
      <c r="BH33" s="314"/>
      <c r="BI33" s="314"/>
      <c r="BJ33" s="314"/>
      <c r="BK33" s="314"/>
      <c r="BL33" s="314"/>
      <c r="BM33" s="314"/>
      <c r="BN33" s="314"/>
      <c r="BO33" s="314"/>
      <c r="BP33" s="314"/>
      <c r="BQ33" s="314"/>
      <c r="BR33" s="314"/>
      <c r="BS33" s="314"/>
      <c r="BT33" s="314"/>
      <c r="BU33" s="314"/>
      <c r="BV33" s="314"/>
      <c r="BW33" s="314"/>
      <c r="BX33" s="314"/>
      <c r="BY33" s="314"/>
      <c r="BZ33" s="314"/>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c r="CX33" s="314"/>
      <c r="CY33" s="314"/>
      <c r="CZ33" s="314"/>
      <c r="DA33" s="314"/>
      <c r="DB33" s="314"/>
      <c r="DC33" s="314"/>
      <c r="DD33" s="314"/>
      <c r="DE33" s="314"/>
      <c r="DF33" s="314"/>
      <c r="DG33" s="314"/>
      <c r="DH33" s="314"/>
      <c r="DI33" s="314"/>
      <c r="DJ33" s="314"/>
      <c r="DK33" s="314"/>
      <c r="DL33" s="314"/>
      <c r="DM33" s="314"/>
      <c r="DN33" s="314"/>
      <c r="DO33" s="314"/>
      <c r="DP33" s="314"/>
      <c r="DQ33" s="314"/>
      <c r="DR33" s="314"/>
      <c r="DS33" s="314"/>
      <c r="DT33" s="314"/>
      <c r="DU33" s="314"/>
      <c r="DV33" s="314"/>
      <c r="DW33" s="314"/>
      <c r="DX33" s="314"/>
      <c r="DY33" s="314"/>
      <c r="DZ33" s="314"/>
      <c r="EA33" s="314"/>
      <c r="EB33" s="314"/>
      <c r="EC33" s="314"/>
      <c r="ED33" s="314"/>
      <c r="EE33" s="314"/>
      <c r="EF33" s="314"/>
      <c r="EG33" s="314"/>
      <c r="EH33" s="314"/>
      <c r="EI33" s="314"/>
      <c r="EJ33" s="314"/>
      <c r="EK33" s="314"/>
      <c r="EL33" s="314"/>
      <c r="EM33" s="314"/>
      <c r="EN33" s="314"/>
      <c r="EO33" s="314"/>
      <c r="EP33" s="314"/>
      <c r="EQ33" s="314"/>
      <c r="ER33" s="314"/>
      <c r="ES33" s="314"/>
      <c r="ET33" s="314"/>
      <c r="EU33" s="314"/>
      <c r="EV33" s="314"/>
      <c r="EW33" s="314"/>
      <c r="EX33" s="314"/>
      <c r="EY33" s="314"/>
      <c r="EZ33" s="314"/>
      <c r="FA33" s="314"/>
      <c r="FB33" s="314"/>
      <c r="FC33" s="314"/>
      <c r="FD33" s="314"/>
      <c r="FE33" s="314"/>
      <c r="FF33" s="314"/>
      <c r="FG33" s="314"/>
      <c r="FH33" s="314"/>
      <c r="FI33" s="314"/>
      <c r="FJ33" s="314"/>
      <c r="FK33" s="314"/>
      <c r="FL33" s="314"/>
      <c r="FM33" s="314"/>
      <c r="FN33" s="314"/>
      <c r="FO33" s="314"/>
      <c r="FP33" s="314"/>
      <c r="FQ33" s="314"/>
      <c r="FR33" s="314"/>
      <c r="FS33" s="314"/>
      <c r="FT33" s="314"/>
      <c r="FU33" s="314"/>
      <c r="FV33" s="314"/>
      <c r="FW33" s="314"/>
      <c r="FX33" s="314"/>
      <c r="FY33" s="314"/>
      <c r="FZ33" s="314"/>
      <c r="GA33" s="314"/>
      <c r="GB33" s="314"/>
      <c r="GC33" s="314"/>
      <c r="GD33" s="314"/>
      <c r="GE33" s="314"/>
      <c r="GF33" s="314"/>
      <c r="GG33" s="314"/>
      <c r="GH33" s="314"/>
      <c r="GI33" s="314"/>
      <c r="GJ33" s="314"/>
      <c r="GK33" s="314"/>
      <c r="GL33" s="314"/>
      <c r="GM33" s="314"/>
      <c r="GN33" s="314"/>
      <c r="GO33" s="314"/>
      <c r="GP33" s="314"/>
      <c r="GQ33" s="314"/>
      <c r="GR33" s="314"/>
      <c r="GS33" s="314"/>
      <c r="GT33" s="314"/>
      <c r="GU33" s="314"/>
      <c r="GV33" s="314"/>
      <c r="GW33" s="314"/>
      <c r="GX33" s="314"/>
      <c r="GY33" s="314"/>
      <c r="GZ33" s="314"/>
      <c r="HA33" s="314"/>
      <c r="HB33" s="314"/>
      <c r="HC33" s="314"/>
      <c r="HD33" s="314"/>
      <c r="HE33" s="314"/>
      <c r="HF33" s="314"/>
      <c r="HG33" s="314"/>
      <c r="HH33" s="314"/>
      <c r="HI33" s="314"/>
      <c r="HJ33" s="314"/>
      <c r="HK33" s="314"/>
      <c r="HL33" s="314"/>
      <c r="HM33" s="314"/>
      <c r="HN33" s="314"/>
      <c r="HO33" s="314"/>
      <c r="HP33" s="314"/>
      <c r="HQ33" s="314"/>
      <c r="HR33" s="314"/>
      <c r="HS33" s="314"/>
      <c r="HT33" s="314"/>
      <c r="HU33" s="314"/>
      <c r="HV33" s="314"/>
      <c r="HW33" s="314"/>
      <c r="HX33" s="314"/>
      <c r="HY33" s="314"/>
      <c r="HZ33" s="314"/>
      <c r="IA33" s="314"/>
      <c r="IB33" s="314"/>
      <c r="IC33" s="314"/>
      <c r="ID33" s="314"/>
      <c r="IE33" s="314"/>
      <c r="IF33" s="314"/>
      <c r="IG33" s="314"/>
      <c r="IH33" s="314"/>
      <c r="II33" s="314"/>
      <c r="IJ33" s="314"/>
      <c r="IK33" s="314"/>
      <c r="IL33" s="314"/>
      <c r="IM33" s="314"/>
      <c r="IN33" s="314"/>
      <c r="IO33" s="314"/>
      <c r="IP33" s="314"/>
      <c r="IQ33" s="314"/>
      <c r="IR33" s="314"/>
      <c r="IS33" s="314"/>
      <c r="IT33" s="314"/>
      <c r="IU33" s="314"/>
      <c r="IV33" s="314"/>
    </row>
    <row r="34" spans="1:256" s="313" customFormat="1" ht="6.75" customHeight="1">
      <c r="A34" s="320"/>
      <c r="B34" s="3567"/>
      <c r="C34" s="331"/>
      <c r="D34" s="3568"/>
      <c r="E34" s="331"/>
      <c r="F34" s="3568"/>
      <c r="G34" s="783"/>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314"/>
      <c r="AV34" s="314"/>
      <c r="AW34" s="314"/>
      <c r="AX34" s="314"/>
      <c r="AY34" s="314"/>
      <c r="AZ34" s="314"/>
      <c r="BA34" s="314"/>
      <c r="BB34" s="314"/>
      <c r="BC34" s="314"/>
      <c r="BD34" s="314"/>
      <c r="BE34" s="314"/>
      <c r="BF34" s="314"/>
      <c r="BG34" s="314"/>
      <c r="BH34" s="314"/>
      <c r="BI34" s="314"/>
      <c r="BJ34" s="314"/>
      <c r="BK34" s="314"/>
      <c r="BL34" s="314"/>
      <c r="BM34" s="314"/>
      <c r="BN34" s="314"/>
      <c r="BO34" s="314"/>
      <c r="BP34" s="314"/>
      <c r="BQ34" s="314"/>
      <c r="BR34" s="314"/>
      <c r="BS34" s="314"/>
      <c r="BT34" s="314"/>
      <c r="BU34" s="314"/>
      <c r="BV34" s="314"/>
      <c r="BW34" s="314"/>
      <c r="BX34" s="314"/>
      <c r="BY34" s="314"/>
      <c r="BZ34" s="314"/>
      <c r="CA34" s="314"/>
      <c r="CB34" s="314"/>
      <c r="CC34" s="314"/>
      <c r="CD34" s="314"/>
      <c r="CE34" s="314"/>
      <c r="CF34" s="314"/>
      <c r="CG34" s="314"/>
      <c r="CH34" s="314"/>
      <c r="CI34" s="314"/>
      <c r="CJ34" s="314"/>
      <c r="CK34" s="314"/>
      <c r="CL34" s="314"/>
      <c r="CM34" s="314"/>
      <c r="CN34" s="314"/>
      <c r="CO34" s="314"/>
      <c r="CP34" s="314"/>
      <c r="CQ34" s="314"/>
      <c r="CR34" s="314"/>
      <c r="CS34" s="314"/>
      <c r="CT34" s="314"/>
      <c r="CU34" s="314"/>
      <c r="CV34" s="314"/>
      <c r="CW34" s="314"/>
      <c r="CX34" s="314"/>
      <c r="CY34" s="314"/>
      <c r="CZ34" s="314"/>
      <c r="DA34" s="314"/>
      <c r="DB34" s="314"/>
      <c r="DC34" s="314"/>
      <c r="DD34" s="314"/>
      <c r="DE34" s="314"/>
      <c r="DF34" s="314"/>
      <c r="DG34" s="314"/>
      <c r="DH34" s="314"/>
      <c r="DI34" s="314"/>
      <c r="DJ34" s="314"/>
      <c r="DK34" s="314"/>
      <c r="DL34" s="314"/>
      <c r="DM34" s="314"/>
      <c r="DN34" s="314"/>
      <c r="DO34" s="314"/>
      <c r="DP34" s="314"/>
      <c r="DQ34" s="314"/>
      <c r="DR34" s="314"/>
      <c r="DS34" s="314"/>
      <c r="DT34" s="314"/>
      <c r="DU34" s="314"/>
      <c r="DV34" s="314"/>
      <c r="DW34" s="314"/>
      <c r="DX34" s="314"/>
      <c r="DY34" s="314"/>
      <c r="DZ34" s="314"/>
      <c r="EA34" s="314"/>
      <c r="EB34" s="314"/>
      <c r="EC34" s="314"/>
      <c r="ED34" s="314"/>
      <c r="EE34" s="314"/>
      <c r="EF34" s="314"/>
      <c r="EG34" s="314"/>
      <c r="EH34" s="314"/>
      <c r="EI34" s="314"/>
      <c r="EJ34" s="314"/>
      <c r="EK34" s="314"/>
      <c r="EL34" s="314"/>
      <c r="EM34" s="314"/>
      <c r="EN34" s="314"/>
      <c r="EO34" s="314"/>
      <c r="EP34" s="314"/>
      <c r="EQ34" s="314"/>
      <c r="ER34" s="314"/>
      <c r="ES34" s="314"/>
      <c r="ET34" s="314"/>
      <c r="EU34" s="314"/>
      <c r="EV34" s="314"/>
      <c r="EW34" s="314"/>
      <c r="EX34" s="314"/>
      <c r="EY34" s="314"/>
      <c r="EZ34" s="314"/>
      <c r="FA34" s="314"/>
      <c r="FB34" s="314"/>
      <c r="FC34" s="314"/>
      <c r="FD34" s="314"/>
      <c r="FE34" s="314"/>
      <c r="FF34" s="314"/>
      <c r="FG34" s="314"/>
      <c r="FH34" s="314"/>
      <c r="FI34" s="314"/>
      <c r="FJ34" s="314"/>
      <c r="FK34" s="314"/>
      <c r="FL34" s="314"/>
      <c r="FM34" s="314"/>
      <c r="FN34" s="314"/>
      <c r="FO34" s="314"/>
      <c r="FP34" s="314"/>
      <c r="FQ34" s="314"/>
      <c r="FR34" s="314"/>
      <c r="FS34" s="314"/>
      <c r="FT34" s="314"/>
      <c r="FU34" s="314"/>
      <c r="FV34" s="314"/>
      <c r="FW34" s="314"/>
      <c r="FX34" s="314"/>
      <c r="FY34" s="314"/>
      <c r="FZ34" s="314"/>
      <c r="GA34" s="314"/>
      <c r="GB34" s="314"/>
      <c r="GC34" s="314"/>
      <c r="GD34" s="314"/>
      <c r="GE34" s="314"/>
      <c r="GF34" s="314"/>
      <c r="GG34" s="314"/>
      <c r="GH34" s="314"/>
      <c r="GI34" s="314"/>
      <c r="GJ34" s="314"/>
      <c r="GK34" s="314"/>
      <c r="GL34" s="314"/>
      <c r="GM34" s="314"/>
      <c r="GN34" s="314"/>
      <c r="GO34" s="314"/>
      <c r="GP34" s="314"/>
      <c r="GQ34" s="314"/>
      <c r="GR34" s="314"/>
      <c r="GS34" s="314"/>
      <c r="GT34" s="314"/>
      <c r="GU34" s="314"/>
      <c r="GV34" s="314"/>
      <c r="GW34" s="314"/>
      <c r="GX34" s="314"/>
      <c r="GY34" s="314"/>
      <c r="GZ34" s="314"/>
      <c r="HA34" s="314"/>
      <c r="HB34" s="314"/>
      <c r="HC34" s="314"/>
      <c r="HD34" s="314"/>
      <c r="HE34" s="314"/>
      <c r="HF34" s="314"/>
      <c r="HG34" s="314"/>
      <c r="HH34" s="314"/>
      <c r="HI34" s="314"/>
      <c r="HJ34" s="314"/>
      <c r="HK34" s="314"/>
      <c r="HL34" s="314"/>
      <c r="HM34" s="314"/>
      <c r="HN34" s="314"/>
      <c r="HO34" s="314"/>
      <c r="HP34" s="314"/>
      <c r="HQ34" s="314"/>
      <c r="HR34" s="314"/>
      <c r="HS34" s="314"/>
      <c r="HT34" s="314"/>
      <c r="HU34" s="314"/>
      <c r="HV34" s="314"/>
      <c r="HW34" s="314"/>
      <c r="HX34" s="314"/>
      <c r="HY34" s="314"/>
      <c r="HZ34" s="314"/>
      <c r="IA34" s="314"/>
      <c r="IB34" s="314"/>
      <c r="IC34" s="314"/>
      <c r="ID34" s="314"/>
      <c r="IE34" s="314"/>
      <c r="IF34" s="314"/>
      <c r="IG34" s="314"/>
      <c r="IH34" s="314"/>
      <c r="II34" s="314"/>
      <c r="IJ34" s="314"/>
      <c r="IK34" s="314"/>
      <c r="IL34" s="314"/>
      <c r="IM34" s="314"/>
      <c r="IN34" s="314"/>
      <c r="IO34" s="314"/>
      <c r="IP34" s="314"/>
      <c r="IQ34" s="314"/>
      <c r="IR34" s="314"/>
      <c r="IS34" s="314"/>
      <c r="IT34" s="314"/>
      <c r="IU34" s="314"/>
      <c r="IV34" s="314"/>
    </row>
    <row r="35" spans="1:256" s="313" customFormat="1">
      <c r="A35" s="334" t="s">
        <v>2642</v>
      </c>
      <c r="B35" s="1360">
        <v>0</v>
      </c>
      <c r="C35" s="326"/>
      <c r="D35" s="1360">
        <v>0</v>
      </c>
      <c r="E35" s="326"/>
      <c r="F35" s="1359">
        <f>+B35+D35</f>
        <v>0</v>
      </c>
      <c r="G35" s="783"/>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c r="BS35" s="314"/>
      <c r="BT35" s="314"/>
      <c r="BU35" s="314"/>
      <c r="BV35" s="314"/>
      <c r="BW35" s="314"/>
      <c r="BX35" s="314"/>
      <c r="BY35" s="314"/>
      <c r="BZ35" s="314"/>
      <c r="CA35" s="314"/>
      <c r="CB35" s="314"/>
      <c r="CC35" s="314"/>
      <c r="CD35" s="314"/>
      <c r="CE35" s="314"/>
      <c r="CF35" s="314"/>
      <c r="CG35" s="314"/>
      <c r="CH35" s="314"/>
      <c r="CI35" s="314"/>
      <c r="CJ35" s="314"/>
      <c r="CK35" s="314"/>
      <c r="CL35" s="314"/>
      <c r="CM35" s="314"/>
      <c r="CN35" s="314"/>
      <c r="CO35" s="314"/>
      <c r="CP35" s="314"/>
      <c r="CQ35" s="314"/>
      <c r="CR35" s="314"/>
      <c r="CS35" s="314"/>
      <c r="CT35" s="314"/>
      <c r="CU35" s="314"/>
      <c r="CV35" s="314"/>
      <c r="CW35" s="314"/>
      <c r="CX35" s="314"/>
      <c r="CY35" s="314"/>
      <c r="CZ35" s="314"/>
      <c r="DA35" s="314"/>
      <c r="DB35" s="314"/>
      <c r="DC35" s="314"/>
      <c r="DD35" s="314"/>
      <c r="DE35" s="314"/>
      <c r="DF35" s="314"/>
      <c r="DG35" s="314"/>
      <c r="DH35" s="314"/>
      <c r="DI35" s="314"/>
      <c r="DJ35" s="314"/>
      <c r="DK35" s="314"/>
      <c r="DL35" s="314"/>
      <c r="DM35" s="314"/>
      <c r="DN35" s="314"/>
      <c r="DO35" s="314"/>
      <c r="DP35" s="314"/>
      <c r="DQ35" s="314"/>
      <c r="DR35" s="314"/>
      <c r="DS35" s="314"/>
      <c r="DT35" s="314"/>
      <c r="DU35" s="314"/>
      <c r="DV35" s="314"/>
      <c r="DW35" s="314"/>
      <c r="DX35" s="314"/>
      <c r="DY35" s="314"/>
      <c r="DZ35" s="314"/>
      <c r="EA35" s="314"/>
      <c r="EB35" s="314"/>
      <c r="EC35" s="314"/>
      <c r="ED35" s="314"/>
      <c r="EE35" s="314"/>
      <c r="EF35" s="314"/>
      <c r="EG35" s="314"/>
      <c r="EH35" s="314"/>
      <c r="EI35" s="314"/>
      <c r="EJ35" s="314"/>
      <c r="EK35" s="314"/>
      <c r="EL35" s="314"/>
      <c r="EM35" s="314"/>
      <c r="EN35" s="314"/>
      <c r="EO35" s="314"/>
      <c r="EP35" s="314"/>
      <c r="EQ35" s="314"/>
      <c r="ER35" s="314"/>
      <c r="ES35" s="314"/>
      <c r="ET35" s="314"/>
      <c r="EU35" s="314"/>
      <c r="EV35" s="314"/>
      <c r="EW35" s="314"/>
      <c r="EX35" s="314"/>
      <c r="EY35" s="314"/>
      <c r="EZ35" s="314"/>
      <c r="FA35" s="314"/>
      <c r="FB35" s="314"/>
      <c r="FC35" s="314"/>
      <c r="FD35" s="314"/>
      <c r="FE35" s="314"/>
      <c r="FF35" s="314"/>
      <c r="FG35" s="314"/>
      <c r="FH35" s="314"/>
      <c r="FI35" s="314"/>
      <c r="FJ35" s="314"/>
      <c r="FK35" s="314"/>
      <c r="FL35" s="314"/>
      <c r="FM35" s="314"/>
      <c r="FN35" s="314"/>
      <c r="FO35" s="314"/>
      <c r="FP35" s="314"/>
      <c r="FQ35" s="314"/>
      <c r="FR35" s="314"/>
      <c r="FS35" s="314"/>
      <c r="FT35" s="314"/>
      <c r="FU35" s="314"/>
      <c r="FV35" s="314"/>
      <c r="FW35" s="314"/>
      <c r="FX35" s="314"/>
      <c r="FY35" s="314"/>
      <c r="FZ35" s="314"/>
      <c r="GA35" s="314"/>
      <c r="GB35" s="314"/>
      <c r="GC35" s="314"/>
      <c r="GD35" s="314"/>
      <c r="GE35" s="314"/>
      <c r="GF35" s="314"/>
      <c r="GG35" s="314"/>
      <c r="GH35" s="314"/>
      <c r="GI35" s="314"/>
      <c r="GJ35" s="314"/>
      <c r="GK35" s="314"/>
      <c r="GL35" s="314"/>
      <c r="GM35" s="314"/>
      <c r="GN35" s="314"/>
      <c r="GO35" s="314"/>
      <c r="GP35" s="314"/>
      <c r="GQ35" s="314"/>
      <c r="GR35" s="314"/>
      <c r="GS35" s="314"/>
      <c r="GT35" s="314"/>
      <c r="GU35" s="314"/>
      <c r="GV35" s="314"/>
      <c r="GW35" s="314"/>
      <c r="GX35" s="314"/>
      <c r="GY35" s="314"/>
      <c r="GZ35" s="314"/>
      <c r="HA35" s="314"/>
      <c r="HB35" s="314"/>
      <c r="HC35" s="314"/>
      <c r="HD35" s="314"/>
      <c r="HE35" s="314"/>
      <c r="HF35" s="314"/>
      <c r="HG35" s="314"/>
      <c r="HH35" s="314"/>
      <c r="HI35" s="314"/>
      <c r="HJ35" s="314"/>
      <c r="HK35" s="314"/>
      <c r="HL35" s="314"/>
      <c r="HM35" s="314"/>
      <c r="HN35" s="314"/>
      <c r="HO35" s="314"/>
      <c r="HP35" s="314"/>
      <c r="HQ35" s="314"/>
      <c r="HR35" s="314"/>
      <c r="HS35" s="314"/>
      <c r="HT35" s="314"/>
      <c r="HU35" s="314"/>
      <c r="HV35" s="314"/>
      <c r="HW35" s="314"/>
      <c r="HX35" s="314"/>
      <c r="HY35" s="314"/>
      <c r="HZ35" s="314"/>
      <c r="IA35" s="314"/>
      <c r="IB35" s="314"/>
      <c r="IC35" s="314"/>
      <c r="ID35" s="314"/>
      <c r="IE35" s="314"/>
      <c r="IF35" s="314"/>
      <c r="IG35" s="314"/>
      <c r="IH35" s="314"/>
      <c r="II35" s="314"/>
      <c r="IJ35" s="314"/>
      <c r="IK35" s="314"/>
      <c r="IL35" s="314"/>
      <c r="IM35" s="314"/>
      <c r="IN35" s="314"/>
      <c r="IO35" s="314"/>
      <c r="IP35" s="314"/>
      <c r="IQ35" s="314"/>
      <c r="IR35" s="314"/>
      <c r="IS35" s="314"/>
      <c r="IT35" s="314"/>
      <c r="IU35" s="314"/>
      <c r="IV35" s="314"/>
    </row>
    <row r="36" spans="1:256" s="313" customFormat="1" ht="6.75" customHeight="1">
      <c r="A36" s="320"/>
      <c r="B36" s="3567"/>
      <c r="C36" s="331"/>
      <c r="D36" s="3568"/>
      <c r="E36" s="331"/>
      <c r="F36" s="3568"/>
      <c r="G36" s="783"/>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314"/>
      <c r="AV36" s="314"/>
      <c r="AW36" s="314"/>
      <c r="AX36" s="314"/>
      <c r="AY36" s="314"/>
      <c r="AZ36" s="314"/>
      <c r="BA36" s="314"/>
      <c r="BB36" s="314"/>
      <c r="BC36" s="314"/>
      <c r="BD36" s="314"/>
      <c r="BE36" s="314"/>
      <c r="BF36" s="314"/>
      <c r="BG36" s="314"/>
      <c r="BH36" s="314"/>
      <c r="BI36" s="314"/>
      <c r="BJ36" s="314"/>
      <c r="BK36" s="314"/>
      <c r="BL36" s="314"/>
      <c r="BM36" s="314"/>
      <c r="BN36" s="314"/>
      <c r="BO36" s="314"/>
      <c r="BP36" s="314"/>
      <c r="BQ36" s="314"/>
      <c r="BR36" s="314"/>
      <c r="BS36" s="314"/>
      <c r="BT36" s="314"/>
      <c r="BU36" s="314"/>
      <c r="BV36" s="314"/>
      <c r="BW36" s="314"/>
      <c r="BX36" s="314"/>
      <c r="BY36" s="314"/>
      <c r="BZ36" s="314"/>
      <c r="CA36" s="314"/>
      <c r="CB36" s="314"/>
      <c r="CC36" s="314"/>
      <c r="CD36" s="314"/>
      <c r="CE36" s="314"/>
      <c r="CF36" s="314"/>
      <c r="CG36" s="314"/>
      <c r="CH36" s="314"/>
      <c r="CI36" s="314"/>
      <c r="CJ36" s="314"/>
      <c r="CK36" s="314"/>
      <c r="CL36" s="314"/>
      <c r="CM36" s="314"/>
      <c r="CN36" s="314"/>
      <c r="CO36" s="314"/>
      <c r="CP36" s="314"/>
      <c r="CQ36" s="314"/>
      <c r="CR36" s="314"/>
      <c r="CS36" s="314"/>
      <c r="CT36" s="314"/>
      <c r="CU36" s="314"/>
      <c r="CV36" s="314"/>
      <c r="CW36" s="314"/>
      <c r="CX36" s="314"/>
      <c r="CY36" s="314"/>
      <c r="CZ36" s="314"/>
      <c r="DA36" s="314"/>
      <c r="DB36" s="314"/>
      <c r="DC36" s="314"/>
      <c r="DD36" s="314"/>
      <c r="DE36" s="314"/>
      <c r="DF36" s="314"/>
      <c r="DG36" s="314"/>
      <c r="DH36" s="314"/>
      <c r="DI36" s="314"/>
      <c r="DJ36" s="314"/>
      <c r="DK36" s="314"/>
      <c r="DL36" s="314"/>
      <c r="DM36" s="314"/>
      <c r="DN36" s="314"/>
      <c r="DO36" s="314"/>
      <c r="DP36" s="314"/>
      <c r="DQ36" s="314"/>
      <c r="DR36" s="314"/>
      <c r="DS36" s="314"/>
      <c r="DT36" s="314"/>
      <c r="DU36" s="314"/>
      <c r="DV36" s="314"/>
      <c r="DW36" s="314"/>
      <c r="DX36" s="314"/>
      <c r="DY36" s="314"/>
      <c r="DZ36" s="314"/>
      <c r="EA36" s="314"/>
      <c r="EB36" s="314"/>
      <c r="EC36" s="314"/>
      <c r="ED36" s="314"/>
      <c r="EE36" s="314"/>
      <c r="EF36" s="314"/>
      <c r="EG36" s="314"/>
      <c r="EH36" s="314"/>
      <c r="EI36" s="314"/>
      <c r="EJ36" s="314"/>
      <c r="EK36" s="314"/>
      <c r="EL36" s="314"/>
      <c r="EM36" s="314"/>
      <c r="EN36" s="314"/>
      <c r="EO36" s="314"/>
      <c r="EP36" s="314"/>
      <c r="EQ36" s="314"/>
      <c r="ER36" s="314"/>
      <c r="ES36" s="314"/>
      <c r="ET36" s="314"/>
      <c r="EU36" s="314"/>
      <c r="EV36" s="314"/>
      <c r="EW36" s="314"/>
      <c r="EX36" s="314"/>
      <c r="EY36" s="314"/>
      <c r="EZ36" s="314"/>
      <c r="FA36" s="314"/>
      <c r="FB36" s="314"/>
      <c r="FC36" s="314"/>
      <c r="FD36" s="314"/>
      <c r="FE36" s="314"/>
      <c r="FF36" s="314"/>
      <c r="FG36" s="314"/>
      <c r="FH36" s="314"/>
      <c r="FI36" s="314"/>
      <c r="FJ36" s="314"/>
      <c r="FK36" s="314"/>
      <c r="FL36" s="314"/>
      <c r="FM36" s="314"/>
      <c r="FN36" s="314"/>
      <c r="FO36" s="314"/>
      <c r="FP36" s="314"/>
      <c r="FQ36" s="314"/>
      <c r="FR36" s="314"/>
      <c r="FS36" s="314"/>
      <c r="FT36" s="314"/>
      <c r="FU36" s="314"/>
      <c r="FV36" s="314"/>
      <c r="FW36" s="314"/>
      <c r="FX36" s="314"/>
      <c r="FY36" s="314"/>
      <c r="FZ36" s="314"/>
      <c r="GA36" s="314"/>
      <c r="GB36" s="314"/>
      <c r="GC36" s="314"/>
      <c r="GD36" s="314"/>
      <c r="GE36" s="314"/>
      <c r="GF36" s="314"/>
      <c r="GG36" s="314"/>
      <c r="GH36" s="314"/>
      <c r="GI36" s="314"/>
      <c r="GJ36" s="314"/>
      <c r="GK36" s="314"/>
      <c r="GL36" s="314"/>
      <c r="GM36" s="314"/>
      <c r="GN36" s="314"/>
      <c r="GO36" s="314"/>
      <c r="GP36" s="314"/>
      <c r="GQ36" s="314"/>
      <c r="GR36" s="314"/>
      <c r="GS36" s="314"/>
      <c r="GT36" s="314"/>
      <c r="GU36" s="314"/>
      <c r="GV36" s="314"/>
      <c r="GW36" s="314"/>
      <c r="GX36" s="314"/>
      <c r="GY36" s="314"/>
      <c r="GZ36" s="314"/>
      <c r="HA36" s="314"/>
      <c r="HB36" s="314"/>
      <c r="HC36" s="314"/>
      <c r="HD36" s="314"/>
      <c r="HE36" s="314"/>
      <c r="HF36" s="314"/>
      <c r="HG36" s="314"/>
      <c r="HH36" s="314"/>
      <c r="HI36" s="314"/>
      <c r="HJ36" s="314"/>
      <c r="HK36" s="314"/>
      <c r="HL36" s="314"/>
      <c r="HM36" s="314"/>
      <c r="HN36" s="314"/>
      <c r="HO36" s="314"/>
      <c r="HP36" s="314"/>
      <c r="HQ36" s="314"/>
      <c r="HR36" s="314"/>
      <c r="HS36" s="314"/>
      <c r="HT36" s="314"/>
      <c r="HU36" s="314"/>
      <c r="HV36" s="314"/>
      <c r="HW36" s="314"/>
      <c r="HX36" s="314"/>
      <c r="HY36" s="314"/>
      <c r="HZ36" s="314"/>
      <c r="IA36" s="314"/>
      <c r="IB36" s="314"/>
      <c r="IC36" s="314"/>
      <c r="ID36" s="314"/>
      <c r="IE36" s="314"/>
      <c r="IF36" s="314"/>
      <c r="IG36" s="314"/>
      <c r="IH36" s="314"/>
      <c r="II36" s="314"/>
      <c r="IJ36" s="314"/>
      <c r="IK36" s="314"/>
      <c r="IL36" s="314"/>
      <c r="IM36" s="314"/>
      <c r="IN36" s="314"/>
      <c r="IO36" s="314"/>
      <c r="IP36" s="314"/>
      <c r="IQ36" s="314"/>
      <c r="IR36" s="314"/>
      <c r="IS36" s="314"/>
      <c r="IT36" s="314"/>
      <c r="IU36" s="314"/>
      <c r="IV36" s="314"/>
    </row>
    <row r="37" spans="1:256" s="313" customFormat="1" ht="13.5" thickBot="1">
      <c r="A37" s="3011" t="s">
        <v>2643</v>
      </c>
      <c r="B37" s="1371" t="e">
        <f>+B10+B23-B33-B35</f>
        <v>#N/A</v>
      </c>
      <c r="C37" s="331"/>
      <c r="D37" s="1371" t="e">
        <f>+D10+D23-D33-D35</f>
        <v>#N/A</v>
      </c>
      <c r="E37" s="331"/>
      <c r="F37" s="1371" t="e">
        <f>+F10+F23-F33-F35</f>
        <v>#N/A</v>
      </c>
      <c r="G37" s="783"/>
      <c r="J37" s="314"/>
      <c r="K37" s="314"/>
      <c r="L37" s="314"/>
      <c r="M37" s="314"/>
      <c r="N37" s="314"/>
      <c r="O37" s="314"/>
      <c r="P37" s="314"/>
      <c r="Q37" s="314"/>
      <c r="R37" s="314"/>
      <c r="S37" s="314"/>
      <c r="T37" s="314"/>
      <c r="U37" s="314"/>
      <c r="V37" s="314"/>
      <c r="W37" s="314"/>
      <c r="X37" s="314"/>
      <c r="Y37" s="314"/>
      <c r="Z37" s="314"/>
      <c r="AA37" s="314"/>
      <c r="AB37" s="314"/>
      <c r="AC37" s="314"/>
      <c r="AD37" s="314"/>
      <c r="AE37" s="314"/>
      <c r="AF37" s="314"/>
      <c r="AG37" s="314"/>
      <c r="AH37" s="314"/>
      <c r="AI37" s="314"/>
      <c r="AJ37" s="314"/>
      <c r="AK37" s="314"/>
      <c r="AL37" s="314"/>
      <c r="AM37" s="314"/>
      <c r="AN37" s="314"/>
      <c r="AO37" s="314"/>
      <c r="AP37" s="314"/>
      <c r="AQ37" s="314"/>
      <c r="AR37" s="314"/>
      <c r="AS37" s="314"/>
      <c r="AT37" s="314"/>
      <c r="AU37" s="314"/>
      <c r="AV37" s="314"/>
      <c r="AW37" s="314"/>
      <c r="AX37" s="314"/>
      <c r="AY37" s="314"/>
      <c r="AZ37" s="314"/>
      <c r="BA37" s="314"/>
      <c r="BB37" s="314"/>
      <c r="BC37" s="314"/>
      <c r="BD37" s="314"/>
      <c r="BE37" s="314"/>
      <c r="BF37" s="314"/>
      <c r="BG37" s="314"/>
      <c r="BH37" s="314"/>
      <c r="BI37" s="314"/>
      <c r="BJ37" s="314"/>
      <c r="BK37" s="314"/>
      <c r="BL37" s="314"/>
      <c r="BM37" s="314"/>
      <c r="BN37" s="314"/>
      <c r="BO37" s="314"/>
      <c r="BP37" s="314"/>
      <c r="BQ37" s="314"/>
      <c r="BR37" s="314"/>
      <c r="BS37" s="314"/>
      <c r="BT37" s="314"/>
      <c r="BU37" s="314"/>
      <c r="BV37" s="314"/>
      <c r="BW37" s="314"/>
      <c r="BX37" s="314"/>
      <c r="BY37" s="314"/>
      <c r="BZ37" s="314"/>
      <c r="CA37" s="314"/>
      <c r="CB37" s="314"/>
      <c r="CC37" s="314"/>
      <c r="CD37" s="314"/>
      <c r="CE37" s="314"/>
      <c r="CF37" s="314"/>
      <c r="CG37" s="314"/>
      <c r="CH37" s="314"/>
      <c r="CI37" s="314"/>
      <c r="CJ37" s="314"/>
      <c r="CK37" s="314"/>
      <c r="CL37" s="314"/>
      <c r="CM37" s="314"/>
      <c r="CN37" s="314"/>
      <c r="CO37" s="314"/>
      <c r="CP37" s="314"/>
      <c r="CQ37" s="314"/>
      <c r="CR37" s="314"/>
      <c r="CS37" s="314"/>
      <c r="CT37" s="314"/>
      <c r="CU37" s="314"/>
      <c r="CV37" s="314"/>
      <c r="CW37" s="314"/>
      <c r="CX37" s="314"/>
      <c r="CY37" s="314"/>
      <c r="CZ37" s="314"/>
      <c r="DA37" s="314"/>
      <c r="DB37" s="314"/>
      <c r="DC37" s="314"/>
      <c r="DD37" s="314"/>
      <c r="DE37" s="314"/>
      <c r="DF37" s="314"/>
      <c r="DG37" s="314"/>
      <c r="DH37" s="314"/>
      <c r="DI37" s="314"/>
      <c r="DJ37" s="314"/>
      <c r="DK37" s="314"/>
      <c r="DL37" s="314"/>
      <c r="DM37" s="314"/>
      <c r="DN37" s="314"/>
      <c r="DO37" s="314"/>
      <c r="DP37" s="314"/>
      <c r="DQ37" s="314"/>
      <c r="DR37" s="314"/>
      <c r="DS37" s="314"/>
      <c r="DT37" s="314"/>
      <c r="DU37" s="314"/>
      <c r="DV37" s="314"/>
      <c r="DW37" s="314"/>
      <c r="DX37" s="314"/>
      <c r="DY37" s="314"/>
      <c r="DZ37" s="314"/>
      <c r="EA37" s="314"/>
      <c r="EB37" s="314"/>
      <c r="EC37" s="314"/>
      <c r="ED37" s="314"/>
      <c r="EE37" s="314"/>
      <c r="EF37" s="314"/>
      <c r="EG37" s="314"/>
      <c r="EH37" s="314"/>
      <c r="EI37" s="314"/>
      <c r="EJ37" s="314"/>
      <c r="EK37" s="314"/>
      <c r="EL37" s="314"/>
      <c r="EM37" s="314"/>
      <c r="EN37" s="314"/>
      <c r="EO37" s="314"/>
      <c r="EP37" s="314"/>
      <c r="EQ37" s="314"/>
      <c r="ER37" s="314"/>
      <c r="ES37" s="314"/>
      <c r="ET37" s="314"/>
      <c r="EU37" s="314"/>
      <c r="EV37" s="314"/>
      <c r="EW37" s="314"/>
      <c r="EX37" s="314"/>
      <c r="EY37" s="314"/>
      <c r="EZ37" s="314"/>
      <c r="FA37" s="314"/>
      <c r="FB37" s="314"/>
      <c r="FC37" s="314"/>
      <c r="FD37" s="314"/>
      <c r="FE37" s="314"/>
      <c r="FF37" s="314"/>
      <c r="FG37" s="314"/>
      <c r="FH37" s="314"/>
      <c r="FI37" s="314"/>
      <c r="FJ37" s="314"/>
      <c r="FK37" s="314"/>
      <c r="FL37" s="314"/>
      <c r="FM37" s="314"/>
      <c r="FN37" s="314"/>
      <c r="FO37" s="314"/>
      <c r="FP37" s="314"/>
      <c r="FQ37" s="314"/>
      <c r="FR37" s="314"/>
      <c r="FS37" s="314"/>
      <c r="FT37" s="314"/>
      <c r="FU37" s="314"/>
      <c r="FV37" s="314"/>
      <c r="FW37" s="314"/>
      <c r="FX37" s="314"/>
      <c r="FY37" s="314"/>
      <c r="FZ37" s="314"/>
      <c r="GA37" s="314"/>
      <c r="GB37" s="314"/>
      <c r="GC37" s="314"/>
      <c r="GD37" s="314"/>
      <c r="GE37" s="314"/>
      <c r="GF37" s="314"/>
      <c r="GG37" s="314"/>
      <c r="GH37" s="314"/>
      <c r="GI37" s="314"/>
      <c r="GJ37" s="314"/>
      <c r="GK37" s="314"/>
      <c r="GL37" s="314"/>
      <c r="GM37" s="314"/>
      <c r="GN37" s="314"/>
      <c r="GO37" s="314"/>
      <c r="GP37" s="314"/>
      <c r="GQ37" s="314"/>
      <c r="GR37" s="314"/>
      <c r="GS37" s="314"/>
      <c r="GT37" s="314"/>
      <c r="GU37" s="314"/>
      <c r="GV37" s="314"/>
      <c r="GW37" s="314"/>
      <c r="GX37" s="314"/>
      <c r="GY37" s="314"/>
      <c r="GZ37" s="314"/>
      <c r="HA37" s="314"/>
      <c r="HB37" s="314"/>
      <c r="HC37" s="314"/>
      <c r="HD37" s="314"/>
      <c r="HE37" s="314"/>
      <c r="HF37" s="314"/>
      <c r="HG37" s="314"/>
      <c r="HH37" s="314"/>
      <c r="HI37" s="314"/>
      <c r="HJ37" s="314"/>
      <c r="HK37" s="314"/>
      <c r="HL37" s="314"/>
      <c r="HM37" s="314"/>
      <c r="HN37" s="314"/>
      <c r="HO37" s="314"/>
      <c r="HP37" s="314"/>
      <c r="HQ37" s="314"/>
      <c r="HR37" s="314"/>
      <c r="HS37" s="314"/>
      <c r="HT37" s="314"/>
      <c r="HU37" s="314"/>
      <c r="HV37" s="314"/>
      <c r="HW37" s="314"/>
      <c r="HX37" s="314"/>
      <c r="HY37" s="314"/>
      <c r="HZ37" s="314"/>
      <c r="IA37" s="314"/>
      <c r="IB37" s="314"/>
      <c r="IC37" s="314"/>
      <c r="ID37" s="314"/>
      <c r="IE37" s="314"/>
      <c r="IF37" s="314"/>
      <c r="IG37" s="314"/>
      <c r="IH37" s="314"/>
      <c r="II37" s="314"/>
      <c r="IJ37" s="314"/>
      <c r="IK37" s="314"/>
      <c r="IL37" s="314"/>
      <c r="IM37" s="314"/>
      <c r="IN37" s="314"/>
      <c r="IO37" s="314"/>
      <c r="IP37" s="314"/>
      <c r="IQ37" s="314"/>
      <c r="IR37" s="314"/>
      <c r="IS37" s="314"/>
      <c r="IT37" s="314"/>
      <c r="IU37" s="314"/>
      <c r="IV37" s="314"/>
    </row>
    <row r="38" spans="1:256" s="313" customFormat="1" ht="5.25" customHeight="1" thickTop="1">
      <c r="A38" s="335"/>
      <c r="B38" s="47"/>
      <c r="C38" s="310"/>
      <c r="D38" s="335"/>
      <c r="E38" s="335"/>
      <c r="F38" s="335"/>
      <c r="G38" s="327"/>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c r="AH38" s="314"/>
      <c r="AI38" s="314"/>
      <c r="AJ38" s="314"/>
      <c r="AK38" s="314"/>
      <c r="AL38" s="314"/>
      <c r="AM38" s="314"/>
      <c r="AN38" s="314"/>
      <c r="AO38" s="314"/>
      <c r="AP38" s="314"/>
      <c r="AQ38" s="314"/>
      <c r="AR38" s="314"/>
      <c r="AS38" s="314"/>
      <c r="AT38" s="314"/>
      <c r="AU38" s="314"/>
      <c r="AV38" s="314"/>
      <c r="AW38" s="314"/>
      <c r="AX38" s="314"/>
      <c r="AY38" s="314"/>
      <c r="AZ38" s="314"/>
      <c r="BA38" s="314"/>
      <c r="BB38" s="314"/>
      <c r="BC38" s="314"/>
      <c r="BD38" s="314"/>
      <c r="BE38" s="314"/>
      <c r="BF38" s="314"/>
      <c r="BG38" s="314"/>
      <c r="BH38" s="314"/>
      <c r="BI38" s="314"/>
      <c r="BJ38" s="314"/>
      <c r="BK38" s="314"/>
      <c r="BL38" s="314"/>
      <c r="BM38" s="314"/>
      <c r="BN38" s="314"/>
      <c r="BO38" s="314"/>
      <c r="BP38" s="314"/>
      <c r="BQ38" s="314"/>
      <c r="BR38" s="314"/>
      <c r="BS38" s="314"/>
      <c r="BT38" s="314"/>
      <c r="BU38" s="314"/>
      <c r="BV38" s="314"/>
      <c r="BW38" s="314"/>
      <c r="BX38" s="314"/>
      <c r="BY38" s="314"/>
      <c r="BZ38" s="314"/>
      <c r="CA38" s="314"/>
      <c r="CB38" s="314"/>
      <c r="CC38" s="314"/>
      <c r="CD38" s="314"/>
      <c r="CE38" s="314"/>
      <c r="CF38" s="314"/>
      <c r="CG38" s="314"/>
      <c r="CH38" s="314"/>
      <c r="CI38" s="314"/>
      <c r="CJ38" s="314"/>
      <c r="CK38" s="314"/>
      <c r="CL38" s="314"/>
      <c r="CM38" s="314"/>
      <c r="CN38" s="314"/>
      <c r="CO38" s="314"/>
      <c r="CP38" s="314"/>
      <c r="CQ38" s="314"/>
      <c r="CR38" s="314"/>
      <c r="CS38" s="314"/>
      <c r="CT38" s="314"/>
      <c r="CU38" s="314"/>
      <c r="CV38" s="314"/>
      <c r="CW38" s="314"/>
      <c r="CX38" s="314"/>
      <c r="CY38" s="314"/>
      <c r="CZ38" s="314"/>
      <c r="DA38" s="314"/>
      <c r="DB38" s="314"/>
      <c r="DC38" s="314"/>
      <c r="DD38" s="314"/>
      <c r="DE38" s="314"/>
      <c r="DF38" s="314"/>
      <c r="DG38" s="314"/>
      <c r="DH38" s="314"/>
      <c r="DI38" s="314"/>
      <c r="DJ38" s="314"/>
      <c r="DK38" s="314"/>
      <c r="DL38" s="314"/>
      <c r="DM38" s="314"/>
      <c r="DN38" s="314"/>
      <c r="DO38" s="314"/>
      <c r="DP38" s="314"/>
      <c r="DQ38" s="314"/>
      <c r="DR38" s="314"/>
      <c r="DS38" s="314"/>
      <c r="DT38" s="314"/>
      <c r="DU38" s="314"/>
      <c r="DV38" s="314"/>
      <c r="DW38" s="314"/>
      <c r="DX38" s="314"/>
      <c r="DY38" s="314"/>
      <c r="DZ38" s="314"/>
      <c r="EA38" s="314"/>
      <c r="EB38" s="314"/>
      <c r="EC38" s="314"/>
      <c r="ED38" s="314"/>
      <c r="EE38" s="314"/>
      <c r="EF38" s="314"/>
      <c r="EG38" s="314"/>
      <c r="EH38" s="314"/>
      <c r="EI38" s="314"/>
      <c r="EJ38" s="314"/>
      <c r="EK38" s="314"/>
      <c r="EL38" s="314"/>
      <c r="EM38" s="314"/>
      <c r="EN38" s="314"/>
      <c r="EO38" s="314"/>
      <c r="EP38" s="314"/>
      <c r="EQ38" s="314"/>
      <c r="ER38" s="314"/>
      <c r="ES38" s="314"/>
      <c r="ET38" s="314"/>
      <c r="EU38" s="314"/>
      <c r="EV38" s="314"/>
      <c r="EW38" s="314"/>
      <c r="EX38" s="314"/>
      <c r="EY38" s="314"/>
      <c r="EZ38" s="314"/>
      <c r="FA38" s="314"/>
      <c r="FB38" s="314"/>
      <c r="FC38" s="314"/>
      <c r="FD38" s="314"/>
      <c r="FE38" s="314"/>
      <c r="FF38" s="314"/>
      <c r="FG38" s="314"/>
      <c r="FH38" s="314"/>
      <c r="FI38" s="314"/>
      <c r="FJ38" s="314"/>
      <c r="FK38" s="314"/>
      <c r="FL38" s="314"/>
      <c r="FM38" s="314"/>
      <c r="FN38" s="314"/>
      <c r="FO38" s="314"/>
      <c r="FP38" s="314"/>
      <c r="FQ38" s="314"/>
      <c r="FR38" s="314"/>
      <c r="FS38" s="314"/>
      <c r="FT38" s="314"/>
      <c r="FU38" s="314"/>
      <c r="FV38" s="314"/>
      <c r="FW38" s="314"/>
      <c r="FX38" s="314"/>
      <c r="FY38" s="314"/>
      <c r="FZ38" s="314"/>
      <c r="GA38" s="314"/>
      <c r="GB38" s="314"/>
      <c r="GC38" s="314"/>
      <c r="GD38" s="314"/>
      <c r="GE38" s="314"/>
      <c r="GF38" s="314"/>
      <c r="GG38" s="314"/>
      <c r="GH38" s="314"/>
      <c r="GI38" s="314"/>
      <c r="GJ38" s="314"/>
      <c r="GK38" s="314"/>
      <c r="GL38" s="314"/>
      <c r="GM38" s="314"/>
      <c r="GN38" s="314"/>
      <c r="GO38" s="314"/>
      <c r="GP38" s="314"/>
      <c r="GQ38" s="314"/>
      <c r="GR38" s="314"/>
      <c r="GS38" s="314"/>
      <c r="GT38" s="314"/>
      <c r="GU38" s="314"/>
      <c r="GV38" s="314"/>
      <c r="GW38" s="314"/>
      <c r="GX38" s="314"/>
      <c r="GY38" s="314"/>
      <c r="GZ38" s="314"/>
      <c r="HA38" s="314"/>
      <c r="HB38" s="314"/>
      <c r="HC38" s="314"/>
      <c r="HD38" s="314"/>
      <c r="HE38" s="314"/>
      <c r="HF38" s="314"/>
      <c r="HG38" s="314"/>
      <c r="HH38" s="314"/>
      <c r="HI38" s="314"/>
      <c r="HJ38" s="314"/>
      <c r="HK38" s="314"/>
      <c r="HL38" s="314"/>
      <c r="HM38" s="314"/>
      <c r="HN38" s="314"/>
      <c r="HO38" s="314"/>
      <c r="HP38" s="314"/>
      <c r="HQ38" s="314"/>
      <c r="HR38" s="314"/>
      <c r="HS38" s="314"/>
      <c r="HT38" s="314"/>
      <c r="HU38" s="314"/>
      <c r="HV38" s="314"/>
      <c r="HW38" s="314"/>
      <c r="HX38" s="314"/>
      <c r="HY38" s="314"/>
      <c r="HZ38" s="314"/>
      <c r="IA38" s="314"/>
      <c r="IB38" s="314"/>
      <c r="IC38" s="314"/>
      <c r="ID38" s="314"/>
      <c r="IE38" s="314"/>
      <c r="IF38" s="314"/>
      <c r="IG38" s="314"/>
      <c r="IH38" s="314"/>
      <c r="II38" s="314"/>
      <c r="IJ38" s="314"/>
      <c r="IK38" s="314"/>
      <c r="IL38" s="314"/>
      <c r="IM38" s="314"/>
      <c r="IN38" s="314"/>
      <c r="IO38" s="314"/>
      <c r="IP38" s="314"/>
      <c r="IQ38" s="314"/>
      <c r="IR38" s="314"/>
      <c r="IS38" s="314"/>
      <c r="IT38" s="314"/>
      <c r="IU38" s="314"/>
      <c r="IV38" s="314"/>
    </row>
    <row r="39" spans="1:256" s="313" customFormat="1" ht="12.75" customHeight="1">
      <c r="A39" s="666" t="s">
        <v>2644</v>
      </c>
      <c r="B39" s="2615"/>
      <c r="C39" s="2615"/>
      <c r="D39" s="2615"/>
      <c r="E39" s="2615"/>
      <c r="F39" s="2615"/>
      <c r="G39" s="327"/>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4"/>
      <c r="AZ39" s="314"/>
      <c r="BA39" s="314"/>
      <c r="BB39" s="314"/>
      <c r="BC39" s="314"/>
      <c r="BD39" s="314"/>
      <c r="BE39" s="314"/>
      <c r="BF39" s="314"/>
      <c r="BG39" s="314"/>
      <c r="BH39" s="314"/>
      <c r="BI39" s="314"/>
      <c r="BJ39" s="314"/>
      <c r="BK39" s="314"/>
      <c r="BL39" s="314"/>
      <c r="BM39" s="314"/>
      <c r="BN39" s="314"/>
      <c r="BO39" s="314"/>
      <c r="BP39" s="314"/>
      <c r="BQ39" s="314"/>
      <c r="BR39" s="314"/>
      <c r="BS39" s="314"/>
      <c r="BT39" s="314"/>
      <c r="BU39" s="314"/>
      <c r="BV39" s="314"/>
      <c r="BW39" s="314"/>
      <c r="BX39" s="314"/>
      <c r="BY39" s="314"/>
      <c r="BZ39" s="314"/>
      <c r="CA39" s="314"/>
      <c r="CB39" s="314"/>
      <c r="CC39" s="314"/>
      <c r="CD39" s="314"/>
      <c r="CE39" s="314"/>
      <c r="CF39" s="314"/>
      <c r="CG39" s="314"/>
      <c r="CH39" s="314"/>
      <c r="CI39" s="314"/>
      <c r="CJ39" s="314"/>
      <c r="CK39" s="314"/>
      <c r="CL39" s="314"/>
      <c r="CM39" s="314"/>
      <c r="CN39" s="314"/>
      <c r="CO39" s="314"/>
      <c r="CP39" s="314"/>
      <c r="CQ39" s="314"/>
      <c r="CR39" s="314"/>
      <c r="CS39" s="314"/>
      <c r="CT39" s="314"/>
      <c r="CU39" s="314"/>
      <c r="CV39" s="314"/>
      <c r="CW39" s="314"/>
      <c r="CX39" s="314"/>
      <c r="CY39" s="314"/>
      <c r="CZ39" s="314"/>
      <c r="DA39" s="314"/>
      <c r="DB39" s="314"/>
      <c r="DC39" s="314"/>
      <c r="DD39" s="314"/>
      <c r="DE39" s="314"/>
      <c r="DF39" s="314"/>
      <c r="DG39" s="314"/>
      <c r="DH39" s="314"/>
      <c r="DI39" s="314"/>
      <c r="DJ39" s="314"/>
      <c r="DK39" s="314"/>
      <c r="DL39" s="314"/>
      <c r="DM39" s="314"/>
      <c r="DN39" s="314"/>
      <c r="DO39" s="314"/>
      <c r="DP39" s="314"/>
      <c r="DQ39" s="314"/>
      <c r="DR39" s="314"/>
      <c r="DS39" s="314"/>
      <c r="DT39" s="314"/>
      <c r="DU39" s="314"/>
      <c r="DV39" s="314"/>
      <c r="DW39" s="314"/>
      <c r="DX39" s="314"/>
      <c r="DY39" s="314"/>
      <c r="DZ39" s="314"/>
      <c r="EA39" s="314"/>
      <c r="EB39" s="314"/>
      <c r="EC39" s="314"/>
      <c r="ED39" s="314"/>
      <c r="EE39" s="314"/>
      <c r="EF39" s="314"/>
      <c r="EG39" s="314"/>
      <c r="EH39" s="314"/>
      <c r="EI39" s="314"/>
      <c r="EJ39" s="314"/>
      <c r="EK39" s="314"/>
      <c r="EL39" s="314"/>
      <c r="EM39" s="314"/>
      <c r="EN39" s="314"/>
      <c r="EO39" s="314"/>
      <c r="EP39" s="314"/>
      <c r="EQ39" s="314"/>
      <c r="ER39" s="314"/>
      <c r="ES39" s="314"/>
      <c r="ET39" s="314"/>
      <c r="EU39" s="314"/>
      <c r="EV39" s="314"/>
      <c r="EW39" s="314"/>
      <c r="EX39" s="314"/>
      <c r="EY39" s="314"/>
      <c r="EZ39" s="314"/>
      <c r="FA39" s="314"/>
      <c r="FB39" s="314"/>
      <c r="FC39" s="314"/>
      <c r="FD39" s="314"/>
      <c r="FE39" s="314"/>
      <c r="FF39" s="314"/>
      <c r="FG39" s="314"/>
      <c r="FH39" s="314"/>
      <c r="FI39" s="314"/>
      <c r="FJ39" s="314"/>
      <c r="FK39" s="314"/>
      <c r="FL39" s="314"/>
      <c r="FM39" s="314"/>
      <c r="FN39" s="314"/>
      <c r="FO39" s="314"/>
      <c r="FP39" s="314"/>
      <c r="FQ39" s="314"/>
      <c r="FR39" s="314"/>
      <c r="FS39" s="314"/>
      <c r="FT39" s="314"/>
      <c r="FU39" s="314"/>
      <c r="FV39" s="314"/>
      <c r="FW39" s="314"/>
      <c r="FX39" s="314"/>
      <c r="FY39" s="314"/>
      <c r="FZ39" s="314"/>
      <c r="GA39" s="314"/>
      <c r="GB39" s="314"/>
      <c r="GC39" s="314"/>
      <c r="GD39" s="314"/>
      <c r="GE39" s="314"/>
      <c r="GF39" s="314"/>
      <c r="GG39" s="314"/>
      <c r="GH39" s="314"/>
      <c r="GI39" s="314"/>
      <c r="GJ39" s="314"/>
      <c r="GK39" s="314"/>
      <c r="GL39" s="314"/>
      <c r="GM39" s="314"/>
      <c r="GN39" s="314"/>
      <c r="GO39" s="314"/>
      <c r="GP39" s="314"/>
      <c r="GQ39" s="314"/>
      <c r="GR39" s="314"/>
      <c r="GS39" s="314"/>
      <c r="GT39" s="314"/>
      <c r="GU39" s="314"/>
      <c r="GV39" s="314"/>
      <c r="GW39" s="314"/>
      <c r="GX39" s="314"/>
      <c r="GY39" s="314"/>
      <c r="GZ39" s="314"/>
      <c r="HA39" s="314"/>
      <c r="HB39" s="314"/>
      <c r="HC39" s="314"/>
      <c r="HD39" s="314"/>
      <c r="HE39" s="314"/>
      <c r="HF39" s="314"/>
      <c r="HG39" s="314"/>
      <c r="HH39" s="314"/>
      <c r="HI39" s="314"/>
      <c r="HJ39" s="314"/>
      <c r="HK39" s="314"/>
      <c r="HL39" s="314"/>
      <c r="HM39" s="314"/>
      <c r="HN39" s="314"/>
      <c r="HO39" s="314"/>
      <c r="HP39" s="314"/>
      <c r="HQ39" s="314"/>
      <c r="HR39" s="314"/>
      <c r="HS39" s="314"/>
      <c r="HT39" s="314"/>
      <c r="HU39" s="314"/>
      <c r="HV39" s="314"/>
      <c r="HW39" s="314"/>
      <c r="HX39" s="314"/>
      <c r="HY39" s="314"/>
      <c r="HZ39" s="314"/>
      <c r="IA39" s="314"/>
      <c r="IB39" s="314"/>
      <c r="IC39" s="314"/>
      <c r="ID39" s="314"/>
      <c r="IE39" s="314"/>
      <c r="IF39" s="314"/>
      <c r="IG39" s="314"/>
      <c r="IH39" s="314"/>
      <c r="II39" s="314"/>
      <c r="IJ39" s="314"/>
      <c r="IK39" s="314"/>
      <c r="IL39" s="314"/>
      <c r="IM39" s="314"/>
      <c r="IN39" s="314"/>
      <c r="IO39" s="314"/>
      <c r="IP39" s="314"/>
      <c r="IQ39" s="314"/>
      <c r="IR39" s="314"/>
      <c r="IS39" s="314"/>
      <c r="IT39" s="314"/>
      <c r="IU39" s="314"/>
      <c r="IV39" s="314"/>
    </row>
    <row r="40" spans="1:256" s="313" customFormat="1">
      <c r="A40" s="666" t="s">
        <v>2645</v>
      </c>
      <c r="B40" s="2615"/>
      <c r="C40" s="2615"/>
      <c r="D40" s="2615"/>
      <c r="E40" s="2615"/>
      <c r="F40" s="2615"/>
      <c r="G40" s="327"/>
      <c r="J40" s="314"/>
      <c r="K40" s="314"/>
      <c r="L40" s="314"/>
      <c r="M40" s="314"/>
      <c r="N40" s="314"/>
      <c r="O40" s="314"/>
      <c r="P40" s="314"/>
      <c r="Q40" s="314"/>
      <c r="R40" s="314"/>
      <c r="S40" s="314"/>
      <c r="T40" s="314"/>
      <c r="U40" s="314"/>
      <c r="V40" s="314"/>
      <c r="W40" s="314"/>
      <c r="X40" s="314"/>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4"/>
      <c r="BK40" s="314"/>
      <c r="BL40" s="314"/>
      <c r="BM40" s="314"/>
      <c r="BN40" s="314"/>
      <c r="BO40" s="314"/>
      <c r="BP40" s="314"/>
      <c r="BQ40" s="314"/>
      <c r="BR40" s="314"/>
      <c r="BS40" s="314"/>
      <c r="BT40" s="314"/>
      <c r="BU40" s="314"/>
      <c r="BV40" s="314"/>
      <c r="BW40" s="314"/>
      <c r="BX40" s="314"/>
      <c r="BY40" s="314"/>
      <c r="BZ40" s="314"/>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c r="CX40" s="314"/>
      <c r="CY40" s="314"/>
      <c r="CZ40" s="314"/>
      <c r="DA40" s="314"/>
      <c r="DB40" s="314"/>
      <c r="DC40" s="314"/>
      <c r="DD40" s="314"/>
      <c r="DE40" s="314"/>
      <c r="DF40" s="314"/>
      <c r="DG40" s="314"/>
      <c r="DH40" s="314"/>
      <c r="DI40" s="314"/>
      <c r="DJ40" s="314"/>
      <c r="DK40" s="314"/>
      <c r="DL40" s="314"/>
      <c r="DM40" s="314"/>
      <c r="DN40" s="314"/>
      <c r="DO40" s="314"/>
      <c r="DP40" s="314"/>
      <c r="DQ40" s="314"/>
      <c r="DR40" s="314"/>
      <c r="DS40" s="314"/>
      <c r="DT40" s="314"/>
      <c r="DU40" s="314"/>
      <c r="DV40" s="314"/>
      <c r="DW40" s="314"/>
      <c r="DX40" s="314"/>
      <c r="DY40" s="314"/>
      <c r="DZ40" s="314"/>
      <c r="EA40" s="314"/>
      <c r="EB40" s="314"/>
      <c r="EC40" s="314"/>
      <c r="ED40" s="314"/>
      <c r="EE40" s="314"/>
      <c r="EF40" s="314"/>
      <c r="EG40" s="314"/>
      <c r="EH40" s="314"/>
      <c r="EI40" s="314"/>
      <c r="EJ40" s="314"/>
      <c r="EK40" s="314"/>
      <c r="EL40" s="314"/>
      <c r="EM40" s="314"/>
      <c r="EN40" s="314"/>
      <c r="EO40" s="314"/>
      <c r="EP40" s="314"/>
      <c r="EQ40" s="314"/>
      <c r="ER40" s="314"/>
      <c r="ES40" s="314"/>
      <c r="ET40" s="314"/>
      <c r="EU40" s="314"/>
      <c r="EV40" s="314"/>
      <c r="EW40" s="314"/>
      <c r="EX40" s="314"/>
      <c r="EY40" s="314"/>
      <c r="EZ40" s="314"/>
      <c r="FA40" s="314"/>
      <c r="FB40" s="314"/>
      <c r="FC40" s="314"/>
      <c r="FD40" s="314"/>
      <c r="FE40" s="314"/>
      <c r="FF40" s="314"/>
      <c r="FG40" s="314"/>
      <c r="FH40" s="314"/>
      <c r="FI40" s="314"/>
      <c r="FJ40" s="314"/>
      <c r="FK40" s="314"/>
      <c r="FL40" s="314"/>
      <c r="FM40" s="314"/>
      <c r="FN40" s="314"/>
      <c r="FO40" s="314"/>
      <c r="FP40" s="314"/>
      <c r="FQ40" s="314"/>
      <c r="FR40" s="314"/>
      <c r="FS40" s="314"/>
      <c r="FT40" s="314"/>
      <c r="FU40" s="314"/>
      <c r="FV40" s="314"/>
      <c r="FW40" s="314"/>
      <c r="FX40" s="314"/>
      <c r="FY40" s="314"/>
      <c r="FZ40" s="314"/>
      <c r="GA40" s="314"/>
      <c r="GB40" s="314"/>
      <c r="GC40" s="314"/>
      <c r="GD40" s="314"/>
      <c r="GE40" s="314"/>
      <c r="GF40" s="314"/>
      <c r="GG40" s="314"/>
      <c r="GH40" s="314"/>
      <c r="GI40" s="314"/>
      <c r="GJ40" s="314"/>
      <c r="GK40" s="314"/>
      <c r="GL40" s="314"/>
      <c r="GM40" s="314"/>
      <c r="GN40" s="314"/>
      <c r="GO40" s="314"/>
      <c r="GP40" s="314"/>
      <c r="GQ40" s="314"/>
      <c r="GR40" s="314"/>
      <c r="GS40" s="314"/>
      <c r="GT40" s="314"/>
      <c r="GU40" s="314"/>
      <c r="GV40" s="314"/>
      <c r="GW40" s="314"/>
      <c r="GX40" s="314"/>
      <c r="GY40" s="314"/>
      <c r="GZ40" s="314"/>
      <c r="HA40" s="314"/>
      <c r="HB40" s="314"/>
      <c r="HC40" s="314"/>
      <c r="HD40" s="314"/>
      <c r="HE40" s="314"/>
      <c r="HF40" s="314"/>
      <c r="HG40" s="314"/>
      <c r="HH40" s="314"/>
      <c r="HI40" s="314"/>
      <c r="HJ40" s="314"/>
      <c r="HK40" s="314"/>
      <c r="HL40" s="314"/>
      <c r="HM40" s="314"/>
      <c r="HN40" s="314"/>
      <c r="HO40" s="314"/>
      <c r="HP40" s="314"/>
      <c r="HQ40" s="314"/>
      <c r="HR40" s="314"/>
      <c r="HS40" s="314"/>
      <c r="HT40" s="314"/>
      <c r="HU40" s="314"/>
      <c r="HV40" s="314"/>
      <c r="HW40" s="314"/>
      <c r="HX40" s="314"/>
      <c r="HY40" s="314"/>
      <c r="HZ40" s="314"/>
      <c r="IA40" s="314"/>
      <c r="IB40" s="314"/>
      <c r="IC40" s="314"/>
      <c r="ID40" s="314"/>
      <c r="IE40" s="314"/>
      <c r="IF40" s="314"/>
      <c r="IG40" s="314"/>
      <c r="IH40" s="314"/>
      <c r="II40" s="314"/>
      <c r="IJ40" s="314"/>
      <c r="IK40" s="314"/>
      <c r="IL40" s="314"/>
      <c r="IM40" s="314"/>
      <c r="IN40" s="314"/>
      <c r="IO40" s="314"/>
      <c r="IP40" s="314"/>
      <c r="IQ40" s="314"/>
      <c r="IR40" s="314"/>
      <c r="IS40" s="314"/>
      <c r="IT40" s="314"/>
      <c r="IU40" s="314"/>
      <c r="IV40" s="314"/>
    </row>
    <row r="41" spans="1:256" s="313" customFormat="1">
      <c r="A41" s="666" t="s">
        <v>2646</v>
      </c>
      <c r="B41" s="2615"/>
      <c r="C41" s="2615"/>
      <c r="D41" s="2615"/>
      <c r="E41" s="2615"/>
      <c r="F41" s="2615"/>
      <c r="G41" s="327"/>
    </row>
    <row r="42" spans="1:256" s="313" customFormat="1">
      <c r="A42" s="666" t="s">
        <v>2647</v>
      </c>
      <c r="B42" s="2615"/>
      <c r="C42" s="2615"/>
      <c r="D42" s="2615"/>
      <c r="E42" s="2615"/>
      <c r="F42" s="2615"/>
      <c r="G42" s="327"/>
    </row>
    <row r="43" spans="1:256" s="313" customFormat="1">
      <c r="A43" s="2615" t="s">
        <v>2648</v>
      </c>
      <c r="B43" s="2615"/>
      <c r="C43" s="2615"/>
      <c r="D43" s="2615"/>
      <c r="E43" s="2615"/>
      <c r="F43" s="2615"/>
      <c r="G43" s="327"/>
    </row>
    <row r="44" spans="1:256" s="313" customFormat="1" ht="7.5" customHeight="1">
      <c r="G44" s="327"/>
    </row>
    <row r="45" spans="1:256">
      <c r="A45" s="1822" t="s">
        <v>2649</v>
      </c>
      <c r="B45" s="1821"/>
      <c r="C45" s="1821"/>
      <c r="D45" s="1821"/>
      <c r="E45" s="1821"/>
      <c r="F45" s="1821"/>
      <c r="G45" s="301"/>
      <c r="H45" s="1821"/>
      <c r="I45" s="1821"/>
      <c r="J45" s="1821"/>
      <c r="K45" s="1821"/>
      <c r="L45" s="1821"/>
      <c r="M45" s="1821"/>
      <c r="N45" s="1821"/>
      <c r="O45" s="1821"/>
      <c r="P45" s="1821"/>
      <c r="Q45" s="1821"/>
      <c r="R45" s="1821"/>
      <c r="S45" s="1821"/>
      <c r="T45" s="1821"/>
      <c r="U45" s="1821"/>
      <c r="V45" s="1821"/>
      <c r="W45" s="1821"/>
      <c r="X45" s="1821"/>
      <c r="Y45" s="1821"/>
      <c r="Z45" s="1821"/>
      <c r="AA45" s="1821"/>
      <c r="AB45" s="1821"/>
      <c r="AC45" s="1821"/>
      <c r="AD45" s="1821"/>
      <c r="AE45" s="1821"/>
      <c r="AF45" s="1821"/>
      <c r="AG45" s="1821"/>
      <c r="AH45" s="1821"/>
      <c r="AI45" s="1821"/>
      <c r="AJ45" s="1821"/>
      <c r="AK45" s="1821"/>
      <c r="AL45" s="1821"/>
      <c r="AM45" s="1821"/>
      <c r="AN45" s="1821"/>
      <c r="AO45" s="1821"/>
      <c r="AP45" s="1821"/>
      <c r="AQ45" s="1821"/>
      <c r="AR45" s="1821"/>
      <c r="AS45" s="1821"/>
      <c r="AT45" s="1821"/>
      <c r="AU45" s="1821"/>
      <c r="AV45" s="1821"/>
      <c r="AW45" s="1821"/>
      <c r="AX45" s="1821"/>
      <c r="AY45" s="1821"/>
      <c r="AZ45" s="1821"/>
      <c r="BA45" s="1821"/>
      <c r="BB45" s="1821"/>
      <c r="BC45" s="1821"/>
      <c r="BD45" s="1821"/>
      <c r="BE45" s="1821"/>
      <c r="BF45" s="1821"/>
      <c r="BG45" s="1821"/>
      <c r="BH45" s="1821"/>
      <c r="BI45" s="1821"/>
      <c r="BJ45" s="1821"/>
      <c r="BK45" s="1821"/>
      <c r="BL45" s="1821"/>
      <c r="BM45" s="1821"/>
      <c r="BN45" s="1821"/>
      <c r="BO45" s="1821"/>
      <c r="BP45" s="1821"/>
      <c r="BQ45" s="1821"/>
      <c r="BR45" s="1821"/>
      <c r="BS45" s="1821"/>
      <c r="BT45" s="1821"/>
      <c r="BU45" s="1821"/>
      <c r="BV45" s="1821"/>
      <c r="BW45" s="1821"/>
      <c r="BX45" s="1821"/>
      <c r="BY45" s="1821"/>
      <c r="BZ45" s="1821"/>
      <c r="CA45" s="1821"/>
      <c r="CB45" s="1821"/>
      <c r="CC45" s="1821"/>
      <c r="CD45" s="1821"/>
      <c r="CE45" s="1821"/>
      <c r="CF45" s="1821"/>
      <c r="CG45" s="1821"/>
      <c r="CH45" s="1821"/>
      <c r="CI45" s="1821"/>
      <c r="CJ45" s="1821"/>
      <c r="CK45" s="1821"/>
      <c r="CL45" s="1821"/>
      <c r="CM45" s="1821"/>
      <c r="CN45" s="1821"/>
      <c r="CO45" s="1821"/>
      <c r="CP45" s="1821"/>
      <c r="CQ45" s="1821"/>
      <c r="CR45" s="1821"/>
      <c r="CS45" s="1821"/>
      <c r="CT45" s="1821"/>
      <c r="CU45" s="1821"/>
      <c r="CV45" s="1821"/>
      <c r="CW45" s="1821"/>
      <c r="CX45" s="1821"/>
      <c r="CY45" s="1821"/>
      <c r="CZ45" s="1821"/>
      <c r="DA45" s="1821"/>
      <c r="DB45" s="1821"/>
      <c r="DC45" s="1821"/>
      <c r="DD45" s="1821"/>
      <c r="DE45" s="1821"/>
      <c r="DF45" s="1821"/>
      <c r="DG45" s="1821"/>
      <c r="DH45" s="1821"/>
      <c r="DI45" s="1821"/>
      <c r="DJ45" s="1821"/>
      <c r="DK45" s="1821"/>
      <c r="DL45" s="1821"/>
      <c r="DM45" s="1821"/>
      <c r="DN45" s="1821"/>
      <c r="DO45" s="1821"/>
      <c r="DP45" s="1821"/>
      <c r="DQ45" s="1821"/>
      <c r="DR45" s="1821"/>
      <c r="DS45" s="1821"/>
      <c r="DT45" s="1821"/>
      <c r="DU45" s="1821"/>
      <c r="DV45" s="1821"/>
      <c r="DW45" s="1821"/>
      <c r="DX45" s="1821"/>
      <c r="DY45" s="1821"/>
      <c r="DZ45" s="1821"/>
      <c r="EA45" s="1821"/>
      <c r="EB45" s="1821"/>
      <c r="EC45" s="1821"/>
      <c r="ED45" s="1821"/>
      <c r="EE45" s="1821"/>
      <c r="EF45" s="1821"/>
      <c r="EG45" s="1821"/>
      <c r="EH45" s="1821"/>
      <c r="EI45" s="1821"/>
      <c r="EJ45" s="1821"/>
      <c r="EK45" s="1821"/>
      <c r="EL45" s="1821"/>
      <c r="EM45" s="1821"/>
      <c r="EN45" s="1821"/>
      <c r="EO45" s="1821"/>
      <c r="EP45" s="1821"/>
      <c r="EQ45" s="1821"/>
      <c r="ER45" s="1821"/>
      <c r="ES45" s="1821"/>
      <c r="ET45" s="1821"/>
      <c r="EU45" s="1821"/>
      <c r="EV45" s="1821"/>
      <c r="EW45" s="1821"/>
      <c r="EX45" s="1821"/>
      <c r="EY45" s="1821"/>
      <c r="EZ45" s="1821"/>
      <c r="FA45" s="1821"/>
      <c r="FB45" s="1821"/>
      <c r="FC45" s="1821"/>
      <c r="FD45" s="1821"/>
      <c r="FE45" s="1821"/>
      <c r="FF45" s="1821"/>
      <c r="FG45" s="1821"/>
      <c r="FH45" s="1821"/>
      <c r="FI45" s="1821"/>
      <c r="FJ45" s="1821"/>
      <c r="FK45" s="1821"/>
      <c r="FL45" s="1821"/>
      <c r="FM45" s="1821"/>
      <c r="FN45" s="1821"/>
      <c r="FO45" s="1821"/>
      <c r="FP45" s="1821"/>
      <c r="FQ45" s="1821"/>
      <c r="FR45" s="1821"/>
      <c r="FS45" s="1821"/>
      <c r="FT45" s="1821"/>
      <c r="FU45" s="1821"/>
      <c r="FV45" s="1821"/>
      <c r="FW45" s="1821"/>
      <c r="FX45" s="1821"/>
      <c r="FY45" s="1821"/>
      <c r="FZ45" s="1821"/>
      <c r="GA45" s="1821"/>
      <c r="GB45" s="1821"/>
      <c r="GC45" s="1821"/>
      <c r="GD45" s="1821"/>
      <c r="GE45" s="1821"/>
      <c r="GF45" s="1821"/>
      <c r="GG45" s="1821"/>
      <c r="GH45" s="1821"/>
      <c r="GI45" s="1821"/>
      <c r="GJ45" s="1821"/>
      <c r="GK45" s="1821"/>
      <c r="GL45" s="1821"/>
      <c r="GM45" s="1821"/>
      <c r="GN45" s="1821"/>
      <c r="GO45" s="1821"/>
      <c r="GP45" s="1821"/>
      <c r="GQ45" s="1821"/>
      <c r="GR45" s="1821"/>
      <c r="GS45" s="1821"/>
      <c r="GT45" s="1821"/>
      <c r="GU45" s="1821"/>
      <c r="GV45" s="1821"/>
      <c r="GW45" s="1821"/>
      <c r="GX45" s="1821"/>
      <c r="GY45" s="1821"/>
      <c r="GZ45" s="1821"/>
      <c r="HA45" s="1821"/>
      <c r="HB45" s="1821"/>
      <c r="HC45" s="1821"/>
      <c r="HD45" s="1821"/>
      <c r="HE45" s="1821"/>
      <c r="HF45" s="1821"/>
      <c r="HG45" s="1821"/>
      <c r="HH45" s="1821"/>
      <c r="HI45" s="1821"/>
      <c r="HJ45" s="1821"/>
      <c r="HK45" s="1821"/>
      <c r="HL45" s="1821"/>
      <c r="HM45" s="1821"/>
      <c r="HN45" s="1821"/>
      <c r="HO45" s="1821"/>
      <c r="HP45" s="1821"/>
      <c r="HQ45" s="1821"/>
      <c r="HR45" s="1821"/>
      <c r="HS45" s="1821"/>
      <c r="HT45" s="1821"/>
      <c r="HU45" s="1821"/>
      <c r="HV45" s="1821"/>
      <c r="HW45" s="1821"/>
      <c r="HX45" s="1821"/>
      <c r="HY45" s="1821"/>
      <c r="HZ45" s="1821"/>
      <c r="IA45" s="1821"/>
      <c r="IB45" s="1821"/>
      <c r="IC45" s="1821"/>
      <c r="ID45" s="1821"/>
      <c r="IE45" s="1821"/>
      <c r="IF45" s="1821"/>
      <c r="IG45" s="1821"/>
      <c r="IH45" s="1821"/>
      <c r="II45" s="1821"/>
      <c r="IJ45" s="1821"/>
      <c r="IK45" s="1821"/>
      <c r="IL45" s="1821"/>
      <c r="IM45" s="1821"/>
      <c r="IN45" s="1821"/>
      <c r="IO45" s="1821"/>
      <c r="IP45" s="1821"/>
      <c r="IQ45" s="1821"/>
      <c r="IR45" s="1821"/>
      <c r="IS45" s="1821"/>
      <c r="IT45" s="1821"/>
      <c r="IU45" s="1821"/>
      <c r="IV45" s="1821"/>
    </row>
    <row r="46" spans="1:256">
      <c r="A46" s="2614"/>
      <c r="B46" s="2614"/>
      <c r="C46" s="2614"/>
      <c r="D46" s="2614"/>
      <c r="E46" s="2614"/>
      <c r="F46" s="2614"/>
      <c r="G46" s="301"/>
      <c r="H46" s="1821"/>
      <c r="I46" s="1821"/>
      <c r="J46" s="1821"/>
      <c r="K46" s="1821"/>
      <c r="L46" s="1821"/>
      <c r="M46" s="1821"/>
      <c r="N46" s="1821"/>
      <c r="O46" s="1821"/>
      <c r="P46" s="1821"/>
      <c r="Q46" s="1821"/>
      <c r="R46" s="1821"/>
      <c r="S46" s="1821"/>
      <c r="T46" s="1821"/>
      <c r="U46" s="1821"/>
      <c r="V46" s="1821"/>
      <c r="W46" s="1821"/>
      <c r="X46" s="1821"/>
      <c r="Y46" s="1821"/>
      <c r="Z46" s="1821"/>
      <c r="AA46" s="1821"/>
      <c r="AB46" s="1821"/>
      <c r="AC46" s="1821"/>
      <c r="AD46" s="1821"/>
      <c r="AE46" s="1821"/>
      <c r="AF46" s="1821"/>
      <c r="AG46" s="1821"/>
      <c r="AH46" s="1821"/>
      <c r="AI46" s="1821"/>
      <c r="AJ46" s="1821"/>
      <c r="AK46" s="1821"/>
      <c r="AL46" s="1821"/>
      <c r="AM46" s="1821"/>
      <c r="AN46" s="1821"/>
      <c r="AO46" s="1821"/>
      <c r="AP46" s="1821"/>
      <c r="AQ46" s="1821"/>
      <c r="AR46" s="1821"/>
      <c r="AS46" s="1821"/>
      <c r="AT46" s="1821"/>
      <c r="AU46" s="1821"/>
      <c r="AV46" s="1821"/>
      <c r="AW46" s="1821"/>
      <c r="AX46" s="1821"/>
      <c r="AY46" s="1821"/>
      <c r="AZ46" s="1821"/>
      <c r="BA46" s="1821"/>
      <c r="BB46" s="1821"/>
      <c r="BC46" s="1821"/>
      <c r="BD46" s="1821"/>
      <c r="BE46" s="1821"/>
      <c r="BF46" s="1821"/>
      <c r="BG46" s="1821"/>
      <c r="BH46" s="1821"/>
      <c r="BI46" s="1821"/>
      <c r="BJ46" s="1821"/>
      <c r="BK46" s="1821"/>
      <c r="BL46" s="1821"/>
      <c r="BM46" s="1821"/>
      <c r="BN46" s="1821"/>
      <c r="BO46" s="1821"/>
      <c r="BP46" s="1821"/>
      <c r="BQ46" s="1821"/>
      <c r="BR46" s="1821"/>
      <c r="BS46" s="1821"/>
      <c r="BT46" s="1821"/>
      <c r="BU46" s="1821"/>
      <c r="BV46" s="1821"/>
      <c r="BW46" s="1821"/>
      <c r="BX46" s="1821"/>
      <c r="BY46" s="1821"/>
      <c r="BZ46" s="1821"/>
      <c r="CA46" s="1821"/>
      <c r="CB46" s="1821"/>
      <c r="CC46" s="1821"/>
      <c r="CD46" s="1821"/>
      <c r="CE46" s="1821"/>
      <c r="CF46" s="1821"/>
      <c r="CG46" s="1821"/>
      <c r="CH46" s="1821"/>
      <c r="CI46" s="1821"/>
      <c r="CJ46" s="1821"/>
      <c r="CK46" s="1821"/>
      <c r="CL46" s="1821"/>
      <c r="CM46" s="1821"/>
      <c r="CN46" s="1821"/>
      <c r="CO46" s="1821"/>
      <c r="CP46" s="1821"/>
      <c r="CQ46" s="1821"/>
      <c r="CR46" s="1821"/>
      <c r="CS46" s="1821"/>
      <c r="CT46" s="1821"/>
      <c r="CU46" s="1821"/>
      <c r="CV46" s="1821"/>
      <c r="CW46" s="1821"/>
      <c r="CX46" s="1821"/>
      <c r="CY46" s="1821"/>
      <c r="CZ46" s="1821"/>
      <c r="DA46" s="1821"/>
      <c r="DB46" s="1821"/>
      <c r="DC46" s="1821"/>
      <c r="DD46" s="1821"/>
      <c r="DE46" s="1821"/>
      <c r="DF46" s="1821"/>
      <c r="DG46" s="1821"/>
      <c r="DH46" s="1821"/>
      <c r="DI46" s="1821"/>
      <c r="DJ46" s="1821"/>
      <c r="DK46" s="1821"/>
      <c r="DL46" s="1821"/>
      <c r="DM46" s="1821"/>
      <c r="DN46" s="1821"/>
      <c r="DO46" s="1821"/>
      <c r="DP46" s="1821"/>
      <c r="DQ46" s="1821"/>
      <c r="DR46" s="1821"/>
      <c r="DS46" s="1821"/>
      <c r="DT46" s="1821"/>
      <c r="DU46" s="1821"/>
      <c r="DV46" s="1821"/>
      <c r="DW46" s="1821"/>
      <c r="DX46" s="1821"/>
      <c r="DY46" s="1821"/>
      <c r="DZ46" s="1821"/>
      <c r="EA46" s="1821"/>
      <c r="EB46" s="1821"/>
      <c r="EC46" s="1821"/>
      <c r="ED46" s="1821"/>
      <c r="EE46" s="1821"/>
      <c r="EF46" s="1821"/>
      <c r="EG46" s="1821"/>
      <c r="EH46" s="1821"/>
      <c r="EI46" s="1821"/>
      <c r="EJ46" s="1821"/>
      <c r="EK46" s="1821"/>
      <c r="EL46" s="1821"/>
      <c r="EM46" s="1821"/>
      <c r="EN46" s="1821"/>
      <c r="EO46" s="1821"/>
      <c r="EP46" s="1821"/>
      <c r="EQ46" s="1821"/>
      <c r="ER46" s="1821"/>
      <c r="ES46" s="1821"/>
      <c r="ET46" s="1821"/>
      <c r="EU46" s="1821"/>
      <c r="EV46" s="1821"/>
      <c r="EW46" s="1821"/>
      <c r="EX46" s="1821"/>
      <c r="EY46" s="1821"/>
      <c r="EZ46" s="1821"/>
      <c r="FA46" s="1821"/>
      <c r="FB46" s="1821"/>
      <c r="FC46" s="1821"/>
      <c r="FD46" s="1821"/>
      <c r="FE46" s="1821"/>
      <c r="FF46" s="1821"/>
      <c r="FG46" s="1821"/>
      <c r="FH46" s="1821"/>
      <c r="FI46" s="1821"/>
      <c r="FJ46" s="1821"/>
      <c r="FK46" s="1821"/>
      <c r="FL46" s="1821"/>
      <c r="FM46" s="1821"/>
      <c r="FN46" s="1821"/>
      <c r="FO46" s="1821"/>
      <c r="FP46" s="1821"/>
      <c r="FQ46" s="1821"/>
      <c r="FR46" s="1821"/>
      <c r="FS46" s="1821"/>
      <c r="FT46" s="1821"/>
      <c r="FU46" s="1821"/>
      <c r="FV46" s="1821"/>
      <c r="FW46" s="1821"/>
      <c r="FX46" s="1821"/>
      <c r="FY46" s="1821"/>
      <c r="FZ46" s="1821"/>
      <c r="GA46" s="1821"/>
      <c r="GB46" s="1821"/>
      <c r="GC46" s="1821"/>
      <c r="GD46" s="1821"/>
      <c r="GE46" s="1821"/>
      <c r="GF46" s="1821"/>
      <c r="GG46" s="1821"/>
      <c r="GH46" s="1821"/>
      <c r="GI46" s="1821"/>
      <c r="GJ46" s="1821"/>
      <c r="GK46" s="1821"/>
      <c r="GL46" s="1821"/>
      <c r="GM46" s="1821"/>
      <c r="GN46" s="1821"/>
      <c r="GO46" s="1821"/>
      <c r="GP46" s="1821"/>
      <c r="GQ46" s="1821"/>
      <c r="GR46" s="1821"/>
      <c r="GS46" s="1821"/>
      <c r="GT46" s="1821"/>
      <c r="GU46" s="1821"/>
      <c r="GV46" s="1821"/>
      <c r="GW46" s="1821"/>
      <c r="GX46" s="1821"/>
      <c r="GY46" s="1821"/>
      <c r="GZ46" s="1821"/>
      <c r="HA46" s="1821"/>
      <c r="HB46" s="1821"/>
      <c r="HC46" s="1821"/>
      <c r="HD46" s="1821"/>
      <c r="HE46" s="1821"/>
      <c r="HF46" s="1821"/>
      <c r="HG46" s="1821"/>
      <c r="HH46" s="1821"/>
      <c r="HI46" s="1821"/>
      <c r="HJ46" s="1821"/>
      <c r="HK46" s="1821"/>
      <c r="HL46" s="1821"/>
      <c r="HM46" s="1821"/>
      <c r="HN46" s="1821"/>
      <c r="HO46" s="1821"/>
      <c r="HP46" s="1821"/>
      <c r="HQ46" s="1821"/>
      <c r="HR46" s="1821"/>
      <c r="HS46" s="1821"/>
      <c r="HT46" s="1821"/>
      <c r="HU46" s="1821"/>
      <c r="HV46" s="1821"/>
      <c r="HW46" s="1821"/>
      <c r="HX46" s="1821"/>
      <c r="HY46" s="1821"/>
      <c r="HZ46" s="1821"/>
      <c r="IA46" s="1821"/>
      <c r="IB46" s="1821"/>
      <c r="IC46" s="1821"/>
      <c r="ID46" s="1821"/>
      <c r="IE46" s="1821"/>
      <c r="IF46" s="1821"/>
      <c r="IG46" s="1821"/>
      <c r="IH46" s="1821"/>
      <c r="II46" s="1821"/>
      <c r="IJ46" s="1821"/>
      <c r="IK46" s="1821"/>
      <c r="IL46" s="1821"/>
      <c r="IM46" s="1821"/>
      <c r="IN46" s="1821"/>
      <c r="IO46" s="1821"/>
      <c r="IP46" s="1821"/>
      <c r="IQ46" s="1821"/>
      <c r="IR46" s="1821"/>
      <c r="IS46" s="1821"/>
      <c r="IT46" s="1821"/>
      <c r="IU46" s="1821"/>
      <c r="IV46" s="1821"/>
    </row>
    <row r="47" spans="1:256">
      <c r="A47" s="2614"/>
      <c r="B47" s="2614"/>
      <c r="C47" s="2614"/>
      <c r="D47" s="2614"/>
      <c r="E47" s="2614"/>
      <c r="F47" s="2614"/>
      <c r="G47" s="301"/>
      <c r="H47" s="1821"/>
      <c r="I47" s="1821"/>
      <c r="J47" s="1821"/>
      <c r="K47" s="1821"/>
      <c r="L47" s="1821"/>
      <c r="M47" s="1821"/>
      <c r="N47" s="1821"/>
      <c r="O47" s="1821"/>
      <c r="P47" s="1821"/>
      <c r="Q47" s="1821"/>
      <c r="R47" s="1821"/>
      <c r="S47" s="1821"/>
      <c r="T47" s="1821"/>
      <c r="U47" s="1821"/>
      <c r="V47" s="1821"/>
      <c r="W47" s="1821"/>
      <c r="X47" s="1821"/>
      <c r="Y47" s="1821"/>
      <c r="Z47" s="1821"/>
      <c r="AA47" s="1821"/>
      <c r="AB47" s="1821"/>
      <c r="AC47" s="1821"/>
      <c r="AD47" s="1821"/>
      <c r="AE47" s="1821"/>
      <c r="AF47" s="1821"/>
      <c r="AG47" s="1821"/>
      <c r="AH47" s="1821"/>
      <c r="AI47" s="1821"/>
      <c r="AJ47" s="1821"/>
      <c r="AK47" s="1821"/>
      <c r="AL47" s="1821"/>
      <c r="AM47" s="1821"/>
      <c r="AN47" s="1821"/>
      <c r="AO47" s="1821"/>
      <c r="AP47" s="1821"/>
      <c r="AQ47" s="1821"/>
      <c r="AR47" s="1821"/>
      <c r="AS47" s="1821"/>
      <c r="AT47" s="1821"/>
      <c r="AU47" s="1821"/>
      <c r="AV47" s="1821"/>
      <c r="AW47" s="1821"/>
      <c r="AX47" s="1821"/>
      <c r="AY47" s="1821"/>
      <c r="AZ47" s="1821"/>
      <c r="BA47" s="1821"/>
      <c r="BB47" s="1821"/>
      <c r="BC47" s="1821"/>
      <c r="BD47" s="1821"/>
      <c r="BE47" s="1821"/>
      <c r="BF47" s="1821"/>
      <c r="BG47" s="1821"/>
      <c r="BH47" s="1821"/>
      <c r="BI47" s="1821"/>
      <c r="BJ47" s="1821"/>
      <c r="BK47" s="1821"/>
      <c r="BL47" s="1821"/>
      <c r="BM47" s="1821"/>
      <c r="BN47" s="1821"/>
      <c r="BO47" s="1821"/>
      <c r="BP47" s="1821"/>
      <c r="BQ47" s="1821"/>
      <c r="BR47" s="1821"/>
      <c r="BS47" s="1821"/>
      <c r="BT47" s="1821"/>
      <c r="BU47" s="1821"/>
      <c r="BV47" s="1821"/>
      <c r="BW47" s="1821"/>
      <c r="BX47" s="1821"/>
      <c r="BY47" s="1821"/>
      <c r="BZ47" s="1821"/>
      <c r="CA47" s="1821"/>
      <c r="CB47" s="1821"/>
      <c r="CC47" s="1821"/>
      <c r="CD47" s="1821"/>
      <c r="CE47" s="1821"/>
      <c r="CF47" s="1821"/>
      <c r="CG47" s="1821"/>
      <c r="CH47" s="1821"/>
      <c r="CI47" s="1821"/>
      <c r="CJ47" s="1821"/>
      <c r="CK47" s="1821"/>
      <c r="CL47" s="1821"/>
      <c r="CM47" s="1821"/>
      <c r="CN47" s="1821"/>
      <c r="CO47" s="1821"/>
      <c r="CP47" s="1821"/>
      <c r="CQ47" s="1821"/>
      <c r="CR47" s="1821"/>
      <c r="CS47" s="1821"/>
      <c r="CT47" s="1821"/>
      <c r="CU47" s="1821"/>
      <c r="CV47" s="1821"/>
      <c r="CW47" s="1821"/>
      <c r="CX47" s="1821"/>
      <c r="CY47" s="1821"/>
      <c r="CZ47" s="1821"/>
      <c r="DA47" s="1821"/>
      <c r="DB47" s="1821"/>
      <c r="DC47" s="1821"/>
      <c r="DD47" s="1821"/>
      <c r="DE47" s="1821"/>
      <c r="DF47" s="1821"/>
      <c r="DG47" s="1821"/>
      <c r="DH47" s="1821"/>
      <c r="DI47" s="1821"/>
      <c r="DJ47" s="1821"/>
      <c r="DK47" s="1821"/>
      <c r="DL47" s="1821"/>
      <c r="DM47" s="1821"/>
      <c r="DN47" s="1821"/>
      <c r="DO47" s="1821"/>
      <c r="DP47" s="1821"/>
      <c r="DQ47" s="1821"/>
      <c r="DR47" s="1821"/>
      <c r="DS47" s="1821"/>
      <c r="DT47" s="1821"/>
      <c r="DU47" s="1821"/>
      <c r="DV47" s="1821"/>
      <c r="DW47" s="1821"/>
      <c r="DX47" s="1821"/>
      <c r="DY47" s="1821"/>
      <c r="DZ47" s="1821"/>
      <c r="EA47" s="1821"/>
      <c r="EB47" s="1821"/>
      <c r="EC47" s="1821"/>
      <c r="ED47" s="1821"/>
      <c r="EE47" s="1821"/>
      <c r="EF47" s="1821"/>
      <c r="EG47" s="1821"/>
      <c r="EH47" s="1821"/>
      <c r="EI47" s="1821"/>
      <c r="EJ47" s="1821"/>
      <c r="EK47" s="1821"/>
      <c r="EL47" s="1821"/>
      <c r="EM47" s="1821"/>
      <c r="EN47" s="1821"/>
      <c r="EO47" s="1821"/>
      <c r="EP47" s="1821"/>
      <c r="EQ47" s="1821"/>
      <c r="ER47" s="1821"/>
      <c r="ES47" s="1821"/>
      <c r="ET47" s="1821"/>
      <c r="EU47" s="1821"/>
      <c r="EV47" s="1821"/>
      <c r="EW47" s="1821"/>
      <c r="EX47" s="1821"/>
      <c r="EY47" s="1821"/>
      <c r="EZ47" s="1821"/>
      <c r="FA47" s="1821"/>
      <c r="FB47" s="1821"/>
      <c r="FC47" s="1821"/>
      <c r="FD47" s="1821"/>
      <c r="FE47" s="1821"/>
      <c r="FF47" s="1821"/>
      <c r="FG47" s="1821"/>
      <c r="FH47" s="1821"/>
      <c r="FI47" s="1821"/>
      <c r="FJ47" s="1821"/>
      <c r="FK47" s="1821"/>
      <c r="FL47" s="1821"/>
      <c r="FM47" s="1821"/>
      <c r="FN47" s="1821"/>
      <c r="FO47" s="1821"/>
      <c r="FP47" s="1821"/>
      <c r="FQ47" s="1821"/>
      <c r="FR47" s="1821"/>
      <c r="FS47" s="1821"/>
      <c r="FT47" s="1821"/>
      <c r="FU47" s="1821"/>
      <c r="FV47" s="1821"/>
      <c r="FW47" s="1821"/>
      <c r="FX47" s="1821"/>
      <c r="FY47" s="1821"/>
      <c r="FZ47" s="1821"/>
      <c r="GA47" s="1821"/>
      <c r="GB47" s="1821"/>
      <c r="GC47" s="1821"/>
      <c r="GD47" s="1821"/>
      <c r="GE47" s="1821"/>
      <c r="GF47" s="1821"/>
      <c r="GG47" s="1821"/>
      <c r="GH47" s="1821"/>
      <c r="GI47" s="1821"/>
      <c r="GJ47" s="1821"/>
      <c r="GK47" s="1821"/>
      <c r="GL47" s="1821"/>
      <c r="GM47" s="1821"/>
      <c r="GN47" s="1821"/>
      <c r="GO47" s="1821"/>
      <c r="GP47" s="1821"/>
      <c r="GQ47" s="1821"/>
      <c r="GR47" s="1821"/>
      <c r="GS47" s="1821"/>
      <c r="GT47" s="1821"/>
      <c r="GU47" s="1821"/>
      <c r="GV47" s="1821"/>
      <c r="GW47" s="1821"/>
      <c r="GX47" s="1821"/>
      <c r="GY47" s="1821"/>
      <c r="GZ47" s="1821"/>
      <c r="HA47" s="1821"/>
      <c r="HB47" s="1821"/>
      <c r="HC47" s="1821"/>
      <c r="HD47" s="1821"/>
      <c r="HE47" s="1821"/>
      <c r="HF47" s="1821"/>
      <c r="HG47" s="1821"/>
      <c r="HH47" s="1821"/>
      <c r="HI47" s="1821"/>
      <c r="HJ47" s="1821"/>
      <c r="HK47" s="1821"/>
      <c r="HL47" s="1821"/>
      <c r="HM47" s="1821"/>
      <c r="HN47" s="1821"/>
      <c r="HO47" s="1821"/>
      <c r="HP47" s="1821"/>
      <c r="HQ47" s="1821"/>
      <c r="HR47" s="1821"/>
      <c r="HS47" s="1821"/>
      <c r="HT47" s="1821"/>
      <c r="HU47" s="1821"/>
      <c r="HV47" s="1821"/>
      <c r="HW47" s="1821"/>
      <c r="HX47" s="1821"/>
      <c r="HY47" s="1821"/>
      <c r="HZ47" s="1821"/>
      <c r="IA47" s="1821"/>
      <c r="IB47" s="1821"/>
      <c r="IC47" s="1821"/>
      <c r="ID47" s="1821"/>
      <c r="IE47" s="1821"/>
      <c r="IF47" s="1821"/>
      <c r="IG47" s="1821"/>
      <c r="IH47" s="1821"/>
      <c r="II47" s="1821"/>
      <c r="IJ47" s="1821"/>
      <c r="IK47" s="1821"/>
      <c r="IL47" s="1821"/>
      <c r="IM47" s="1821"/>
      <c r="IN47" s="1821"/>
      <c r="IO47" s="1821"/>
      <c r="IP47" s="1821"/>
      <c r="IQ47" s="1821"/>
      <c r="IR47" s="1821"/>
      <c r="IS47" s="1821"/>
      <c r="IT47" s="1821"/>
      <c r="IU47" s="1821"/>
      <c r="IV47" s="1821"/>
    </row>
    <row r="48" spans="1:256">
      <c r="A48" s="2614"/>
      <c r="B48" s="2614"/>
      <c r="C48" s="2614"/>
      <c r="D48" s="2614"/>
      <c r="E48" s="2614"/>
      <c r="F48" s="2614"/>
      <c r="G48" s="301"/>
      <c r="H48" s="1821"/>
      <c r="I48" s="1821"/>
      <c r="J48" s="1821"/>
      <c r="K48" s="1821"/>
      <c r="L48" s="1821"/>
      <c r="M48" s="1821"/>
      <c r="N48" s="1821"/>
      <c r="O48" s="1821"/>
      <c r="P48" s="1821"/>
      <c r="Q48" s="1821"/>
      <c r="R48" s="1821"/>
      <c r="S48" s="1821"/>
      <c r="T48" s="1821"/>
      <c r="U48" s="1821"/>
      <c r="V48" s="1821"/>
      <c r="W48" s="1821"/>
      <c r="X48" s="1821"/>
      <c r="Y48" s="1821"/>
      <c r="Z48" s="1821"/>
      <c r="AA48" s="1821"/>
      <c r="AB48" s="1821"/>
      <c r="AC48" s="1821"/>
      <c r="AD48" s="1821"/>
      <c r="AE48" s="1821"/>
      <c r="AF48" s="1821"/>
      <c r="AG48" s="1821"/>
      <c r="AH48" s="1821"/>
      <c r="AI48" s="1821"/>
      <c r="AJ48" s="1821"/>
      <c r="AK48" s="1821"/>
      <c r="AL48" s="1821"/>
      <c r="AM48" s="1821"/>
      <c r="AN48" s="1821"/>
      <c r="AO48" s="1821"/>
      <c r="AP48" s="1821"/>
      <c r="AQ48" s="1821"/>
      <c r="AR48" s="1821"/>
      <c r="AS48" s="1821"/>
      <c r="AT48" s="1821"/>
      <c r="AU48" s="1821"/>
      <c r="AV48" s="1821"/>
      <c r="AW48" s="1821"/>
      <c r="AX48" s="1821"/>
      <c r="AY48" s="1821"/>
      <c r="AZ48" s="1821"/>
      <c r="BA48" s="1821"/>
      <c r="BB48" s="1821"/>
      <c r="BC48" s="1821"/>
      <c r="BD48" s="1821"/>
      <c r="BE48" s="1821"/>
      <c r="BF48" s="1821"/>
      <c r="BG48" s="1821"/>
      <c r="BH48" s="1821"/>
      <c r="BI48" s="1821"/>
      <c r="BJ48" s="1821"/>
      <c r="BK48" s="1821"/>
      <c r="BL48" s="1821"/>
      <c r="BM48" s="1821"/>
      <c r="BN48" s="1821"/>
      <c r="BO48" s="1821"/>
      <c r="BP48" s="1821"/>
      <c r="BQ48" s="1821"/>
      <c r="BR48" s="1821"/>
      <c r="BS48" s="1821"/>
      <c r="BT48" s="1821"/>
      <c r="BU48" s="1821"/>
      <c r="BV48" s="1821"/>
      <c r="BW48" s="1821"/>
      <c r="BX48" s="1821"/>
      <c r="BY48" s="1821"/>
      <c r="BZ48" s="1821"/>
      <c r="CA48" s="1821"/>
      <c r="CB48" s="1821"/>
      <c r="CC48" s="1821"/>
      <c r="CD48" s="1821"/>
      <c r="CE48" s="1821"/>
      <c r="CF48" s="1821"/>
      <c r="CG48" s="1821"/>
      <c r="CH48" s="1821"/>
      <c r="CI48" s="1821"/>
      <c r="CJ48" s="1821"/>
      <c r="CK48" s="1821"/>
      <c r="CL48" s="1821"/>
      <c r="CM48" s="1821"/>
      <c r="CN48" s="1821"/>
      <c r="CO48" s="1821"/>
      <c r="CP48" s="1821"/>
      <c r="CQ48" s="1821"/>
      <c r="CR48" s="1821"/>
      <c r="CS48" s="1821"/>
      <c r="CT48" s="1821"/>
      <c r="CU48" s="1821"/>
      <c r="CV48" s="1821"/>
      <c r="CW48" s="1821"/>
      <c r="CX48" s="1821"/>
      <c r="CY48" s="1821"/>
      <c r="CZ48" s="1821"/>
      <c r="DA48" s="1821"/>
      <c r="DB48" s="1821"/>
      <c r="DC48" s="1821"/>
      <c r="DD48" s="1821"/>
      <c r="DE48" s="1821"/>
      <c r="DF48" s="1821"/>
      <c r="DG48" s="1821"/>
      <c r="DH48" s="1821"/>
      <c r="DI48" s="1821"/>
      <c r="DJ48" s="1821"/>
      <c r="DK48" s="1821"/>
      <c r="DL48" s="1821"/>
      <c r="DM48" s="1821"/>
      <c r="DN48" s="1821"/>
      <c r="DO48" s="1821"/>
      <c r="DP48" s="1821"/>
      <c r="DQ48" s="1821"/>
      <c r="DR48" s="1821"/>
      <c r="DS48" s="1821"/>
      <c r="DT48" s="1821"/>
      <c r="DU48" s="1821"/>
      <c r="DV48" s="1821"/>
      <c r="DW48" s="1821"/>
      <c r="DX48" s="1821"/>
      <c r="DY48" s="1821"/>
      <c r="DZ48" s="1821"/>
      <c r="EA48" s="1821"/>
      <c r="EB48" s="1821"/>
      <c r="EC48" s="1821"/>
      <c r="ED48" s="1821"/>
      <c r="EE48" s="1821"/>
      <c r="EF48" s="1821"/>
      <c r="EG48" s="1821"/>
      <c r="EH48" s="1821"/>
      <c r="EI48" s="1821"/>
      <c r="EJ48" s="1821"/>
      <c r="EK48" s="1821"/>
      <c r="EL48" s="1821"/>
      <c r="EM48" s="1821"/>
      <c r="EN48" s="1821"/>
      <c r="EO48" s="1821"/>
      <c r="EP48" s="1821"/>
      <c r="EQ48" s="1821"/>
      <c r="ER48" s="1821"/>
      <c r="ES48" s="1821"/>
      <c r="ET48" s="1821"/>
      <c r="EU48" s="1821"/>
      <c r="EV48" s="1821"/>
      <c r="EW48" s="1821"/>
      <c r="EX48" s="1821"/>
      <c r="EY48" s="1821"/>
      <c r="EZ48" s="1821"/>
      <c r="FA48" s="1821"/>
      <c r="FB48" s="1821"/>
      <c r="FC48" s="1821"/>
      <c r="FD48" s="1821"/>
      <c r="FE48" s="1821"/>
      <c r="FF48" s="1821"/>
      <c r="FG48" s="1821"/>
      <c r="FH48" s="1821"/>
      <c r="FI48" s="1821"/>
      <c r="FJ48" s="1821"/>
      <c r="FK48" s="1821"/>
      <c r="FL48" s="1821"/>
      <c r="FM48" s="1821"/>
      <c r="FN48" s="1821"/>
      <c r="FO48" s="1821"/>
      <c r="FP48" s="1821"/>
      <c r="FQ48" s="1821"/>
      <c r="FR48" s="1821"/>
      <c r="FS48" s="1821"/>
      <c r="FT48" s="1821"/>
      <c r="FU48" s="1821"/>
      <c r="FV48" s="1821"/>
      <c r="FW48" s="1821"/>
      <c r="FX48" s="1821"/>
      <c r="FY48" s="1821"/>
      <c r="FZ48" s="1821"/>
      <c r="GA48" s="1821"/>
      <c r="GB48" s="1821"/>
      <c r="GC48" s="1821"/>
      <c r="GD48" s="1821"/>
      <c r="GE48" s="1821"/>
      <c r="GF48" s="1821"/>
      <c r="GG48" s="1821"/>
      <c r="GH48" s="1821"/>
      <c r="GI48" s="1821"/>
      <c r="GJ48" s="1821"/>
      <c r="GK48" s="1821"/>
      <c r="GL48" s="1821"/>
      <c r="GM48" s="1821"/>
      <c r="GN48" s="1821"/>
      <c r="GO48" s="1821"/>
      <c r="GP48" s="1821"/>
      <c r="GQ48" s="1821"/>
      <c r="GR48" s="1821"/>
      <c r="GS48" s="1821"/>
      <c r="GT48" s="1821"/>
      <c r="GU48" s="1821"/>
      <c r="GV48" s="1821"/>
      <c r="GW48" s="1821"/>
      <c r="GX48" s="1821"/>
      <c r="GY48" s="1821"/>
      <c r="GZ48" s="1821"/>
      <c r="HA48" s="1821"/>
      <c r="HB48" s="1821"/>
      <c r="HC48" s="1821"/>
      <c r="HD48" s="1821"/>
      <c r="HE48" s="1821"/>
      <c r="HF48" s="1821"/>
      <c r="HG48" s="1821"/>
      <c r="HH48" s="1821"/>
      <c r="HI48" s="1821"/>
      <c r="HJ48" s="1821"/>
      <c r="HK48" s="1821"/>
      <c r="HL48" s="1821"/>
      <c r="HM48" s="1821"/>
      <c r="HN48" s="1821"/>
      <c r="HO48" s="1821"/>
      <c r="HP48" s="1821"/>
      <c r="HQ48" s="1821"/>
      <c r="HR48" s="1821"/>
      <c r="HS48" s="1821"/>
      <c r="HT48" s="1821"/>
      <c r="HU48" s="1821"/>
      <c r="HV48" s="1821"/>
      <c r="HW48" s="1821"/>
      <c r="HX48" s="1821"/>
      <c r="HY48" s="1821"/>
      <c r="HZ48" s="1821"/>
      <c r="IA48" s="1821"/>
      <c r="IB48" s="1821"/>
      <c r="IC48" s="1821"/>
      <c r="ID48" s="1821"/>
      <c r="IE48" s="1821"/>
      <c r="IF48" s="1821"/>
      <c r="IG48" s="1821"/>
      <c r="IH48" s="1821"/>
      <c r="II48" s="1821"/>
      <c r="IJ48" s="1821"/>
      <c r="IK48" s="1821"/>
      <c r="IL48" s="1821"/>
      <c r="IM48" s="1821"/>
      <c r="IN48" s="1821"/>
      <c r="IO48" s="1821"/>
      <c r="IP48" s="1821"/>
      <c r="IQ48" s="1821"/>
      <c r="IR48" s="1821"/>
      <c r="IS48" s="1821"/>
      <c r="IT48" s="1821"/>
      <c r="IU48" s="1821"/>
      <c r="IV48" s="1821"/>
    </row>
    <row r="49" spans="1:7">
      <c r="A49" s="2614"/>
      <c r="B49" s="2614"/>
      <c r="C49" s="2614"/>
      <c r="D49" s="2614"/>
      <c r="E49" s="2614"/>
      <c r="F49" s="2614"/>
      <c r="G49" s="301"/>
    </row>
    <row r="50" spans="1:7">
      <c r="A50" s="2614"/>
      <c r="B50" s="2614"/>
      <c r="C50" s="2614"/>
      <c r="D50" s="2614"/>
      <c r="E50" s="2614"/>
      <c r="F50" s="2614"/>
      <c r="G50" s="301"/>
    </row>
    <row r="51" spans="1:7">
      <c r="A51" s="1822" t="s">
        <v>2650</v>
      </c>
      <c r="B51" s="1821"/>
      <c r="C51" s="1821"/>
      <c r="D51" s="1821"/>
      <c r="E51" s="1821"/>
      <c r="F51" s="1821"/>
      <c r="G51" s="301"/>
    </row>
    <row r="52" spans="1:7">
      <c r="A52" s="2614"/>
      <c r="B52" s="2614"/>
      <c r="C52" s="2614"/>
      <c r="D52" s="2614"/>
      <c r="E52" s="2614"/>
      <c r="F52" s="2614"/>
      <c r="G52" s="301"/>
    </row>
    <row r="53" spans="1:7">
      <c r="A53" s="2614"/>
      <c r="B53" s="2614"/>
      <c r="C53" s="2614"/>
      <c r="D53" s="2614"/>
      <c r="E53" s="2614"/>
      <c r="F53" s="2614"/>
      <c r="G53" s="301"/>
    </row>
    <row r="54" spans="1:7">
      <c r="A54" s="2614"/>
      <c r="B54" s="2614"/>
      <c r="C54" s="2614"/>
      <c r="D54" s="2614"/>
      <c r="E54" s="2614"/>
      <c r="F54" s="2614"/>
      <c r="G54" s="301"/>
    </row>
    <row r="55" spans="1:7">
      <c r="A55" s="2614"/>
      <c r="B55" s="2614"/>
      <c r="C55" s="2614"/>
      <c r="D55" s="2614"/>
      <c r="E55" s="2614"/>
      <c r="F55" s="2614"/>
      <c r="G55" s="301"/>
    </row>
    <row r="56" spans="1:7">
      <c r="A56" s="2614"/>
      <c r="B56" s="2614"/>
      <c r="C56" s="2614"/>
      <c r="D56" s="2614"/>
      <c r="E56" s="2614"/>
      <c r="F56" s="2614"/>
      <c r="G56" s="1821"/>
    </row>
    <row r="58" spans="1:7">
      <c r="A58" s="1119" t="s">
        <v>2349</v>
      </c>
      <c r="B58" s="783"/>
      <c r="C58" s="783"/>
      <c r="D58" s="783"/>
      <c r="E58" s="783"/>
      <c r="F58" s="783"/>
      <c r="G58" s="1821"/>
    </row>
    <row r="59" spans="1:7">
      <c r="A59" s="1821"/>
      <c r="B59" s="783"/>
      <c r="C59" s="783"/>
      <c r="D59" s="783"/>
      <c r="E59" s="783"/>
      <c r="F59" s="783"/>
      <c r="G59" s="1821"/>
    </row>
    <row r="60" spans="1:7">
      <c r="A60" s="1821"/>
      <c r="B60" s="783"/>
      <c r="C60" s="783"/>
      <c r="D60" s="783"/>
      <c r="E60" s="783"/>
      <c r="F60" s="783"/>
      <c r="G60" s="1821"/>
    </row>
    <row r="61" spans="1:7">
      <c r="A61" s="1821"/>
      <c r="B61" s="783"/>
      <c r="C61" s="783"/>
      <c r="D61" s="783"/>
      <c r="E61" s="783"/>
      <c r="F61" s="783"/>
      <c r="G61" s="1821"/>
    </row>
    <row r="62" spans="1:7">
      <c r="A62" s="1821"/>
      <c r="B62" s="783"/>
      <c r="C62" s="783"/>
      <c r="D62" s="783"/>
      <c r="E62" s="783"/>
      <c r="F62" s="783"/>
      <c r="G62" s="1821"/>
    </row>
    <row r="63" spans="1:7">
      <c r="A63" s="1821"/>
      <c r="B63" s="783"/>
      <c r="C63" s="783"/>
      <c r="D63" s="783"/>
      <c r="E63" s="783"/>
      <c r="F63" s="783"/>
      <c r="G63" s="1821"/>
    </row>
    <row r="64" spans="1:7">
      <c r="A64" s="1821"/>
      <c r="B64" s="783"/>
      <c r="C64" s="783"/>
      <c r="D64" s="783"/>
      <c r="E64" s="783"/>
      <c r="F64" s="783"/>
      <c r="G64" s="1821"/>
    </row>
    <row r="65" spans="2:6">
      <c r="B65" s="783"/>
      <c r="C65" s="783"/>
      <c r="D65" s="783"/>
      <c r="E65" s="783"/>
      <c r="F65" s="783"/>
    </row>
    <row r="66" spans="2:6">
      <c r="B66" s="783"/>
      <c r="C66" s="783"/>
      <c r="D66" s="783"/>
      <c r="E66" s="783"/>
      <c r="F66" s="783"/>
    </row>
    <row r="67" spans="2:6">
      <c r="B67" s="783"/>
      <c r="C67" s="783"/>
      <c r="D67" s="783"/>
      <c r="E67" s="783"/>
      <c r="F67" s="783"/>
    </row>
    <row r="68" spans="2:6">
      <c r="B68" s="783"/>
      <c r="C68" s="783"/>
      <c r="D68" s="783"/>
      <c r="E68" s="783"/>
      <c r="F68" s="783"/>
    </row>
    <row r="69" spans="2:6">
      <c r="B69" s="783"/>
      <c r="C69" s="783"/>
      <c r="D69" s="783"/>
      <c r="E69" s="783"/>
      <c r="F69" s="783"/>
    </row>
    <row r="70" spans="2:6">
      <c r="B70" s="783"/>
      <c r="C70" s="783"/>
      <c r="D70" s="783"/>
      <c r="E70" s="783"/>
      <c r="F70" s="783"/>
    </row>
    <row r="71" spans="2:6">
      <c r="B71" s="783"/>
      <c r="C71" s="783"/>
      <c r="D71" s="783"/>
      <c r="E71" s="783"/>
      <c r="F71" s="783"/>
    </row>
    <row r="72" spans="2:6">
      <c r="B72" s="783"/>
      <c r="C72" s="783"/>
      <c r="D72" s="783"/>
      <c r="E72" s="783"/>
      <c r="F72" s="783"/>
    </row>
  </sheetData>
  <sheetProtection algorithmName="SHA-512" hashValue="YtcuBN+mfspDxIY/s8aUh+nSfc1HJlyMC+yyUMSH7FE0hBeQgKtguNrqeAybNxzy++o8oNikOTSI39IBT5rt/A==" saltValue="6F0Xm4b3iqIDfp3FRJiCRg==" spinCount="100000" sheet="1" formatColumns="0"/>
  <sortState ref="A76:D103">
    <sortCondition ref="A76:A103"/>
  </sortState>
  <conditionalFormatting sqref="A32">
    <cfRule type="expression" dxfId="330" priority="7">
      <formula>$F32&lt;&gt;0</formula>
    </cfRule>
  </conditionalFormatting>
  <conditionalFormatting sqref="A21">
    <cfRule type="expression" dxfId="329" priority="6">
      <formula>$F21&lt;&gt;0</formula>
    </cfRule>
  </conditionalFormatting>
  <conditionalFormatting sqref="A46:F50">
    <cfRule type="expression" dxfId="328" priority="5">
      <formula>$F$21&lt;&gt;0</formula>
    </cfRule>
  </conditionalFormatting>
  <conditionalFormatting sqref="A45">
    <cfRule type="expression" dxfId="327" priority="4">
      <formula>$F$21&lt;&gt;0</formula>
    </cfRule>
  </conditionalFormatting>
  <conditionalFormatting sqref="A51">
    <cfRule type="expression" dxfId="326" priority="2">
      <formula>$F$32&lt;&gt;0</formula>
    </cfRule>
  </conditionalFormatting>
  <conditionalFormatting sqref="A52:F56">
    <cfRule type="expression" dxfId="325" priority="1">
      <formula>$F$21&lt;&gt;0</formula>
    </cfRule>
  </conditionalFormatting>
  <printOptions horizontalCentered="1"/>
  <pageMargins left="0.7" right="0.7" top="0.75" bottom="0.75" header="0.5" footer="0.5"/>
  <pageSetup scale="85" orientation="portrait" r:id="rId1"/>
  <headerFooter>
    <oddHeader>&amp;L&amp;"Arial,Regular"&amp;8&amp;F&amp;R&amp;"Arial,Regular"&amp;8&amp;A</oddHeader>
    <oddFooter>&amp;L&amp;"Arial,Regular"&amp;8&amp;D&amp;R&amp;"Arial,Regular"&amp;8&amp;P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70C0"/>
  </sheetPr>
  <dimension ref="A1:J437"/>
  <sheetViews>
    <sheetView workbookViewId="0">
      <selection activeCell="C1" sqref="C1"/>
    </sheetView>
  </sheetViews>
  <sheetFormatPr defaultColWidth="9.140625" defaultRowHeight="12.75"/>
  <cols>
    <col min="1" max="1" width="3.42578125" style="336" customWidth="1"/>
    <col min="2" max="2" width="7.140625" style="336" customWidth="1"/>
    <col min="3" max="3" width="46.28515625" style="336" customWidth="1"/>
    <col min="4" max="4" width="8.5703125" style="336" customWidth="1"/>
    <col min="5" max="5" width="27.28515625" style="336" customWidth="1"/>
    <col min="6" max="6" width="23.140625" style="336" customWidth="1"/>
    <col min="7" max="7" width="11.42578125" style="336" customWidth="1"/>
    <col min="8" max="8" width="13.28515625" style="336" customWidth="1"/>
    <col min="9" max="10" width="11.42578125" style="336" customWidth="1"/>
    <col min="11" max="16384" width="9.140625" style="336"/>
  </cols>
  <sheetData>
    <row r="1" spans="1:10" ht="15" customHeight="1">
      <c r="B1" s="2051"/>
      <c r="C1" s="580" t="str">
        <f>'Contact Information'!C5</f>
        <v>SAMPLE STATE COLLEGE</v>
      </c>
      <c r="D1" s="2051"/>
      <c r="E1" s="2051"/>
      <c r="I1" s="337"/>
      <c r="J1" s="337"/>
    </row>
    <row r="2" spans="1:10" ht="15" customHeight="1">
      <c r="B2" s="2051"/>
      <c r="C2" s="580" t="s">
        <v>2651</v>
      </c>
      <c r="D2" s="2051"/>
      <c r="E2" s="2051"/>
      <c r="I2" s="337"/>
      <c r="J2" s="337"/>
    </row>
    <row r="3" spans="1:10" ht="15" customHeight="1">
      <c r="B3" s="2893"/>
      <c r="C3" s="580" t="str">
        <f>'Check Sheet'!C3</f>
        <v>Fiscal Year 2020-2021</v>
      </c>
      <c r="D3" s="2051"/>
      <c r="E3" s="2051"/>
      <c r="I3" s="337"/>
      <c r="J3" s="337"/>
    </row>
    <row r="4" spans="1:10">
      <c r="B4" s="339"/>
      <c r="C4" s="339"/>
      <c r="D4" s="43" t="s">
        <v>3</v>
      </c>
      <c r="E4" s="2953" t="str">
        <f>'Contact Information'!C3</f>
        <v>2021.v01</v>
      </c>
      <c r="F4" s="129"/>
      <c r="I4" s="337"/>
      <c r="J4" s="337"/>
    </row>
    <row r="5" spans="1:10" ht="8.25" customHeight="1">
      <c r="B5" s="339"/>
      <c r="C5" s="339"/>
      <c r="D5" s="340"/>
      <c r="E5" s="340"/>
      <c r="F5" s="129"/>
      <c r="I5" s="337"/>
      <c r="J5" s="337"/>
    </row>
    <row r="6" spans="1:10">
      <c r="A6" s="341" t="s">
        <v>2652</v>
      </c>
      <c r="C6" s="342"/>
      <c r="D6" s="340"/>
      <c r="E6" s="340"/>
      <c r="F6" s="1121" t="s">
        <v>2308</v>
      </c>
      <c r="I6" s="337"/>
      <c r="J6" s="337"/>
    </row>
    <row r="7" spans="1:10" ht="8.25" customHeight="1">
      <c r="A7" s="343"/>
      <c r="C7" s="343"/>
      <c r="D7" s="345"/>
      <c r="E7" s="344"/>
      <c r="I7" s="337"/>
      <c r="J7" s="337"/>
    </row>
    <row r="8" spans="1:10" ht="13.5" thickBot="1">
      <c r="A8" s="346" t="s">
        <v>2653</v>
      </c>
      <c r="C8" s="343"/>
      <c r="D8" s="347"/>
      <c r="E8" s="1372">
        <f>'Accounts by GL'!O219</f>
        <v>0</v>
      </c>
      <c r="F8" s="861"/>
      <c r="I8" s="337"/>
      <c r="J8" s="337"/>
    </row>
    <row r="9" spans="1:10" ht="13.5" thickTop="1">
      <c r="A9" s="342" t="s">
        <v>2654</v>
      </c>
      <c r="C9" s="343"/>
      <c r="D9" s="349"/>
      <c r="E9" s="347"/>
      <c r="F9" s="783"/>
      <c r="I9" s="337"/>
      <c r="J9" s="337"/>
    </row>
    <row r="10" spans="1:10" ht="8.25" customHeight="1">
      <c r="A10" s="350"/>
      <c r="C10" s="350"/>
      <c r="D10" s="351"/>
      <c r="E10" s="340"/>
      <c r="F10" s="783"/>
      <c r="I10" s="337"/>
      <c r="J10" s="337"/>
    </row>
    <row r="11" spans="1:10">
      <c r="A11" s="341" t="s">
        <v>2655</v>
      </c>
      <c r="C11" s="341"/>
      <c r="D11" s="351"/>
      <c r="E11" s="351"/>
      <c r="F11" s="783"/>
      <c r="I11" s="337"/>
      <c r="J11" s="337"/>
    </row>
    <row r="12" spans="1:10">
      <c r="A12" s="1126" t="s">
        <v>2656</v>
      </c>
      <c r="B12" s="1127" t="s">
        <v>2657</v>
      </c>
      <c r="C12" s="1122"/>
      <c r="D12" s="351"/>
      <c r="E12" s="1365">
        <v>0</v>
      </c>
      <c r="F12" s="783"/>
      <c r="I12" s="337"/>
      <c r="J12" s="337"/>
    </row>
    <row r="13" spans="1:10">
      <c r="A13" s="1126" t="s">
        <v>2658</v>
      </c>
      <c r="B13" s="1127" t="s">
        <v>395</v>
      </c>
      <c r="C13" s="1122"/>
      <c r="D13" s="345"/>
      <c r="E13" s="1365">
        <v>0</v>
      </c>
      <c r="F13" s="783"/>
      <c r="I13" s="337"/>
      <c r="J13" s="337"/>
    </row>
    <row r="14" spans="1:10">
      <c r="A14" s="1126" t="s">
        <v>2659</v>
      </c>
      <c r="B14" s="1127" t="s">
        <v>2660</v>
      </c>
      <c r="C14" s="1122"/>
      <c r="D14" s="345"/>
      <c r="E14" s="1365">
        <v>0</v>
      </c>
      <c r="F14" s="783"/>
      <c r="I14" s="337"/>
      <c r="J14" s="337"/>
    </row>
    <row r="15" spans="1:10">
      <c r="A15" s="1126" t="s">
        <v>2661</v>
      </c>
      <c r="B15" s="1127" t="s">
        <v>2662</v>
      </c>
      <c r="C15" s="1122"/>
      <c r="D15" s="345"/>
      <c r="E15" s="1365">
        <v>0</v>
      </c>
      <c r="F15" s="783"/>
      <c r="I15" s="337"/>
      <c r="J15" s="337"/>
    </row>
    <row r="16" spans="1:10">
      <c r="A16" s="1126" t="s">
        <v>2663</v>
      </c>
      <c r="B16" s="1127" t="s">
        <v>2664</v>
      </c>
      <c r="C16" s="1122"/>
      <c r="D16" s="345"/>
      <c r="E16" s="1365">
        <v>0</v>
      </c>
      <c r="F16" s="783"/>
      <c r="I16" s="337"/>
      <c r="J16" s="337"/>
    </row>
    <row r="17" spans="1:10">
      <c r="A17" s="1126" t="s">
        <v>2665</v>
      </c>
      <c r="B17" s="1127" t="s">
        <v>2666</v>
      </c>
      <c r="C17" s="1122"/>
      <c r="D17" s="352"/>
      <c r="E17" s="1365">
        <v>0</v>
      </c>
      <c r="F17" s="783"/>
      <c r="I17" s="337"/>
      <c r="J17" s="337"/>
    </row>
    <row r="18" spans="1:10">
      <c r="A18" s="1126" t="s">
        <v>2667</v>
      </c>
      <c r="B18" s="1127" t="s">
        <v>2668</v>
      </c>
      <c r="C18" s="1122"/>
      <c r="D18" s="352"/>
      <c r="E18" s="1365">
        <v>0</v>
      </c>
      <c r="F18" s="783"/>
      <c r="I18" s="337"/>
      <c r="J18" s="337"/>
    </row>
    <row r="19" spans="1:10">
      <c r="A19" s="1126" t="s">
        <v>2669</v>
      </c>
      <c r="B19" s="1127" t="s">
        <v>2670</v>
      </c>
      <c r="C19" s="1122"/>
      <c r="D19" s="352"/>
      <c r="E19" s="1360">
        <v>0</v>
      </c>
      <c r="F19" s="783"/>
      <c r="I19" s="337"/>
      <c r="J19" s="337"/>
    </row>
    <row r="20" spans="1:10">
      <c r="A20" s="1126" t="s">
        <v>2671</v>
      </c>
      <c r="B20" s="1128" t="s">
        <v>345</v>
      </c>
      <c r="C20" s="1129" t="s">
        <v>2672</v>
      </c>
      <c r="D20" s="353"/>
      <c r="E20" s="1360">
        <v>0</v>
      </c>
      <c r="F20" s="783"/>
      <c r="I20" s="337"/>
      <c r="J20" s="337"/>
    </row>
    <row r="21" spans="1:10">
      <c r="A21" s="1126" t="s">
        <v>2673</v>
      </c>
      <c r="B21" s="1128" t="s">
        <v>345</v>
      </c>
      <c r="C21" s="1129" t="s">
        <v>2672</v>
      </c>
      <c r="D21" s="353"/>
      <c r="E21" s="1360">
        <v>0</v>
      </c>
      <c r="F21" s="783"/>
      <c r="I21" s="337"/>
      <c r="J21" s="337"/>
    </row>
    <row r="22" spans="1:10">
      <c r="A22" s="1126" t="s">
        <v>2674</v>
      </c>
      <c r="B22" s="1128" t="s">
        <v>345</v>
      </c>
      <c r="C22" s="1129" t="s">
        <v>2672</v>
      </c>
      <c r="D22" s="352"/>
      <c r="E22" s="1361">
        <v>0</v>
      </c>
      <c r="F22" s="783"/>
      <c r="I22" s="337"/>
      <c r="J22" s="337"/>
    </row>
    <row r="23" spans="1:10" ht="8.25" customHeight="1">
      <c r="A23" s="1123"/>
      <c r="B23" s="1122"/>
      <c r="C23" s="1122"/>
      <c r="D23" s="351"/>
      <c r="E23" s="340"/>
      <c r="F23" s="783"/>
      <c r="I23" s="337"/>
      <c r="J23" s="337"/>
    </row>
    <row r="24" spans="1:10">
      <c r="A24" s="1123"/>
      <c r="B24" s="1124" t="s">
        <v>2675</v>
      </c>
      <c r="C24" s="1124"/>
      <c r="D24" s="340"/>
      <c r="E24" s="1373">
        <f>SUM(E12:E22)</f>
        <v>0</v>
      </c>
      <c r="F24" s="861"/>
      <c r="I24" s="337"/>
      <c r="J24" s="337"/>
    </row>
    <row r="25" spans="1:10" ht="8.25" customHeight="1">
      <c r="A25" s="1123"/>
      <c r="B25" s="1124"/>
      <c r="C25" s="1124"/>
      <c r="D25" s="340"/>
      <c r="E25" s="340"/>
      <c r="F25" s="348"/>
      <c r="I25" s="337"/>
      <c r="J25" s="337"/>
    </row>
    <row r="26" spans="1:10" ht="13.5" thickBot="1">
      <c r="A26" s="1123"/>
      <c r="B26" s="1124" t="s">
        <v>2676</v>
      </c>
      <c r="C26" s="1124"/>
      <c r="D26" s="340"/>
      <c r="E26" s="1374">
        <f>E8-E24</f>
        <v>0</v>
      </c>
      <c r="F26" s="3317" t="s">
        <v>2677</v>
      </c>
      <c r="H26" s="337"/>
      <c r="I26" s="337"/>
    </row>
    <row r="27" spans="1:10" ht="8.25" customHeight="1" thickTop="1">
      <c r="A27" s="1123"/>
      <c r="B27" s="1125"/>
      <c r="C27" s="1125"/>
      <c r="D27" s="338"/>
      <c r="E27" s="355"/>
      <c r="I27" s="337"/>
      <c r="J27" s="337"/>
    </row>
    <row r="28" spans="1:10" ht="12.75" customHeight="1">
      <c r="A28" s="2617" t="s">
        <v>2678</v>
      </c>
      <c r="B28" s="2616"/>
      <c r="C28" s="2616"/>
      <c r="D28" s="2616"/>
      <c r="E28" s="2616"/>
      <c r="I28" s="337"/>
      <c r="J28" s="337"/>
    </row>
    <row r="29" spans="1:10">
      <c r="A29" s="2617" t="s">
        <v>2679</v>
      </c>
      <c r="B29" s="2616"/>
      <c r="C29" s="2616"/>
      <c r="D29" s="2616"/>
      <c r="E29" s="2616"/>
      <c r="I29" s="337"/>
      <c r="J29" s="337"/>
    </row>
    <row r="30" spans="1:10">
      <c r="A30" s="2617" t="s">
        <v>2680</v>
      </c>
      <c r="B30" s="2617"/>
      <c r="C30" s="2617"/>
      <c r="D30" s="2617"/>
      <c r="E30" s="2617"/>
    </row>
    <row r="31" spans="1:10">
      <c r="A31" s="2617" t="s">
        <v>2681</v>
      </c>
      <c r="B31" s="2617"/>
      <c r="C31" s="2617"/>
      <c r="D31" s="2617"/>
      <c r="E31" s="2617"/>
    </row>
    <row r="32" spans="1:10">
      <c r="A32" s="2843" t="s">
        <v>2682</v>
      </c>
      <c r="B32" s="2843"/>
      <c r="C32" s="2843"/>
      <c r="D32" s="2843"/>
      <c r="E32" s="2843"/>
      <c r="F32" s="2844"/>
    </row>
    <row r="33" spans="1:6">
      <c r="A33" s="2843" t="s">
        <v>2683</v>
      </c>
      <c r="B33" s="2843"/>
      <c r="C33" s="2843"/>
      <c r="D33" s="2843"/>
      <c r="E33" s="2843"/>
      <c r="F33" s="2844"/>
    </row>
    <row r="34" spans="1:6" ht="15">
      <c r="A34" s="2845" t="s">
        <v>2684</v>
      </c>
      <c r="B34" s="2846"/>
      <c r="C34" s="2846"/>
      <c r="D34" s="2846"/>
      <c r="E34" s="2846"/>
      <c r="F34" s="2844"/>
    </row>
    <row r="35" spans="1:6">
      <c r="C35" s="1119" t="s">
        <v>2349</v>
      </c>
      <c r="D35" s="783"/>
      <c r="E35" s="783"/>
      <c r="F35" s="783"/>
    </row>
    <row r="36" spans="1:6">
      <c r="D36" s="783"/>
      <c r="E36" s="783"/>
      <c r="F36" s="783"/>
    </row>
    <row r="37" spans="1:6">
      <c r="D37" s="783"/>
      <c r="E37" s="783"/>
      <c r="F37" s="783"/>
    </row>
    <row r="38" spans="1:6">
      <c r="D38" s="783"/>
      <c r="E38" s="783"/>
      <c r="F38" s="783"/>
    </row>
    <row r="39" spans="1:6">
      <c r="D39" s="783"/>
      <c r="E39" s="783"/>
      <c r="F39" s="783"/>
    </row>
    <row r="40" spans="1:6">
      <c r="D40" s="783"/>
      <c r="E40" s="783"/>
      <c r="F40" s="783"/>
    </row>
    <row r="41" spans="1:6">
      <c r="D41" s="783"/>
      <c r="E41" s="783"/>
      <c r="F41" s="783"/>
    </row>
    <row r="42" spans="1:6">
      <c r="D42" s="783"/>
      <c r="E42" s="783"/>
      <c r="F42" s="783"/>
    </row>
    <row r="43" spans="1:6">
      <c r="D43" s="783"/>
      <c r="E43" s="783"/>
      <c r="F43" s="783"/>
    </row>
    <row r="44" spans="1:6">
      <c r="D44" s="783"/>
      <c r="E44" s="783"/>
      <c r="F44" s="783"/>
    </row>
    <row r="45" spans="1:6">
      <c r="D45" s="783"/>
      <c r="E45" s="783"/>
      <c r="F45" s="783"/>
    </row>
    <row r="46" spans="1:6">
      <c r="D46" s="783"/>
      <c r="E46" s="783"/>
      <c r="F46" s="783"/>
    </row>
    <row r="47" spans="1:6">
      <c r="D47" s="783"/>
      <c r="E47" s="783"/>
      <c r="F47" s="783"/>
    </row>
    <row r="134" spans="6:10">
      <c r="G134" s="354"/>
      <c r="H134" s="354"/>
      <c r="I134" s="354"/>
      <c r="J134" s="354"/>
    </row>
    <row r="140" spans="6:10">
      <c r="F140" s="354"/>
    </row>
    <row r="160" spans="2:5">
      <c r="B160" s="356"/>
      <c r="C160" s="357"/>
      <c r="D160" s="357"/>
      <c r="E160" s="358"/>
    </row>
    <row r="186" spans="2:5">
      <c r="B186" s="3569"/>
      <c r="C186" s="3570"/>
      <c r="D186" s="3570"/>
      <c r="E186" s="3571"/>
    </row>
    <row r="203" spans="2:5">
      <c r="B203" s="3569"/>
      <c r="C203" s="3570"/>
      <c r="D203" s="3570"/>
      <c r="E203" s="3571"/>
    </row>
    <row r="252" spans="2:5">
      <c r="B252" s="3569"/>
      <c r="C252" s="3570"/>
      <c r="D252" s="3570"/>
      <c r="E252" s="3571"/>
    </row>
    <row r="264" spans="2:5">
      <c r="B264" s="3569"/>
      <c r="C264" s="3570"/>
      <c r="D264" s="3570"/>
      <c r="E264" s="3571"/>
    </row>
    <row r="278" spans="2:5">
      <c r="B278" s="3569"/>
      <c r="C278" s="3570"/>
      <c r="D278" s="3570"/>
      <c r="E278" s="3571"/>
    </row>
    <row r="279" spans="2:5">
      <c r="B279" s="359"/>
      <c r="C279" s="354"/>
      <c r="D279" s="354"/>
      <c r="E279" s="360"/>
    </row>
    <row r="280" spans="2:5">
      <c r="B280" s="359"/>
      <c r="C280" s="354"/>
      <c r="D280" s="354"/>
      <c r="E280" s="360"/>
    </row>
    <row r="281" spans="2:5">
      <c r="B281" s="356"/>
      <c r="C281" s="357"/>
      <c r="D281" s="357"/>
      <c r="E281" s="358"/>
    </row>
    <row r="283" spans="2:5">
      <c r="B283" s="359"/>
      <c r="C283" s="354"/>
      <c r="D283" s="354"/>
      <c r="E283" s="360"/>
    </row>
    <row r="291" spans="2:5">
      <c r="B291" s="3569"/>
      <c r="C291" s="3570"/>
      <c r="D291" s="3570"/>
      <c r="E291" s="3571"/>
    </row>
    <row r="317" spans="2:5">
      <c r="B317" s="356"/>
      <c r="C317" s="357"/>
      <c r="D317" s="357"/>
      <c r="E317" s="358"/>
    </row>
    <row r="372" spans="2:5">
      <c r="B372" s="3569"/>
      <c r="C372" s="3570"/>
      <c r="D372" s="3570"/>
      <c r="E372" s="3571"/>
    </row>
    <row r="437" spans="2:5">
      <c r="B437" s="3569"/>
      <c r="C437" s="3570"/>
      <c r="D437" s="3570"/>
      <c r="E437" s="3571"/>
    </row>
  </sheetData>
  <sheetProtection algorithmName="SHA-512" hashValue="mEOaGXHOZmaMQ+0xKaf8Ns9eub3AhmgCu0eVY4ltCZmkNcVE2QbRrCVIHFLu4tEihhSCLOjEtMyl3tdrvneszQ==" saltValue="T5QJKFPN9Hjre4yee7Qfow==" spinCount="100000" sheet="1" objects="1" scenarios="1" formatColumns="0"/>
  <conditionalFormatting sqref="E26">
    <cfRule type="cellIs" dxfId="324" priority="7" stopIfTrue="1" operator="lessThan">
      <formula>0</formula>
    </cfRule>
    <cfRule type="cellIs" dxfId="323" priority="8" stopIfTrue="1" operator="greaterThan">
      <formula>0</formula>
    </cfRule>
    <cfRule type="cellIs" dxfId="322" priority="9" stopIfTrue="1" operator="equal">
      <formula>0</formula>
    </cfRule>
  </conditionalFormatting>
  <conditionalFormatting sqref="B20">
    <cfRule type="expression" dxfId="321" priority="6">
      <formula>$E20&lt;&gt;0</formula>
    </cfRule>
  </conditionalFormatting>
  <conditionalFormatting sqref="B21:B22">
    <cfRule type="expression" dxfId="320" priority="4">
      <formula>$E21&lt;&gt;0</formula>
    </cfRule>
  </conditionalFormatting>
  <conditionalFormatting sqref="C20:C22">
    <cfRule type="expression" dxfId="319" priority="3">
      <formula>$E20&lt;&gt;0</formula>
    </cfRule>
  </conditionalFormatting>
  <printOptions horizontalCentered="1"/>
  <pageMargins left="0.7" right="0.7" top="0.75" bottom="0.75" header="0.5" footer="0.5"/>
  <pageSetup scale="95" orientation="portrait" verticalDpi="2" r:id="rId1"/>
  <headerFooter>
    <oddHeader>&amp;L&amp;"Arial,Regular"&amp;8&amp;F&amp;R&amp;"Arial,Regular"&amp;8&amp;A</oddHeader>
    <oddFooter>&amp;L&amp;"Arial,Regular"&amp;8&amp;D&amp;R&amp;"Arial,Regular"&amp;8&amp;P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
    <tabColor rgb="FF0070C0"/>
    <pageSetUpPr fitToPage="1"/>
  </sheetPr>
  <dimension ref="A1:AA54"/>
  <sheetViews>
    <sheetView workbookViewId="0"/>
  </sheetViews>
  <sheetFormatPr defaultColWidth="22.85546875" defaultRowHeight="12.75"/>
  <cols>
    <col min="1" max="1" width="46.5703125" style="112" customWidth="1"/>
    <col min="2" max="2" width="17.140625" style="112" customWidth="1"/>
    <col min="3" max="3" width="18.7109375" style="112" customWidth="1"/>
    <col min="4" max="4" width="20" style="112" customWidth="1"/>
    <col min="5" max="5" width="2.42578125" style="112" customWidth="1"/>
    <col min="6" max="6" width="14.5703125" style="112" customWidth="1"/>
    <col min="7" max="7" width="14.28515625" style="112" customWidth="1"/>
    <col min="8" max="8" width="16" style="112" customWidth="1"/>
    <col min="9" max="16384" width="22.85546875" style="112"/>
  </cols>
  <sheetData>
    <row r="1" spans="1:27">
      <c r="A1" s="2051"/>
      <c r="B1" s="3002" t="str">
        <f>'Contact Information'!$C$5</f>
        <v>SAMPLE STATE COLLEGE</v>
      </c>
      <c r="C1" s="2051"/>
    </row>
    <row r="2" spans="1:27">
      <c r="A2" s="2051"/>
      <c r="B2" s="3002" t="s">
        <v>2685</v>
      </c>
      <c r="C2" s="2051"/>
      <c r="D2" s="580"/>
      <c r="E2" s="580"/>
      <c r="F2" s="580"/>
      <c r="G2" s="580"/>
      <c r="H2" s="580"/>
      <c r="I2" s="580"/>
      <c r="J2" s="580"/>
      <c r="K2" s="580"/>
    </row>
    <row r="3" spans="1:27">
      <c r="A3" s="2051"/>
      <c r="B3" s="3002" t="s">
        <v>2686</v>
      </c>
      <c r="C3" s="2051"/>
      <c r="D3" s="580"/>
      <c r="E3" s="580"/>
      <c r="F3" s="580"/>
      <c r="G3" s="580"/>
      <c r="H3" s="580"/>
      <c r="I3" s="580"/>
      <c r="J3" s="580"/>
      <c r="K3" s="580"/>
    </row>
    <row r="4" spans="1:27">
      <c r="A4" s="2961"/>
      <c r="B4" s="3003" t="str">
        <f>'Check Sheet'!C3</f>
        <v>Fiscal Year 2020-2021</v>
      </c>
      <c r="C4" s="2961"/>
      <c r="D4" s="580"/>
      <c r="E4" s="580"/>
      <c r="F4" s="580"/>
      <c r="G4" s="580"/>
      <c r="H4" s="580"/>
      <c r="I4" s="580"/>
      <c r="J4" s="580"/>
      <c r="K4" s="580"/>
    </row>
    <row r="5" spans="1:27" ht="4.5" customHeight="1">
      <c r="A5" s="2962"/>
      <c r="B5" s="2962"/>
      <c r="C5" s="2962"/>
      <c r="D5" s="580"/>
      <c r="E5" s="580"/>
      <c r="F5" s="580"/>
      <c r="G5" s="580"/>
      <c r="H5" s="580"/>
      <c r="I5" s="580"/>
      <c r="J5" s="580"/>
      <c r="K5" s="580"/>
    </row>
    <row r="6" spans="1:27" ht="13.5" thickBot="1">
      <c r="A6" s="2963"/>
      <c r="B6" s="2964" t="s">
        <v>3</v>
      </c>
      <c r="C6" s="2953" t="str">
        <f>'Contact Information'!C3</f>
        <v>2021.v01</v>
      </c>
      <c r="D6" s="1130" t="s">
        <v>2308</v>
      </c>
    </row>
    <row r="7" spans="1:27" ht="5.25" customHeight="1" thickTop="1">
      <c r="A7" s="609"/>
      <c r="B7" s="610"/>
      <c r="C7" s="611"/>
      <c r="D7" s="361"/>
    </row>
    <row r="8" spans="1:27">
      <c r="A8" s="612" t="s">
        <v>2687</v>
      </c>
      <c r="B8" s="362"/>
      <c r="C8" s="1375" t="e">
        <f>VLOOKUP($B$1,VLOOKUP!A115:B142,2,FALSE)</f>
        <v>#VALUE!</v>
      </c>
      <c r="D8" s="1131"/>
    </row>
    <row r="9" spans="1:27" ht="4.5" customHeight="1">
      <c r="A9" s="3572"/>
      <c r="B9" s="3573"/>
      <c r="C9" s="3574"/>
      <c r="D9" s="1131"/>
      <c r="F9" s="1132"/>
      <c r="G9" s="1133"/>
      <c r="H9" s="1134"/>
      <c r="I9" s="111"/>
      <c r="J9" s="111"/>
      <c r="K9" s="111"/>
      <c r="L9" s="111"/>
      <c r="M9" s="111"/>
      <c r="N9" s="111"/>
      <c r="O9" s="111"/>
      <c r="P9" s="111"/>
      <c r="Q9" s="111"/>
      <c r="R9" s="111"/>
      <c r="S9" s="111"/>
      <c r="T9" s="111"/>
      <c r="U9" s="111"/>
      <c r="V9" s="111"/>
      <c r="W9" s="111"/>
      <c r="X9" s="111"/>
      <c r="Y9" s="111"/>
      <c r="Z9" s="111"/>
      <c r="AA9" s="111"/>
    </row>
    <row r="10" spans="1:27" ht="15" customHeight="1">
      <c r="A10" s="613" t="s">
        <v>2688</v>
      </c>
      <c r="B10" s="363"/>
      <c r="C10" s="614">
        <f>'Accounts by GL'!O224</f>
        <v>0</v>
      </c>
      <c r="D10" s="1131"/>
      <c r="F10" s="3216"/>
      <c r="G10" s="3216" t="s">
        <v>2689</v>
      </c>
      <c r="H10" s="2619"/>
      <c r="I10" s="111"/>
      <c r="J10" s="111"/>
      <c r="K10" s="111"/>
      <c r="L10" s="111"/>
      <c r="M10" s="111"/>
      <c r="N10" s="111"/>
      <c r="O10" s="111"/>
      <c r="P10" s="111"/>
      <c r="Q10" s="111"/>
      <c r="R10" s="111"/>
      <c r="S10" s="111"/>
      <c r="T10" s="111"/>
      <c r="U10" s="111"/>
      <c r="V10" s="111"/>
      <c r="W10" s="111"/>
      <c r="X10" s="111"/>
      <c r="Y10" s="111"/>
      <c r="Z10" s="111"/>
      <c r="AA10" s="111"/>
    </row>
    <row r="11" spans="1:27">
      <c r="A11" s="613" t="s">
        <v>2690</v>
      </c>
      <c r="B11" s="363"/>
      <c r="C11" s="614">
        <f>'Accounts by GL'!O225</f>
        <v>0</v>
      </c>
      <c r="D11" s="1131"/>
      <c r="F11" s="2618"/>
      <c r="G11" s="3217" t="s">
        <v>2691</v>
      </c>
      <c r="H11" s="2619"/>
      <c r="I11" s="111"/>
      <c r="J11" s="111"/>
      <c r="K11" s="111"/>
      <c r="L11" s="111"/>
      <c r="M11" s="111"/>
      <c r="N11" s="111"/>
      <c r="O11" s="111"/>
      <c r="P11" s="111"/>
      <c r="Q11" s="111"/>
      <c r="R11" s="111"/>
      <c r="S11" s="111"/>
      <c r="T11" s="111"/>
      <c r="U11" s="111"/>
      <c r="V11" s="111"/>
      <c r="W11" s="111"/>
      <c r="X11" s="111"/>
      <c r="Y11" s="111"/>
      <c r="Z11" s="111"/>
      <c r="AA11" s="111"/>
    </row>
    <row r="12" spans="1:27">
      <c r="A12" s="615" t="s">
        <v>2692</v>
      </c>
      <c r="B12" s="363"/>
      <c r="C12" s="1376">
        <v>0</v>
      </c>
      <c r="D12" s="1131"/>
      <c r="F12" s="2965" t="s">
        <v>4058</v>
      </c>
      <c r="G12" s="1135"/>
      <c r="H12" s="1135"/>
      <c r="I12" s="111"/>
      <c r="J12" s="111"/>
      <c r="K12" s="111"/>
      <c r="L12" s="111"/>
      <c r="M12" s="111"/>
      <c r="N12" s="111"/>
      <c r="O12" s="111"/>
      <c r="P12" s="111"/>
      <c r="Q12" s="111"/>
      <c r="R12" s="111"/>
      <c r="S12" s="111"/>
      <c r="T12" s="111"/>
      <c r="U12" s="111"/>
      <c r="V12" s="111"/>
      <c r="W12" s="111"/>
      <c r="X12" s="111"/>
      <c r="Y12" s="111"/>
      <c r="Z12" s="111"/>
      <c r="AA12" s="111"/>
    </row>
    <row r="13" spans="1:27" ht="13.5" thickBot="1">
      <c r="A13" s="3575" t="s">
        <v>2694</v>
      </c>
      <c r="B13" s="3576"/>
      <c r="C13" s="3577">
        <f>SUM(C10:C12)</f>
        <v>0</v>
      </c>
      <c r="D13" s="1131"/>
      <c r="F13" s="1378">
        <f>B15+B16</f>
        <v>0</v>
      </c>
      <c r="G13" s="1135" t="s">
        <v>2695</v>
      </c>
      <c r="H13" s="1135"/>
      <c r="I13" s="111"/>
      <c r="J13" s="111"/>
      <c r="K13" s="111"/>
      <c r="L13" s="111"/>
      <c r="M13" s="111"/>
      <c r="N13" s="111"/>
      <c r="O13" s="111"/>
      <c r="P13" s="111"/>
      <c r="Q13" s="111"/>
      <c r="R13" s="111"/>
      <c r="S13" s="111"/>
      <c r="T13" s="111"/>
      <c r="U13" s="111"/>
      <c r="V13" s="111"/>
      <c r="W13" s="111"/>
      <c r="X13" s="111"/>
      <c r="Y13" s="111"/>
      <c r="Z13" s="111"/>
      <c r="AA13" s="111"/>
    </row>
    <row r="14" spans="1:27" ht="13.5" thickBot="1">
      <c r="A14" s="616" t="s">
        <v>2696</v>
      </c>
      <c r="B14" s="363"/>
      <c r="C14" s="617"/>
      <c r="D14" s="862"/>
      <c r="F14" s="1379">
        <f>SUM(B17:B24)</f>
        <v>0</v>
      </c>
      <c r="G14" s="1135" t="s">
        <v>2697</v>
      </c>
      <c r="H14" s="1135"/>
      <c r="I14" s="111"/>
      <c r="J14" s="111"/>
      <c r="K14" s="111"/>
      <c r="L14" s="111"/>
      <c r="M14" s="111"/>
      <c r="N14" s="111"/>
      <c r="O14" s="111"/>
      <c r="P14" s="111"/>
      <c r="Q14" s="111"/>
      <c r="R14" s="111"/>
      <c r="S14" s="111"/>
      <c r="T14" s="111"/>
      <c r="U14" s="111"/>
      <c r="V14" s="111"/>
      <c r="W14" s="111"/>
      <c r="X14" s="111"/>
      <c r="Y14" s="111"/>
      <c r="Z14" s="111"/>
      <c r="AA14" s="111"/>
    </row>
    <row r="15" spans="1:27">
      <c r="A15" s="618" t="s">
        <v>2698</v>
      </c>
      <c r="B15" s="364">
        <v>0</v>
      </c>
      <c r="C15" s="617"/>
      <c r="D15" s="862"/>
      <c r="F15" s="1136"/>
      <c r="G15" s="1135"/>
      <c r="H15" s="1135"/>
      <c r="I15" s="111"/>
      <c r="J15" s="111"/>
      <c r="K15" s="111"/>
      <c r="L15" s="111"/>
      <c r="M15" s="111"/>
      <c r="N15" s="111"/>
      <c r="O15" s="111"/>
      <c r="P15" s="111"/>
      <c r="Q15" s="111"/>
      <c r="R15" s="111"/>
      <c r="S15" s="111"/>
      <c r="T15" s="111"/>
      <c r="U15" s="111"/>
      <c r="V15" s="111"/>
      <c r="W15" s="111"/>
      <c r="X15" s="111"/>
      <c r="Y15" s="111"/>
      <c r="Z15" s="111"/>
      <c r="AA15" s="111"/>
    </row>
    <row r="16" spans="1:27">
      <c r="A16" s="618" t="s">
        <v>2699</v>
      </c>
      <c r="B16" s="364">
        <v>0</v>
      </c>
      <c r="C16" s="617"/>
      <c r="D16" s="862"/>
      <c r="F16" s="1378">
        <f>F13+F14</f>
        <v>0</v>
      </c>
      <c r="G16" s="1135" t="s">
        <v>2641</v>
      </c>
      <c r="H16" s="1135"/>
      <c r="I16" s="111"/>
      <c r="J16" s="111"/>
      <c r="K16" s="111"/>
      <c r="L16" s="111"/>
      <c r="M16" s="111"/>
      <c r="N16" s="111"/>
      <c r="O16" s="111"/>
      <c r="P16" s="111"/>
      <c r="Q16" s="111"/>
      <c r="R16" s="111"/>
      <c r="S16" s="111"/>
      <c r="T16" s="111"/>
      <c r="U16" s="111"/>
      <c r="V16" s="111"/>
      <c r="W16" s="111"/>
      <c r="X16" s="111"/>
      <c r="Y16" s="111"/>
      <c r="Z16" s="111"/>
      <c r="AA16" s="111"/>
    </row>
    <row r="17" spans="1:8">
      <c r="A17" s="618" t="s">
        <v>2700</v>
      </c>
      <c r="B17" s="364">
        <v>0</v>
      </c>
      <c r="C17" s="617"/>
      <c r="D17" s="862"/>
      <c r="F17" s="1137" t="e">
        <f>F14/F16</f>
        <v>#DIV/0!</v>
      </c>
      <c r="G17" s="1138" t="s">
        <v>2701</v>
      </c>
      <c r="H17" s="1139"/>
    </row>
    <row r="18" spans="1:8">
      <c r="A18" s="618" t="s">
        <v>2702</v>
      </c>
      <c r="B18" s="364">
        <v>0</v>
      </c>
      <c r="C18" s="617"/>
      <c r="D18" s="862"/>
      <c r="G18" s="365"/>
    </row>
    <row r="19" spans="1:8">
      <c r="A19" s="618" t="s">
        <v>2703</v>
      </c>
      <c r="B19" s="364">
        <v>0</v>
      </c>
      <c r="C19" s="617"/>
      <c r="D19" s="862"/>
      <c r="G19" s="365"/>
    </row>
    <row r="20" spans="1:8">
      <c r="A20" s="618" t="s">
        <v>2704</v>
      </c>
      <c r="B20" s="364">
        <v>0</v>
      </c>
      <c r="C20" s="617"/>
      <c r="D20" s="862"/>
    </row>
    <row r="21" spans="1:8">
      <c r="A21" s="618" t="s">
        <v>2705</v>
      </c>
      <c r="B21" s="364">
        <v>0</v>
      </c>
      <c r="C21" s="617"/>
      <c r="D21" s="862"/>
    </row>
    <row r="22" spans="1:8">
      <c r="A22" s="619" t="s">
        <v>2706</v>
      </c>
      <c r="B22" s="364">
        <v>0</v>
      </c>
      <c r="C22" s="617"/>
      <c r="D22" s="862"/>
    </row>
    <row r="23" spans="1:8">
      <c r="A23" s="618" t="s">
        <v>2707</v>
      </c>
      <c r="B23" s="364">
        <v>0</v>
      </c>
      <c r="C23" s="617"/>
      <c r="D23" s="862"/>
    </row>
    <row r="24" spans="1:8">
      <c r="A24" s="615" t="s">
        <v>2708</v>
      </c>
      <c r="B24" s="1377">
        <v>0</v>
      </c>
      <c r="C24" s="617"/>
      <c r="D24" s="1845"/>
    </row>
    <row r="25" spans="1:8" ht="12.75" customHeight="1">
      <c r="A25" s="616" t="s">
        <v>2675</v>
      </c>
      <c r="B25" s="363"/>
      <c r="C25" s="620">
        <f>SUM(B15:B24)</f>
        <v>0</v>
      </c>
      <c r="D25" s="1845"/>
    </row>
    <row r="26" spans="1:8">
      <c r="A26" s="616"/>
      <c r="B26" s="363"/>
      <c r="C26" s="617"/>
      <c r="D26" s="1845"/>
    </row>
    <row r="27" spans="1:8" ht="14.25" customHeight="1" thickBot="1">
      <c r="A27" s="616" t="s">
        <v>2709</v>
      </c>
      <c r="B27" s="363"/>
      <c r="C27" s="621" t="e">
        <f>C8+C13-C25</f>
        <v>#VALUE!</v>
      </c>
      <c r="D27" s="1845"/>
    </row>
    <row r="28" spans="1:8" ht="14.25" thickTop="1" thickBot="1">
      <c r="A28" s="622"/>
      <c r="B28" s="623"/>
      <c r="C28" s="624"/>
    </row>
    <row r="29" spans="1:8" ht="13.5" thickTop="1">
      <c r="A29" s="366" t="s">
        <v>2710</v>
      </c>
      <c r="B29" s="366"/>
    </row>
    <row r="30" spans="1:8">
      <c r="A30" s="2620"/>
      <c r="B30" s="2621"/>
      <c r="C30" s="2622"/>
    </row>
    <row r="31" spans="1:8">
      <c r="A31" s="366" t="s">
        <v>2711</v>
      </c>
      <c r="B31" s="366"/>
    </row>
    <row r="32" spans="1:8">
      <c r="A32" s="2620"/>
      <c r="B32" s="3912"/>
      <c r="C32" s="3913"/>
    </row>
    <row r="35" spans="1:4">
      <c r="A35" s="1119" t="s">
        <v>2349</v>
      </c>
      <c r="B35" s="1845"/>
      <c r="C35" s="1845"/>
      <c r="D35" s="1845"/>
    </row>
    <row r="36" spans="1:4">
      <c r="B36" s="1845"/>
      <c r="C36" s="1845"/>
      <c r="D36" s="1845"/>
    </row>
    <row r="37" spans="1:4">
      <c r="B37" s="1845"/>
      <c r="C37" s="1845"/>
      <c r="D37" s="1845"/>
    </row>
    <row r="38" spans="1:4">
      <c r="B38" s="1845"/>
      <c r="C38" s="1845"/>
      <c r="D38" s="1845"/>
    </row>
    <row r="39" spans="1:4">
      <c r="B39" s="1845"/>
      <c r="C39" s="1845"/>
      <c r="D39" s="1845"/>
    </row>
    <row r="40" spans="1:4">
      <c r="B40" s="1845"/>
      <c r="C40" s="1845"/>
      <c r="D40" s="1845"/>
    </row>
    <row r="41" spans="1:4">
      <c r="B41" s="1845"/>
      <c r="C41" s="1845"/>
      <c r="D41" s="1845"/>
    </row>
    <row r="42" spans="1:4">
      <c r="B42" s="1845"/>
      <c r="C42" s="1845"/>
      <c r="D42" s="1845"/>
    </row>
    <row r="43" spans="1:4">
      <c r="B43" s="1845"/>
      <c r="C43" s="1845"/>
      <c r="D43" s="1845"/>
    </row>
    <row r="44" spans="1:4">
      <c r="B44" s="1845"/>
      <c r="C44" s="1845"/>
      <c r="D44" s="1845"/>
    </row>
    <row r="45" spans="1:4">
      <c r="B45" s="1845"/>
      <c r="C45" s="1845"/>
      <c r="D45" s="1845"/>
    </row>
    <row r="46" spans="1:4">
      <c r="B46" s="1845"/>
      <c r="C46" s="1845"/>
      <c r="D46" s="1845"/>
    </row>
    <row r="47" spans="1:4">
      <c r="B47" s="1845"/>
      <c r="C47" s="1845"/>
      <c r="D47" s="1845"/>
    </row>
    <row r="48" spans="1:4">
      <c r="B48" s="1845"/>
      <c r="C48" s="1845"/>
      <c r="D48" s="1845"/>
    </row>
    <row r="49" spans="1:4">
      <c r="B49" s="1845"/>
      <c r="C49" s="1845"/>
      <c r="D49" s="1845"/>
    </row>
    <row r="50" spans="1:4">
      <c r="B50" s="1845"/>
      <c r="C50" s="1845"/>
      <c r="D50" s="1845"/>
    </row>
    <row r="51" spans="1:4">
      <c r="B51" s="1845"/>
      <c r="C51" s="1845"/>
      <c r="D51" s="1845"/>
    </row>
    <row r="54" spans="1:4" ht="14.25" customHeight="1">
      <c r="A54" s="111"/>
    </row>
  </sheetData>
  <sheetProtection algorithmName="SHA-512" hashValue="0Ad5Pz5wD7tIm9ElrL6fprdd6qh0We7AzAxC6GkxK9JUj39m/9jM/+rMv98dK7xxJfb2LCTwK7BtUtrI+W3S8A==" saltValue="z4g8Di8SjnB69jXvkkI7cA==" spinCount="100000" sheet="1" formatColumns="0"/>
  <sortState ref="A57:B84">
    <sortCondition ref="A57:A84"/>
  </sortState>
  <conditionalFormatting sqref="A30">
    <cfRule type="expression" dxfId="318" priority="6">
      <formula>$C$12&lt;&gt;0</formula>
    </cfRule>
  </conditionalFormatting>
  <conditionalFormatting sqref="A29">
    <cfRule type="expression" dxfId="317" priority="5">
      <formula>$C$12&lt;&gt;0</formula>
    </cfRule>
  </conditionalFormatting>
  <conditionalFormatting sqref="A31">
    <cfRule type="expression" dxfId="316" priority="3">
      <formula>$B$24&lt;&gt;0</formula>
    </cfRule>
  </conditionalFormatting>
  <conditionalFormatting sqref="A12">
    <cfRule type="expression" dxfId="315" priority="2">
      <formula>$C$12&lt;&gt;0</formula>
    </cfRule>
  </conditionalFormatting>
  <conditionalFormatting sqref="A24">
    <cfRule type="expression" dxfId="314" priority="1">
      <formula>$B$24&lt;&gt;0</formula>
    </cfRule>
  </conditionalFormatting>
  <printOptions horizontalCentered="1"/>
  <pageMargins left="0.75" right="0.75" top="0.5" bottom="0.5" header="0.25" footer="0.25"/>
  <pageSetup orientation="portrait" r:id="rId1"/>
  <headerFooter alignWithMargins="0">
    <oddHeader>&amp;L&amp;"Arial,Regular"&amp;8&amp;F&amp;R&amp;"Arial,Regular"&amp;8&amp;A</oddHeader>
    <oddFooter>&amp;L&amp;"Arial,Regular"&amp;8&amp;D&amp;R&amp;"Arial,Regular"&amp;8&amp;P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70C0"/>
    <pageSetUpPr fitToPage="1"/>
  </sheetPr>
  <dimension ref="A1:IV480"/>
  <sheetViews>
    <sheetView workbookViewId="0"/>
  </sheetViews>
  <sheetFormatPr defaultColWidth="9.140625" defaultRowHeight="12.75"/>
  <cols>
    <col min="1" max="1" width="56.28515625" style="367" customWidth="1"/>
    <col min="2" max="2" width="13" style="367" customWidth="1"/>
    <col min="3" max="3" width="13.5703125" style="386" bestFit="1" customWidth="1"/>
    <col min="4" max="4" width="20.85546875" style="367" customWidth="1"/>
    <col min="5" max="5" width="21" style="367" customWidth="1"/>
    <col min="6" max="16384" width="9.140625" style="367"/>
  </cols>
  <sheetData>
    <row r="1" spans="1:16">
      <c r="B1" s="2968" t="str">
        <f>'Contact Information'!$C$5</f>
        <v>SAMPLE STATE COLLEGE</v>
      </c>
      <c r="C1" s="2967"/>
      <c r="D1" s="2967"/>
      <c r="E1" s="2967"/>
    </row>
    <row r="2" spans="1:16" ht="13.5" thickBot="1">
      <c r="A2" s="2968"/>
      <c r="B2" s="2968"/>
      <c r="C2" s="2968"/>
      <c r="D2" s="2964" t="s">
        <v>3</v>
      </c>
      <c r="E2" s="3013" t="str">
        <f>'Contact Information'!C3</f>
        <v>2021.v01</v>
      </c>
    </row>
    <row r="3" spans="1:16" ht="13.5" thickBot="1">
      <c r="A3" s="2969" t="s">
        <v>4059</v>
      </c>
      <c r="B3" s="2970"/>
      <c r="C3" s="2971"/>
      <c r="D3" s="2970"/>
      <c r="E3" s="2972"/>
      <c r="F3" s="368"/>
    </row>
    <row r="4" spans="1:16" ht="36" customHeight="1">
      <c r="A4" s="5"/>
      <c r="B4" s="6"/>
      <c r="C4" s="7"/>
      <c r="D4" s="7" t="s">
        <v>2694</v>
      </c>
      <c r="E4" s="4108" t="s">
        <v>4203</v>
      </c>
      <c r="F4" s="368"/>
    </row>
    <row r="5" spans="1:16">
      <c r="A5" s="8" t="s">
        <v>2713</v>
      </c>
      <c r="B5" s="2"/>
      <c r="C5" s="9" t="s">
        <v>2714</v>
      </c>
      <c r="D5" s="9" t="s">
        <v>2715</v>
      </c>
      <c r="E5" s="4109" t="s">
        <v>4204</v>
      </c>
      <c r="F5" s="368"/>
    </row>
    <row r="6" spans="1:16">
      <c r="A6" s="3578" t="str">
        <f>'Accounts by GL'!B185</f>
        <v>Tuition-Advanced &amp; Professional - Baccalaureate</v>
      </c>
      <c r="B6" s="3579"/>
      <c r="C6" s="3580" t="str">
        <f>'Accounts by GL'!C185</f>
        <v>40101</v>
      </c>
      <c r="D6" s="3581">
        <f>'Accounts by GL'!M185</f>
        <v>0</v>
      </c>
      <c r="E6" s="3582">
        <f t="shared" ref="E6:E13" si="0">D6+D15</f>
        <v>0</v>
      </c>
      <c r="F6" s="368"/>
    </row>
    <row r="7" spans="1:16">
      <c r="A7" s="3578" t="str">
        <f>'Accounts by GL'!B186</f>
        <v>Tuition-Advanced &amp; Professional</v>
      </c>
      <c r="B7" s="3579"/>
      <c r="C7" s="3580" t="str">
        <f>'Accounts by GL'!C186</f>
        <v>40110</v>
      </c>
      <c r="D7" s="3581">
        <f>'Accounts by GL'!M186</f>
        <v>0</v>
      </c>
      <c r="E7" s="3582">
        <f t="shared" si="0"/>
        <v>0</v>
      </c>
      <c r="F7" s="368"/>
    </row>
    <row r="8" spans="1:16">
      <c r="A8" s="3578" t="str">
        <f>'Accounts by GL'!B187</f>
        <v>Tuition-Postsecondary Vocational</v>
      </c>
      <c r="B8" s="3579"/>
      <c r="C8" s="3580" t="str">
        <f>'Accounts by GL'!C187</f>
        <v>40120</v>
      </c>
      <c r="D8" s="3581">
        <f>'Accounts by GL'!M187</f>
        <v>0</v>
      </c>
      <c r="E8" s="3582">
        <f t="shared" si="0"/>
        <v>0</v>
      </c>
      <c r="F8" s="368"/>
    </row>
    <row r="9" spans="1:16">
      <c r="A9" s="3578" t="str">
        <f>'Accounts by GL'!B188</f>
        <v>Tuition-Career and Applied Technology (Formerly PSAV)</v>
      </c>
      <c r="B9" s="3579"/>
      <c r="C9" s="3580" t="str">
        <f>'Accounts by GL'!C188</f>
        <v>40130</v>
      </c>
      <c r="D9" s="3581">
        <f>'Accounts by GL'!M188</f>
        <v>0</v>
      </c>
      <c r="E9" s="3582">
        <f t="shared" si="0"/>
        <v>0</v>
      </c>
      <c r="F9" s="368"/>
    </row>
    <row r="10" spans="1:16">
      <c r="A10" s="3578" t="str">
        <f>'Accounts by GL'!B189</f>
        <v>Tuition-Developmental Education</v>
      </c>
      <c r="B10" s="3579"/>
      <c r="C10" s="3580" t="str">
        <f>'Accounts by GL'!C189</f>
        <v>40150</v>
      </c>
      <c r="D10" s="3581">
        <f>'Accounts by GL'!M189</f>
        <v>0</v>
      </c>
      <c r="E10" s="3582">
        <f t="shared" si="0"/>
        <v>0</v>
      </c>
      <c r="F10" s="368"/>
    </row>
    <row r="11" spans="1:16">
      <c r="A11" s="3578" t="str">
        <f>'Accounts by GL'!B190</f>
        <v>Tuition-EPI</v>
      </c>
      <c r="B11" s="3579"/>
      <c r="C11" s="3580" t="str">
        <f>'Accounts by GL'!C190</f>
        <v>40160</v>
      </c>
      <c r="D11" s="3581">
        <f>'Accounts by GL'!M190</f>
        <v>0</v>
      </c>
      <c r="E11" s="3582">
        <f t="shared" si="0"/>
        <v>0</v>
      </c>
      <c r="F11" s="11"/>
      <c r="G11" s="11"/>
      <c r="H11" s="11"/>
      <c r="I11" s="11"/>
      <c r="J11" s="11"/>
      <c r="K11" s="11"/>
      <c r="L11" s="11"/>
      <c r="M11" s="11"/>
      <c r="N11" s="11"/>
      <c r="O11" s="11"/>
      <c r="P11" s="11"/>
    </row>
    <row r="12" spans="1:16">
      <c r="A12" s="3578" t="str">
        <f>'Accounts by GL'!B191</f>
        <v>Tuition-Vocational Preparatory</v>
      </c>
      <c r="B12" s="3579"/>
      <c r="C12" s="3580" t="str">
        <f>'Accounts by GL'!C191</f>
        <v>40180</v>
      </c>
      <c r="D12" s="3581">
        <f>'Accounts by GL'!M191</f>
        <v>0</v>
      </c>
      <c r="E12" s="3582">
        <f t="shared" si="0"/>
        <v>0</v>
      </c>
      <c r="F12" s="368"/>
    </row>
    <row r="13" spans="1:16" ht="13.5" thickBot="1">
      <c r="A13" s="3578" t="str">
        <f>'Accounts by GL'!B192</f>
        <v>Tuition-Adult General Education (ABE) &amp; Secondary</v>
      </c>
      <c r="B13" s="3579"/>
      <c r="C13" s="3580" t="str">
        <f>'Accounts by GL'!C192</f>
        <v>40190</v>
      </c>
      <c r="D13" s="3581">
        <f>'Accounts by GL'!M192</f>
        <v>0</v>
      </c>
      <c r="E13" s="3582">
        <f t="shared" si="0"/>
        <v>0</v>
      </c>
      <c r="F13" s="368"/>
    </row>
    <row r="14" spans="1:16" ht="13.5" thickBot="1">
      <c r="A14" s="49" t="s">
        <v>2716</v>
      </c>
      <c r="B14" s="50"/>
      <c r="C14" s="51"/>
      <c r="D14" s="1380">
        <f>SUM(D6:D13)</f>
        <v>0</v>
      </c>
      <c r="E14" s="1380">
        <f>SUM(E6:E13)</f>
        <v>0</v>
      </c>
      <c r="F14" s="368"/>
    </row>
    <row r="15" spans="1:16">
      <c r="A15" s="12" t="str">
        <f>'Accounts by GL'!B193</f>
        <v>Out-of-state Fees-Advanced &amp; Professional - Baccalaureate</v>
      </c>
      <c r="B15" s="3579"/>
      <c r="C15" s="13" t="str">
        <f>'Accounts by GL'!C193</f>
        <v>40301</v>
      </c>
      <c r="D15" s="1381">
        <f>'Accounts by GL'!M193</f>
        <v>0</v>
      </c>
      <c r="E15" s="10"/>
      <c r="F15" s="368"/>
    </row>
    <row r="16" spans="1:16">
      <c r="A16" s="12" t="str">
        <f>'Accounts by GL'!B194</f>
        <v>Out-of-state Fees-Advanced &amp; Professional</v>
      </c>
      <c r="B16" s="3579"/>
      <c r="C16" s="13" t="str">
        <f>'Accounts by GL'!C194</f>
        <v>40310</v>
      </c>
      <c r="D16" s="1381">
        <f>'Accounts by GL'!M194</f>
        <v>0</v>
      </c>
      <c r="E16" s="10"/>
      <c r="F16" s="368"/>
    </row>
    <row r="17" spans="1:6">
      <c r="A17" s="12" t="str">
        <f>'Accounts by GL'!B195</f>
        <v>Out-of-state Fees-Postsecondary Vocational</v>
      </c>
      <c r="B17" s="3579"/>
      <c r="C17" s="13" t="str">
        <f>'Accounts by GL'!C195</f>
        <v>40320</v>
      </c>
      <c r="D17" s="1381">
        <f>'Accounts by GL'!M195</f>
        <v>0</v>
      </c>
      <c r="E17" s="10"/>
      <c r="F17" s="368"/>
    </row>
    <row r="18" spans="1:6">
      <c r="A18" s="12" t="str">
        <f>'Accounts by GL'!B196</f>
        <v>Out-of-state Fees-Career and Applied Technology (Formerly PSAV)</v>
      </c>
      <c r="B18" s="3579"/>
      <c r="C18" s="13" t="str">
        <f>'Accounts by GL'!C196</f>
        <v>40330</v>
      </c>
      <c r="D18" s="1381">
        <f>'Accounts by GL'!M196</f>
        <v>0</v>
      </c>
      <c r="E18" s="10"/>
      <c r="F18" s="368"/>
    </row>
    <row r="19" spans="1:6">
      <c r="A19" s="12" t="str">
        <f>'Accounts by GL'!B197</f>
        <v>Out-of-state Fees-Developmental Education</v>
      </c>
      <c r="B19" s="3579"/>
      <c r="C19" s="13" t="str">
        <f>'Accounts by GL'!C197</f>
        <v>40350</v>
      </c>
      <c r="D19" s="1381">
        <f>'Accounts by GL'!M197</f>
        <v>0</v>
      </c>
      <c r="E19" s="10"/>
      <c r="F19" s="368"/>
    </row>
    <row r="20" spans="1:6">
      <c r="A20" s="12" t="str">
        <f>'Accounts by GL'!B198</f>
        <v>Out-of-state Fees-EPI &amp; Alternative Certification Curriculum</v>
      </c>
      <c r="B20" s="3579"/>
      <c r="C20" s="13" t="str">
        <f>'Accounts by GL'!C198</f>
        <v>40360</v>
      </c>
      <c r="D20" s="1381">
        <f>'Accounts by GL'!M198</f>
        <v>0</v>
      </c>
      <c r="E20" s="10"/>
      <c r="F20" s="368"/>
    </row>
    <row r="21" spans="1:6">
      <c r="A21" s="12" t="str">
        <f>'Accounts by GL'!B199</f>
        <v>Out-of-state Fees-Vocational Preparatory</v>
      </c>
      <c r="B21" s="3583"/>
      <c r="C21" s="13" t="str">
        <f>'Accounts by GL'!C199</f>
        <v>40380</v>
      </c>
      <c r="D21" s="1381">
        <f>'Accounts by GL'!M199</f>
        <v>0</v>
      </c>
      <c r="E21" s="10"/>
      <c r="F21" s="368"/>
    </row>
    <row r="22" spans="1:6" ht="13.5" thickBot="1">
      <c r="A22" s="12" t="str">
        <f>'Accounts by GL'!B200</f>
        <v>Out-of-state Fees-Adult General Education (ABE) &amp; Secondary</v>
      </c>
      <c r="B22" s="3583"/>
      <c r="C22" s="13" t="str">
        <f>'Accounts by GL'!C200</f>
        <v>40390</v>
      </c>
      <c r="D22" s="1381">
        <f>'Accounts by GL'!M200</f>
        <v>0</v>
      </c>
      <c r="E22" s="14"/>
      <c r="F22" s="368"/>
    </row>
    <row r="23" spans="1:6" ht="13.5" thickBot="1">
      <c r="A23" s="49" t="s">
        <v>2717</v>
      </c>
      <c r="B23" s="50"/>
      <c r="C23" s="51"/>
      <c r="D23" s="1380">
        <f>SUM(D15:D22)</f>
        <v>0</v>
      </c>
      <c r="E23" s="52" t="s">
        <v>2718</v>
      </c>
      <c r="F23" s="368"/>
    </row>
    <row r="24" spans="1:6" ht="13.5" thickBot="1">
      <c r="A24" s="49" t="s">
        <v>2719</v>
      </c>
      <c r="B24" s="50"/>
      <c r="C24" s="51"/>
      <c r="D24" s="1380">
        <f>D23+D14</f>
        <v>0</v>
      </c>
      <c r="E24" s="1380">
        <f>'Accounts by GL'!M202</f>
        <v>0</v>
      </c>
      <c r="F24" s="368"/>
    </row>
    <row r="25" spans="1:6">
      <c r="A25" s="15"/>
      <c r="B25" s="4"/>
      <c r="C25" s="16"/>
      <c r="D25" s="17"/>
      <c r="E25" s="14"/>
      <c r="F25" s="368"/>
    </row>
    <row r="26" spans="1:6">
      <c r="A26" s="8" t="s">
        <v>2720</v>
      </c>
      <c r="B26" s="4"/>
      <c r="C26" s="16"/>
      <c r="D26" s="17"/>
      <c r="E26" s="10"/>
      <c r="F26" s="368"/>
    </row>
    <row r="27" spans="1:6">
      <c r="A27" s="3578" t="str">
        <f>'Accounts by GL'!B205</f>
        <v>Tuition - Lifelong Learning</v>
      </c>
      <c r="B27" s="3579"/>
      <c r="C27" s="3580" t="str">
        <f>'Accounts by GL'!C205</f>
        <v>40210</v>
      </c>
      <c r="D27" s="3318">
        <f>'Accounts by GL'!M205</f>
        <v>0</v>
      </c>
      <c r="E27" s="10"/>
      <c r="F27" s="3"/>
    </row>
    <row r="28" spans="1:6">
      <c r="A28" s="3578" t="str">
        <f>'Accounts by GL'!B206</f>
        <v>Tuition - Continuing Workforce Fees</v>
      </c>
      <c r="B28" s="3579"/>
      <c r="C28" s="3580" t="str">
        <f>'Accounts by GL'!C206</f>
        <v>40240</v>
      </c>
      <c r="D28" s="3318">
        <f>'Accounts by GL'!M206</f>
        <v>0</v>
      </c>
      <c r="E28" s="10"/>
      <c r="F28" s="3"/>
    </row>
    <row r="29" spans="1:6">
      <c r="A29" s="3578" t="str">
        <f>'Accounts by GL'!B207</f>
        <v>Refunded Tuition - Continuing Workforce Fees</v>
      </c>
      <c r="B29" s="3579"/>
      <c r="C29" s="3580" t="str">
        <f>'Accounts by GL'!C207</f>
        <v>40249</v>
      </c>
      <c r="D29" s="3318">
        <f>'Accounts by GL'!M207</f>
        <v>0</v>
      </c>
      <c r="E29" s="10"/>
      <c r="F29" s="3"/>
    </row>
    <row r="30" spans="1:6">
      <c r="A30" s="3578" t="str">
        <f>'Accounts by GL'!B208</f>
        <v>Out-of-state - Lifelong Learning</v>
      </c>
      <c r="B30" s="3579"/>
      <c r="C30" s="3580" t="str">
        <f>'Accounts by GL'!C208</f>
        <v>40250</v>
      </c>
      <c r="D30" s="3318">
        <f>'Accounts by GL'!M208</f>
        <v>0</v>
      </c>
      <c r="E30" s="14"/>
      <c r="F30" s="3"/>
    </row>
    <row r="31" spans="1:6">
      <c r="A31" s="3578" t="str">
        <f>'Accounts by GL'!B209</f>
        <v>Full Cost of Instruction (Repeat Course Fee)</v>
      </c>
      <c r="B31" s="3579"/>
      <c r="C31" s="3580" t="str">
        <f>'Accounts by GL'!C209</f>
        <v>40260</v>
      </c>
      <c r="D31" s="3318">
        <f>'Accounts by GL'!M209</f>
        <v>0</v>
      </c>
      <c r="E31" s="14"/>
      <c r="F31" s="3"/>
    </row>
    <row r="32" spans="1:6">
      <c r="A32" s="3578" t="str">
        <f>'Accounts by GL'!B210</f>
        <v>Full Cost of Instruction (Repeat Course Fee) - A &amp; P</v>
      </c>
      <c r="B32" s="3579"/>
      <c r="C32" s="3580" t="str">
        <f>'Accounts by GL'!C210</f>
        <v>40261</v>
      </c>
      <c r="D32" s="3318">
        <f>'Accounts by GL'!M210</f>
        <v>0</v>
      </c>
      <c r="E32" s="14"/>
      <c r="F32" s="3"/>
    </row>
    <row r="33" spans="1:10">
      <c r="A33" s="3578" t="str">
        <f>'Accounts by GL'!B211</f>
        <v>Full Cost of Instruction (Repeat Course Fee) - PSV</v>
      </c>
      <c r="B33" s="3579"/>
      <c r="C33" s="3580" t="str">
        <f>'Accounts by GL'!C211</f>
        <v>40262</v>
      </c>
      <c r="D33" s="3318">
        <f>'Accounts by GL'!M211</f>
        <v>0</v>
      </c>
      <c r="E33" s="14"/>
      <c r="F33" s="3"/>
    </row>
    <row r="34" spans="1:10">
      <c r="A34" s="3578" t="str">
        <f>'Accounts by GL'!B212</f>
        <v>Full Cost of Instruction (Repeat Course Fee) - Baccalaureate</v>
      </c>
      <c r="B34" s="3579"/>
      <c r="C34" s="3580" t="str">
        <f>'Accounts by GL'!C212</f>
        <v>40263</v>
      </c>
      <c r="D34" s="3318">
        <f>'Accounts by GL'!M212</f>
        <v>0</v>
      </c>
      <c r="E34" s="14"/>
      <c r="F34" s="3"/>
    </row>
    <row r="35" spans="1:10">
      <c r="A35" s="3578" t="str">
        <f>'Accounts by GL'!B213</f>
        <v>Full Cost of Instruction (Repeat Course Fee) - PSAV</v>
      </c>
      <c r="B35" s="3579"/>
      <c r="C35" s="3580" t="str">
        <f>'Accounts by GL'!C213</f>
        <v>40264</v>
      </c>
      <c r="D35" s="3318">
        <f>'Accounts by GL'!M213</f>
        <v>0</v>
      </c>
      <c r="E35" s="14"/>
      <c r="F35" s="3"/>
    </row>
    <row r="36" spans="1:10">
      <c r="A36" s="3578" t="str">
        <f>'Accounts by GL'!B214</f>
        <v>Full Cost of Instruction (Repeat Course Fee) - Dev. Ed.</v>
      </c>
      <c r="B36" s="3579"/>
      <c r="C36" s="3580" t="str">
        <f>'Accounts by GL'!C214</f>
        <v>40265</v>
      </c>
      <c r="D36" s="3318">
        <f>'Accounts by GL'!M214</f>
        <v>0</v>
      </c>
      <c r="E36" s="14"/>
      <c r="F36" s="3"/>
    </row>
    <row r="37" spans="1:10">
      <c r="A37" s="3578" t="str">
        <f>'Accounts by GL'!B215</f>
        <v>Full Cost of Instruction (Repeat Course Fee) - EPI</v>
      </c>
      <c r="B37" s="3579"/>
      <c r="C37" s="3580" t="str">
        <f>'Accounts by GL'!C215</f>
        <v>40266</v>
      </c>
      <c r="D37" s="3318">
        <f>'Accounts by GL'!M215</f>
        <v>0</v>
      </c>
      <c r="E37" s="14"/>
      <c r="F37" s="3"/>
    </row>
    <row r="38" spans="1:10">
      <c r="A38" s="3578" t="str">
        <f>'Accounts by GL'!B216</f>
        <v>Refunded Tuition-Full Cost of Instruction (Repeat Course Fee)</v>
      </c>
      <c r="B38" s="3579"/>
      <c r="C38" s="3580" t="str">
        <f>'Accounts by GL'!C216</f>
        <v>40269</v>
      </c>
      <c r="D38" s="3318">
        <f>'Accounts by GL'!M216</f>
        <v>0</v>
      </c>
      <c r="E38" s="14"/>
      <c r="F38" s="3"/>
    </row>
    <row r="39" spans="1:10">
      <c r="A39" s="3578" t="str">
        <f>'Accounts by GL'!B217</f>
        <v>Tuition - Self-supporting</v>
      </c>
      <c r="B39" s="3579"/>
      <c r="C39" s="3580" t="str">
        <f>'Accounts by GL'!C217</f>
        <v>40270</v>
      </c>
      <c r="D39" s="3318">
        <f>'Accounts by GL'!M217</f>
        <v>0</v>
      </c>
      <c r="E39" s="14"/>
      <c r="F39" s="1735"/>
      <c r="G39" s="368"/>
    </row>
    <row r="40" spans="1:10">
      <c r="A40" s="3578" t="str">
        <f>'Accounts by GL'!B218</f>
        <v>Laboratory Fees</v>
      </c>
      <c r="B40" s="3579"/>
      <c r="C40" s="3580" t="str">
        <f>'Accounts by GL'!C218</f>
        <v>40400</v>
      </c>
      <c r="D40" s="3318">
        <f>'Accounts by GL'!M218</f>
        <v>0</v>
      </c>
      <c r="E40" s="14"/>
      <c r="F40" s="1735"/>
    </row>
    <row r="41" spans="1:10">
      <c r="A41" s="3578" t="str">
        <f>'Accounts by GL'!B219</f>
        <v>Distance Learning Course User Fee</v>
      </c>
      <c r="B41" s="3579"/>
      <c r="C41" s="3580" t="str">
        <f>'Accounts by GL'!C219</f>
        <v>40450</v>
      </c>
      <c r="D41" s="3318">
        <f>'Accounts by GL'!M219</f>
        <v>0</v>
      </c>
      <c r="E41" s="14"/>
      <c r="F41" s="15"/>
    </row>
    <row r="42" spans="1:10">
      <c r="A42" s="3578" t="str">
        <f>'Accounts by GL'!B220</f>
        <v>Application Fees</v>
      </c>
      <c r="B42" s="3579"/>
      <c r="C42" s="3580" t="str">
        <f>'Accounts by GL'!C220</f>
        <v>40500</v>
      </c>
      <c r="D42" s="3318">
        <f>'Accounts by GL'!M220</f>
        <v>0</v>
      </c>
      <c r="E42" s="14"/>
      <c r="F42" s="1735"/>
    </row>
    <row r="43" spans="1:10">
      <c r="A43" s="3578" t="str">
        <f>'Accounts by GL'!B221</f>
        <v>Graduation Fees</v>
      </c>
      <c r="B43" s="3579"/>
      <c r="C43" s="3580" t="str">
        <f>'Accounts by GL'!C221</f>
        <v>40600</v>
      </c>
      <c r="D43" s="3318">
        <f>'Accounts by GL'!M221</f>
        <v>0</v>
      </c>
      <c r="E43" s="14"/>
      <c r="F43" s="3"/>
    </row>
    <row r="44" spans="1:10">
      <c r="A44" s="3578" t="str">
        <f>'Accounts by GL'!B222</f>
        <v>Transcripts Fees</v>
      </c>
      <c r="B44" s="3579"/>
      <c r="C44" s="3580" t="str">
        <f>'Accounts by GL'!C222</f>
        <v>40700</v>
      </c>
      <c r="D44" s="3318">
        <f>'Accounts by GL'!M222</f>
        <v>0</v>
      </c>
      <c r="E44" s="14"/>
      <c r="F44" s="3"/>
      <c r="J44" s="368"/>
    </row>
    <row r="45" spans="1:10">
      <c r="A45" s="3578" t="str">
        <f>'Accounts by GL'!B223</f>
        <v>Financial Aid Fund Fees</v>
      </c>
      <c r="B45" s="3579"/>
      <c r="C45" s="3580" t="str">
        <f>'Accounts by GL'!C223</f>
        <v>40800</v>
      </c>
      <c r="D45" s="3318">
        <f>'Accounts by GL'!M223</f>
        <v>0</v>
      </c>
      <c r="E45" s="14"/>
      <c r="F45" s="3"/>
    </row>
    <row r="46" spans="1:10">
      <c r="A46" s="3578" t="str">
        <f>'Accounts by GL'!B224</f>
        <v>Student Activities &amp; Service Fees</v>
      </c>
      <c r="B46" s="3579"/>
      <c r="C46" s="3580" t="str">
        <f>'Accounts by GL'!C224</f>
        <v>40850</v>
      </c>
      <c r="D46" s="3318">
        <f>'Accounts by GL'!M224</f>
        <v>0</v>
      </c>
      <c r="E46" s="14"/>
      <c r="F46" s="3"/>
    </row>
    <row r="47" spans="1:10">
      <c r="A47" s="3578" t="str">
        <f>'Accounts by GL'!B225</f>
        <v>Student Activities &amp; Service Fees - Baccalaureate</v>
      </c>
      <c r="B47" s="3579"/>
      <c r="C47" s="3580" t="str">
        <f>'Accounts by GL'!C225</f>
        <v>40854</v>
      </c>
      <c r="D47" s="3318">
        <f>'Accounts by GL'!M225</f>
        <v>0</v>
      </c>
      <c r="E47" s="14"/>
      <c r="F47" s="3"/>
    </row>
    <row r="48" spans="1:10">
      <c r="A48" s="3578" t="str">
        <f>'Accounts by GL'!B226</f>
        <v>CIF - A &amp; P, PSV, EPI, College Prep</v>
      </c>
      <c r="B48" s="3579"/>
      <c r="C48" s="3580" t="str">
        <f>'Accounts by GL'!C226</f>
        <v>40860</v>
      </c>
      <c r="D48" s="3318">
        <f>'Accounts by GL'!M226</f>
        <v>0</v>
      </c>
      <c r="E48" s="14"/>
      <c r="F48" s="3"/>
    </row>
    <row r="49" spans="1:6">
      <c r="A49" s="3578" t="str">
        <f>'Accounts by GL'!B227</f>
        <v>CIF - PSAV</v>
      </c>
      <c r="B49" s="3579"/>
      <c r="C49" s="3580" t="str">
        <f>'Accounts by GL'!C227</f>
        <v>40861</v>
      </c>
      <c r="D49" s="3318">
        <f>'Accounts by GL'!M227</f>
        <v>0</v>
      </c>
      <c r="E49" s="14"/>
      <c r="F49" s="3"/>
    </row>
    <row r="50" spans="1:6">
      <c r="A50" s="3578" t="str">
        <f>'Accounts by GL'!B228</f>
        <v>CIF - Baccalaureate</v>
      </c>
      <c r="B50" s="3579"/>
      <c r="C50" s="3580" t="str">
        <f>'Accounts by GL'!C228</f>
        <v>40864</v>
      </c>
      <c r="D50" s="3318">
        <f>'Accounts by GL'!M228</f>
        <v>0</v>
      </c>
      <c r="E50" s="14"/>
      <c r="F50" s="3"/>
    </row>
    <row r="51" spans="1:6">
      <c r="A51" s="3578" t="str">
        <f>'Accounts by GL'!B229</f>
        <v>Technology Fee</v>
      </c>
      <c r="B51" s="3579"/>
      <c r="C51" s="3580" t="str">
        <f>'Accounts by GL'!C229</f>
        <v>40870</v>
      </c>
      <c r="D51" s="3318">
        <f>'Accounts by GL'!M229</f>
        <v>0</v>
      </c>
      <c r="E51" s="14"/>
      <c r="F51" s="3"/>
    </row>
    <row r="52" spans="1:6">
      <c r="A52" s="3578" t="str">
        <f>'Accounts by GL'!B230</f>
        <v>Other Student Fees</v>
      </c>
      <c r="B52" s="3579"/>
      <c r="C52" s="3580" t="str">
        <f>'Accounts by GL'!C230</f>
        <v>40900</v>
      </c>
      <c r="D52" s="3318">
        <f>'Accounts by GL'!M230</f>
        <v>0</v>
      </c>
      <c r="E52" s="14"/>
      <c r="F52" s="3"/>
    </row>
    <row r="53" spans="1:6">
      <c r="A53" s="3578" t="str">
        <f>'Accounts by GL'!B231</f>
        <v>Late Fees</v>
      </c>
      <c r="B53" s="3579"/>
      <c r="C53" s="3580" t="str">
        <f>'Accounts by GL'!C231</f>
        <v>40910</v>
      </c>
      <c r="D53" s="3318">
        <f>'Accounts by GL'!M231</f>
        <v>0</v>
      </c>
      <c r="E53" s="14"/>
      <c r="F53" s="3"/>
    </row>
    <row r="54" spans="1:6">
      <c r="A54" s="3578" t="str">
        <f>'Accounts by GL'!B232</f>
        <v>Testing Fees</v>
      </c>
      <c r="B54" s="3579"/>
      <c r="C54" s="3580" t="str">
        <f>'Accounts by GL'!C232</f>
        <v>40920</v>
      </c>
      <c r="D54" s="3318">
        <f>'Accounts by GL'!M232</f>
        <v>0</v>
      </c>
      <c r="E54" s="14"/>
      <c r="F54" s="3"/>
    </row>
    <row r="55" spans="1:6">
      <c r="A55" s="3578" t="str">
        <f>'Accounts by GL'!B233</f>
        <v>Student Insurance Fees</v>
      </c>
      <c r="B55" s="3579"/>
      <c r="C55" s="3580" t="str">
        <f>'Accounts by GL'!C233</f>
        <v>40930</v>
      </c>
      <c r="D55" s="3318">
        <f>'Accounts by GL'!M233</f>
        <v>0</v>
      </c>
      <c r="E55" s="14"/>
      <c r="F55" s="3"/>
    </row>
    <row r="56" spans="1:6">
      <c r="A56" s="3578" t="str">
        <f>'Accounts by GL'!B234</f>
        <v>Safety &amp; Security Fees</v>
      </c>
      <c r="B56" s="3579"/>
      <c r="C56" s="3580" t="str">
        <f>'Accounts by GL'!C234</f>
        <v>40940</v>
      </c>
      <c r="D56" s="3318">
        <f>'Accounts by GL'!M234</f>
        <v>0</v>
      </c>
      <c r="E56" s="14"/>
      <c r="F56" s="3"/>
    </row>
    <row r="57" spans="1:6">
      <c r="A57" s="3578" t="str">
        <f>'Accounts by GL'!B235</f>
        <v>Picture Identification Card Fees</v>
      </c>
      <c r="B57" s="3579"/>
      <c r="C57" s="3580" t="str">
        <f>'Accounts by GL'!C235</f>
        <v>40950</v>
      </c>
      <c r="D57" s="3318">
        <f>'Accounts by GL'!M235</f>
        <v>0</v>
      </c>
      <c r="E57" s="14"/>
      <c r="F57" s="3"/>
    </row>
    <row r="58" spans="1:6">
      <c r="A58" s="3578" t="str">
        <f>'Accounts by GL'!B236</f>
        <v>Parking Fees</v>
      </c>
      <c r="B58" s="3579"/>
      <c r="C58" s="3580" t="str">
        <f>'Accounts by GL'!C236</f>
        <v>40960</v>
      </c>
      <c r="D58" s="3318">
        <f>'Accounts by GL'!M236</f>
        <v>0</v>
      </c>
      <c r="E58" s="14"/>
      <c r="F58" s="3"/>
    </row>
    <row r="59" spans="1:6">
      <c r="A59" s="3578" t="str">
        <f>'Accounts by GL'!B237</f>
        <v>Library Fees</v>
      </c>
      <c r="B59" s="3579"/>
      <c r="C59" s="3580" t="str">
        <f>'Accounts by GL'!C237</f>
        <v>40970</v>
      </c>
      <c r="D59" s="3318">
        <f>'Accounts by GL'!M237</f>
        <v>0</v>
      </c>
      <c r="E59" s="14"/>
      <c r="F59" s="3"/>
    </row>
    <row r="60" spans="1:6">
      <c r="A60" s="3578" t="str">
        <f>'Accounts by GL'!B238</f>
        <v>Contract Course Fees</v>
      </c>
      <c r="B60" s="3579"/>
      <c r="C60" s="3580" t="str">
        <f>'Accounts by GL'!C238</f>
        <v>40990</v>
      </c>
      <c r="D60" s="3318">
        <f>'Accounts by GL'!M238</f>
        <v>0</v>
      </c>
      <c r="E60" s="14"/>
      <c r="F60" s="3"/>
    </row>
    <row r="61" spans="1:6" ht="13.5" thickBot="1">
      <c r="A61" s="3578" t="str">
        <f>'Accounts by GL'!B239</f>
        <v>Residual Student Fees</v>
      </c>
      <c r="B61" s="3579"/>
      <c r="C61" s="3580" t="str">
        <f>'Accounts by GL'!C239</f>
        <v>40991</v>
      </c>
      <c r="D61" s="3318">
        <f>'Accounts by GL'!M239</f>
        <v>0</v>
      </c>
      <c r="E61" s="14"/>
      <c r="F61" s="3"/>
    </row>
    <row r="62" spans="1:6" ht="13.5" thickBot="1">
      <c r="A62" s="49" t="s">
        <v>2721</v>
      </c>
      <c r="B62" s="50"/>
      <c r="C62" s="51"/>
      <c r="D62" s="1380">
        <f>SUM(D27:D61)</f>
        <v>0</v>
      </c>
      <c r="E62" s="14"/>
    </row>
    <row r="63" spans="1:6" ht="13.5" thickBot="1">
      <c r="A63" s="49" t="s">
        <v>2722</v>
      </c>
      <c r="B63" s="50"/>
      <c r="C63" s="51"/>
      <c r="D63" s="1380">
        <f>D24+D62</f>
        <v>0</v>
      </c>
      <c r="E63" s="18"/>
    </row>
    <row r="64" spans="1:6">
      <c r="A64" s="368"/>
      <c r="B64" s="368"/>
      <c r="C64" s="369"/>
      <c r="D64" s="370"/>
      <c r="E64" s="370"/>
    </row>
    <row r="65" spans="1:5">
      <c r="A65" s="2197"/>
      <c r="B65" s="2522" t="str">
        <f>B1</f>
        <v>SAMPLE STATE COLLEGE</v>
      </c>
      <c r="C65" s="2197"/>
      <c r="D65" s="2197"/>
      <c r="E65" s="371"/>
    </row>
    <row r="66" spans="1:5" ht="13.5" thickBot="1">
      <c r="A66" s="2966"/>
      <c r="B66" s="2090" t="str">
        <f>A3</f>
        <v xml:space="preserve">2020-2021 FEES </v>
      </c>
      <c r="C66" s="3014"/>
      <c r="D66" s="2623"/>
      <c r="E66" s="371"/>
    </row>
    <row r="67" spans="1:5">
      <c r="A67" s="19" t="s">
        <v>2723</v>
      </c>
      <c r="B67" s="2"/>
      <c r="C67" s="20"/>
      <c r="D67" s="21"/>
      <c r="E67" s="370"/>
    </row>
    <row r="68" spans="1:5" ht="6.75" customHeight="1">
      <c r="A68" s="22"/>
      <c r="B68" s="4"/>
      <c r="C68" s="20"/>
      <c r="D68" s="23"/>
      <c r="E68" s="370"/>
    </row>
    <row r="69" spans="1:5" ht="13.5" thickBot="1">
      <c r="A69" s="19" t="s">
        <v>2559</v>
      </c>
      <c r="B69" s="4"/>
      <c r="C69" s="20" t="s">
        <v>2257</v>
      </c>
      <c r="D69" s="21" t="s">
        <v>2724</v>
      </c>
      <c r="E69" s="370"/>
    </row>
    <row r="70" spans="1:5">
      <c r="A70" s="24" t="s">
        <v>2725</v>
      </c>
      <c r="B70" s="25" t="s">
        <v>2726</v>
      </c>
      <c r="C70" s="26" t="s">
        <v>2727</v>
      </c>
      <c r="D70" s="1382">
        <f>'Accounts by GL'!D185+'Accounts by GL'!D186</f>
        <v>0</v>
      </c>
      <c r="E70" s="370"/>
    </row>
    <row r="71" spans="1:5">
      <c r="A71" s="27" t="s">
        <v>2725</v>
      </c>
      <c r="B71" s="3319" t="s">
        <v>2728</v>
      </c>
      <c r="C71" s="3320" t="s">
        <v>1423</v>
      </c>
      <c r="D71" s="3321">
        <f>'Accounts by GL'!D187</f>
        <v>0</v>
      </c>
      <c r="E71" s="370"/>
    </row>
    <row r="72" spans="1:5">
      <c r="A72" s="27" t="s">
        <v>2725</v>
      </c>
      <c r="B72" s="3319" t="s">
        <v>2729</v>
      </c>
      <c r="C72" s="3320">
        <v>40130</v>
      </c>
      <c r="D72" s="3321">
        <f>'Accounts by GL'!D188</f>
        <v>0</v>
      </c>
      <c r="E72" s="370"/>
    </row>
    <row r="73" spans="1:5">
      <c r="A73" s="27" t="s">
        <v>2725</v>
      </c>
      <c r="B73" s="3319" t="s">
        <v>2730</v>
      </c>
      <c r="C73" s="3320" t="s">
        <v>1429</v>
      </c>
      <c r="D73" s="3321">
        <f>'Accounts by GL'!D189</f>
        <v>0</v>
      </c>
      <c r="E73" s="370"/>
    </row>
    <row r="74" spans="1:5">
      <c r="A74" s="27" t="s">
        <v>2725</v>
      </c>
      <c r="B74" s="3319" t="s">
        <v>2731</v>
      </c>
      <c r="C74" s="3320">
        <v>40160</v>
      </c>
      <c r="D74" s="3321">
        <f>'Accounts by GL'!D190</f>
        <v>0</v>
      </c>
      <c r="E74" s="370"/>
    </row>
    <row r="75" spans="1:5">
      <c r="A75" s="27" t="s">
        <v>2725</v>
      </c>
      <c r="B75" s="3319" t="s">
        <v>2732</v>
      </c>
      <c r="C75" s="3320">
        <v>40180</v>
      </c>
      <c r="D75" s="3321">
        <f>'Accounts by GL'!D191</f>
        <v>0</v>
      </c>
      <c r="E75" s="370"/>
    </row>
    <row r="76" spans="1:5">
      <c r="A76" s="27" t="s">
        <v>2725</v>
      </c>
      <c r="B76" s="3319" t="s">
        <v>2733</v>
      </c>
      <c r="C76" s="3320">
        <v>40190</v>
      </c>
      <c r="D76" s="3321">
        <f>'Accounts by GL'!D192</f>
        <v>0</v>
      </c>
      <c r="E76" s="370"/>
    </row>
    <row r="77" spans="1:5">
      <c r="A77" s="27" t="s">
        <v>2734</v>
      </c>
      <c r="B77" s="3319" t="s">
        <v>2726</v>
      </c>
      <c r="C77" s="3320" t="s">
        <v>2735</v>
      </c>
      <c r="D77" s="3321">
        <f>'Accounts by GL'!D193+'Accounts by GL'!D194</f>
        <v>0</v>
      </c>
      <c r="E77" s="370"/>
    </row>
    <row r="78" spans="1:5">
      <c r="A78" s="27" t="s">
        <v>2734</v>
      </c>
      <c r="B78" s="3319" t="s">
        <v>2728</v>
      </c>
      <c r="C78" s="3320" t="s">
        <v>1447</v>
      </c>
      <c r="D78" s="3321">
        <f>'Accounts by GL'!D195</f>
        <v>0</v>
      </c>
      <c r="E78" s="370"/>
    </row>
    <row r="79" spans="1:5">
      <c r="A79" s="27" t="s">
        <v>2734</v>
      </c>
      <c r="B79" s="3319" t="s">
        <v>2729</v>
      </c>
      <c r="C79" s="3320">
        <v>40330</v>
      </c>
      <c r="D79" s="3321">
        <f>'Accounts by GL'!D196</f>
        <v>0</v>
      </c>
      <c r="E79" s="370"/>
    </row>
    <row r="80" spans="1:5">
      <c r="A80" s="27" t="s">
        <v>2734</v>
      </c>
      <c r="B80" s="3319" t="s">
        <v>2730</v>
      </c>
      <c r="C80" s="3320" t="s">
        <v>1453</v>
      </c>
      <c r="D80" s="3321">
        <f>'Accounts by GL'!D197</f>
        <v>0</v>
      </c>
      <c r="E80" s="370"/>
    </row>
    <row r="81" spans="1:5">
      <c r="A81" s="27" t="s">
        <v>2734</v>
      </c>
      <c r="B81" s="3752" t="s">
        <v>2731</v>
      </c>
      <c r="C81" s="3320">
        <v>40360</v>
      </c>
      <c r="D81" s="3321">
        <f>'Accounts by GL'!D198</f>
        <v>0</v>
      </c>
      <c r="E81" s="370"/>
    </row>
    <row r="82" spans="1:5">
      <c r="A82" s="27" t="s">
        <v>2734</v>
      </c>
      <c r="B82" s="3752" t="s">
        <v>2732</v>
      </c>
      <c r="C82" s="3320">
        <v>40380</v>
      </c>
      <c r="D82" s="3321">
        <f>'Accounts by GL'!D199</f>
        <v>0</v>
      </c>
      <c r="E82" s="370"/>
    </row>
    <row r="83" spans="1:5" ht="13.5" thickBot="1">
      <c r="A83" s="27" t="s">
        <v>2734</v>
      </c>
      <c r="B83" s="3752" t="s">
        <v>2733</v>
      </c>
      <c r="C83" s="3320">
        <v>40390</v>
      </c>
      <c r="D83" s="3321">
        <f>'Accounts by GL'!D200</f>
        <v>0</v>
      </c>
      <c r="E83" s="370"/>
    </row>
    <row r="84" spans="1:5" ht="13.5" thickBot="1">
      <c r="A84" s="49" t="s">
        <v>2736</v>
      </c>
      <c r="B84" s="50"/>
      <c r="C84" s="51"/>
      <c r="D84" s="1380">
        <f>SUM(D70:D83)</f>
        <v>0</v>
      </c>
      <c r="E84" s="370"/>
    </row>
    <row r="85" spans="1:5">
      <c r="A85" s="28"/>
      <c r="B85" s="29"/>
      <c r="C85" s="30"/>
      <c r="D85" s="31"/>
      <c r="E85" s="370"/>
    </row>
    <row r="86" spans="1:5" ht="13.5" thickBot="1">
      <c r="A86" s="32" t="s">
        <v>2737</v>
      </c>
      <c r="B86" s="29"/>
      <c r="C86" s="30"/>
      <c r="D86" s="31"/>
      <c r="E86" s="370"/>
    </row>
    <row r="87" spans="1:5">
      <c r="A87" s="33" t="s">
        <v>2725</v>
      </c>
      <c r="B87" s="3322" t="s">
        <v>2726</v>
      </c>
      <c r="C87" s="26" t="s">
        <v>2727</v>
      </c>
      <c r="D87" s="3321">
        <f>'Accounts by GL'!E185+'Accounts by GL'!E186</f>
        <v>0</v>
      </c>
      <c r="E87" s="370"/>
    </row>
    <row r="88" spans="1:5" ht="13.5" thickBot="1">
      <c r="A88" s="3584" t="s">
        <v>2734</v>
      </c>
      <c r="B88" s="3753" t="s">
        <v>2726</v>
      </c>
      <c r="C88" s="3320" t="s">
        <v>2735</v>
      </c>
      <c r="D88" s="3754">
        <f>'Accounts by GL'!E193+'Accounts by GL'!E194</f>
        <v>0</v>
      </c>
      <c r="E88" s="370"/>
    </row>
    <row r="89" spans="1:5" ht="13.5" thickBot="1">
      <c r="A89" s="49" t="s">
        <v>2738</v>
      </c>
      <c r="B89" s="50"/>
      <c r="C89" s="51"/>
      <c r="D89" s="1380">
        <f>SUM(D87:D88)</f>
        <v>0</v>
      </c>
      <c r="E89" s="370"/>
    </row>
    <row r="90" spans="1:5" ht="13.5" thickBot="1">
      <c r="A90" s="22"/>
      <c r="B90" s="29"/>
      <c r="C90" s="30"/>
      <c r="D90" s="31"/>
      <c r="E90" s="370"/>
    </row>
    <row r="91" spans="1:5" ht="13.5" thickBot="1">
      <c r="A91" s="49" t="s">
        <v>2739</v>
      </c>
      <c r="B91" s="50"/>
      <c r="C91" s="51"/>
      <c r="D91" s="1380">
        <f>+D84+D89</f>
        <v>0</v>
      </c>
      <c r="E91" s="370"/>
    </row>
    <row r="92" spans="1:5" ht="13.5" thickBot="1">
      <c r="A92" s="372"/>
      <c r="B92" s="372"/>
      <c r="C92" s="373"/>
      <c r="D92" s="374"/>
      <c r="E92" s="371"/>
    </row>
    <row r="93" spans="1:5" ht="13.5" thickBot="1">
      <c r="A93" s="34" t="s">
        <v>2740</v>
      </c>
      <c r="B93" s="35"/>
      <c r="C93" s="375"/>
      <c r="D93" s="376"/>
      <c r="E93" s="370"/>
    </row>
    <row r="94" spans="1:5">
      <c r="A94" s="36" t="s">
        <v>2725</v>
      </c>
      <c r="B94" s="377"/>
      <c r="C94" s="378"/>
      <c r="D94" s="1383">
        <f>SUM(D6:D13)</f>
        <v>0</v>
      </c>
      <c r="E94" s="370"/>
    </row>
    <row r="95" spans="1:5">
      <c r="A95" s="37"/>
      <c r="B95" s="29"/>
      <c r="C95" s="379"/>
      <c r="D95" s="380"/>
      <c r="E95" s="370"/>
    </row>
    <row r="96" spans="1:5">
      <c r="A96" s="3585" t="s">
        <v>2734</v>
      </c>
      <c r="B96" s="3586"/>
      <c r="C96" s="3587"/>
      <c r="D96" s="3588">
        <f>SUM(D15:D22)</f>
        <v>0</v>
      </c>
      <c r="E96" s="370"/>
    </row>
    <row r="97" spans="1:256" ht="13.5" thickBot="1">
      <c r="A97" s="38"/>
      <c r="B97" s="29"/>
      <c r="C97" s="379"/>
      <c r="D97" s="380"/>
      <c r="E97" s="370"/>
    </row>
    <row r="98" spans="1:256" ht="13.5" thickBot="1">
      <c r="A98" s="39" t="s">
        <v>2712</v>
      </c>
      <c r="B98" s="381"/>
      <c r="C98" s="382"/>
      <c r="D98" s="1384">
        <f>D94+D96</f>
        <v>0</v>
      </c>
      <c r="E98" s="370"/>
    </row>
    <row r="99" spans="1:256">
      <c r="A99" s="383"/>
      <c r="B99" s="377"/>
      <c r="C99" s="373"/>
      <c r="D99" s="384"/>
      <c r="E99" s="370"/>
    </row>
    <row r="100" spans="1:256">
      <c r="A100" s="40" t="s">
        <v>2741</v>
      </c>
      <c r="B100" s="41"/>
      <c r="C100" s="42"/>
      <c r="D100" s="1385">
        <f>D51</f>
        <v>0</v>
      </c>
      <c r="E100" s="370"/>
    </row>
    <row r="101" spans="1:256" ht="13.5" thickBot="1">
      <c r="A101" s="383"/>
      <c r="B101" s="385"/>
      <c r="C101" s="373"/>
      <c r="D101" s="380"/>
      <c r="E101" s="370"/>
    </row>
    <row r="102" spans="1:256" ht="13.5" thickBot="1">
      <c r="A102" s="49" t="s">
        <v>2742</v>
      </c>
      <c r="B102" s="50"/>
      <c r="C102" s="51"/>
      <c r="D102" s="1380">
        <f>D98+D100</f>
        <v>0</v>
      </c>
      <c r="E102" s="370"/>
    </row>
    <row r="104" spans="1:256">
      <c r="A104" s="119" t="s">
        <v>2743</v>
      </c>
      <c r="B104" s="368"/>
      <c r="C104" s="369"/>
      <c r="D104" s="368"/>
      <c r="G104" s="368"/>
      <c r="H104" s="368"/>
      <c r="I104" s="368"/>
      <c r="J104" s="368"/>
      <c r="K104" s="368"/>
      <c r="L104" s="368"/>
      <c r="M104" s="368"/>
      <c r="N104" s="368"/>
      <c r="O104" s="368"/>
      <c r="P104" s="368"/>
      <c r="Q104" s="368"/>
      <c r="R104" s="368"/>
      <c r="S104" s="368"/>
      <c r="T104" s="368"/>
      <c r="U104" s="368"/>
      <c r="V104" s="368"/>
      <c r="W104" s="368"/>
      <c r="X104" s="368"/>
      <c r="Y104" s="368"/>
      <c r="Z104" s="368"/>
      <c r="AA104" s="368"/>
      <c r="AB104" s="368"/>
      <c r="AC104" s="368"/>
      <c r="AD104" s="368"/>
      <c r="AE104" s="368"/>
      <c r="AF104" s="368"/>
      <c r="AG104" s="368"/>
      <c r="AH104" s="368"/>
      <c r="AI104" s="368"/>
      <c r="AJ104" s="368"/>
      <c r="AK104" s="368"/>
      <c r="AL104" s="368"/>
      <c r="AM104" s="368"/>
      <c r="AN104" s="368"/>
      <c r="AO104" s="368"/>
      <c r="AP104" s="368"/>
      <c r="AQ104" s="368"/>
      <c r="AR104" s="368"/>
      <c r="AS104" s="368"/>
      <c r="AT104" s="368"/>
      <c r="AU104" s="368"/>
      <c r="AV104" s="368"/>
      <c r="AW104" s="368"/>
      <c r="AX104" s="368"/>
      <c r="AY104" s="368"/>
      <c r="AZ104" s="368"/>
      <c r="BA104" s="368"/>
      <c r="BB104" s="368"/>
      <c r="BC104" s="368"/>
      <c r="BD104" s="368"/>
      <c r="BE104" s="368"/>
      <c r="BF104" s="368"/>
      <c r="BG104" s="368"/>
      <c r="BH104" s="368"/>
      <c r="BI104" s="368"/>
      <c r="BJ104" s="368"/>
      <c r="BK104" s="368"/>
      <c r="BL104" s="368"/>
      <c r="BM104" s="368"/>
      <c r="BN104" s="368"/>
      <c r="BO104" s="368"/>
      <c r="BP104" s="368"/>
      <c r="BQ104" s="368"/>
      <c r="BR104" s="368"/>
      <c r="BS104" s="368"/>
      <c r="BT104" s="368"/>
      <c r="BU104" s="368"/>
      <c r="BV104" s="368"/>
      <c r="BW104" s="368"/>
      <c r="BX104" s="368"/>
      <c r="BY104" s="368"/>
      <c r="BZ104" s="368"/>
      <c r="CA104" s="368"/>
      <c r="CB104" s="368"/>
      <c r="CC104" s="368"/>
      <c r="CD104" s="368"/>
      <c r="CE104" s="368"/>
      <c r="CF104" s="368"/>
      <c r="CG104" s="368"/>
      <c r="CH104" s="368"/>
      <c r="CI104" s="368"/>
      <c r="CJ104" s="368"/>
      <c r="CK104" s="368"/>
      <c r="CL104" s="368"/>
      <c r="CM104" s="368"/>
      <c r="CN104" s="368"/>
      <c r="CO104" s="368"/>
      <c r="CP104" s="368"/>
      <c r="CQ104" s="368"/>
      <c r="CR104" s="368"/>
      <c r="CS104" s="368"/>
      <c r="CT104" s="368"/>
      <c r="CU104" s="368"/>
      <c r="CV104" s="368"/>
      <c r="CW104" s="368"/>
      <c r="CX104" s="368"/>
      <c r="CY104" s="368"/>
      <c r="CZ104" s="368"/>
      <c r="DA104" s="368"/>
      <c r="DB104" s="368"/>
      <c r="DC104" s="368"/>
      <c r="DD104" s="368"/>
      <c r="DE104" s="368"/>
      <c r="DF104" s="368"/>
      <c r="DG104" s="368"/>
      <c r="DH104" s="368"/>
      <c r="DI104" s="368"/>
      <c r="DJ104" s="368"/>
      <c r="DK104" s="368"/>
      <c r="DL104" s="368"/>
      <c r="DM104" s="368"/>
      <c r="DN104" s="368"/>
      <c r="DO104" s="368"/>
      <c r="DP104" s="368"/>
      <c r="DQ104" s="368"/>
      <c r="DR104" s="368"/>
      <c r="DS104" s="368"/>
      <c r="DT104" s="368"/>
      <c r="DU104" s="368"/>
      <c r="DV104" s="368"/>
      <c r="DW104" s="368"/>
      <c r="DX104" s="368"/>
      <c r="DY104" s="368"/>
      <c r="DZ104" s="368"/>
      <c r="EA104" s="368"/>
      <c r="EB104" s="368"/>
      <c r="EC104" s="368"/>
      <c r="ED104" s="368"/>
      <c r="EE104" s="368"/>
      <c r="EF104" s="368"/>
      <c r="EG104" s="368"/>
      <c r="EH104" s="368"/>
      <c r="EI104" s="368"/>
      <c r="EJ104" s="368"/>
      <c r="EK104" s="368"/>
      <c r="EL104" s="368"/>
      <c r="EM104" s="368"/>
      <c r="EN104" s="368"/>
      <c r="EO104" s="368"/>
      <c r="EP104" s="368"/>
      <c r="EQ104" s="368"/>
      <c r="ER104" s="368"/>
      <c r="ES104" s="368"/>
      <c r="ET104" s="368"/>
      <c r="EU104" s="368"/>
      <c r="EV104" s="368"/>
      <c r="EW104" s="368"/>
      <c r="EX104" s="368"/>
      <c r="EY104" s="368"/>
      <c r="EZ104" s="368"/>
      <c r="FA104" s="368"/>
      <c r="FB104" s="368"/>
      <c r="FC104" s="368"/>
      <c r="FD104" s="368"/>
      <c r="FE104" s="368"/>
      <c r="FF104" s="368"/>
      <c r="FG104" s="368"/>
      <c r="FH104" s="368"/>
      <c r="FI104" s="368"/>
      <c r="FJ104" s="368"/>
      <c r="FK104" s="368"/>
      <c r="FL104" s="368"/>
      <c r="FM104" s="368"/>
      <c r="FN104" s="368"/>
      <c r="FO104" s="368"/>
      <c r="FP104" s="368"/>
      <c r="FQ104" s="368"/>
      <c r="FR104" s="368"/>
      <c r="FS104" s="368"/>
      <c r="FT104" s="368"/>
      <c r="FU104" s="368"/>
      <c r="FV104" s="368"/>
      <c r="FW104" s="368"/>
      <c r="FX104" s="368"/>
      <c r="FY104" s="368"/>
      <c r="FZ104" s="368"/>
      <c r="GA104" s="368"/>
      <c r="GB104" s="368"/>
      <c r="GC104" s="368"/>
      <c r="GD104" s="368"/>
      <c r="GE104" s="368"/>
      <c r="GF104" s="368"/>
      <c r="GG104" s="368"/>
      <c r="GH104" s="368"/>
      <c r="GI104" s="368"/>
      <c r="GJ104" s="368"/>
      <c r="GK104" s="368"/>
      <c r="GL104" s="368"/>
      <c r="GM104" s="368"/>
      <c r="GN104" s="368"/>
      <c r="GO104" s="368"/>
      <c r="GP104" s="368"/>
      <c r="GQ104" s="368"/>
      <c r="GR104" s="368"/>
      <c r="GS104" s="368"/>
      <c r="GT104" s="368"/>
      <c r="GU104" s="368"/>
      <c r="GV104" s="368"/>
      <c r="GW104" s="368"/>
      <c r="GX104" s="368"/>
      <c r="GY104" s="368"/>
      <c r="GZ104" s="368"/>
      <c r="HA104" s="368"/>
      <c r="HB104" s="368"/>
      <c r="HC104" s="368"/>
      <c r="HD104" s="368"/>
      <c r="HE104" s="368"/>
      <c r="HF104" s="368"/>
      <c r="HG104" s="368"/>
      <c r="HH104" s="368"/>
      <c r="HI104" s="368"/>
      <c r="HJ104" s="368"/>
      <c r="HK104" s="368"/>
      <c r="HL104" s="368"/>
      <c r="HM104" s="368"/>
      <c r="HN104" s="368"/>
      <c r="HO104" s="368"/>
      <c r="HP104" s="368"/>
      <c r="HQ104" s="368"/>
      <c r="HR104" s="368"/>
      <c r="HS104" s="368"/>
      <c r="HT104" s="368"/>
      <c r="HU104" s="368"/>
      <c r="HV104" s="368"/>
      <c r="HW104" s="368"/>
      <c r="HX104" s="368"/>
      <c r="HY104" s="368"/>
      <c r="HZ104" s="368"/>
      <c r="IA104" s="368"/>
      <c r="IB104" s="368"/>
      <c r="IC104" s="368"/>
      <c r="ID104" s="368"/>
      <c r="IE104" s="368"/>
      <c r="IF104" s="368"/>
      <c r="IG104" s="368"/>
      <c r="IH104" s="368"/>
      <c r="II104" s="368"/>
      <c r="IJ104" s="368"/>
      <c r="IK104" s="368"/>
      <c r="IL104" s="368"/>
      <c r="IM104" s="368"/>
      <c r="IN104" s="368"/>
      <c r="IO104" s="368"/>
      <c r="IP104" s="368"/>
      <c r="IQ104" s="368"/>
      <c r="IR104" s="368"/>
      <c r="IS104" s="368"/>
      <c r="IT104" s="368"/>
      <c r="IU104" s="368"/>
      <c r="IV104" s="368"/>
    </row>
    <row r="105" spans="1:256" ht="0.75" customHeight="1">
      <c r="G105" s="368"/>
      <c r="H105" s="368"/>
      <c r="I105" s="368"/>
      <c r="J105" s="368"/>
      <c r="K105" s="368"/>
      <c r="L105" s="368"/>
      <c r="M105" s="368"/>
      <c r="N105" s="368"/>
      <c r="O105" s="368"/>
      <c r="P105" s="368"/>
      <c r="Q105" s="368"/>
      <c r="R105" s="368"/>
      <c r="S105" s="368"/>
      <c r="T105" s="368"/>
      <c r="U105" s="368"/>
      <c r="V105" s="368"/>
      <c r="W105" s="368"/>
      <c r="X105" s="368"/>
      <c r="Y105" s="368"/>
      <c r="Z105" s="368"/>
      <c r="AA105" s="368"/>
      <c r="AB105" s="368"/>
      <c r="AC105" s="368"/>
      <c r="AD105" s="368"/>
      <c r="AE105" s="368"/>
      <c r="AF105" s="368"/>
      <c r="AG105" s="368"/>
      <c r="AH105" s="368"/>
      <c r="AI105" s="368"/>
      <c r="AJ105" s="368"/>
      <c r="AK105" s="368"/>
      <c r="AL105" s="368"/>
      <c r="AM105" s="368"/>
      <c r="AN105" s="368"/>
      <c r="AO105" s="368"/>
      <c r="AP105" s="368"/>
      <c r="AQ105" s="368"/>
      <c r="AR105" s="368"/>
      <c r="AS105" s="368"/>
      <c r="AT105" s="368"/>
      <c r="AU105" s="368"/>
      <c r="AV105" s="368"/>
      <c r="AW105" s="368"/>
      <c r="AX105" s="368"/>
      <c r="AY105" s="368"/>
      <c r="AZ105" s="368"/>
      <c r="BA105" s="368"/>
      <c r="BB105" s="368"/>
      <c r="BC105" s="368"/>
      <c r="BD105" s="368"/>
      <c r="BE105" s="368"/>
      <c r="BF105" s="368"/>
      <c r="BG105" s="368"/>
      <c r="BH105" s="368"/>
      <c r="BI105" s="368"/>
      <c r="BJ105" s="368"/>
      <c r="BK105" s="368"/>
      <c r="BL105" s="368"/>
      <c r="BM105" s="368"/>
      <c r="BN105" s="368"/>
      <c r="BO105" s="368"/>
      <c r="BP105" s="368"/>
      <c r="BQ105" s="368"/>
      <c r="BR105" s="368"/>
      <c r="BS105" s="368"/>
      <c r="BT105" s="368"/>
      <c r="BU105" s="368"/>
      <c r="BV105" s="368"/>
      <c r="BW105" s="368"/>
      <c r="BX105" s="368"/>
      <c r="BY105" s="368"/>
      <c r="BZ105" s="368"/>
      <c r="CA105" s="368"/>
      <c r="CB105" s="368"/>
      <c r="CC105" s="368"/>
      <c r="CD105" s="368"/>
      <c r="CE105" s="368"/>
      <c r="CF105" s="368"/>
      <c r="CG105" s="368"/>
      <c r="CH105" s="368"/>
      <c r="CI105" s="368"/>
      <c r="CJ105" s="368"/>
      <c r="CK105" s="368"/>
      <c r="CL105" s="368"/>
      <c r="CM105" s="368"/>
      <c r="CN105" s="368"/>
      <c r="CO105" s="368"/>
      <c r="CP105" s="368"/>
      <c r="CQ105" s="368"/>
      <c r="CR105" s="368"/>
      <c r="CS105" s="368"/>
      <c r="CT105" s="368"/>
      <c r="CU105" s="368"/>
      <c r="CV105" s="368"/>
      <c r="CW105" s="368"/>
      <c r="CX105" s="368"/>
      <c r="CY105" s="368"/>
      <c r="CZ105" s="368"/>
      <c r="DA105" s="368"/>
      <c r="DB105" s="368"/>
      <c r="DC105" s="368"/>
      <c r="DD105" s="368"/>
      <c r="DE105" s="368"/>
      <c r="DF105" s="368"/>
      <c r="DG105" s="368"/>
      <c r="DH105" s="368"/>
      <c r="DI105" s="368"/>
      <c r="DJ105" s="368"/>
      <c r="DK105" s="368"/>
      <c r="DL105" s="368"/>
      <c r="DM105" s="368"/>
      <c r="DN105" s="368"/>
      <c r="DO105" s="368"/>
      <c r="DP105" s="368"/>
      <c r="DQ105" s="368"/>
      <c r="DR105" s="368"/>
      <c r="DS105" s="368"/>
      <c r="DT105" s="368"/>
      <c r="DU105" s="368"/>
      <c r="DV105" s="368"/>
      <c r="DW105" s="368"/>
      <c r="DX105" s="368"/>
      <c r="DY105" s="368"/>
      <c r="DZ105" s="368"/>
      <c r="EA105" s="368"/>
      <c r="EB105" s="368"/>
      <c r="EC105" s="368"/>
      <c r="ED105" s="368"/>
      <c r="EE105" s="368"/>
      <c r="EF105" s="368"/>
      <c r="EG105" s="368"/>
      <c r="EH105" s="368"/>
      <c r="EI105" s="368"/>
      <c r="EJ105" s="368"/>
      <c r="EK105" s="368"/>
      <c r="EL105" s="368"/>
      <c r="EM105" s="368"/>
      <c r="EN105" s="368"/>
      <c r="EO105" s="368"/>
      <c r="EP105" s="368"/>
      <c r="EQ105" s="368"/>
      <c r="ER105" s="368"/>
      <c r="ES105" s="368"/>
      <c r="ET105" s="368"/>
      <c r="EU105" s="368"/>
      <c r="EV105" s="368"/>
      <c r="EW105" s="368"/>
      <c r="EX105" s="368"/>
      <c r="EY105" s="368"/>
      <c r="EZ105" s="368"/>
      <c r="FA105" s="368"/>
      <c r="FB105" s="368"/>
      <c r="FC105" s="368"/>
      <c r="FD105" s="368"/>
      <c r="FE105" s="368"/>
      <c r="FF105" s="368"/>
      <c r="FG105" s="368"/>
      <c r="FH105" s="368"/>
      <c r="FI105" s="368"/>
      <c r="FJ105" s="368"/>
      <c r="FK105" s="368"/>
      <c r="FL105" s="368"/>
      <c r="FM105" s="368"/>
      <c r="FN105" s="368"/>
      <c r="FO105" s="368"/>
      <c r="FP105" s="368"/>
      <c r="FQ105" s="368"/>
      <c r="FR105" s="368"/>
      <c r="FS105" s="368"/>
      <c r="FT105" s="368"/>
      <c r="FU105" s="368"/>
      <c r="FV105" s="368"/>
      <c r="FW105" s="368"/>
      <c r="FX105" s="368"/>
      <c r="FY105" s="368"/>
      <c r="FZ105" s="368"/>
      <c r="GA105" s="368"/>
      <c r="GB105" s="368"/>
      <c r="GC105" s="368"/>
      <c r="GD105" s="368"/>
      <c r="GE105" s="368"/>
      <c r="GF105" s="368"/>
      <c r="GG105" s="368"/>
      <c r="GH105" s="368"/>
      <c r="GI105" s="368"/>
      <c r="GJ105" s="368"/>
      <c r="GK105" s="368"/>
      <c r="GL105" s="368"/>
      <c r="GM105" s="368"/>
      <c r="GN105" s="368"/>
      <c r="GO105" s="368"/>
      <c r="GP105" s="368"/>
      <c r="GQ105" s="368"/>
      <c r="GR105" s="368"/>
      <c r="GS105" s="368"/>
      <c r="GT105" s="368"/>
      <c r="GU105" s="368"/>
      <c r="GV105" s="368"/>
      <c r="GW105" s="368"/>
      <c r="GX105" s="368"/>
      <c r="GY105" s="368"/>
      <c r="GZ105" s="368"/>
      <c r="HA105" s="368"/>
      <c r="HB105" s="368"/>
      <c r="HC105" s="368"/>
      <c r="HD105" s="368"/>
      <c r="HE105" s="368"/>
      <c r="HF105" s="368"/>
      <c r="HG105" s="368"/>
      <c r="HH105" s="368"/>
      <c r="HI105" s="368"/>
      <c r="HJ105" s="368"/>
      <c r="HK105" s="368"/>
      <c r="HL105" s="368"/>
      <c r="HM105" s="368"/>
      <c r="HN105" s="368"/>
      <c r="HO105" s="368"/>
      <c r="HP105" s="368"/>
      <c r="HQ105" s="368"/>
      <c r="HR105" s="368"/>
      <c r="HS105" s="368"/>
      <c r="HT105" s="368"/>
      <c r="HU105" s="368"/>
      <c r="HV105" s="368"/>
      <c r="HW105" s="368"/>
      <c r="HX105" s="368"/>
      <c r="HY105" s="368"/>
      <c r="HZ105" s="368"/>
      <c r="IA105" s="368"/>
      <c r="IB105" s="368"/>
      <c r="IC105" s="368"/>
      <c r="ID105" s="368"/>
      <c r="IE105" s="368"/>
      <c r="IF105" s="368"/>
      <c r="IG105" s="368"/>
      <c r="IH105" s="368"/>
      <c r="II105" s="368"/>
      <c r="IJ105" s="368"/>
      <c r="IK105" s="368"/>
      <c r="IL105" s="368"/>
      <c r="IM105" s="368"/>
      <c r="IN105" s="368"/>
      <c r="IO105" s="368"/>
      <c r="IP105" s="368"/>
      <c r="IQ105" s="368"/>
      <c r="IR105" s="368"/>
      <c r="IS105" s="368"/>
      <c r="IT105" s="368"/>
      <c r="IU105" s="368"/>
      <c r="IV105" s="368"/>
    </row>
    <row r="182" spans="7:16">
      <c r="G182" s="368"/>
      <c r="H182" s="368"/>
      <c r="I182" s="368"/>
      <c r="J182" s="368"/>
      <c r="K182" s="368"/>
      <c r="L182" s="368"/>
      <c r="M182" s="368"/>
      <c r="N182" s="368"/>
      <c r="O182" s="368"/>
      <c r="P182" s="387"/>
    </row>
    <row r="202" spans="1:6">
      <c r="A202" s="388"/>
      <c r="B202" s="389"/>
      <c r="C202" s="390"/>
      <c r="D202" s="389"/>
      <c r="E202" s="389"/>
      <c r="F202" s="391"/>
    </row>
    <row r="227" spans="1:6">
      <c r="A227" s="368"/>
      <c r="B227" s="368"/>
      <c r="C227" s="369"/>
      <c r="D227" s="368"/>
      <c r="E227" s="368"/>
      <c r="F227" s="368"/>
    </row>
    <row r="228" spans="1:6">
      <c r="A228" s="3589"/>
      <c r="B228" s="3590"/>
      <c r="C228" s="3591"/>
      <c r="D228" s="3590"/>
      <c r="E228" s="3590"/>
      <c r="F228" s="3592"/>
    </row>
    <row r="229" spans="1:6">
      <c r="A229" s="368"/>
      <c r="B229" s="368"/>
      <c r="C229" s="369"/>
      <c r="D229" s="368"/>
      <c r="E229" s="368"/>
      <c r="F229" s="368"/>
    </row>
    <row r="244" spans="1:6">
      <c r="A244" s="368"/>
      <c r="B244" s="368"/>
      <c r="C244" s="369"/>
      <c r="D244" s="368"/>
      <c r="E244" s="368"/>
      <c r="F244" s="368"/>
    </row>
    <row r="245" spans="1:6">
      <c r="A245" s="3589"/>
      <c r="B245" s="3590"/>
      <c r="C245" s="3591"/>
      <c r="D245" s="3590"/>
      <c r="E245" s="3590"/>
      <c r="F245" s="3592"/>
    </row>
    <row r="246" spans="1:6">
      <c r="A246" s="368"/>
      <c r="B246" s="368"/>
      <c r="C246" s="369"/>
      <c r="D246" s="368"/>
      <c r="E246" s="368"/>
      <c r="F246" s="368"/>
    </row>
    <row r="293" spans="1:6">
      <c r="A293" s="368"/>
      <c r="B293" s="368"/>
      <c r="C293" s="369"/>
      <c r="D293" s="368"/>
      <c r="E293" s="368"/>
      <c r="F293" s="368"/>
    </row>
    <row r="294" spans="1:6">
      <c r="A294" s="3589"/>
      <c r="B294" s="3590"/>
      <c r="C294" s="3591"/>
      <c r="D294" s="3590"/>
      <c r="E294" s="3590"/>
      <c r="F294" s="3592"/>
    </row>
    <row r="295" spans="1:6">
      <c r="A295" s="368"/>
      <c r="B295" s="368"/>
      <c r="C295" s="369"/>
      <c r="D295" s="368"/>
      <c r="E295" s="368"/>
      <c r="F295" s="368"/>
    </row>
    <row r="305" spans="1:6">
      <c r="A305" s="368"/>
      <c r="B305" s="368"/>
      <c r="C305" s="369"/>
      <c r="D305" s="368"/>
      <c r="E305" s="368"/>
      <c r="F305" s="368"/>
    </row>
    <row r="306" spans="1:6">
      <c r="A306" s="3589"/>
      <c r="B306" s="3590"/>
      <c r="C306" s="3591"/>
      <c r="D306" s="3590"/>
      <c r="E306" s="3590"/>
      <c r="F306" s="3592"/>
    </row>
    <row r="307" spans="1:6">
      <c r="A307" s="368"/>
      <c r="B307" s="368"/>
      <c r="C307" s="369"/>
      <c r="D307" s="368"/>
      <c r="E307" s="368"/>
      <c r="F307" s="368"/>
    </row>
    <row r="319" spans="1:6">
      <c r="A319" s="368"/>
      <c r="B319" s="368"/>
      <c r="C319" s="369"/>
      <c r="D319" s="368"/>
      <c r="E319" s="368"/>
      <c r="F319" s="368"/>
    </row>
    <row r="320" spans="1:6">
      <c r="A320" s="3589"/>
      <c r="B320" s="3590"/>
      <c r="C320" s="3591"/>
      <c r="D320" s="3590"/>
      <c r="E320" s="3590"/>
      <c r="F320" s="3592"/>
    </row>
    <row r="321" spans="1:6">
      <c r="A321" s="392"/>
      <c r="B321" s="368"/>
      <c r="C321" s="369"/>
      <c r="D321" s="368"/>
      <c r="E321" s="368"/>
      <c r="F321" s="387"/>
    </row>
    <row r="322" spans="1:6">
      <c r="A322" s="392"/>
      <c r="B322" s="368"/>
      <c r="C322" s="369"/>
      <c r="D322" s="368"/>
      <c r="E322" s="368"/>
      <c r="F322" s="387"/>
    </row>
    <row r="323" spans="1:6">
      <c r="A323" s="388"/>
      <c r="B323" s="389"/>
      <c r="C323" s="390"/>
      <c r="D323" s="389"/>
      <c r="E323" s="389"/>
      <c r="F323" s="391"/>
    </row>
    <row r="324" spans="1:6">
      <c r="A324" s="368"/>
      <c r="B324" s="368"/>
      <c r="C324" s="369"/>
      <c r="D324" s="368"/>
      <c r="E324" s="368"/>
      <c r="F324" s="368"/>
    </row>
    <row r="325" spans="1:6">
      <c r="A325" s="392"/>
      <c r="B325" s="368"/>
      <c r="C325" s="369"/>
      <c r="D325" s="368"/>
      <c r="E325" s="368"/>
      <c r="F325" s="387"/>
    </row>
    <row r="332" spans="1:6">
      <c r="A332" s="368"/>
      <c r="B332" s="368"/>
      <c r="C332" s="369"/>
      <c r="D332" s="368"/>
      <c r="E332" s="368"/>
      <c r="F332" s="368"/>
    </row>
    <row r="333" spans="1:6">
      <c r="A333" s="3589"/>
      <c r="B333" s="3590"/>
      <c r="C333" s="3591"/>
      <c r="D333" s="3590"/>
      <c r="E333" s="3590"/>
      <c r="F333" s="3592"/>
    </row>
    <row r="334" spans="1:6">
      <c r="A334" s="368"/>
      <c r="B334" s="368"/>
      <c r="C334" s="369"/>
      <c r="D334" s="368"/>
      <c r="E334" s="368"/>
      <c r="F334" s="368"/>
    </row>
    <row r="359" spans="1:6">
      <c r="A359" s="388"/>
      <c r="B359" s="389"/>
      <c r="C359" s="390"/>
      <c r="D359" s="389"/>
      <c r="E359" s="389"/>
      <c r="F359" s="391"/>
    </row>
    <row r="413" spans="1:6">
      <c r="A413" s="368"/>
      <c r="B413" s="368"/>
      <c r="C413" s="369"/>
      <c r="D413" s="368"/>
      <c r="E413" s="368"/>
      <c r="F413" s="368"/>
    </row>
    <row r="414" spans="1:6">
      <c r="A414" s="3589"/>
      <c r="B414" s="3590"/>
      <c r="C414" s="3591"/>
      <c r="D414" s="3590"/>
      <c r="E414" s="3590"/>
      <c r="F414" s="3592"/>
    </row>
    <row r="415" spans="1:6">
      <c r="A415" s="368"/>
      <c r="B415" s="368"/>
      <c r="C415" s="369"/>
      <c r="D415" s="368"/>
      <c r="E415" s="368"/>
      <c r="F415" s="368"/>
    </row>
    <row r="478" spans="1:6">
      <c r="A478" s="368"/>
      <c r="B478" s="368"/>
      <c r="C478" s="369"/>
      <c r="D478" s="368"/>
      <c r="E478" s="368"/>
      <c r="F478" s="368"/>
    </row>
    <row r="479" spans="1:6">
      <c r="A479" s="3589"/>
      <c r="B479" s="3590"/>
      <c r="C479" s="3591"/>
      <c r="D479" s="3590"/>
      <c r="E479" s="3590"/>
      <c r="F479" s="3592"/>
    </row>
    <row r="480" spans="1:6">
      <c r="A480" s="368"/>
      <c r="B480" s="368"/>
      <c r="C480" s="369"/>
      <c r="D480" s="368"/>
      <c r="E480" s="368"/>
      <c r="F480" s="368"/>
    </row>
  </sheetData>
  <sheetProtection algorithmName="SHA-512" hashValue="y/qmzqYYDLQwij2t2TAZNlV84jIXWK6t/WiEOXcse0rbqpn/wUofTqjVoKvtEjp/zF2lcR9d3Djfgpc1DFM0kA==" saltValue="V2N5K1deVDWrco2qB5nQHw==" spinCount="100000" sheet="1" objects="1" scenarios="1"/>
  <printOptions horizontalCentered="1"/>
  <pageMargins left="0.7" right="0.7" top="0.75" bottom="0.75" header="0.5" footer="0.5"/>
  <pageSetup scale="98" fitToHeight="0" orientation="landscape" r:id="rId1"/>
  <headerFooter>
    <oddHeader>&amp;L&amp;"Arial,Regular"&amp;8&amp;F&amp;R&amp;"Arial,Regular"&amp;8&amp;A</oddHeader>
    <oddFooter>&amp;L&amp;"Arial,Regular"&amp;8&amp;D&amp;R&amp;"Arial,Regular"&amp;8&amp;P of &amp;N</oddFooter>
  </headerFooter>
  <rowBreaks count="1" manualBreakCount="1">
    <brk id="63" max="4" man="1"/>
  </rowBreaks>
  <ignoredErrors>
    <ignoredError sqref="C71 C73:C76 C78:C83"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tint="-0.249977111117893"/>
    <pageSetUpPr fitToPage="1"/>
  </sheetPr>
  <dimension ref="A1:V56"/>
  <sheetViews>
    <sheetView workbookViewId="0"/>
  </sheetViews>
  <sheetFormatPr defaultColWidth="9.140625" defaultRowHeight="15"/>
  <cols>
    <col min="1" max="1" width="6.28515625" style="1021" customWidth="1"/>
    <col min="2" max="2" width="0.5703125" style="1021" customWidth="1"/>
    <col min="3" max="3" width="1.7109375" style="1021" customWidth="1"/>
    <col min="4" max="4" width="13.140625" style="1021" customWidth="1"/>
    <col min="5" max="5" width="17" style="1021" customWidth="1"/>
    <col min="6" max="6" width="15.42578125" style="1021" customWidth="1"/>
    <col min="7" max="7" width="0.85546875" style="1021" customWidth="1"/>
    <col min="8" max="8" width="16" style="1021" customWidth="1"/>
    <col min="9" max="9" width="0.85546875" style="1021" customWidth="1"/>
    <col min="10" max="10" width="14.140625" style="1021" customWidth="1"/>
    <col min="11" max="11" width="0.85546875" style="1021" customWidth="1"/>
    <col min="12" max="12" width="15.42578125" style="1021" customWidth="1"/>
    <col min="13" max="13" width="0.85546875" style="1021" customWidth="1"/>
    <col min="14" max="14" width="14.140625" style="1021" customWidth="1"/>
    <col min="15" max="15" width="1.7109375" style="1021" customWidth="1"/>
    <col min="16" max="16" width="2.140625" style="1021" customWidth="1"/>
    <col min="17" max="17" width="17.140625" style="1022" customWidth="1"/>
    <col min="18" max="18" width="17.85546875" style="1021" customWidth="1"/>
    <col min="19" max="19" width="9.140625" style="1021"/>
    <col min="20" max="21" width="9.140625" style="1021" customWidth="1"/>
    <col min="22" max="16384" width="9.140625" style="1021"/>
  </cols>
  <sheetData>
    <row r="1" spans="1:20" s="488" customFormat="1" ht="15" customHeight="1">
      <c r="B1" s="2624"/>
      <c r="C1" s="2624"/>
      <c r="D1" s="2624"/>
      <c r="E1" s="2624"/>
      <c r="F1" s="2624"/>
      <c r="G1" s="2624"/>
      <c r="H1" s="3080" t="str">
        <f>'Contact Information'!$C$5</f>
        <v>SAMPLE STATE COLLEGE</v>
      </c>
      <c r="I1" s="2624"/>
      <c r="J1" s="2624"/>
      <c r="K1" s="2624"/>
      <c r="L1" s="2624"/>
      <c r="M1" s="2624"/>
      <c r="N1" s="2624"/>
      <c r="O1" s="2624"/>
      <c r="P1" s="1013"/>
      <c r="Q1" s="1014"/>
    </row>
    <row r="2" spans="1:20" s="488" customFormat="1" ht="15" customHeight="1">
      <c r="B2" s="2626"/>
      <c r="C2" s="2626"/>
      <c r="D2" s="2626"/>
      <c r="E2" s="2626"/>
      <c r="F2" s="2626"/>
      <c r="G2" s="2626"/>
      <c r="H2" s="3081" t="s">
        <v>2298</v>
      </c>
      <c r="I2" s="2626"/>
      <c r="J2" s="2626"/>
      <c r="K2" s="2626"/>
      <c r="L2" s="2626"/>
      <c r="M2" s="2626"/>
      <c r="N2" s="2626"/>
      <c r="O2" s="2626"/>
      <c r="P2" s="1015"/>
      <c r="Q2" s="1016" t="s">
        <v>3</v>
      </c>
    </row>
    <row r="3" spans="1:20" s="488" customFormat="1" ht="15" customHeight="1">
      <c r="B3" s="2633"/>
      <c r="C3" s="2633"/>
      <c r="D3" s="2633"/>
      <c r="E3" s="2633"/>
      <c r="F3" s="2633"/>
      <c r="G3" s="2633"/>
      <c r="H3" s="3082" t="s">
        <v>2744</v>
      </c>
      <c r="I3" s="2633"/>
      <c r="J3" s="2633"/>
      <c r="K3" s="2633"/>
      <c r="L3" s="2633"/>
      <c r="M3" s="2633"/>
      <c r="N3" s="2633"/>
      <c r="O3" s="2633"/>
      <c r="P3" s="1017"/>
      <c r="Q3" s="1018" t="str">
        <f>'Contact Information'!$C$3</f>
        <v>2021.v01</v>
      </c>
    </row>
    <row r="4" spans="1:20" s="488" customFormat="1" ht="15" customHeight="1">
      <c r="B4" s="2635"/>
      <c r="C4" s="2635"/>
      <c r="D4" s="2635"/>
      <c r="E4" s="2635"/>
      <c r="F4" s="2635"/>
      <c r="G4" s="2635"/>
      <c r="H4" s="4110" t="str">
        <f>SNP!K6</f>
        <v>For the Fiscal Year Ended June 30, 2021</v>
      </c>
      <c r="I4" s="2635"/>
      <c r="J4" s="2635"/>
      <c r="K4" s="2635"/>
      <c r="L4" s="2635"/>
      <c r="M4" s="2635"/>
      <c r="N4" s="2635"/>
      <c r="O4" s="2635"/>
      <c r="P4" s="1019"/>
      <c r="Q4" s="1018"/>
    </row>
    <row r="5" spans="1:20">
      <c r="A5" s="1020"/>
      <c r="B5" s="1020"/>
      <c r="C5" s="1020"/>
      <c r="D5" s="1020"/>
      <c r="E5" s="1020"/>
      <c r="F5" s="1020"/>
      <c r="G5" s="1020"/>
      <c r="H5" s="1020"/>
      <c r="I5" s="1020"/>
      <c r="J5" s="1020"/>
      <c r="K5" s="1020"/>
      <c r="L5" s="1020"/>
      <c r="M5" s="1020"/>
      <c r="N5" s="1020"/>
      <c r="O5" s="1020"/>
    </row>
    <row r="6" spans="1:20" ht="15.75">
      <c r="A6" s="733" t="s">
        <v>2745</v>
      </c>
      <c r="C6" s="3019" t="s">
        <v>2746</v>
      </c>
      <c r="E6" s="1024"/>
      <c r="F6" s="1024"/>
      <c r="G6" s="1024"/>
      <c r="H6" s="1024"/>
      <c r="I6" s="1024"/>
      <c r="J6" s="1024"/>
      <c r="K6" s="1024"/>
      <c r="L6" s="1024"/>
      <c r="M6" s="1024"/>
      <c r="N6" s="1024"/>
      <c r="O6" s="1020"/>
    </row>
    <row r="7" spans="1:20" ht="9" customHeight="1">
      <c r="A7" s="1020"/>
      <c r="B7" s="1023"/>
      <c r="C7" s="1024"/>
      <c r="D7" s="1024"/>
      <c r="E7" s="1024"/>
      <c r="F7" s="1024"/>
      <c r="G7" s="1024"/>
      <c r="H7" s="1024"/>
      <c r="I7" s="1024"/>
      <c r="J7" s="1024"/>
      <c r="K7" s="1024"/>
      <c r="L7" s="1024"/>
      <c r="M7" s="1024"/>
      <c r="N7" s="1024"/>
      <c r="O7" s="1020"/>
    </row>
    <row r="8" spans="1:20" ht="15" customHeight="1">
      <c r="A8" s="1020"/>
      <c r="C8" s="3061" t="s">
        <v>4060</v>
      </c>
      <c r="D8" s="2625"/>
      <c r="E8" s="2625"/>
      <c r="F8" s="2625"/>
      <c r="G8" s="2625"/>
      <c r="H8" s="2625"/>
      <c r="I8" s="2625"/>
      <c r="J8" s="2625"/>
      <c r="K8" s="2625"/>
      <c r="L8" s="2625"/>
      <c r="M8" s="2625"/>
      <c r="N8" s="2625"/>
      <c r="O8" s="2625"/>
    </row>
    <row r="9" spans="1:20" ht="15.75" customHeight="1">
      <c r="A9" s="1020"/>
      <c r="B9" s="2625"/>
      <c r="C9" s="2625"/>
      <c r="D9" s="2625"/>
      <c r="E9" s="2625"/>
      <c r="F9" s="2625"/>
      <c r="G9" s="2625"/>
      <c r="H9" s="2625"/>
      <c r="I9" s="2625"/>
      <c r="J9" s="2625"/>
      <c r="K9" s="2625"/>
      <c r="L9" s="2625"/>
      <c r="M9" s="2625"/>
      <c r="N9" s="2625"/>
      <c r="O9" s="2625"/>
    </row>
    <row r="10" spans="1:20" ht="15.75" customHeight="1">
      <c r="A10" s="1020"/>
      <c r="B10" s="2625"/>
      <c r="C10" s="2625"/>
      <c r="D10" s="2625"/>
      <c r="E10" s="2625"/>
      <c r="F10" s="2625"/>
      <c r="G10" s="2625"/>
      <c r="H10" s="2625"/>
      <c r="I10" s="2625"/>
      <c r="J10" s="2625"/>
      <c r="K10" s="2625"/>
      <c r="L10" s="2625"/>
      <c r="M10" s="2625"/>
      <c r="N10" s="2625"/>
      <c r="O10" s="2625"/>
    </row>
    <row r="11" spans="1:20" ht="15" customHeight="1">
      <c r="A11" s="1020"/>
      <c r="B11" s="1020"/>
      <c r="C11" s="1020"/>
      <c r="D11" s="1020"/>
      <c r="E11" s="1020"/>
      <c r="F11" s="1020"/>
      <c r="G11" s="1020"/>
      <c r="H11" s="1020"/>
      <c r="I11" s="1020"/>
      <c r="J11" s="1020"/>
      <c r="K11" s="1020"/>
      <c r="L11" s="1020"/>
      <c r="M11" s="1020"/>
      <c r="N11" s="1020"/>
      <c r="O11" s="1020"/>
      <c r="Q11" s="2632" t="s">
        <v>2747</v>
      </c>
    </row>
    <row r="12" spans="1:20" s="96" customFormat="1" ht="12.75">
      <c r="A12" s="1813"/>
      <c r="B12" s="1813"/>
      <c r="C12" s="221" t="s">
        <v>2748</v>
      </c>
      <c r="D12" s="221"/>
      <c r="E12" s="1025"/>
      <c r="F12" s="1026" t="s">
        <v>2749</v>
      </c>
      <c r="G12" s="1026"/>
      <c r="H12" s="1026" t="s">
        <v>2750</v>
      </c>
      <c r="I12" s="1026"/>
      <c r="J12" s="1026" t="s">
        <v>2751</v>
      </c>
      <c r="K12" s="1026"/>
      <c r="L12" s="1026" t="s">
        <v>2752</v>
      </c>
      <c r="M12" s="1026"/>
      <c r="N12" s="1026" t="s">
        <v>2753</v>
      </c>
      <c r="O12" s="493"/>
      <c r="P12" s="1810"/>
      <c r="Q12" s="2630"/>
      <c r="R12" s="1810"/>
      <c r="S12" s="1810"/>
      <c r="T12" s="1810"/>
    </row>
    <row r="13" spans="1:20" s="96" customFormat="1" ht="12.75">
      <c r="A13" s="1813"/>
      <c r="B13" s="1813"/>
      <c r="C13" s="1028"/>
      <c r="D13" s="1028"/>
      <c r="E13" s="1025"/>
      <c r="F13" s="492" t="s">
        <v>2754</v>
      </c>
      <c r="G13" s="1026"/>
      <c r="H13" s="1029"/>
      <c r="I13" s="1026"/>
      <c r="J13" s="1029"/>
      <c r="K13" s="1026"/>
      <c r="L13" s="1029" t="s">
        <v>2754</v>
      </c>
      <c r="M13" s="1026"/>
      <c r="N13" s="1029" t="s">
        <v>2755</v>
      </c>
      <c r="O13" s="1026"/>
      <c r="P13" s="1030"/>
      <c r="Q13" s="2630"/>
      <c r="R13" s="1810"/>
      <c r="S13" s="1810"/>
      <c r="T13" s="1065"/>
    </row>
    <row r="14" spans="1:20" s="96" customFormat="1" ht="12.75">
      <c r="A14" s="1813"/>
      <c r="B14" s="1813"/>
      <c r="C14" s="221"/>
      <c r="D14" s="221"/>
      <c r="E14" s="1025"/>
      <c r="F14" s="493"/>
      <c r="G14" s="1026"/>
      <c r="H14" s="1026"/>
      <c r="I14" s="1026"/>
      <c r="J14" s="1026"/>
      <c r="K14" s="1026"/>
      <c r="L14" s="1026"/>
      <c r="M14" s="1026"/>
      <c r="N14" s="1026"/>
      <c r="O14" s="1026"/>
      <c r="P14" s="1030"/>
      <c r="Q14" s="2631"/>
      <c r="R14" s="1810"/>
      <c r="S14" s="1810"/>
      <c r="T14" s="1065"/>
    </row>
    <row r="15" spans="1:20" s="96" customFormat="1" ht="12.75">
      <c r="A15" s="1813"/>
      <c r="B15" s="1813"/>
      <c r="C15" s="221" t="s">
        <v>75</v>
      </c>
      <c r="D15" s="1811"/>
      <c r="E15" s="1025"/>
      <c r="F15" s="1031" t="e">
        <f>ROUND(VLOOKUP($H$1,VLOOKUP!A154:K181,2,FALSE),0)</f>
        <v>#N/A</v>
      </c>
      <c r="G15" s="1032"/>
      <c r="H15" s="426">
        <v>0</v>
      </c>
      <c r="I15" s="4131"/>
      <c r="J15" s="426">
        <v>0</v>
      </c>
      <c r="K15" s="1032"/>
      <c r="L15" s="1033" t="e">
        <f t="shared" ref="L15:L20" si="0">F15+H15-J15</f>
        <v>#N/A</v>
      </c>
      <c r="M15" s="1032"/>
      <c r="N15" s="1033">
        <f>ROUND(SNP!M65,0)</f>
        <v>0</v>
      </c>
      <c r="O15" s="1034"/>
      <c r="P15" s="1030" t="e">
        <f>IF(L15&lt;&gt;0,"bonds payable, ","")</f>
        <v>#N/A</v>
      </c>
      <c r="Q15" s="1027">
        <f>ROUND(SNP!M65,0)+ROUND(SNP!M87,0)</f>
        <v>0</v>
      </c>
      <c r="R15" s="1810"/>
      <c r="S15" s="1810"/>
      <c r="T15" s="1065"/>
    </row>
    <row r="16" spans="1:20" s="1065" customFormat="1" ht="12.75">
      <c r="C16" s="2627" t="s">
        <v>564</v>
      </c>
      <c r="D16" s="2627"/>
      <c r="E16" s="2627"/>
      <c r="F16" s="1620" t="e">
        <f>ROUND(VLOOKUP($H$1,VLOOKUP!A154:K181,3,FALSE),0)</f>
        <v>#N/A</v>
      </c>
      <c r="G16" s="848"/>
      <c r="H16" s="109">
        <v>0</v>
      </c>
      <c r="I16" s="4132"/>
      <c r="J16" s="109">
        <v>0</v>
      </c>
      <c r="K16" s="848"/>
      <c r="L16" s="1033" t="e">
        <f t="shared" si="0"/>
        <v>#N/A</v>
      </c>
      <c r="M16" s="1281"/>
      <c r="N16" s="1621">
        <f>ROUND(SNP!M66,0)</f>
        <v>0</v>
      </c>
      <c r="O16" s="1622"/>
      <c r="P16" s="1623" t="e">
        <f>IF(L16&lt;&gt;0,"note payable, ","")</f>
        <v>#N/A</v>
      </c>
      <c r="Q16" s="1624">
        <f>ROUND(SNP!M66,0)+ROUND(SNP!M88,0)</f>
        <v>0</v>
      </c>
    </row>
    <row r="17" spans="1:22" s="96" customFormat="1" ht="12.75">
      <c r="A17" s="1813"/>
      <c r="B17" s="1813"/>
      <c r="C17" s="2628" t="s">
        <v>566</v>
      </c>
      <c r="D17" s="2628"/>
      <c r="E17" s="2628"/>
      <c r="F17" s="1031" t="e">
        <f>ROUND(VLOOKUP($H$1,VLOOKUP!A154:K181,4,FALSE),0)</f>
        <v>#N/A</v>
      </c>
      <c r="G17" s="1035"/>
      <c r="H17" s="109">
        <v>0</v>
      </c>
      <c r="I17" s="4133"/>
      <c r="J17" s="109">
        <v>0</v>
      </c>
      <c r="K17" s="1035"/>
      <c r="L17" s="1033" t="e">
        <f t="shared" si="0"/>
        <v>#N/A</v>
      </c>
      <c r="M17" s="1037"/>
      <c r="N17" s="1036">
        <f>ROUND(SNP!M67,0)</f>
        <v>0</v>
      </c>
      <c r="O17" s="1038"/>
      <c r="P17" s="1030" t="e">
        <f>IF(L17&lt;&gt;0,"installment purchase payable, ","")</f>
        <v>#N/A</v>
      </c>
      <c r="Q17" s="1027">
        <f>ROUND(SNP!M67,0)+ROUND(SNP!M89,0)</f>
        <v>0</v>
      </c>
      <c r="R17" s="1810"/>
      <c r="S17" s="1810"/>
      <c r="T17" s="1810"/>
      <c r="U17" s="1810"/>
      <c r="V17" s="1810"/>
    </row>
    <row r="18" spans="1:22" s="96" customFormat="1" ht="12.75">
      <c r="A18" s="1813"/>
      <c r="B18" s="1813"/>
      <c r="C18" s="2628" t="s">
        <v>568</v>
      </c>
      <c r="D18" s="2628"/>
      <c r="E18" s="2628"/>
      <c r="F18" s="1031" t="e">
        <f>ROUND(VLOOKUP($H$1,VLOOKUP!A154:K181,5,FALSE),0)</f>
        <v>#N/A</v>
      </c>
      <c r="G18" s="1035"/>
      <c r="H18" s="109">
        <v>0</v>
      </c>
      <c r="I18" s="4133"/>
      <c r="J18" s="109">
        <v>0</v>
      </c>
      <c r="K18" s="1035"/>
      <c r="L18" s="1033" t="e">
        <f t="shared" si="0"/>
        <v>#N/A</v>
      </c>
      <c r="M18" s="1037"/>
      <c r="N18" s="1036">
        <f>ROUND(SNP!M68,0)</f>
        <v>0</v>
      </c>
      <c r="O18" s="1038"/>
      <c r="P18" s="1030" t="e">
        <f>IF(L18&lt;&gt;0,"capital leases payable, ","")</f>
        <v>#N/A</v>
      </c>
      <c r="Q18" s="1027">
        <f>ROUND(SNP!M68,0)+ROUND(SNP!M90,0)</f>
        <v>0</v>
      </c>
      <c r="R18" s="1810"/>
      <c r="S18" s="1810"/>
      <c r="T18" s="1810"/>
      <c r="U18" s="1810"/>
      <c r="V18" s="1810"/>
    </row>
    <row r="19" spans="1:22" s="96" customFormat="1" ht="12.75">
      <c r="A19" s="1813"/>
      <c r="B19" s="1813"/>
      <c r="C19" s="1609" t="s">
        <v>289</v>
      </c>
      <c r="D19" s="1608"/>
      <c r="E19" s="221"/>
      <c r="F19" s="1031" t="e">
        <f>ROUND(VLOOKUP($H$1,VLOOKUP!A154:K181,6,FALSE),0)</f>
        <v>#N/A</v>
      </c>
      <c r="G19" s="1035"/>
      <c r="H19" s="109">
        <v>0</v>
      </c>
      <c r="I19" s="4133"/>
      <c r="J19" s="109">
        <v>0</v>
      </c>
      <c r="K19" s="1035"/>
      <c r="L19" s="1033" t="e">
        <f t="shared" si="0"/>
        <v>#N/A</v>
      </c>
      <c r="M19" s="1037"/>
      <c r="N19" s="1036">
        <f>ROUND(SNP!M70,0)</f>
        <v>0</v>
      </c>
      <c r="O19" s="1038"/>
      <c r="P19" s="1030" t="e">
        <f>IF(L19&lt;&gt;0,"special termination benefits payable, ","")</f>
        <v>#N/A</v>
      </c>
      <c r="Q19" s="1027">
        <f>ROUND(SNP!M70,0)+ROUND(SNP!M92,0)</f>
        <v>0</v>
      </c>
      <c r="R19" s="1810"/>
      <c r="S19" s="1810"/>
      <c r="T19" s="1810"/>
      <c r="U19" s="1810"/>
      <c r="V19" s="1810"/>
    </row>
    <row r="20" spans="1:22" s="96" customFormat="1" ht="12.75">
      <c r="A20" s="1813"/>
      <c r="B20" s="1813"/>
      <c r="C20" s="221" t="s">
        <v>291</v>
      </c>
      <c r="D20" s="1811"/>
      <c r="E20" s="221"/>
      <c r="F20" s="1031" t="e">
        <f>ROUND(VLOOKUP($H$1,VLOOKUP!A154:K181,7,FALSE),0)</f>
        <v>#N/A</v>
      </c>
      <c r="G20" s="1035"/>
      <c r="H20" s="109">
        <v>0</v>
      </c>
      <c r="I20" s="4133"/>
      <c r="J20" s="109">
        <v>0</v>
      </c>
      <c r="K20" s="1035"/>
      <c r="L20" s="1033" t="e">
        <f t="shared" si="0"/>
        <v>#N/A</v>
      </c>
      <c r="M20" s="1037"/>
      <c r="N20" s="1036">
        <f>ROUND(SNP!M71,0)</f>
        <v>0</v>
      </c>
      <c r="O20" s="1038"/>
      <c r="P20" s="1030" t="e">
        <f>IF(L20&lt;&gt;0,"compensated absences payable, ","")</f>
        <v>#N/A</v>
      </c>
      <c r="Q20" s="1027">
        <f>ROUND(SNP!M71,0)+ROUND(SNP!M93,0)</f>
        <v>0</v>
      </c>
      <c r="R20" s="1810"/>
      <c r="S20" s="1810"/>
      <c r="T20" s="1810"/>
      <c r="U20" s="1810"/>
      <c r="V20" s="1810"/>
    </row>
    <row r="21" spans="1:22" s="96" customFormat="1" ht="12.75">
      <c r="A21" s="1813"/>
      <c r="B21" s="1813"/>
      <c r="C21" s="239" t="s">
        <v>2756</v>
      </c>
      <c r="D21" s="1811"/>
      <c r="E21" s="221"/>
      <c r="F21" s="1039"/>
      <c r="G21" s="1035"/>
      <c r="H21" s="4134"/>
      <c r="I21" s="4133"/>
      <c r="J21" s="4134"/>
      <c r="K21" s="1035"/>
      <c r="L21" s="1036"/>
      <c r="M21" s="1037"/>
      <c r="N21" s="1036"/>
      <c r="O21" s="1038"/>
      <c r="P21" s="1030"/>
      <c r="Q21" s="1027"/>
      <c r="R21" s="1810"/>
      <c r="S21" s="1810"/>
      <c r="T21" s="1810"/>
      <c r="U21" s="1810"/>
      <c r="V21" s="1810"/>
    </row>
    <row r="22" spans="1:22" s="96" customFormat="1" ht="12.75">
      <c r="A22" s="1813"/>
      <c r="B22" s="1813"/>
      <c r="C22" s="239" t="s">
        <v>2757</v>
      </c>
      <c r="D22" s="1811"/>
      <c r="E22" s="221"/>
      <c r="F22" s="1031" t="e">
        <f>ROUND(VLOOKUP($H$1,VLOOKUP!A154:K181,8,FALSE),0)</f>
        <v>#N/A</v>
      </c>
      <c r="G22" s="1035"/>
      <c r="H22" s="1864">
        <v>0</v>
      </c>
      <c r="I22" s="4133"/>
      <c r="J22" s="1864">
        <v>0</v>
      </c>
      <c r="K22" s="1035"/>
      <c r="L22" s="1036" t="e">
        <f>F22+H22-J22</f>
        <v>#N/A</v>
      </c>
      <c r="M22" s="1037"/>
      <c r="N22" s="1281">
        <f>SNP!M74</f>
        <v>0</v>
      </c>
      <c r="O22" s="502"/>
      <c r="P22" s="1030" t="e">
        <f>IF(L22&lt;&gt;0,"and other postemployment benefits payable.","")</f>
        <v>#N/A</v>
      </c>
      <c r="Q22" s="1027">
        <f>ROUND(SNP!M96,0)+ROUND(SNP!M74,0)</f>
        <v>0</v>
      </c>
      <c r="R22" s="1810"/>
      <c r="S22" s="1810"/>
      <c r="T22" s="1810"/>
      <c r="U22" s="1810"/>
      <c r="V22" s="1810"/>
    </row>
    <row r="23" spans="1:22" s="1810" customFormat="1" ht="12.75">
      <c r="A23" s="1813"/>
      <c r="B23" s="1813"/>
      <c r="C23" s="239" t="s">
        <v>2758</v>
      </c>
      <c r="D23" s="1811"/>
      <c r="E23" s="221"/>
      <c r="F23" s="1031" t="e">
        <f>ROUND(VLOOKUP($H$1,VLOOKUP!A154:K181,9,FALSE),0)</f>
        <v>#N/A</v>
      </c>
      <c r="G23" s="1035"/>
      <c r="H23" s="1864">
        <v>0</v>
      </c>
      <c r="I23" s="4133"/>
      <c r="J23" s="1864">
        <v>0</v>
      </c>
      <c r="K23" s="1035"/>
      <c r="L23" s="1036" t="e">
        <f>F23+H23-J23</f>
        <v>#N/A</v>
      </c>
      <c r="M23" s="1037"/>
      <c r="N23" s="1281">
        <f>SNP!M72</f>
        <v>0</v>
      </c>
      <c r="O23" s="502"/>
      <c r="P23" s="1030"/>
      <c r="Q23" s="1027">
        <f>SNP!M94+SNP!M72</f>
        <v>0</v>
      </c>
      <c r="S23" s="1065"/>
      <c r="T23" s="1065"/>
      <c r="U23" s="1065"/>
      <c r="V23" s="1065"/>
    </row>
    <row r="24" spans="1:22" s="1810" customFormat="1" ht="12.75">
      <c r="A24" s="1813"/>
      <c r="B24" s="1813"/>
      <c r="C24" s="239" t="s">
        <v>2759</v>
      </c>
      <c r="D24" s="1811"/>
      <c r="E24" s="221"/>
      <c r="F24" s="1031" t="e">
        <f>ROUND(VLOOKUP($H$1,VLOOKUP!A154:K181,10,FALSE),0)</f>
        <v>#N/A</v>
      </c>
      <c r="G24" s="1035"/>
      <c r="H24" s="1864">
        <v>0</v>
      </c>
      <c r="I24" s="4133"/>
      <c r="J24" s="1864">
        <v>0</v>
      </c>
      <c r="K24" s="1035"/>
      <c r="L24" s="1036" t="e">
        <f>F24+H24-J24</f>
        <v>#N/A</v>
      </c>
      <c r="M24" s="1037"/>
      <c r="N24" s="1281">
        <f>SNP!M73</f>
        <v>0</v>
      </c>
      <c r="O24" s="502"/>
      <c r="P24" s="1030"/>
      <c r="Q24" s="1027">
        <f>SNP!M95+SNP!M73</f>
        <v>0</v>
      </c>
      <c r="S24" s="1065"/>
      <c r="T24" s="1065"/>
      <c r="U24" s="1065"/>
      <c r="V24" s="1065"/>
    </row>
    <row r="25" spans="1:22" s="96" customFormat="1" ht="12.75">
      <c r="A25" s="1813"/>
      <c r="B25" s="1813"/>
      <c r="C25" s="1609" t="s">
        <v>89</v>
      </c>
      <c r="D25" s="1811"/>
      <c r="E25" s="221"/>
      <c r="F25" s="1787" t="e">
        <f>ROUND(VLOOKUP($H$1,VLOOKUP!A154:K181,11,FALSE),0)</f>
        <v>#N/A</v>
      </c>
      <c r="G25" s="1035"/>
      <c r="H25" s="110">
        <v>0</v>
      </c>
      <c r="I25" s="4133"/>
      <c r="J25" s="110">
        <v>0</v>
      </c>
      <c r="K25" s="1035"/>
      <c r="L25" s="2428" t="e">
        <f>F25+H25-J25</f>
        <v>#N/A</v>
      </c>
      <c r="M25" s="1037"/>
      <c r="N25" s="1282">
        <f>ROUND(SNP!M75,0)</f>
        <v>0</v>
      </c>
      <c r="O25" s="502"/>
      <c r="P25" s="1030" t="e">
        <f>IF(L25&lt;&gt;0,"and other long-term liabilities.","")</f>
        <v>#N/A</v>
      </c>
      <c r="Q25" s="1283">
        <f>ROUND(SNP!M97,0)+ROUND(SNP!M75,0)</f>
        <v>0</v>
      </c>
      <c r="R25" s="1810"/>
      <c r="S25" s="1810"/>
      <c r="T25" s="1810"/>
      <c r="U25" s="1810"/>
      <c r="V25" s="1810"/>
    </row>
    <row r="26" spans="1:22" s="96" customFormat="1" ht="12.75">
      <c r="A26" s="1813"/>
      <c r="B26" s="1813"/>
      <c r="C26" s="221"/>
      <c r="D26" s="221"/>
      <c r="E26" s="221"/>
      <c r="F26" s="502"/>
      <c r="G26" s="1025"/>
      <c r="H26" s="1035"/>
      <c r="I26" s="1025"/>
      <c r="J26" s="1035"/>
      <c r="K26" s="1025"/>
      <c r="L26" s="1034"/>
      <c r="M26" s="1025"/>
      <c r="N26" s="1035"/>
      <c r="O26" s="1035"/>
      <c r="P26" s="1030"/>
      <c r="Q26" s="1027"/>
      <c r="R26" s="1810"/>
      <c r="S26" s="1810"/>
      <c r="T26" s="1810"/>
      <c r="U26" s="1810"/>
      <c r="V26" s="1810"/>
    </row>
    <row r="27" spans="1:22" s="96" customFormat="1" ht="13.5" thickBot="1">
      <c r="A27" s="1813"/>
      <c r="B27" s="1813"/>
      <c r="C27" s="1040" t="s">
        <v>2760</v>
      </c>
      <c r="D27" s="221"/>
      <c r="E27" s="1025"/>
      <c r="F27" s="1041" t="e">
        <f t="array" ref="F27">SUM(ROUND(F15:F25,0))</f>
        <v>#N/A</v>
      </c>
      <c r="G27" s="1025"/>
      <c r="H27" s="1041">
        <f t="array" ref="H27">SUM(ROUND(H15:H25,0))</f>
        <v>0</v>
      </c>
      <c r="I27" s="1025"/>
      <c r="J27" s="1041">
        <f t="array" ref="J27">SUM(ROUND(J15:J25,0))</f>
        <v>0</v>
      </c>
      <c r="K27" s="1025"/>
      <c r="L27" s="1041" t="e">
        <f t="array" ref="L27">SUM(ROUND(L15:L25,0))</f>
        <v>#N/A</v>
      </c>
      <c r="M27" s="1025"/>
      <c r="N27" s="1041">
        <f t="array" ref="N27">SUM(ROUND(N15:N25,0))</f>
        <v>0</v>
      </c>
      <c r="O27" s="1042"/>
      <c r="P27" s="1030"/>
      <c r="Q27" s="1027">
        <f t="array" ref="Q27">SUM(ROUND(SNP!M65:M75,0))+SUM(ROUND(SNP!M87:M97,0))</f>
        <v>0</v>
      </c>
      <c r="R27" s="1810" t="s">
        <v>2761</v>
      </c>
      <c r="S27" s="1810"/>
      <c r="T27" s="1810"/>
      <c r="U27" s="1810"/>
      <c r="V27" s="1810"/>
    </row>
    <row r="28" spans="1:22" ht="15.75" customHeight="1" thickTop="1">
      <c r="A28" s="1020"/>
      <c r="B28" s="1020"/>
      <c r="C28" s="1020"/>
      <c r="D28" s="1020"/>
      <c r="E28" s="1020"/>
      <c r="F28" s="1020"/>
      <c r="G28" s="1020"/>
      <c r="H28" s="1020"/>
      <c r="I28" s="1020"/>
      <c r="J28" s="1020"/>
      <c r="K28" s="1020"/>
      <c r="L28" s="1020"/>
      <c r="M28" s="1020"/>
      <c r="N28" s="1020"/>
      <c r="O28" s="1020"/>
      <c r="P28" s="1043"/>
      <c r="Q28" s="1027">
        <f t="array" ref="Q28">SUM(ROUND(SNP!M65:M75,0))</f>
        <v>0</v>
      </c>
      <c r="R28" s="1021" t="s">
        <v>2762</v>
      </c>
    </row>
    <row r="29" spans="1:22">
      <c r="A29" s="1020"/>
      <c r="B29" s="1020"/>
      <c r="C29" s="1020"/>
      <c r="D29" s="1020"/>
      <c r="E29" s="1020"/>
      <c r="F29" s="1020"/>
      <c r="G29" s="1020"/>
      <c r="H29" s="1020"/>
      <c r="I29" s="1020"/>
      <c r="J29" s="1020"/>
      <c r="K29" s="1020"/>
      <c r="L29" s="1020"/>
      <c r="M29" s="1020"/>
      <c r="N29" s="1020"/>
      <c r="O29" s="1020"/>
    </row>
    <row r="30" spans="1:22" s="1044" customFormat="1">
      <c r="C30" s="1045"/>
      <c r="E30" s="1044" t="s">
        <v>2349</v>
      </c>
      <c r="Q30" s="1046"/>
    </row>
    <row r="31" spans="1:22">
      <c r="E31" s="1819"/>
      <c r="F31" s="1819"/>
      <c r="G31" s="1819"/>
      <c r="H31" s="1819"/>
      <c r="I31" s="1819"/>
      <c r="J31" s="1819"/>
      <c r="K31" s="1819"/>
      <c r="L31" s="1819"/>
      <c r="M31" s="1819"/>
      <c r="N31" s="1819"/>
    </row>
    <row r="32" spans="1:22">
      <c r="E32" s="1819"/>
      <c r="F32" s="1819"/>
      <c r="G32" s="1819"/>
      <c r="H32" s="1819"/>
      <c r="I32" s="1819"/>
      <c r="J32" s="1819"/>
      <c r="K32" s="1819"/>
      <c r="L32" s="1819"/>
      <c r="M32" s="1819"/>
      <c r="N32" s="1819"/>
    </row>
    <row r="33" spans="4:17" s="1625" customFormat="1">
      <c r="E33" s="1819"/>
      <c r="F33" s="1819"/>
      <c r="G33" s="1819"/>
      <c r="H33" s="1819"/>
      <c r="I33" s="1819"/>
      <c r="J33" s="1819"/>
      <c r="K33" s="1819"/>
      <c r="L33" s="1819"/>
      <c r="M33" s="1819"/>
      <c r="N33" s="1819"/>
      <c r="Q33" s="1626"/>
    </row>
    <row r="34" spans="4:17">
      <c r="E34" s="1819"/>
      <c r="F34" s="1819"/>
      <c r="G34" s="1819"/>
      <c r="H34" s="1819"/>
      <c r="I34" s="1819"/>
      <c r="J34" s="1819"/>
      <c r="K34" s="1819"/>
      <c r="L34" s="1819"/>
      <c r="M34" s="1819"/>
      <c r="N34" s="1819"/>
      <c r="Q34" s="1543"/>
    </row>
    <row r="35" spans="4:17">
      <c r="E35" s="1819"/>
      <c r="F35" s="1819"/>
      <c r="G35" s="1819"/>
      <c r="H35" s="1819"/>
      <c r="I35" s="1819"/>
      <c r="J35" s="1819"/>
      <c r="K35" s="1819"/>
      <c r="L35" s="1819"/>
      <c r="M35" s="1819"/>
      <c r="N35" s="1819"/>
      <c r="Q35" s="1543"/>
    </row>
    <row r="36" spans="4:17">
      <c r="E36" s="1819"/>
      <c r="F36" s="1819"/>
      <c r="G36" s="1819"/>
      <c r="H36" s="1819"/>
      <c r="I36" s="1819"/>
      <c r="J36" s="1819"/>
      <c r="K36" s="1819"/>
      <c r="L36" s="1819"/>
      <c r="M36" s="1819"/>
      <c r="N36" s="1819"/>
      <c r="Q36" s="1544"/>
    </row>
    <row r="37" spans="4:17">
      <c r="E37" s="1819"/>
      <c r="F37" s="1819"/>
      <c r="G37" s="1819"/>
      <c r="H37" s="1819"/>
      <c r="I37" s="1819"/>
      <c r="J37" s="1819"/>
      <c r="K37" s="1819"/>
      <c r="L37" s="1819"/>
      <c r="M37" s="1819"/>
      <c r="N37" s="1819"/>
    </row>
    <row r="38" spans="4:17">
      <c r="E38" s="1819"/>
      <c r="F38" s="1819"/>
      <c r="G38" s="1819"/>
      <c r="H38" s="1819"/>
      <c r="I38" s="1819"/>
      <c r="J38" s="1819"/>
      <c r="K38" s="1819"/>
      <c r="L38" s="1819"/>
      <c r="M38" s="1819"/>
      <c r="N38" s="1819"/>
    </row>
    <row r="39" spans="4:17">
      <c r="E39" s="1819"/>
      <c r="F39" s="1819"/>
      <c r="G39" s="1819"/>
      <c r="H39" s="1819"/>
      <c r="I39" s="1819"/>
      <c r="J39" s="1819"/>
      <c r="K39" s="1819"/>
      <c r="L39" s="1819"/>
      <c r="M39" s="1819"/>
      <c r="N39" s="1819"/>
    </row>
    <row r="40" spans="4:17">
      <c r="E40" s="1819"/>
      <c r="F40" s="1819"/>
      <c r="G40" s="1819"/>
      <c r="H40" s="1819"/>
      <c r="I40" s="1819"/>
      <c r="J40" s="1819"/>
      <c r="K40" s="1819"/>
      <c r="L40" s="1819"/>
      <c r="M40" s="1819"/>
      <c r="N40" s="1819"/>
    </row>
    <row r="41" spans="4:17">
      <c r="E41" s="1819"/>
      <c r="F41" s="1819"/>
      <c r="G41" s="1819"/>
      <c r="H41" s="1819"/>
      <c r="I41" s="1819"/>
      <c r="J41" s="1819"/>
      <c r="K41" s="1819"/>
      <c r="L41" s="1819"/>
      <c r="M41" s="1819"/>
      <c r="N41" s="1819"/>
    </row>
    <row r="42" spans="4:17">
      <c r="E42" s="1819"/>
      <c r="F42" s="1819"/>
      <c r="G42" s="1819"/>
      <c r="H42" s="1819"/>
      <c r="I42" s="1819"/>
      <c r="J42" s="1819"/>
      <c r="K42" s="1819"/>
      <c r="L42" s="1819"/>
      <c r="M42" s="1819"/>
      <c r="N42" s="1819"/>
    </row>
    <row r="46" spans="4:17">
      <c r="D46" s="2629" t="s">
        <v>2763</v>
      </c>
      <c r="E46" s="2629"/>
      <c r="F46" s="2629"/>
      <c r="G46" s="2629"/>
      <c r="H46" s="2629"/>
      <c r="I46" s="2629"/>
      <c r="J46" s="2629"/>
      <c r="K46" s="2629"/>
      <c r="L46" s="2629"/>
      <c r="M46" s="2629"/>
      <c r="N46" s="2629"/>
    </row>
    <row r="47" spans="4:17">
      <c r="D47" s="2629" t="s">
        <v>2764</v>
      </c>
      <c r="E47" s="2629"/>
      <c r="F47" s="2629"/>
      <c r="G47" s="2629"/>
      <c r="H47" s="2629"/>
      <c r="I47" s="2629"/>
      <c r="J47" s="2629"/>
      <c r="K47" s="2629"/>
      <c r="L47" s="2629"/>
      <c r="M47" s="2629"/>
      <c r="N47" s="2629"/>
    </row>
    <row r="48" spans="4:17">
      <c r="E48" s="1047" t="s">
        <v>2765</v>
      </c>
    </row>
    <row r="49" spans="5:5">
      <c r="E49" s="1047" t="s">
        <v>2766</v>
      </c>
    </row>
    <row r="50" spans="5:5">
      <c r="E50" s="1047" t="s">
        <v>2578</v>
      </c>
    </row>
    <row r="51" spans="5:5">
      <c r="E51" s="1047" t="s">
        <v>566</v>
      </c>
    </row>
    <row r="52" spans="5:5">
      <c r="E52" s="1047" t="s">
        <v>2767</v>
      </c>
    </row>
    <row r="53" spans="5:5">
      <c r="E53" s="1047" t="s">
        <v>83</v>
      </c>
    </row>
    <row r="54" spans="5:5">
      <c r="E54" s="1047" t="s">
        <v>568</v>
      </c>
    </row>
    <row r="55" spans="5:5">
      <c r="E55" s="1047" t="s">
        <v>2768</v>
      </c>
    </row>
    <row r="56" spans="5:5">
      <c r="E56" s="1047" t="s">
        <v>283</v>
      </c>
    </row>
  </sheetData>
  <sheetProtection algorithmName="SHA-512" hashValue="EDVA9duysffECzFR1fWRnhXtAojYB/roYaasbW6PzOZG/09Gy6rot4kaPFIgYCfAUKSn1t1/Kw6aOr6m0a2fjA==" saltValue="k/Qz3TD3TywY51ZX0o215A==" spinCount="100000" sheet="1" formatColumns="0" formatRows="0"/>
  <conditionalFormatting sqref="H15 J15">
    <cfRule type="cellIs" dxfId="313" priority="29" operator="notEqual">
      <formula>0</formula>
    </cfRule>
  </conditionalFormatting>
  <conditionalFormatting sqref="H16:H20 J16:J20 H22:H25 J22:J25">
    <cfRule type="containsBlanks" dxfId="312" priority="24">
      <formula>LEN(TRIM(H16))=0</formula>
    </cfRule>
    <cfRule type="cellIs" dxfId="311" priority="25" operator="notEqual">
      <formula>0</formula>
    </cfRule>
  </conditionalFormatting>
  <conditionalFormatting sqref="Q15:Q20 Q22 Q25">
    <cfRule type="cellIs" dxfId="310" priority="16" operator="notEqual">
      <formula>L15</formula>
    </cfRule>
    <cfRule type="cellIs" dxfId="309" priority="17" operator="equal">
      <formula>L15</formula>
    </cfRule>
  </conditionalFormatting>
  <conditionalFormatting sqref="Q27">
    <cfRule type="cellIs" dxfId="308" priority="9" operator="notEqual">
      <formula>L27</formula>
    </cfRule>
    <cfRule type="cellIs" dxfId="307" priority="10" operator="equal">
      <formula>L27</formula>
    </cfRule>
  </conditionalFormatting>
  <conditionalFormatting sqref="Q28">
    <cfRule type="cellIs" dxfId="306" priority="7" operator="notEqual">
      <formula>N27</formula>
    </cfRule>
    <cfRule type="cellIs" dxfId="305" priority="8" operator="equal">
      <formula>N27</formula>
    </cfRule>
  </conditionalFormatting>
  <conditionalFormatting sqref="Q23">
    <cfRule type="cellIs" dxfId="304" priority="3" operator="notEqual">
      <formula>L23</formula>
    </cfRule>
    <cfRule type="cellIs" dxfId="303" priority="4" operator="equal">
      <formula>L23</formula>
    </cfRule>
  </conditionalFormatting>
  <dataValidations count="3">
    <dataValidation type="list" allowBlank="1" showInputMessage="1" showErrorMessage="1" sqref="C16:E16">
      <formula1>$E$46:$E$50</formula1>
    </dataValidation>
    <dataValidation type="list" allowBlank="1" showInputMessage="1" showErrorMessage="1" sqref="C17:E17">
      <formula1>$E$51:$E$53</formula1>
    </dataValidation>
    <dataValidation type="list" allowBlank="1" showInputMessage="1" showErrorMessage="1" sqref="C18:E18">
      <formula1>$E$54:$E$56</formula1>
    </dataValidation>
  </dataValidations>
  <printOptions horizontalCentered="1"/>
  <pageMargins left="0.75" right="0.75" top="0.5" bottom="0.5" header="0.3" footer="0.3"/>
  <pageSetup scale="74" orientation="portrait" r:id="rId1"/>
  <headerFooter>
    <oddHeader>&amp;L&amp;"Arial,Regular"&amp;8&amp;F&amp;R&amp;"Arial,Regular"&amp;8&amp;A</oddHeader>
    <oddFooter>&amp;L&amp;"Arial,Regular"&amp;8&amp;D&amp;R&amp;"Arial,Regular"&amp;8&amp;P of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theme="1"/>
  </sheetPr>
  <dimension ref="A1:L440"/>
  <sheetViews>
    <sheetView topLeftCell="A79" workbookViewId="0">
      <selection activeCell="D88" sqref="D88"/>
    </sheetView>
  </sheetViews>
  <sheetFormatPr defaultColWidth="9.140625" defaultRowHeight="11.25"/>
  <cols>
    <col min="1" max="1" width="16.28515625" style="1319" bestFit="1" customWidth="1"/>
    <col min="2" max="2" width="14.140625" style="1320" bestFit="1" customWidth="1"/>
    <col min="3" max="3" width="46.5703125" style="1320" customWidth="1"/>
    <col min="4" max="6" width="15.28515625" style="1333" customWidth="1"/>
    <col min="7" max="7" width="16.42578125" style="1320" bestFit="1" customWidth="1"/>
    <col min="8" max="8" width="5.28515625" style="1320" bestFit="1" customWidth="1"/>
    <col min="9" max="9" width="24.28515625" style="53" customWidth="1"/>
    <col min="10" max="10" width="14" style="53" customWidth="1"/>
    <col min="11" max="11" width="15.85546875" style="53" customWidth="1"/>
    <col min="12" max="12" width="14.7109375" style="1336" bestFit="1" customWidth="1"/>
    <col min="13" max="16384" width="9.140625" style="1336"/>
  </cols>
  <sheetData>
    <row r="1" spans="1:12">
      <c r="A1" s="1793" t="str">
        <f>'Contact Information'!$C$5</f>
        <v>SAMPLE STATE COLLEGE</v>
      </c>
      <c r="B1" s="1794" t="s">
        <v>176</v>
      </c>
      <c r="C1" s="1795" t="s">
        <v>177</v>
      </c>
      <c r="D1" s="1797">
        <f>VLOOKUP(B1,SNP!$A$12:$O$133,13,FALSE)</f>
        <v>0</v>
      </c>
      <c r="E1" s="1797">
        <f>VLOOKUP(B1,SNP!$A$12:$O$133,15,FALSE)</f>
        <v>0</v>
      </c>
      <c r="F1" s="1797">
        <f t="array" ref="F1">SUM(ROUND(D1:E1,0))</f>
        <v>0</v>
      </c>
      <c r="G1" s="1796" t="s">
        <v>178</v>
      </c>
      <c r="H1" s="1790"/>
      <c r="I1" s="4277" t="s">
        <v>179</v>
      </c>
      <c r="J1" s="4277"/>
      <c r="K1" s="4277"/>
      <c r="L1" s="1838"/>
    </row>
    <row r="2" spans="1:12">
      <c r="A2" s="1793" t="str">
        <f>$A$1</f>
        <v>SAMPLE STATE COLLEGE</v>
      </c>
      <c r="B2" s="1794" t="s">
        <v>180</v>
      </c>
      <c r="C2" s="1795" t="s">
        <v>181</v>
      </c>
      <c r="D2" s="1797">
        <f>VLOOKUP(B2,SNP!$A$12:$O$133,13,FALSE)</f>
        <v>0</v>
      </c>
      <c r="E2" s="1797">
        <f>VLOOKUP(B2,SNP!$A$12:$O$133,15,FALSE)</f>
        <v>0</v>
      </c>
      <c r="F2" s="1797">
        <f t="array" ref="F2">SUM(ROUND(D2:E2,0))</f>
        <v>0</v>
      </c>
      <c r="G2" s="1796" t="s">
        <v>178</v>
      </c>
      <c r="H2" s="1790"/>
      <c r="I2" s="1321" t="s">
        <v>182</v>
      </c>
      <c r="J2" s="1832">
        <f>SUM(F1:F12)+SUM(F14:F21)</f>
        <v>0</v>
      </c>
      <c r="K2" s="1832"/>
      <c r="L2" s="1838"/>
    </row>
    <row r="3" spans="1:12">
      <c r="A3" s="1793" t="str">
        <f t="shared" ref="A3:A87" si="0">$A$1</f>
        <v>SAMPLE STATE COLLEGE</v>
      </c>
      <c r="B3" s="1794" t="s">
        <v>183</v>
      </c>
      <c r="C3" s="1795" t="s">
        <v>184</v>
      </c>
      <c r="D3" s="1797">
        <f>VLOOKUP(B3,SNP!$A$12:$O$133,13,FALSE)</f>
        <v>0</v>
      </c>
      <c r="E3" s="1797">
        <f>VLOOKUP(B3,SNP!$A$12:$O$133,15,FALSE)</f>
        <v>0</v>
      </c>
      <c r="F3" s="1797">
        <f t="array" ref="F3">SUM(ROUND(D3:E3,0))</f>
        <v>0</v>
      </c>
      <c r="G3" s="1796" t="s">
        <v>178</v>
      </c>
      <c r="H3" s="1790"/>
      <c r="I3" s="1321" t="s">
        <v>185</v>
      </c>
      <c r="J3" s="1832">
        <f>-SUM(F28:F47)+-SUM(F49:F59)</f>
        <v>0</v>
      </c>
      <c r="K3" s="1832"/>
      <c r="L3" s="1838"/>
    </row>
    <row r="4" spans="1:12">
      <c r="A4" s="1793" t="str">
        <f t="shared" si="0"/>
        <v>SAMPLE STATE COLLEGE</v>
      </c>
      <c r="B4" s="1794" t="s">
        <v>186</v>
      </c>
      <c r="C4" s="1795" t="s">
        <v>187</v>
      </c>
      <c r="D4" s="1797">
        <f>VLOOKUP(B4,SNP!$A$12:$O$133,13,FALSE)</f>
        <v>0</v>
      </c>
      <c r="E4" s="1797">
        <f>VLOOKUP(B4,SNP!$A$12:$O$133,15,FALSE)</f>
        <v>0</v>
      </c>
      <c r="F4" s="1797">
        <f t="array" ref="F4">SUM(ROUND(D4:E4,0))</f>
        <v>0</v>
      </c>
      <c r="G4" s="1796" t="s">
        <v>178</v>
      </c>
      <c r="H4" s="1790"/>
      <c r="I4" s="1321" t="s">
        <v>188</v>
      </c>
      <c r="J4" s="1832">
        <f>-SUM(F61:F69)</f>
        <v>0</v>
      </c>
      <c r="K4" s="1832"/>
      <c r="L4" s="1838"/>
    </row>
    <row r="5" spans="1:12" ht="12" thickBot="1">
      <c r="A5" s="1793" t="str">
        <f t="shared" si="0"/>
        <v>SAMPLE STATE COLLEGE</v>
      </c>
      <c r="B5" s="1794" t="s">
        <v>189</v>
      </c>
      <c r="C5" s="1795" t="s">
        <v>190</v>
      </c>
      <c r="D5" s="1797">
        <f>VLOOKUP(B5,SNP!$A$12:$O$133,13,FALSE)</f>
        <v>0</v>
      </c>
      <c r="E5" s="1797">
        <f>VLOOKUP(B5,SNP!$A$12:$O$133,15,FALSE)</f>
        <v>0</v>
      </c>
      <c r="F5" s="1797">
        <f t="array" ref="F5">SUM(ROUND(D5:E5,0))</f>
        <v>0</v>
      </c>
      <c r="G5" s="1796" t="s">
        <v>178</v>
      </c>
      <c r="H5" s="1790"/>
      <c r="I5" s="1321" t="s">
        <v>191</v>
      </c>
      <c r="J5" s="1322">
        <f>SUM(J2:J4)</f>
        <v>0</v>
      </c>
      <c r="K5" s="1832"/>
      <c r="L5" s="1838"/>
    </row>
    <row r="6" spans="1:12" ht="12" thickTop="1">
      <c r="A6" s="1793" t="str">
        <f t="shared" si="0"/>
        <v>SAMPLE STATE COLLEGE</v>
      </c>
      <c r="B6" s="1794" t="s">
        <v>192</v>
      </c>
      <c r="C6" s="1795" t="s">
        <v>193</v>
      </c>
      <c r="D6" s="1797">
        <f>VLOOKUP(B6,SNP!$A$12:$O$133,13,FALSE)</f>
        <v>0</v>
      </c>
      <c r="E6" s="1797">
        <f>VLOOKUP(B6,SNP!$A$12:$O$133,15,FALSE)</f>
        <v>0</v>
      </c>
      <c r="F6" s="1797">
        <f t="array" ref="F6">SUM(ROUND(D6:E6,0))</f>
        <v>0</v>
      </c>
      <c r="G6" s="1796" t="s">
        <v>178</v>
      </c>
      <c r="H6" s="1790"/>
      <c r="I6" s="1832" t="s">
        <v>194</v>
      </c>
      <c r="J6" s="1832">
        <f>F1+F2+F14+F3+F4+F15+F16</f>
        <v>0</v>
      </c>
      <c r="K6" s="1340">
        <f>-SUM(F110:F120)</f>
        <v>0</v>
      </c>
      <c r="L6" s="1838" t="s">
        <v>195</v>
      </c>
    </row>
    <row r="7" spans="1:12">
      <c r="A7" s="1839" t="str">
        <f t="shared" si="0"/>
        <v>SAMPLE STATE COLLEGE</v>
      </c>
      <c r="B7" s="1840" t="s">
        <v>196</v>
      </c>
      <c r="C7" s="1841" t="s">
        <v>197</v>
      </c>
      <c r="D7" s="1843">
        <f>VLOOKUP(B7,SNP!$A$12:$O$133,13,FALSE)</f>
        <v>0</v>
      </c>
      <c r="E7" s="1843">
        <f>VLOOKUP(B7,SNP!$A$12:$O$133,15,FALSE)</f>
        <v>0</v>
      </c>
      <c r="F7" s="1843">
        <f t="array" ref="F7">SUM(ROUND(D7:E7,0))</f>
        <v>0</v>
      </c>
      <c r="G7" s="1842" t="s">
        <v>178</v>
      </c>
      <c r="H7" s="1836" t="s">
        <v>198</v>
      </c>
      <c r="I7" s="1832" t="s">
        <v>199</v>
      </c>
      <c r="J7" s="1832">
        <f>-SUM(F110:F120)</f>
        <v>0</v>
      </c>
      <c r="K7" s="1340">
        <f>SUM(F245:F261)-F249-F250+SUM(F110:F116)</f>
        <v>0</v>
      </c>
      <c r="L7" s="1838" t="s">
        <v>200</v>
      </c>
    </row>
    <row r="8" spans="1:12" ht="12" thickBot="1">
      <c r="A8" s="1839" t="str">
        <f t="shared" si="0"/>
        <v>SAMPLE STATE COLLEGE</v>
      </c>
      <c r="B8" s="1840" t="s">
        <v>201</v>
      </c>
      <c r="C8" s="1841" t="s">
        <v>202</v>
      </c>
      <c r="D8" s="1843">
        <f>VLOOKUP(B8,SNP!$A$12:$O$133,13,FALSE)</f>
        <v>0</v>
      </c>
      <c r="E8" s="1843">
        <f>VLOOKUP(B8,SNP!$A$12:$O$133,15,FALSE)</f>
        <v>0</v>
      </c>
      <c r="F8" s="1843">
        <f t="array" ref="F8">SUM(ROUND(D8:E8,0))</f>
        <v>0</v>
      </c>
      <c r="G8" s="1842" t="s">
        <v>178</v>
      </c>
      <c r="H8" s="1836" t="s">
        <v>203</v>
      </c>
      <c r="I8" s="1321" t="s">
        <v>191</v>
      </c>
      <c r="J8" s="1322">
        <f>SUM(J6:J7)</f>
        <v>0</v>
      </c>
      <c r="K8" s="1341">
        <f>SUM(K6:K7)</f>
        <v>0</v>
      </c>
      <c r="L8" s="1337">
        <f>K8/2</f>
        <v>0</v>
      </c>
    </row>
    <row r="9" spans="1:12" ht="12" thickTop="1">
      <c r="A9" s="1839" t="str">
        <f t="shared" si="0"/>
        <v>SAMPLE STATE COLLEGE</v>
      </c>
      <c r="B9" s="1840" t="s">
        <v>204</v>
      </c>
      <c r="C9" s="1841" t="s">
        <v>205</v>
      </c>
      <c r="D9" s="1843">
        <f>VLOOKUP(B9,SNP!$A$12:$O$133,13,FALSE)</f>
        <v>0</v>
      </c>
      <c r="E9" s="1843">
        <f>VLOOKUP(B9,SNP!$A$12:$O$133,15,FALSE)</f>
        <v>0</v>
      </c>
      <c r="F9" s="1843">
        <f t="array" ref="F9">SUM(ROUND(D9:E9,0))</f>
        <v>0</v>
      </c>
      <c r="G9" s="1842" t="s">
        <v>178</v>
      </c>
      <c r="H9" s="1836" t="s">
        <v>206</v>
      </c>
      <c r="I9" s="1832" t="s">
        <v>207</v>
      </c>
      <c r="J9" s="1832">
        <f>F19+F20</f>
        <v>0</v>
      </c>
      <c r="K9" s="1832">
        <f>SUM(F37:F47)+SUM(F49:F59)</f>
        <v>0</v>
      </c>
      <c r="L9" s="1838" t="s">
        <v>208</v>
      </c>
    </row>
    <row r="10" spans="1:12">
      <c r="A10" s="1839" t="str">
        <f t="shared" si="0"/>
        <v>SAMPLE STATE COLLEGE</v>
      </c>
      <c r="B10" s="1840" t="s">
        <v>209</v>
      </c>
      <c r="C10" s="1841" t="s">
        <v>210</v>
      </c>
      <c r="D10" s="1843">
        <f>VLOOKUP(B10,SNP!$A$12:$O$133,13,FALSE)</f>
        <v>0</v>
      </c>
      <c r="E10" s="1843">
        <f>VLOOKUP(B10,SNP!$A$12:$O$133,15,FALSE)</f>
        <v>0</v>
      </c>
      <c r="F10" s="1843">
        <f t="array" ref="F10">SUM(ROUND(D10:E10,0))</f>
        <v>0</v>
      </c>
      <c r="G10" s="1842" t="s">
        <v>178</v>
      </c>
      <c r="H10" s="1836" t="s">
        <v>211</v>
      </c>
      <c r="I10" s="1832" t="s">
        <v>212</v>
      </c>
      <c r="J10" s="1832" t="e">
        <f>-SUM(F121:F136)</f>
        <v>#N/A</v>
      </c>
      <c r="K10" s="1832" t="e">
        <f>-SUM(F229:F236)</f>
        <v>#N/A</v>
      </c>
      <c r="L10" s="1838" t="s">
        <v>213</v>
      </c>
    </row>
    <row r="11" spans="1:12" ht="12" thickBot="1">
      <c r="A11" s="1839" t="str">
        <f t="shared" si="0"/>
        <v>SAMPLE STATE COLLEGE</v>
      </c>
      <c r="B11" s="1840" t="s">
        <v>214</v>
      </c>
      <c r="C11" s="1841" t="s">
        <v>28</v>
      </c>
      <c r="D11" s="1843">
        <f>VLOOKUP(B11,SNP!$A$12:$O$133,13,FALSE)</f>
        <v>0</v>
      </c>
      <c r="E11" s="1843">
        <f>VLOOKUP(B11,SNP!$A$12:$O$133,15,FALSE)</f>
        <v>0</v>
      </c>
      <c r="F11" s="1843">
        <f t="array" ref="F11">SUM(ROUND(D11:E11,0))</f>
        <v>0</v>
      </c>
      <c r="G11" s="1842" t="s">
        <v>178</v>
      </c>
      <c r="H11" s="1836" t="s">
        <v>215</v>
      </c>
      <c r="I11" s="1321" t="s">
        <v>191</v>
      </c>
      <c r="J11" s="1322" t="e">
        <f>SUM(J9:J10)</f>
        <v>#N/A</v>
      </c>
      <c r="K11" s="1322" t="e">
        <f>SUM(K9:K10)</f>
        <v>#N/A</v>
      </c>
      <c r="L11" s="1838"/>
    </row>
    <row r="12" spans="1:12" ht="12" thickTop="1">
      <c r="A12" s="1839" t="str">
        <f t="shared" si="0"/>
        <v>SAMPLE STATE COLLEGE</v>
      </c>
      <c r="B12" s="1840" t="s">
        <v>216</v>
      </c>
      <c r="C12" s="1841" t="s">
        <v>217</v>
      </c>
      <c r="D12" s="1843">
        <f>VLOOKUP(B12,SNP!$A$12:$O$133,13,FALSE)</f>
        <v>0</v>
      </c>
      <c r="E12" s="1843">
        <f>VLOOKUP(B12,SNP!$A$12:$O$133,15,FALSE)</f>
        <v>0</v>
      </c>
      <c r="F12" s="1843">
        <f t="array" ref="F12">SUM(ROUND(D12:E12,0))</f>
        <v>0</v>
      </c>
      <c r="G12" s="1842" t="s">
        <v>178</v>
      </c>
      <c r="H12" s="1836" t="s">
        <v>218</v>
      </c>
      <c r="I12" s="1832" t="s">
        <v>219</v>
      </c>
      <c r="J12" s="1832" t="s">
        <v>220</v>
      </c>
      <c r="K12" s="1832" t="s">
        <v>108</v>
      </c>
      <c r="L12" s="1838"/>
    </row>
    <row r="13" spans="1:12">
      <c r="A13" s="1793" t="str">
        <f t="shared" si="0"/>
        <v>SAMPLE STATE COLLEGE</v>
      </c>
      <c r="B13" s="1794" t="s">
        <v>221</v>
      </c>
      <c r="C13" s="1795" t="s">
        <v>222</v>
      </c>
      <c r="D13" s="1797">
        <f>VLOOKUP(B13,SNP!$A$12:$O$133,13,FALSE)</f>
        <v>0</v>
      </c>
      <c r="E13" s="1797">
        <f>VLOOKUP(B13,SNP!$A$12:$O$133,15,FALSE)</f>
        <v>0</v>
      </c>
      <c r="F13" s="1797">
        <f t="array" ref="F13">SUM(ROUND(D13:E13,0))</f>
        <v>0</v>
      </c>
      <c r="G13" s="1796" t="s">
        <v>178</v>
      </c>
      <c r="H13" s="1790"/>
      <c r="I13" s="1837">
        <f t="array" ref="I13">SUM(ROUND(D1:D12,0))</f>
        <v>0</v>
      </c>
      <c r="J13" s="1837">
        <f t="array" ref="J13">SUM(ROUND(E1:E12,0))</f>
        <v>0</v>
      </c>
      <c r="K13" s="1837">
        <f>SUM(I13:J13)</f>
        <v>0</v>
      </c>
      <c r="L13" s="1838"/>
    </row>
    <row r="14" spans="1:12">
      <c r="A14" s="1793" t="str">
        <f t="shared" si="0"/>
        <v>SAMPLE STATE COLLEGE</v>
      </c>
      <c r="B14" s="1794" t="s">
        <v>223</v>
      </c>
      <c r="C14" s="1795" t="s">
        <v>181</v>
      </c>
      <c r="D14" s="1797">
        <f>VLOOKUP(B14,SNP!$A$12:$O$133,13,FALSE)</f>
        <v>0</v>
      </c>
      <c r="E14" s="1797">
        <f>VLOOKUP(B14,SNP!$A$12:$O$133,15,FALSE)</f>
        <v>0</v>
      </c>
      <c r="F14" s="1797">
        <f t="array" ref="F14">SUM(ROUND(D14:E14,0))</f>
        <v>0</v>
      </c>
      <c r="G14" s="1796" t="s">
        <v>178</v>
      </c>
      <c r="H14" s="1790"/>
      <c r="I14" s="1832"/>
      <c r="J14" s="1832" t="s">
        <v>224</v>
      </c>
      <c r="K14" s="1837">
        <f>K13-F13</f>
        <v>0</v>
      </c>
      <c r="L14" s="1838"/>
    </row>
    <row r="15" spans="1:12">
      <c r="A15" s="1793" t="str">
        <f t="shared" si="0"/>
        <v>SAMPLE STATE COLLEGE</v>
      </c>
      <c r="B15" s="1794" t="s">
        <v>225</v>
      </c>
      <c r="C15" s="1795" t="s">
        <v>184</v>
      </c>
      <c r="D15" s="1797">
        <f>VLOOKUP(B15,SNP!$A$12:$O$133,13,FALSE)</f>
        <v>0</v>
      </c>
      <c r="E15" s="1797">
        <f>VLOOKUP(B15,SNP!$A$12:$O$133,15,FALSE)</f>
        <v>0</v>
      </c>
      <c r="F15" s="1797">
        <f t="array" ref="F15">SUM(ROUND(D15:E15,0))</f>
        <v>0</v>
      </c>
      <c r="G15" s="1796" t="s">
        <v>178</v>
      </c>
      <c r="H15" s="1790"/>
      <c r="I15" s="1832"/>
      <c r="J15" s="1832"/>
      <c r="K15" s="1832"/>
      <c r="L15" s="1838"/>
    </row>
    <row r="16" spans="1:12">
      <c r="A16" s="1793" t="str">
        <f t="shared" si="0"/>
        <v>SAMPLE STATE COLLEGE</v>
      </c>
      <c r="B16" s="1794" t="s">
        <v>226</v>
      </c>
      <c r="C16" s="1795" t="s">
        <v>187</v>
      </c>
      <c r="D16" s="1797">
        <f>VLOOKUP(B16,SNP!$A$12:$O$133,13,FALSE)</f>
        <v>0</v>
      </c>
      <c r="E16" s="1797">
        <f>VLOOKUP(B16,SNP!$A$12:$O$133,15,FALSE)</f>
        <v>0</v>
      </c>
      <c r="F16" s="1797">
        <f t="array" ref="F16">SUM(ROUND(D16:E16,0))</f>
        <v>0</v>
      </c>
      <c r="G16" s="1796" t="s">
        <v>178</v>
      </c>
      <c r="H16" s="1790"/>
      <c r="I16" s="1832"/>
      <c r="J16" s="1832"/>
      <c r="K16" s="1832"/>
      <c r="L16" s="1838"/>
    </row>
    <row r="17" spans="1:11" s="1838" customFormat="1">
      <c r="A17" s="1793" t="s">
        <v>227</v>
      </c>
      <c r="B17" s="1794" t="s">
        <v>228</v>
      </c>
      <c r="C17" s="1795" t="s">
        <v>210</v>
      </c>
      <c r="D17" s="1797">
        <f>VLOOKUP(B17,SNP!$A$12:$O$133,13,FALSE)</f>
        <v>0</v>
      </c>
      <c r="E17" s="1797">
        <f>VLOOKUP(B17,SNP!$A$12:$O$133,15,FALSE)</f>
        <v>0</v>
      </c>
      <c r="F17" s="1797">
        <f t="array" ref="F17">SUM(ROUND(D17:E17,0))</f>
        <v>0</v>
      </c>
      <c r="G17" s="1796" t="s">
        <v>178</v>
      </c>
      <c r="H17" s="1790"/>
      <c r="I17" s="1832"/>
      <c r="J17" s="1832"/>
      <c r="K17" s="1832"/>
    </row>
    <row r="18" spans="1:11">
      <c r="A18" s="1793" t="str">
        <f t="shared" si="0"/>
        <v>SAMPLE STATE COLLEGE</v>
      </c>
      <c r="B18" s="1794" t="s">
        <v>229</v>
      </c>
      <c r="C18" s="1795" t="s">
        <v>230</v>
      </c>
      <c r="D18" s="1797">
        <f>VLOOKUP(B18,SNP!$A$12:$O$133,13,FALSE)</f>
        <v>0</v>
      </c>
      <c r="E18" s="1797">
        <f>VLOOKUP(B18,SNP!$A$12:$O$133,15,FALSE)</f>
        <v>0</v>
      </c>
      <c r="F18" s="1797">
        <f t="array" ref="F18">SUM(ROUND(D18:E18,0))</f>
        <v>0</v>
      </c>
      <c r="G18" s="1796" t="s">
        <v>178</v>
      </c>
      <c r="H18" s="1790"/>
      <c r="I18" s="1832"/>
      <c r="J18" s="1832"/>
      <c r="K18" s="1832"/>
    </row>
    <row r="19" spans="1:11">
      <c r="A19" s="1793" t="str">
        <f t="shared" si="0"/>
        <v>SAMPLE STATE COLLEGE</v>
      </c>
      <c r="B19" s="1794" t="s">
        <v>231</v>
      </c>
      <c r="C19" s="1795" t="s">
        <v>232</v>
      </c>
      <c r="D19" s="1797">
        <f>VLOOKUP(B19,SNP!$A$12:$O$133,13,FALSE)</f>
        <v>0</v>
      </c>
      <c r="E19" s="1797">
        <f>VLOOKUP(B19,SNP!$A$12:$O$133,15,FALSE)</f>
        <v>0</v>
      </c>
      <c r="F19" s="1797">
        <f t="array" ref="F19">SUM(ROUND(D19:E19,0))</f>
        <v>0</v>
      </c>
      <c r="G19" s="1796" t="s">
        <v>178</v>
      </c>
      <c r="H19" s="1790"/>
      <c r="I19" s="1832"/>
      <c r="J19" s="1832"/>
      <c r="K19" s="1832"/>
    </row>
    <row r="20" spans="1:11">
      <c r="A20" s="1793" t="str">
        <f t="shared" si="0"/>
        <v>SAMPLE STATE COLLEGE</v>
      </c>
      <c r="B20" s="1794" t="s">
        <v>233</v>
      </c>
      <c r="C20" s="1795" t="s">
        <v>234</v>
      </c>
      <c r="D20" s="1797">
        <f>VLOOKUP(B20,SNP!$A$12:$O$133,13,FALSE)</f>
        <v>0</v>
      </c>
      <c r="E20" s="1797">
        <f>VLOOKUP(B20,SNP!$A$12:$O$133,15,FALSE)</f>
        <v>0</v>
      </c>
      <c r="F20" s="1797">
        <f t="array" ref="F20">SUM(ROUND(D20:E20,0))</f>
        <v>0</v>
      </c>
      <c r="G20" s="1796" t="s">
        <v>178</v>
      </c>
      <c r="H20" s="1790"/>
      <c r="I20" s="1832"/>
      <c r="J20" s="1832"/>
      <c r="K20" s="1832"/>
    </row>
    <row r="21" spans="1:11">
      <c r="A21" s="1839" t="str">
        <f t="shared" si="0"/>
        <v>SAMPLE STATE COLLEGE</v>
      </c>
      <c r="B21" s="1840" t="s">
        <v>235</v>
      </c>
      <c r="C21" s="1841" t="s">
        <v>217</v>
      </c>
      <c r="D21" s="1843">
        <f>VLOOKUP(B21,SNP!$A$12:$O$133,13,FALSE)</f>
        <v>0</v>
      </c>
      <c r="E21" s="1843">
        <f>VLOOKUP(B21,SNP!$A$12:$O$133,15,FALSE)</f>
        <v>0</v>
      </c>
      <c r="F21" s="1843">
        <f t="array" ref="F21">SUM(ROUND(D21:E21,0))</f>
        <v>0</v>
      </c>
      <c r="G21" s="1842" t="s">
        <v>178</v>
      </c>
      <c r="H21" s="1836" t="s">
        <v>236</v>
      </c>
      <c r="I21" s="1832" t="s">
        <v>237</v>
      </c>
      <c r="J21" s="1832" t="s">
        <v>238</v>
      </c>
      <c r="K21" s="1832" t="s">
        <v>108</v>
      </c>
    </row>
    <row r="22" spans="1:11">
      <c r="A22" s="1793" t="str">
        <f t="shared" si="0"/>
        <v>SAMPLE STATE COLLEGE</v>
      </c>
      <c r="B22" s="1794" t="s">
        <v>239</v>
      </c>
      <c r="C22" s="1795" t="s">
        <v>240</v>
      </c>
      <c r="D22" s="1797">
        <f>VLOOKUP(B22,SNP!$A$12:$O$133,13,FALSE)</f>
        <v>0</v>
      </c>
      <c r="E22" s="1797">
        <f>VLOOKUP(B22,SNP!$A$12:$O$133,15,FALSE)</f>
        <v>0</v>
      </c>
      <c r="F22" s="1797">
        <f t="array" ref="F22">SUM(ROUND(D22:E22,0))</f>
        <v>0</v>
      </c>
      <c r="G22" s="1796" t="s">
        <v>178</v>
      </c>
      <c r="H22" s="1790"/>
      <c r="I22" s="1837">
        <f t="array" ref="I22">SUM(ROUND(D14:D21,0))</f>
        <v>0</v>
      </c>
      <c r="J22" s="1837">
        <f t="array" ref="J22">SUM(ROUND(E14:E21,0))</f>
        <v>0</v>
      </c>
      <c r="K22" s="1837">
        <f>SUM(I22:J22)</f>
        <v>0</v>
      </c>
    </row>
    <row r="23" spans="1:11" s="1791" customFormat="1">
      <c r="A23" s="1793" t="str">
        <f t="shared" si="0"/>
        <v>SAMPLE STATE COLLEGE</v>
      </c>
      <c r="B23" s="1794" t="s">
        <v>241</v>
      </c>
      <c r="C23" s="1795" t="s">
        <v>35</v>
      </c>
      <c r="D23" s="1797">
        <f>VLOOKUP(B23,SNP!$A$12:$O$133,13,FALSE)</f>
        <v>0</v>
      </c>
      <c r="E23" s="1797">
        <f>VLOOKUP(B23,SNP!$A$12:$O$133,15,FALSE)</f>
        <v>0</v>
      </c>
      <c r="F23" s="1797">
        <f t="array" ref="F23">SUM(ROUND(D23:E23,0))</f>
        <v>0</v>
      </c>
      <c r="G23" s="1796" t="s">
        <v>178</v>
      </c>
      <c r="H23" s="1790" t="s">
        <v>242</v>
      </c>
      <c r="I23" s="1837">
        <f t="array" ref="I23">SUM(ROUND(D15:D22,0))</f>
        <v>0</v>
      </c>
      <c r="J23" s="1837">
        <f t="array" ref="J23">SUM(ROUND(E15:E22,0))</f>
        <v>0</v>
      </c>
      <c r="K23" s="1837">
        <f>SUM(I23:J23)</f>
        <v>0</v>
      </c>
    </row>
    <row r="24" spans="1:11" s="1791" customFormat="1">
      <c r="A24" s="1793" t="str">
        <f t="shared" si="0"/>
        <v>SAMPLE STATE COLLEGE</v>
      </c>
      <c r="B24" s="1794" t="s">
        <v>243</v>
      </c>
      <c r="C24" s="1795" t="s">
        <v>36</v>
      </c>
      <c r="D24" s="1797">
        <f>VLOOKUP(B24,SNP!$A$12:$O$133,13,FALSE)</f>
        <v>0</v>
      </c>
      <c r="E24" s="1797">
        <f>VLOOKUP(B24,SNP!$A$12:$O$133,15,FALSE)</f>
        <v>0</v>
      </c>
      <c r="F24" s="1797">
        <f t="array" ref="F24">SUM(ROUND(D24:E24,0))</f>
        <v>0</v>
      </c>
      <c r="G24" s="1796" t="s">
        <v>178</v>
      </c>
      <c r="H24" s="1790" t="s">
        <v>244</v>
      </c>
      <c r="I24" s="1837">
        <f t="array" ref="I24">SUM(ROUND(D16:D23,0))</f>
        <v>0</v>
      </c>
      <c r="J24" s="1837">
        <f t="array" ref="J24">SUM(ROUND(E16:E23,0))</f>
        <v>0</v>
      </c>
      <c r="K24" s="1837">
        <f>SUM(I24:J24)</f>
        <v>0</v>
      </c>
    </row>
    <row r="25" spans="1:11" s="1838" customFormat="1">
      <c r="A25" s="1793" t="str">
        <f t="shared" si="0"/>
        <v>SAMPLE STATE COLLEGE</v>
      </c>
      <c r="B25" s="1794" t="s">
        <v>245</v>
      </c>
      <c r="C25" s="1795" t="s">
        <v>37</v>
      </c>
      <c r="D25" s="1797">
        <f>VLOOKUP(B25,SNP!$A$12:$O$133,13,FALSE)</f>
        <v>0</v>
      </c>
      <c r="E25" s="1797">
        <f>VLOOKUP(B25,SNP!$A$12:$O$133,15,FALSE)</f>
        <v>0</v>
      </c>
      <c r="F25" s="1797">
        <f t="array" ref="F25">SUM(ROUND(D25:E25,0))</f>
        <v>0</v>
      </c>
      <c r="G25" s="1796" t="s">
        <v>178</v>
      </c>
      <c r="H25" s="1790" t="s">
        <v>246</v>
      </c>
      <c r="I25" s="1837"/>
      <c r="J25" s="1837"/>
      <c r="K25" s="1837"/>
    </row>
    <row r="26" spans="1:11" s="1838" customFormat="1">
      <c r="A26" s="1793" t="str">
        <f t="shared" si="0"/>
        <v>SAMPLE STATE COLLEGE</v>
      </c>
      <c r="B26" s="1794" t="s">
        <v>247</v>
      </c>
      <c r="C26" s="1795" t="s">
        <v>248</v>
      </c>
      <c r="D26" s="1797">
        <f>VLOOKUP(B26,SNP!$A$12:$O$133,13,FALSE)</f>
        <v>0</v>
      </c>
      <c r="E26" s="1797">
        <f>VLOOKUP(B26,SNP!$A$12:$O$133,15,FALSE)</f>
        <v>0</v>
      </c>
      <c r="F26" s="1797">
        <f t="array" ref="F26">SUM(ROUND(D26:E26,0))</f>
        <v>0</v>
      </c>
      <c r="G26" s="1796" t="s">
        <v>178</v>
      </c>
      <c r="H26" s="1790" t="s">
        <v>249</v>
      </c>
      <c r="I26" s="1837"/>
      <c r="J26" s="1837"/>
      <c r="K26" s="1837"/>
    </row>
    <row r="27" spans="1:11" s="1838" customFormat="1">
      <c r="A27" s="1793" t="str">
        <f t="shared" si="0"/>
        <v>SAMPLE STATE COLLEGE</v>
      </c>
      <c r="B27" s="1794"/>
      <c r="C27" s="1795"/>
      <c r="D27" s="1797"/>
      <c r="E27" s="1797"/>
      <c r="F27" s="1797"/>
      <c r="G27" s="1796"/>
      <c r="H27" s="1790"/>
      <c r="I27" s="1837"/>
      <c r="J27" s="1837"/>
      <c r="K27" s="1837"/>
    </row>
    <row r="28" spans="1:11">
      <c r="A28" s="1839" t="str">
        <f t="shared" si="0"/>
        <v>SAMPLE STATE COLLEGE</v>
      </c>
      <c r="B28" s="1840" t="s">
        <v>250</v>
      </c>
      <c r="C28" s="1841" t="s">
        <v>56</v>
      </c>
      <c r="D28" s="1843">
        <f>VLOOKUP(B28,SNP!$A$12:$O$133,13,FALSE)</f>
        <v>0</v>
      </c>
      <c r="E28" s="1843">
        <f>VLOOKUP(B28,SNP!$A$12:$O$133,15,FALSE)</f>
        <v>0</v>
      </c>
      <c r="F28" s="1843">
        <f t="array" ref="F28">SUM(ROUND(D28:E28,0))</f>
        <v>0</v>
      </c>
      <c r="G28" s="1842" t="s">
        <v>178</v>
      </c>
      <c r="H28" s="1836" t="s">
        <v>251</v>
      </c>
      <c r="I28" s="1832"/>
      <c r="J28" s="1832" t="s">
        <v>224</v>
      </c>
      <c r="K28" s="1837">
        <f>K22-F22</f>
        <v>0</v>
      </c>
    </row>
    <row r="29" spans="1:11">
      <c r="A29" s="1301" t="str">
        <f t="shared" si="0"/>
        <v>SAMPLE STATE COLLEGE</v>
      </c>
      <c r="B29" s="1302" t="s">
        <v>252</v>
      </c>
      <c r="C29" s="1303" t="s">
        <v>253</v>
      </c>
      <c r="D29" s="1323">
        <f>VLOOKUP(B29,SNP!$A$12:$O$133,13,FALSE)</f>
        <v>0</v>
      </c>
      <c r="E29" s="1323">
        <f>VLOOKUP(B29,SNP!$A$12:$O$133,15,FALSE)</f>
        <v>0</v>
      </c>
      <c r="F29" s="1323">
        <f t="array" ref="F29">SUM(ROUND(D29:E29,0))</f>
        <v>0</v>
      </c>
      <c r="G29" s="1304" t="s">
        <v>178</v>
      </c>
      <c r="H29" s="1305" t="s">
        <v>254</v>
      </c>
      <c r="I29" s="1832"/>
      <c r="J29" s="1832"/>
      <c r="K29" s="1832"/>
    </row>
    <row r="30" spans="1:11">
      <c r="A30" s="1839" t="str">
        <f t="shared" si="0"/>
        <v>SAMPLE STATE COLLEGE</v>
      </c>
      <c r="B30" s="1840" t="s">
        <v>255</v>
      </c>
      <c r="C30" s="1841" t="s">
        <v>256</v>
      </c>
      <c r="D30" s="1843">
        <f>VLOOKUP(B30,SNP!$A$12:$O$133,13,FALSE)</f>
        <v>0</v>
      </c>
      <c r="E30" s="1843">
        <f>VLOOKUP(B30,SNP!$A$12:$O$133,15,FALSE)</f>
        <v>0</v>
      </c>
      <c r="F30" s="1843">
        <f t="array" ref="F30">SUM(ROUND(D30:E30,0))</f>
        <v>0</v>
      </c>
      <c r="G30" s="1842" t="s">
        <v>178</v>
      </c>
      <c r="H30" s="1836" t="s">
        <v>257</v>
      </c>
      <c r="I30" s="1832"/>
      <c r="J30" s="1832"/>
      <c r="K30" s="1832"/>
    </row>
    <row r="31" spans="1:11">
      <c r="A31" s="1839" t="str">
        <f t="shared" si="0"/>
        <v>SAMPLE STATE COLLEGE</v>
      </c>
      <c r="B31" s="1840" t="s">
        <v>258</v>
      </c>
      <c r="C31" s="1841" t="s">
        <v>259</v>
      </c>
      <c r="D31" s="1843">
        <f>VLOOKUP(B31,SNP!$A$12:$O$133,13,FALSE)</f>
        <v>0</v>
      </c>
      <c r="E31" s="1843">
        <f>VLOOKUP(B31,SNP!$A$12:$O$133,15,FALSE)</f>
        <v>0</v>
      </c>
      <c r="F31" s="1843">
        <f t="array" ref="F31">SUM(ROUND(D31:E31,0))</f>
        <v>0</v>
      </c>
      <c r="G31" s="1842" t="s">
        <v>178</v>
      </c>
      <c r="H31" s="1836" t="s">
        <v>260</v>
      </c>
      <c r="I31" s="1832"/>
      <c r="J31" s="1832"/>
      <c r="K31" s="1832"/>
    </row>
    <row r="32" spans="1:11">
      <c r="A32" s="1839" t="str">
        <f t="shared" si="0"/>
        <v>SAMPLE STATE COLLEGE</v>
      </c>
      <c r="B32" s="1840" t="s">
        <v>261</v>
      </c>
      <c r="C32" s="1841" t="s">
        <v>62</v>
      </c>
      <c r="D32" s="1843">
        <f>VLOOKUP(B32,SNP!$A$12:$O$133,13,FALSE)</f>
        <v>0</v>
      </c>
      <c r="E32" s="1843">
        <f>VLOOKUP(B32,SNP!$A$12:$O$133,15,FALSE)</f>
        <v>0</v>
      </c>
      <c r="F32" s="1843">
        <f t="array" ref="F32">SUM(ROUND(D32:E32,0))</f>
        <v>0</v>
      </c>
      <c r="G32" s="1842" t="s">
        <v>178</v>
      </c>
      <c r="H32" s="1836" t="s">
        <v>262</v>
      </c>
      <c r="I32" s="1832"/>
      <c r="J32" s="1832"/>
      <c r="K32" s="1832"/>
    </row>
    <row r="33" spans="1:11">
      <c r="A33" s="1839" t="str">
        <f t="shared" si="0"/>
        <v>SAMPLE STATE COLLEGE</v>
      </c>
      <c r="B33" s="1840" t="s">
        <v>263</v>
      </c>
      <c r="C33" s="1841" t="s">
        <v>264</v>
      </c>
      <c r="D33" s="1843">
        <f>VLOOKUP(B33,SNP!$A$12:$O$133,13,FALSE)</f>
        <v>0</v>
      </c>
      <c r="E33" s="1843">
        <f>VLOOKUP(B33,SNP!$A$12:$O$133,15,FALSE)</f>
        <v>0</v>
      </c>
      <c r="F33" s="1843">
        <f t="array" ref="F33">SUM(ROUND(D33:E33,0))</f>
        <v>0</v>
      </c>
      <c r="G33" s="1842" t="s">
        <v>178</v>
      </c>
      <c r="H33" s="1836" t="s">
        <v>265</v>
      </c>
      <c r="I33" s="1832"/>
      <c r="J33" s="1832"/>
      <c r="K33" s="1832"/>
    </row>
    <row r="34" spans="1:11">
      <c r="A34" s="1839" t="str">
        <f t="shared" si="0"/>
        <v>SAMPLE STATE COLLEGE</v>
      </c>
      <c r="B34" s="1840" t="s">
        <v>266</v>
      </c>
      <c r="C34" s="1841" t="s">
        <v>267</v>
      </c>
      <c r="D34" s="1843">
        <f>VLOOKUP(B34,SNP!$A$12:$O$133,13,FALSE)</f>
        <v>0</v>
      </c>
      <c r="E34" s="1843">
        <f>VLOOKUP(B34,SNP!$A$12:$O$133,15,FALSE)</f>
        <v>0</v>
      </c>
      <c r="F34" s="1843">
        <f t="array" ref="F34">SUM(ROUND(D34:E34,0))</f>
        <v>0</v>
      </c>
      <c r="G34" s="1842" t="s">
        <v>178</v>
      </c>
      <c r="H34" s="1836" t="s">
        <v>268</v>
      </c>
      <c r="I34" s="1832"/>
      <c r="J34" s="1832"/>
      <c r="K34" s="1832"/>
    </row>
    <row r="35" spans="1:11">
      <c r="A35" s="1839" t="str">
        <f t="shared" si="0"/>
        <v>SAMPLE STATE COLLEGE</v>
      </c>
      <c r="B35" s="1840" t="s">
        <v>269</v>
      </c>
      <c r="C35" s="1841" t="s">
        <v>270</v>
      </c>
      <c r="D35" s="1843">
        <f>VLOOKUP(B35,SNP!$A$12:$O$133,13,FALSE)</f>
        <v>0</v>
      </c>
      <c r="E35" s="1843">
        <f>VLOOKUP(B35,SNP!$A$12:$O$133,15,FALSE)</f>
        <v>0</v>
      </c>
      <c r="F35" s="1843">
        <f t="array" ref="F35">SUM(ROUND(D35:E35,0))</f>
        <v>0</v>
      </c>
      <c r="G35" s="1842" t="s">
        <v>178</v>
      </c>
      <c r="H35" s="1836" t="s">
        <v>271</v>
      </c>
      <c r="I35" s="1832"/>
      <c r="J35" s="1832"/>
      <c r="K35" s="1832"/>
    </row>
    <row r="36" spans="1:11">
      <c r="A36" s="1839" t="str">
        <f t="shared" si="0"/>
        <v>SAMPLE STATE COLLEGE</v>
      </c>
      <c r="B36" s="1840" t="s">
        <v>272</v>
      </c>
      <c r="C36" s="1841" t="s">
        <v>61</v>
      </c>
      <c r="D36" s="1843">
        <f>VLOOKUP(B36,SNP!$A$12:$O$133,13,FALSE)</f>
        <v>0</v>
      </c>
      <c r="E36" s="1843">
        <f>VLOOKUP(B36,SNP!$A$12:$O$133,15,FALSE)</f>
        <v>0</v>
      </c>
      <c r="F36" s="1843">
        <f t="array" ref="F36">SUM(ROUND(D36:E36,0))</f>
        <v>0</v>
      </c>
      <c r="G36" s="1842" t="s">
        <v>178</v>
      </c>
      <c r="H36" s="1836" t="s">
        <v>273</v>
      </c>
      <c r="I36" s="1832"/>
      <c r="J36" s="1832"/>
      <c r="K36" s="1832"/>
    </row>
    <row r="37" spans="1:11">
      <c r="A37" s="1839" t="str">
        <f t="shared" si="0"/>
        <v>SAMPLE STATE COLLEGE</v>
      </c>
      <c r="B37" s="1840" t="s">
        <v>274</v>
      </c>
      <c r="C37" s="1841" t="s">
        <v>75</v>
      </c>
      <c r="D37" s="1843">
        <f>VLOOKUP(B37,SNP!$A$12:$O$133,13,FALSE)</f>
        <v>0</v>
      </c>
      <c r="E37" s="1843">
        <f>VLOOKUP(B37,SNP!$A$12:$O$133,15,FALSE)</f>
        <v>0</v>
      </c>
      <c r="F37" s="1843">
        <f t="array" ref="F37">SUM(ROUND(D37:E37,0))</f>
        <v>0</v>
      </c>
      <c r="G37" s="1842" t="s">
        <v>178</v>
      </c>
      <c r="H37" s="1836" t="s">
        <v>275</v>
      </c>
      <c r="I37" s="1832"/>
      <c r="J37" s="1832"/>
      <c r="K37" s="1832"/>
    </row>
    <row r="38" spans="1:11">
      <c r="A38" s="1839" t="str">
        <f t="shared" si="0"/>
        <v>SAMPLE STATE COLLEGE</v>
      </c>
      <c r="B38" s="1840" t="s">
        <v>276</v>
      </c>
      <c r="C38" s="1841" t="s">
        <v>277</v>
      </c>
      <c r="D38" s="1843">
        <f>VLOOKUP(B38,SNP!$A$12:$O$133,13,FALSE)</f>
        <v>0</v>
      </c>
      <c r="E38" s="1843">
        <f>VLOOKUP(B38,SNP!$A$12:$O$133,15,FALSE)</f>
        <v>0</v>
      </c>
      <c r="F38" s="1843">
        <f t="array" ref="F38">SUM(ROUND(D38:E38,0))</f>
        <v>0</v>
      </c>
      <c r="G38" s="1842" t="s">
        <v>178</v>
      </c>
      <c r="H38" s="1836" t="s">
        <v>278</v>
      </c>
      <c r="I38" s="1832"/>
      <c r="J38" s="1832"/>
      <c r="K38" s="1832"/>
    </row>
    <row r="39" spans="1:11">
      <c r="A39" s="1839" t="str">
        <f t="shared" si="0"/>
        <v>SAMPLE STATE COLLEGE</v>
      </c>
      <c r="B39" s="1840" t="s">
        <v>279</v>
      </c>
      <c r="C39" s="1841" t="s">
        <v>280</v>
      </c>
      <c r="D39" s="1843">
        <f>VLOOKUP(B39,SNP!$A$12:$O$133,13,FALSE)</f>
        <v>0</v>
      </c>
      <c r="E39" s="1843">
        <f>VLOOKUP(B39,SNP!$A$12:$O$133,15,FALSE)</f>
        <v>0</v>
      </c>
      <c r="F39" s="1843">
        <f t="array" ref="F39">SUM(ROUND(D39:E39,0))</f>
        <v>0</v>
      </c>
      <c r="G39" s="1842" t="s">
        <v>178</v>
      </c>
      <c r="H39" s="1836" t="s">
        <v>281</v>
      </c>
      <c r="I39" s="1832"/>
      <c r="J39" s="1832"/>
      <c r="K39" s="1832"/>
    </row>
    <row r="40" spans="1:11">
      <c r="A40" s="1839" t="str">
        <f t="shared" si="0"/>
        <v>SAMPLE STATE COLLEGE</v>
      </c>
      <c r="B40" s="1840" t="s">
        <v>282</v>
      </c>
      <c r="C40" s="1841" t="s">
        <v>283</v>
      </c>
      <c r="D40" s="1843">
        <f>VLOOKUP(B40,SNP!$A$12:$O$133,13,FALSE)</f>
        <v>0</v>
      </c>
      <c r="E40" s="1843">
        <f>VLOOKUP(B40,SNP!$A$12:$O$133,15,FALSE)</f>
        <v>0</v>
      </c>
      <c r="F40" s="1843">
        <f t="array" ref="F40">SUM(ROUND(D40:E40,0))</f>
        <v>0</v>
      </c>
      <c r="G40" s="1842" t="s">
        <v>178</v>
      </c>
      <c r="H40" s="1836" t="s">
        <v>284</v>
      </c>
      <c r="I40" s="1832"/>
      <c r="J40" s="1832"/>
      <c r="K40" s="1832"/>
    </row>
    <row r="41" spans="1:11" s="1838" customFormat="1">
      <c r="A41" s="1839" t="str">
        <f t="shared" si="0"/>
        <v>SAMPLE STATE COLLEGE</v>
      </c>
      <c r="B41" s="1840" t="s">
        <v>285</v>
      </c>
      <c r="C41" s="1841" t="s">
        <v>286</v>
      </c>
      <c r="D41" s="1843">
        <f>VLOOKUP(B41,SNP!$A$12:$O$133,13,FALSE)</f>
        <v>0</v>
      </c>
      <c r="E41" s="1843">
        <f>VLOOKUP(B41,SNP!$A$12:$O$133,15,FALSE)</f>
        <v>0</v>
      </c>
      <c r="F41" s="1843">
        <f t="array" ref="F41">SUM(ROUND(D41:E41,0))</f>
        <v>0</v>
      </c>
      <c r="G41" s="1842" t="s">
        <v>178</v>
      </c>
      <c r="H41" s="1836" t="s">
        <v>287</v>
      </c>
      <c r="I41" s="1832"/>
      <c r="J41" s="1832"/>
      <c r="K41" s="1832"/>
    </row>
    <row r="42" spans="1:11">
      <c r="A42" s="1839" t="str">
        <f t="shared" si="0"/>
        <v>SAMPLE STATE COLLEGE</v>
      </c>
      <c r="B42" s="1840" t="s">
        <v>288</v>
      </c>
      <c r="C42" s="1841" t="s">
        <v>289</v>
      </c>
      <c r="D42" s="1843">
        <f>VLOOKUP(B42,SNP!$A$12:$O$133,13,FALSE)</f>
        <v>0</v>
      </c>
      <c r="E42" s="1843">
        <f>VLOOKUP(B42,SNP!$A$12:$O$133,15,FALSE)</f>
        <v>0</v>
      </c>
      <c r="F42" s="1843">
        <f t="array" ref="F42">SUM(ROUND(D42:E42,0))</f>
        <v>0</v>
      </c>
      <c r="G42" s="1842" t="s">
        <v>178</v>
      </c>
      <c r="H42" s="1836" t="s">
        <v>278</v>
      </c>
      <c r="I42" s="1832"/>
      <c r="J42" s="1832"/>
      <c r="K42" s="1832"/>
    </row>
    <row r="43" spans="1:11">
      <c r="A43" s="1839" t="str">
        <f t="shared" si="0"/>
        <v>SAMPLE STATE COLLEGE</v>
      </c>
      <c r="B43" s="1840" t="s">
        <v>290</v>
      </c>
      <c r="C43" s="1841" t="s">
        <v>291</v>
      </c>
      <c r="D43" s="1843">
        <f>VLOOKUP(B43,SNP!$A$12:$O$133,13,FALSE)</f>
        <v>0</v>
      </c>
      <c r="E43" s="1843">
        <f>VLOOKUP(B43,SNP!$A$12:$O$133,15,FALSE)</f>
        <v>0</v>
      </c>
      <c r="F43" s="1843">
        <f t="array" ref="F43">SUM(ROUND(D43:E43,0))</f>
        <v>0</v>
      </c>
      <c r="G43" s="1842" t="s">
        <v>178</v>
      </c>
      <c r="H43" s="1836" t="s">
        <v>292</v>
      </c>
      <c r="I43" s="1832"/>
      <c r="J43" s="1832"/>
      <c r="K43" s="1832"/>
    </row>
    <row r="44" spans="1:11" s="1791" customFormat="1">
      <c r="A44" s="1839" t="str">
        <f t="shared" si="0"/>
        <v>SAMPLE STATE COLLEGE</v>
      </c>
      <c r="B44" s="1840" t="s">
        <v>293</v>
      </c>
      <c r="C44" s="1841" t="s">
        <v>70</v>
      </c>
      <c r="D44" s="1843">
        <f>VLOOKUP(B44,SNP!$A$12:$O$133,13,FALSE)</f>
        <v>0</v>
      </c>
      <c r="E44" s="1843">
        <f>VLOOKUP(B44,SNP!$A$12:$O$133,15,FALSE)</f>
        <v>0</v>
      </c>
      <c r="F44" s="1843">
        <f t="array" ref="F44">SUM(ROUND(D44:E44,0))</f>
        <v>0</v>
      </c>
      <c r="G44" s="1842" t="s">
        <v>178</v>
      </c>
      <c r="H44" s="1836" t="s">
        <v>294</v>
      </c>
      <c r="I44" s="1832"/>
      <c r="J44" s="1832"/>
      <c r="K44" s="1832"/>
    </row>
    <row r="45" spans="1:11" s="1791" customFormat="1">
      <c r="A45" s="1839" t="str">
        <f t="shared" si="0"/>
        <v>SAMPLE STATE COLLEGE</v>
      </c>
      <c r="B45" s="1840" t="s">
        <v>295</v>
      </c>
      <c r="C45" s="1841" t="s">
        <v>296</v>
      </c>
      <c r="D45" s="1843">
        <f>VLOOKUP(B45,SNP!$A$12:$O$133,13,FALSE)</f>
        <v>0</v>
      </c>
      <c r="E45" s="1843">
        <f>VLOOKUP(B45,SNP!$A$12:$O$133,15,FALSE)</f>
        <v>0</v>
      </c>
      <c r="F45" s="1843">
        <f t="array" ref="F45">SUM(ROUND(D45:E45,0))</f>
        <v>0</v>
      </c>
      <c r="G45" s="1842" t="s">
        <v>178</v>
      </c>
      <c r="H45" s="1836" t="s">
        <v>297</v>
      </c>
      <c r="I45" s="1832"/>
      <c r="J45" s="1832"/>
      <c r="K45" s="1832"/>
    </row>
    <row r="46" spans="1:11" s="1838" customFormat="1">
      <c r="A46" s="1839" t="str">
        <f t="shared" si="0"/>
        <v>SAMPLE STATE COLLEGE</v>
      </c>
      <c r="B46" s="1840" t="s">
        <v>298</v>
      </c>
      <c r="C46" s="1841" t="s">
        <v>68</v>
      </c>
      <c r="D46" s="1843">
        <f>VLOOKUP(B46,SNP!$A$12:$O$133,13,FALSE)</f>
        <v>0</v>
      </c>
      <c r="E46" s="1843">
        <f>VLOOKUP(B46,SNP!$A$12:$O$133,15,FALSE)</f>
        <v>0</v>
      </c>
      <c r="F46" s="1843">
        <f t="array" ref="F46">SUM(ROUND(D46:E46,0))</f>
        <v>0</v>
      </c>
      <c r="G46" s="1842" t="s">
        <v>178</v>
      </c>
      <c r="H46" s="1836" t="s">
        <v>299</v>
      </c>
      <c r="I46" s="1832"/>
      <c r="J46" s="1832"/>
      <c r="K46" s="1832"/>
    </row>
    <row r="47" spans="1:11">
      <c r="A47" s="1839" t="str">
        <f t="shared" si="0"/>
        <v>SAMPLE STATE COLLEGE</v>
      </c>
      <c r="B47" s="1840" t="s">
        <v>300</v>
      </c>
      <c r="C47" s="1841" t="s">
        <v>89</v>
      </c>
      <c r="D47" s="1843">
        <f>VLOOKUP(B47,SNP!$A$12:$O$133,13,FALSE)</f>
        <v>0</v>
      </c>
      <c r="E47" s="1843">
        <f>VLOOKUP(B47,SNP!$A$12:$O$133,15,FALSE)</f>
        <v>0</v>
      </c>
      <c r="F47" s="1843">
        <f t="array" ref="F47">SUM(ROUND(D47:E47,0))</f>
        <v>0</v>
      </c>
      <c r="G47" s="1842" t="s">
        <v>178</v>
      </c>
      <c r="H47" s="1836" t="s">
        <v>278</v>
      </c>
      <c r="I47" s="1832" t="s">
        <v>301</v>
      </c>
      <c r="J47" s="1832" t="s">
        <v>302</v>
      </c>
      <c r="K47" s="1832" t="s">
        <v>108</v>
      </c>
    </row>
    <row r="48" spans="1:11">
      <c r="A48" s="1793" t="str">
        <f t="shared" si="0"/>
        <v>SAMPLE STATE COLLEGE</v>
      </c>
      <c r="B48" s="1794" t="s">
        <v>303</v>
      </c>
      <c r="C48" s="1795" t="s">
        <v>304</v>
      </c>
      <c r="D48" s="1797">
        <f>VLOOKUP(B48,SNP!$A$12:$O$133,13,FALSE)</f>
        <v>0</v>
      </c>
      <c r="E48" s="1797">
        <f>VLOOKUP(B48,SNP!$A$12:$O$133,15,FALSE)</f>
        <v>0</v>
      </c>
      <c r="F48" s="1797">
        <f t="array" ref="F48">SUM(ROUND(D48:E48,0))</f>
        <v>0</v>
      </c>
      <c r="G48" s="1796" t="s">
        <v>178</v>
      </c>
      <c r="H48" s="1790"/>
      <c r="I48" s="1837">
        <f t="array" ref="I48">SUM(ROUND(D28:D47,0))</f>
        <v>0</v>
      </c>
      <c r="J48" s="1837">
        <f t="array" ref="J48">SUM(ROUND(E28:E47,0))</f>
        <v>0</v>
      </c>
      <c r="K48" s="1837">
        <f>SUM(I48:J48)</f>
        <v>0</v>
      </c>
    </row>
    <row r="49" spans="1:11">
      <c r="A49" s="1839" t="str">
        <f t="shared" si="0"/>
        <v>SAMPLE STATE COLLEGE</v>
      </c>
      <c r="B49" s="1840" t="s">
        <v>305</v>
      </c>
      <c r="C49" s="1841" t="s">
        <v>75</v>
      </c>
      <c r="D49" s="1843">
        <f>VLOOKUP(B49,SNP!$A$12:$O$133,13,FALSE)</f>
        <v>0</v>
      </c>
      <c r="E49" s="1843">
        <f>VLOOKUP(B49,SNP!$A$12:$O$133,15,FALSE)</f>
        <v>0</v>
      </c>
      <c r="F49" s="1843">
        <f t="array" ref="F49">SUM(ROUND(D49:E49,0))</f>
        <v>0</v>
      </c>
      <c r="G49" s="1842" t="s">
        <v>178</v>
      </c>
      <c r="H49" s="1836" t="s">
        <v>306</v>
      </c>
      <c r="I49" s="1832"/>
      <c r="J49" s="1832" t="s">
        <v>224</v>
      </c>
      <c r="K49" s="1837">
        <f>K48-F48</f>
        <v>0</v>
      </c>
    </row>
    <row r="50" spans="1:11">
      <c r="A50" s="1839" t="str">
        <f t="shared" si="0"/>
        <v>SAMPLE STATE COLLEGE</v>
      </c>
      <c r="B50" s="1840" t="s">
        <v>307</v>
      </c>
      <c r="C50" s="1841" t="s">
        <v>277</v>
      </c>
      <c r="D50" s="1843">
        <f>VLOOKUP(B50,SNP!$A$12:$O$133,13,FALSE)</f>
        <v>0</v>
      </c>
      <c r="E50" s="1843">
        <f>VLOOKUP(B50,SNP!$A$12:$O$133,15,FALSE)</f>
        <v>0</v>
      </c>
      <c r="F50" s="1843">
        <f t="array" ref="F50">SUM(ROUND(D50:E50,0))</f>
        <v>0</v>
      </c>
      <c r="G50" s="1842" t="s">
        <v>178</v>
      </c>
      <c r="H50" s="1836" t="s">
        <v>308</v>
      </c>
      <c r="I50" s="1832"/>
      <c r="J50" s="1832"/>
      <c r="K50" s="1832"/>
    </row>
    <row r="51" spans="1:11">
      <c r="A51" s="1839" t="str">
        <f t="shared" si="0"/>
        <v>SAMPLE STATE COLLEGE</v>
      </c>
      <c r="B51" s="1840" t="s">
        <v>309</v>
      </c>
      <c r="C51" s="1841" t="s">
        <v>83</v>
      </c>
      <c r="D51" s="1843">
        <f>VLOOKUP(B51,SNP!$A$12:$O$133,13,FALSE)</f>
        <v>0</v>
      </c>
      <c r="E51" s="1843">
        <f>VLOOKUP(B51,SNP!$A$12:$O$133,15,FALSE)</f>
        <v>0</v>
      </c>
      <c r="F51" s="1843">
        <f t="array" ref="F51">SUM(ROUND(D51:E51,0))</f>
        <v>0</v>
      </c>
      <c r="G51" s="1842" t="s">
        <v>178</v>
      </c>
      <c r="H51" s="1836" t="s">
        <v>310</v>
      </c>
      <c r="I51" s="1832"/>
      <c r="J51" s="1832"/>
      <c r="K51" s="1832"/>
    </row>
    <row r="52" spans="1:11">
      <c r="A52" s="1839" t="str">
        <f t="shared" si="0"/>
        <v>SAMPLE STATE COLLEGE</v>
      </c>
      <c r="B52" s="1840" t="s">
        <v>311</v>
      </c>
      <c r="C52" s="1841" t="s">
        <v>283</v>
      </c>
      <c r="D52" s="1843">
        <f>VLOOKUP(B52,SNP!$A$12:$O$133,13,FALSE)</f>
        <v>0</v>
      </c>
      <c r="E52" s="1843">
        <f>VLOOKUP(B52,SNP!$A$12:$O$133,15,FALSE)</f>
        <v>0</v>
      </c>
      <c r="F52" s="1843">
        <f t="array" ref="F52">SUM(ROUND(D52:E52,0))</f>
        <v>0</v>
      </c>
      <c r="G52" s="1842" t="s">
        <v>178</v>
      </c>
      <c r="H52" s="1836" t="s">
        <v>312</v>
      </c>
      <c r="I52" s="1832"/>
      <c r="J52" s="1832"/>
      <c r="K52" s="1832"/>
    </row>
    <row r="53" spans="1:11" s="1838" customFormat="1">
      <c r="A53" s="1839" t="str">
        <f t="shared" si="0"/>
        <v>SAMPLE STATE COLLEGE</v>
      </c>
      <c r="B53" s="1840" t="s">
        <v>313</v>
      </c>
      <c r="C53" s="1841" t="s">
        <v>314</v>
      </c>
      <c r="D53" s="1843">
        <f>VLOOKUP(B53,SNP!$A$12:$O$133,13,FALSE)</f>
        <v>0</v>
      </c>
      <c r="E53" s="1843">
        <f>VLOOKUP(B53,SNP!$A$12:$O$133,15,FALSE)</f>
        <v>0</v>
      </c>
      <c r="F53" s="1843">
        <f t="array" ref="F53">SUM(ROUND(D53:E53,0))</f>
        <v>0</v>
      </c>
      <c r="G53" s="1842" t="s">
        <v>178</v>
      </c>
      <c r="H53" s="1836" t="s">
        <v>315</v>
      </c>
      <c r="I53" s="1832"/>
      <c r="J53" s="1832"/>
      <c r="K53" s="1832"/>
    </row>
    <row r="54" spans="1:11">
      <c r="A54" s="1839" t="str">
        <f t="shared" si="0"/>
        <v>SAMPLE STATE COLLEGE</v>
      </c>
      <c r="B54" s="1840" t="s">
        <v>316</v>
      </c>
      <c r="C54" s="1841" t="s">
        <v>289</v>
      </c>
      <c r="D54" s="1843">
        <f>VLOOKUP(B54,SNP!$A$12:$O$133,13,FALSE)</f>
        <v>0</v>
      </c>
      <c r="E54" s="1843">
        <f>VLOOKUP(B54,SNP!$A$12:$O$133,15,FALSE)</f>
        <v>0</v>
      </c>
      <c r="F54" s="1843">
        <f t="array" ref="F54">SUM(ROUND(D54:E54,0))</f>
        <v>0</v>
      </c>
      <c r="G54" s="1842" t="s">
        <v>178</v>
      </c>
      <c r="H54" s="1836" t="s">
        <v>308</v>
      </c>
      <c r="I54" s="1832"/>
      <c r="J54" s="1832"/>
      <c r="K54" s="1832"/>
    </row>
    <row r="55" spans="1:11">
      <c r="A55" s="1839" t="str">
        <f t="shared" si="0"/>
        <v>SAMPLE STATE COLLEGE</v>
      </c>
      <c r="B55" s="1840" t="s">
        <v>317</v>
      </c>
      <c r="C55" s="1841" t="s">
        <v>291</v>
      </c>
      <c r="D55" s="1843">
        <f>VLOOKUP(B55,SNP!$A$12:$O$133,13,FALSE)</f>
        <v>0</v>
      </c>
      <c r="E55" s="1843">
        <f>VLOOKUP(B55,SNP!$A$12:$O$133,15,FALSE)</f>
        <v>0</v>
      </c>
      <c r="F55" s="1843">
        <f t="array" ref="F55">SUM(ROUND(D55:E55,0))</f>
        <v>0</v>
      </c>
      <c r="G55" s="1842" t="s">
        <v>178</v>
      </c>
      <c r="H55" s="1836" t="s">
        <v>318</v>
      </c>
      <c r="I55" s="1832"/>
      <c r="J55" s="1832"/>
      <c r="K55" s="1832"/>
    </row>
    <row r="56" spans="1:11" s="1835" customFormat="1">
      <c r="A56" s="1839" t="str">
        <f t="shared" si="0"/>
        <v>SAMPLE STATE COLLEGE</v>
      </c>
      <c r="B56" s="1840" t="s">
        <v>319</v>
      </c>
      <c r="C56" s="1841" t="s">
        <v>87</v>
      </c>
      <c r="D56" s="1843">
        <f>VLOOKUP(B56,SNP!$A$12:$O$133,13,FALSE)</f>
        <v>0</v>
      </c>
      <c r="E56" s="1843">
        <f>VLOOKUP(B56,SNP!$A$12:$O$133,15,FALSE)</f>
        <v>0</v>
      </c>
      <c r="F56" s="1843">
        <f t="array" ref="F56">SUM(ROUND(D56:E56,0))</f>
        <v>0</v>
      </c>
      <c r="G56" s="1842" t="s">
        <v>178</v>
      </c>
      <c r="H56" s="1836" t="s">
        <v>320</v>
      </c>
      <c r="I56" s="1832"/>
      <c r="J56" s="1832"/>
      <c r="K56" s="1832"/>
    </row>
    <row r="57" spans="1:11" s="1835" customFormat="1">
      <c r="A57" s="1839" t="str">
        <f t="shared" si="0"/>
        <v>SAMPLE STATE COLLEGE</v>
      </c>
      <c r="B57" s="1840" t="s">
        <v>321</v>
      </c>
      <c r="C57" s="1841" t="s">
        <v>88</v>
      </c>
      <c r="D57" s="1843">
        <f>VLOOKUP(B57,SNP!$A$12:$O$133,13,FALSE)</f>
        <v>0</v>
      </c>
      <c r="E57" s="1843">
        <f>VLOOKUP(B57,SNP!$A$12:$O$133,15,FALSE)</f>
        <v>0</v>
      </c>
      <c r="F57" s="1843">
        <f t="array" ref="F57">SUM(ROUND(D57:E57,0))</f>
        <v>0</v>
      </c>
      <c r="G57" s="1842" t="s">
        <v>178</v>
      </c>
      <c r="H57" s="1836" t="s">
        <v>322</v>
      </c>
      <c r="I57" s="1832"/>
      <c r="J57" s="1832"/>
      <c r="K57" s="1832"/>
    </row>
    <row r="58" spans="1:11">
      <c r="A58" s="1839" t="str">
        <f t="shared" si="0"/>
        <v>SAMPLE STATE COLLEGE</v>
      </c>
      <c r="B58" s="1840" t="s">
        <v>323</v>
      </c>
      <c r="C58" s="1841" t="s">
        <v>324</v>
      </c>
      <c r="D58" s="1843">
        <f>VLOOKUP(B58,SNP!$A$12:$O$133,13,FALSE)</f>
        <v>0</v>
      </c>
      <c r="E58" s="1843">
        <f>VLOOKUP(B58,SNP!$A$12:$O$133,15,FALSE)</f>
        <v>0</v>
      </c>
      <c r="F58" s="1843">
        <f t="array" ref="F58">SUM(ROUND(D58:E58,0))</f>
        <v>0</v>
      </c>
      <c r="G58" s="1842" t="s">
        <v>178</v>
      </c>
      <c r="H58" s="1836" t="s">
        <v>325</v>
      </c>
      <c r="I58" s="1832"/>
      <c r="J58" s="1832"/>
      <c r="K58" s="1832"/>
    </row>
    <row r="59" spans="1:11">
      <c r="A59" s="1839" t="str">
        <f t="shared" si="0"/>
        <v>SAMPLE STATE COLLEGE</v>
      </c>
      <c r="B59" s="1840" t="s">
        <v>326</v>
      </c>
      <c r="C59" s="1841" t="s">
        <v>89</v>
      </c>
      <c r="D59" s="1843">
        <f>VLOOKUP(B59,SNP!$A$12:$O$133,13,FALSE)</f>
        <v>0</v>
      </c>
      <c r="E59" s="1843">
        <f>VLOOKUP(B59,SNP!$A$12:$O$133,15,FALSE)</f>
        <v>0</v>
      </c>
      <c r="F59" s="1843">
        <f t="array" ref="F59">SUM(ROUND(D59:E59,0))</f>
        <v>0</v>
      </c>
      <c r="G59" s="1842" t="s">
        <v>178</v>
      </c>
      <c r="H59" s="1836" t="s">
        <v>308</v>
      </c>
      <c r="I59" s="1832" t="s">
        <v>327</v>
      </c>
      <c r="J59" s="1832" t="s">
        <v>328</v>
      </c>
      <c r="K59" s="1832" t="s">
        <v>108</v>
      </c>
    </row>
    <row r="60" spans="1:11">
      <c r="A60" s="1839" t="str">
        <f t="shared" si="0"/>
        <v>SAMPLE STATE COLLEGE</v>
      </c>
      <c r="B60" s="1840" t="s">
        <v>329</v>
      </c>
      <c r="C60" s="1841" t="s">
        <v>330</v>
      </c>
      <c r="D60" s="1843">
        <f>VLOOKUP(B60,SNP!$A$12:$O$133,13,FALSE)</f>
        <v>0</v>
      </c>
      <c r="E60" s="1843">
        <f>VLOOKUP(B60,SNP!$A$12:$O$133,15,FALSE)</f>
        <v>0</v>
      </c>
      <c r="F60" s="1843">
        <f t="array" ref="F60">SUM(ROUND(D60:E60,0))</f>
        <v>0</v>
      </c>
      <c r="G60" s="1842" t="s">
        <v>178</v>
      </c>
      <c r="H60" s="1836"/>
      <c r="I60" s="1837">
        <f t="array" ref="I60">SUM(ROUND(D49:D59,0))</f>
        <v>0</v>
      </c>
      <c r="J60" s="1837">
        <f t="array" ref="J60">SUM(ROUND(E49:E59,0))</f>
        <v>0</v>
      </c>
      <c r="K60" s="1837">
        <f>SUM(I60:J60)</f>
        <v>0</v>
      </c>
    </row>
    <row r="61" spans="1:11">
      <c r="A61" s="1839" t="str">
        <f t="shared" si="0"/>
        <v>SAMPLE STATE COLLEGE</v>
      </c>
      <c r="B61" s="1840" t="s">
        <v>331</v>
      </c>
      <c r="C61" s="1841" t="s">
        <v>332</v>
      </c>
      <c r="D61" s="1843">
        <f>VLOOKUP(B61,SNP!$A$12:$O$133,13,FALSE)</f>
        <v>0</v>
      </c>
      <c r="E61" s="1843">
        <f>VLOOKUP(B61,SNP!$A$12:$O$133,15,FALSE)</f>
        <v>0</v>
      </c>
      <c r="F61" s="1843">
        <f t="array" ref="F61">SUM(ROUND(D61:E61,0))</f>
        <v>0</v>
      </c>
      <c r="G61" s="1842" t="s">
        <v>178</v>
      </c>
      <c r="H61" s="1836"/>
      <c r="I61" s="1832"/>
      <c r="J61" s="1832" t="s">
        <v>224</v>
      </c>
      <c r="K61" s="1837">
        <f>K60-F60</f>
        <v>0</v>
      </c>
    </row>
    <row r="62" spans="1:11">
      <c r="A62" s="1839" t="str">
        <f t="shared" si="0"/>
        <v>SAMPLE STATE COLLEGE</v>
      </c>
      <c r="B62" s="1840" t="s">
        <v>333</v>
      </c>
      <c r="C62" s="1841" t="s">
        <v>334</v>
      </c>
      <c r="D62" s="1843">
        <f>VLOOKUP(B62,SNP!$A$12:$O$133,13,FALSE)</f>
        <v>0</v>
      </c>
      <c r="E62" s="1843">
        <f>VLOOKUP(B62,SNP!$A$12:$O$133,15,FALSE)</f>
        <v>0</v>
      </c>
      <c r="F62" s="1843">
        <f t="array" ref="F62">SUM(ROUND(D62:E62,0))</f>
        <v>0</v>
      </c>
      <c r="G62" s="1842" t="s">
        <v>178</v>
      </c>
      <c r="H62" s="1836"/>
      <c r="I62" s="1832"/>
      <c r="J62" s="1832"/>
      <c r="K62" s="1832"/>
    </row>
    <row r="63" spans="1:11">
      <c r="A63" s="1839" t="str">
        <f t="shared" si="0"/>
        <v>SAMPLE STATE COLLEGE</v>
      </c>
      <c r="B63" s="1840" t="s">
        <v>335</v>
      </c>
      <c r="C63" s="1841" t="s">
        <v>334</v>
      </c>
      <c r="D63" s="1843">
        <f>VLOOKUP(B63,SNP!$A$12:$O$133,13,FALSE)</f>
        <v>0</v>
      </c>
      <c r="E63" s="1843">
        <f>VLOOKUP(B63,SNP!$A$12:$O$133,15,FALSE)</f>
        <v>0</v>
      </c>
      <c r="F63" s="1843">
        <f t="array" ref="F63">SUM(ROUND(D63:E63,0))</f>
        <v>0</v>
      </c>
      <c r="G63" s="1842" t="s">
        <v>178</v>
      </c>
      <c r="H63" s="1836"/>
      <c r="I63" s="1832"/>
      <c r="J63" s="1832"/>
      <c r="K63" s="1832"/>
    </row>
    <row r="64" spans="1:11">
      <c r="A64" s="1839" t="str">
        <f t="shared" si="0"/>
        <v>SAMPLE STATE COLLEGE</v>
      </c>
      <c r="B64" s="1840" t="s">
        <v>336</v>
      </c>
      <c r="C64" s="1841" t="s">
        <v>337</v>
      </c>
      <c r="D64" s="1843">
        <f>VLOOKUP(B64,SNP!$A$12:$O$133,13,FALSE)</f>
        <v>0</v>
      </c>
      <c r="E64" s="1843">
        <f>VLOOKUP(B64,SNP!$A$12:$O$133,15,FALSE)</f>
        <v>0</v>
      </c>
      <c r="F64" s="1843">
        <f t="array" ref="F64">SUM(ROUND(D64:E64,0))</f>
        <v>0</v>
      </c>
      <c r="G64" s="1842" t="s">
        <v>178</v>
      </c>
      <c r="H64" s="1836"/>
      <c r="I64" s="1832"/>
      <c r="J64" s="1832"/>
      <c r="K64" s="1832"/>
    </row>
    <row r="65" spans="1:11">
      <c r="A65" s="1839" t="str">
        <f t="shared" si="0"/>
        <v>SAMPLE STATE COLLEGE</v>
      </c>
      <c r="B65" s="1840" t="s">
        <v>338</v>
      </c>
      <c r="C65" s="1841" t="s">
        <v>339</v>
      </c>
      <c r="D65" s="1843">
        <f>VLOOKUP(B65,SNP!$A$12:$O$133,13,FALSE)</f>
        <v>0</v>
      </c>
      <c r="E65" s="1843">
        <f>VLOOKUP(B65,SNP!$A$12:$O$133,15,FALSE)</f>
        <v>0</v>
      </c>
      <c r="F65" s="1843">
        <f t="array" ref="F65">SUM(ROUND(D65:E65,0))</f>
        <v>0</v>
      </c>
      <c r="G65" s="1842" t="s">
        <v>178</v>
      </c>
      <c r="H65" s="1836"/>
      <c r="I65" s="1832"/>
      <c r="J65" s="1832"/>
      <c r="K65" s="1832"/>
    </row>
    <row r="66" spans="1:11">
      <c r="A66" s="1839" t="str">
        <f t="shared" si="0"/>
        <v>SAMPLE STATE COLLEGE</v>
      </c>
      <c r="B66" s="1840" t="s">
        <v>340</v>
      </c>
      <c r="C66" s="1841" t="s">
        <v>341</v>
      </c>
      <c r="D66" s="1843">
        <f>VLOOKUP(B66,SNP!$A$12:$O$133,13,FALSE)</f>
        <v>0</v>
      </c>
      <c r="E66" s="1843">
        <f>VLOOKUP(B66,SNP!$A$12:$O$133,15,FALSE)</f>
        <v>0</v>
      </c>
      <c r="F66" s="1843">
        <f t="array" ref="F66">SUM(ROUND(D66:E66,0))</f>
        <v>0</v>
      </c>
      <c r="G66" s="1842" t="s">
        <v>178</v>
      </c>
      <c r="H66" s="1836"/>
      <c r="I66" s="1832"/>
      <c r="J66" s="1832"/>
      <c r="K66" s="1832"/>
    </row>
    <row r="67" spans="1:11">
      <c r="A67" s="1839" t="str">
        <f t="shared" si="0"/>
        <v>SAMPLE STATE COLLEGE</v>
      </c>
      <c r="B67" s="1840" t="s">
        <v>342</v>
      </c>
      <c r="C67" s="1841" t="s">
        <v>343</v>
      </c>
      <c r="D67" s="1843">
        <f>VLOOKUP(B67,SNP!$A$12:$O$133,13,FALSE)</f>
        <v>0</v>
      </c>
      <c r="E67" s="1843">
        <f>VLOOKUP(B67,SNP!$A$12:$O$133,15,FALSE)</f>
        <v>0</v>
      </c>
      <c r="F67" s="1843">
        <f t="array" ref="F67">SUM(ROUND(D67:E67,0))</f>
        <v>0</v>
      </c>
      <c r="G67" s="1842" t="s">
        <v>178</v>
      </c>
      <c r="H67" s="1836"/>
      <c r="I67" s="1832"/>
      <c r="J67" s="1832"/>
      <c r="K67" s="1832"/>
    </row>
    <row r="68" spans="1:11">
      <c r="A68" s="1839" t="str">
        <f t="shared" si="0"/>
        <v>SAMPLE STATE COLLEGE</v>
      </c>
      <c r="B68" s="1840" t="s">
        <v>344</v>
      </c>
      <c r="C68" s="1841" t="s">
        <v>345</v>
      </c>
      <c r="D68" s="1843">
        <f>VLOOKUP(B68,SNP!$A$12:$O$133,13,FALSE)</f>
        <v>0</v>
      </c>
      <c r="E68" s="1843">
        <f>VLOOKUP(B68,SNP!$A$12:$O$133,15,FALSE)</f>
        <v>0</v>
      </c>
      <c r="F68" s="1843">
        <f t="array" ref="F68">SUM(ROUND(D68:E68,0))</f>
        <v>0</v>
      </c>
      <c r="G68" s="1842" t="s">
        <v>178</v>
      </c>
      <c r="H68" s="1836"/>
      <c r="I68" s="1832"/>
      <c r="J68" s="1832"/>
      <c r="K68" s="1832"/>
    </row>
    <row r="69" spans="1:11">
      <c r="A69" s="1839" t="str">
        <f t="shared" si="0"/>
        <v>SAMPLE STATE COLLEGE</v>
      </c>
      <c r="B69" s="1840" t="s">
        <v>346</v>
      </c>
      <c r="C69" s="1841" t="s">
        <v>347</v>
      </c>
      <c r="D69" s="1843">
        <f>VLOOKUP(B69,SNP!$A$12:$O$133,13,FALSE)</f>
        <v>0</v>
      </c>
      <c r="E69" s="1843">
        <f>VLOOKUP(B69,SNP!$A$12:$O$133,15,FALSE)</f>
        <v>0</v>
      </c>
      <c r="F69" s="1843">
        <f t="array" ref="F69">SUM(ROUND(D69:E69,0))</f>
        <v>0</v>
      </c>
      <c r="G69" s="1842" t="s">
        <v>178</v>
      </c>
      <c r="H69" s="1836"/>
      <c r="I69" s="1832" t="s">
        <v>348</v>
      </c>
      <c r="J69" s="1832" t="s">
        <v>349</v>
      </c>
      <c r="K69" s="1832" t="s">
        <v>108</v>
      </c>
    </row>
    <row r="70" spans="1:11">
      <c r="A70" s="1839" t="str">
        <f t="shared" si="0"/>
        <v>SAMPLE STATE COLLEGE</v>
      </c>
      <c r="B70" s="1840" t="s">
        <v>350</v>
      </c>
      <c r="C70" s="1841" t="s">
        <v>351</v>
      </c>
      <c r="D70" s="1843">
        <f>VLOOKUP(B70,SNP!$A$12:$O$133,13,FALSE)</f>
        <v>0</v>
      </c>
      <c r="E70" s="1843">
        <f>VLOOKUP(B70,SNP!$A$12:$O$133,15,FALSE)</f>
        <v>0</v>
      </c>
      <c r="F70" s="1843">
        <f t="array" ref="F70">SUM(ROUND(D70:E70,0))</f>
        <v>0</v>
      </c>
      <c r="G70" s="1842" t="s">
        <v>178</v>
      </c>
      <c r="H70" s="1836"/>
      <c r="I70" s="1837">
        <f t="array" ref="I70">SUM(ROUND(D61:D69,0))</f>
        <v>0</v>
      </c>
      <c r="J70" s="1837">
        <f t="array" ref="J70">SUM(ROUND(E61:E69,0))</f>
        <v>0</v>
      </c>
      <c r="K70" s="1837">
        <f>SUM(I70:J70)</f>
        <v>0</v>
      </c>
    </row>
    <row r="71" spans="1:11" s="1838" customFormat="1">
      <c r="A71" s="1839" t="str">
        <f t="shared" si="0"/>
        <v>SAMPLE STATE COLLEGE</v>
      </c>
      <c r="B71" s="1840" t="s">
        <v>352</v>
      </c>
      <c r="C71" s="1841" t="s">
        <v>76</v>
      </c>
      <c r="D71" s="1843">
        <f>VLOOKUP(B71,SNP!$A$12:$O$133,13,FALSE)</f>
        <v>0</v>
      </c>
      <c r="E71" s="1843">
        <f>VLOOKUP(B71,SNP!$A$12:$O$133,15,FALSE)</f>
        <v>0</v>
      </c>
      <c r="F71" s="1843">
        <f t="array" ref="F71">SUM(ROUND(D71:E71,0))</f>
        <v>0</v>
      </c>
      <c r="G71" s="1842" t="s">
        <v>178</v>
      </c>
      <c r="H71" s="1836" t="s">
        <v>353</v>
      </c>
      <c r="I71" s="1837"/>
      <c r="J71" s="1837"/>
      <c r="K71" s="1837"/>
    </row>
    <row r="72" spans="1:11" s="1838" customFormat="1">
      <c r="A72" s="1839" t="str">
        <f t="shared" si="0"/>
        <v>SAMPLE STATE COLLEGE</v>
      </c>
      <c r="B72" s="1840" t="s">
        <v>354</v>
      </c>
      <c r="C72" s="1841" t="s">
        <v>78</v>
      </c>
      <c r="D72" s="1843">
        <f>VLOOKUP(B72,SNP!$A$12:$O$133,13,FALSE)</f>
        <v>0</v>
      </c>
      <c r="E72" s="1843">
        <f>VLOOKUP(B72,SNP!$A$12:$O$133,15,FALSE)</f>
        <v>0</v>
      </c>
      <c r="F72" s="1843">
        <f t="array" ref="F72">SUM(ROUND(D72:E72,0))</f>
        <v>0</v>
      </c>
      <c r="G72" s="1842" t="s">
        <v>178</v>
      </c>
      <c r="H72" s="1836" t="s">
        <v>355</v>
      </c>
      <c r="I72" s="1837"/>
      <c r="J72" s="1837"/>
      <c r="K72" s="1837"/>
    </row>
    <row r="73" spans="1:11" s="1838" customFormat="1">
      <c r="A73" s="1839" t="str">
        <f t="shared" si="0"/>
        <v>SAMPLE STATE COLLEGE</v>
      </c>
      <c r="B73" s="1840" t="s">
        <v>356</v>
      </c>
      <c r="C73" s="1841" t="s">
        <v>79</v>
      </c>
      <c r="D73" s="1843">
        <f>VLOOKUP(B73,SNP!$A$12:$O$133,13,FALSE)</f>
        <v>0</v>
      </c>
      <c r="E73" s="1843">
        <f>VLOOKUP(B73,SNP!$A$12:$O$133,15,FALSE)</f>
        <v>0</v>
      </c>
      <c r="F73" s="1843">
        <f t="array" ref="F73">SUM(ROUND(D73:E73,0))</f>
        <v>0</v>
      </c>
      <c r="G73" s="1842" t="s">
        <v>178</v>
      </c>
      <c r="H73" s="1836" t="s">
        <v>357</v>
      </c>
      <c r="I73" s="1837"/>
      <c r="J73" s="1837"/>
      <c r="K73" s="1837"/>
    </row>
    <row r="74" spans="1:11" s="1838" customFormat="1">
      <c r="A74" s="1839" t="str">
        <f t="shared" si="0"/>
        <v>SAMPLE STATE COLLEGE</v>
      </c>
      <c r="B74" s="1840" t="s">
        <v>358</v>
      </c>
      <c r="C74" s="1841" t="s">
        <v>359</v>
      </c>
      <c r="D74" s="1843">
        <f>VLOOKUP(B74,SNP!$A$12:$O$133,13,FALSE)</f>
        <v>0</v>
      </c>
      <c r="E74" s="1843">
        <f>VLOOKUP(B74,SNP!$A$12:$O$133,15,FALSE)</f>
        <v>0</v>
      </c>
      <c r="F74" s="1843">
        <f t="array" ref="F74">SUM(ROUND(D74:E74,0))</f>
        <v>0</v>
      </c>
      <c r="G74" s="1842" t="s">
        <v>178</v>
      </c>
      <c r="H74" s="1836" t="s">
        <v>360</v>
      </c>
      <c r="I74" s="1837"/>
      <c r="J74" s="1837"/>
      <c r="K74" s="1837"/>
    </row>
    <row r="75" spans="1:11" s="1838" customFormat="1">
      <c r="A75" s="1839" t="str">
        <f t="shared" si="0"/>
        <v>SAMPLE STATE COLLEGE</v>
      </c>
      <c r="B75" s="1840" t="s">
        <v>361</v>
      </c>
      <c r="C75" s="1841" t="s">
        <v>80</v>
      </c>
      <c r="D75" s="1843">
        <f>VLOOKUP(B75,SNP!$A$12:$O$133,13,FALSE)</f>
        <v>0</v>
      </c>
      <c r="E75" s="1843">
        <f>VLOOKUP(B75,SNP!$A$12:$O$133,15,FALSE)</f>
        <v>0</v>
      </c>
      <c r="F75" s="1843">
        <f t="array" ref="F75">SUM(ROUND(D75:E75,0))</f>
        <v>0</v>
      </c>
      <c r="G75" s="1842" t="s">
        <v>178</v>
      </c>
      <c r="H75" s="1836" t="s">
        <v>362</v>
      </c>
      <c r="I75" s="1837"/>
      <c r="J75" s="1837"/>
      <c r="K75" s="1837"/>
    </row>
    <row r="76" spans="1:11" s="1838" customFormat="1">
      <c r="A76" s="1839" t="str">
        <f t="shared" si="0"/>
        <v>SAMPLE STATE COLLEGE</v>
      </c>
      <c r="B76" s="1840" t="s">
        <v>363</v>
      </c>
      <c r="C76" s="1841" t="s">
        <v>77</v>
      </c>
      <c r="D76" s="1843">
        <f>VLOOKUP(B76,SNP!$A$12:$O$133,13,FALSE)</f>
        <v>0</v>
      </c>
      <c r="E76" s="1843">
        <f>VLOOKUP(B76,SNP!$A$12:$O$133,15,FALSE)</f>
        <v>0</v>
      </c>
      <c r="F76" s="1843">
        <f t="array" ref="F76">SUM(ROUND(D76:E76,0))</f>
        <v>0</v>
      </c>
      <c r="G76" s="1842" t="s">
        <v>178</v>
      </c>
      <c r="H76" s="1836" t="s">
        <v>364</v>
      </c>
      <c r="I76" s="1837"/>
      <c r="J76" s="1837"/>
      <c r="K76" s="1837"/>
    </row>
    <row r="77" spans="1:11">
      <c r="A77" s="1306" t="str">
        <f t="shared" si="0"/>
        <v>SAMPLE STATE COLLEGE</v>
      </c>
      <c r="B77" s="1307" t="s">
        <v>365</v>
      </c>
      <c r="C77" s="1308" t="s">
        <v>366</v>
      </c>
      <c r="D77" s="1324">
        <f>VLOOKUP(B77,SRECNP!$A$11:$N$66,12,FALSE)</f>
        <v>0</v>
      </c>
      <c r="E77" s="1324">
        <f>VLOOKUP(B77,SRECNP!$A$11:$N$66,14,FALSE)</f>
        <v>0</v>
      </c>
      <c r="F77" s="1324">
        <f t="array" ref="F77">SUM(ROUND(D77:E77,0))</f>
        <v>0</v>
      </c>
      <c r="G77" s="1307" t="s">
        <v>367</v>
      </c>
      <c r="H77" s="1309"/>
      <c r="I77" s="1832"/>
      <c r="J77" s="1832" t="s">
        <v>224</v>
      </c>
      <c r="K77" s="1837">
        <f>K70-F70</f>
        <v>0</v>
      </c>
    </row>
    <row r="78" spans="1:11">
      <c r="A78" s="1306" t="str">
        <f t="shared" si="0"/>
        <v>SAMPLE STATE COLLEGE</v>
      </c>
      <c r="B78" s="1307" t="s">
        <v>368</v>
      </c>
      <c r="C78" s="1308" t="s">
        <v>369</v>
      </c>
      <c r="D78" s="1324">
        <f>VLOOKUP(B78,SRECNP!$A$11:$N$66,12,FALSE)</f>
        <v>0</v>
      </c>
      <c r="E78" s="1324">
        <f>VLOOKUP(B78,SRECNP!$A$11:$N$66,14,FALSE)</f>
        <v>0</v>
      </c>
      <c r="F78" s="1324">
        <f t="array" ref="F78">SUM(ROUND(D78:E78,0))</f>
        <v>0</v>
      </c>
      <c r="G78" s="1307" t="s">
        <v>367</v>
      </c>
      <c r="H78" s="1309"/>
      <c r="I78" s="1832"/>
      <c r="J78" s="1832"/>
      <c r="K78" s="1832"/>
    </row>
    <row r="79" spans="1:11">
      <c r="A79" s="1306" t="str">
        <f t="shared" si="0"/>
        <v>SAMPLE STATE COLLEGE</v>
      </c>
      <c r="B79" s="1307" t="s">
        <v>370</v>
      </c>
      <c r="C79" s="1308" t="s">
        <v>371</v>
      </c>
      <c r="D79" s="1324">
        <f>VLOOKUP(B79,SRECNP!$A$11:$N$66,12,FALSE)</f>
        <v>0</v>
      </c>
      <c r="E79" s="1324">
        <f>VLOOKUP(B79,SRECNP!$A$11:$N$66,14,FALSE)</f>
        <v>0</v>
      </c>
      <c r="F79" s="1324">
        <f t="array" ref="F79">SUM(ROUND(D79:E79,0))</f>
        <v>0</v>
      </c>
      <c r="G79" s="1307" t="s">
        <v>367</v>
      </c>
      <c r="H79" s="1309"/>
      <c r="I79" s="1832"/>
      <c r="J79" s="1832"/>
      <c r="K79" s="1832"/>
    </row>
    <row r="80" spans="1:11">
      <c r="A80" s="1306" t="str">
        <f t="shared" si="0"/>
        <v>SAMPLE STATE COLLEGE</v>
      </c>
      <c r="B80" s="1307" t="s">
        <v>372</v>
      </c>
      <c r="C80" s="1308" t="s">
        <v>373</v>
      </c>
      <c r="D80" s="1324">
        <f>VLOOKUP(B80,SRECNP!$A$11:$N$66,12,FALSE)</f>
        <v>0</v>
      </c>
      <c r="E80" s="1324">
        <f>VLOOKUP(B80,SRECNP!$A$11:$N$66,14,FALSE)</f>
        <v>0</v>
      </c>
      <c r="F80" s="1324">
        <f t="array" ref="F80">SUM(ROUND(D80:E80,0))</f>
        <v>0</v>
      </c>
      <c r="G80" s="1307" t="s">
        <v>367</v>
      </c>
      <c r="H80" s="1309"/>
      <c r="I80" s="1832"/>
      <c r="J80" s="1832"/>
      <c r="K80" s="1832"/>
    </row>
    <row r="81" spans="1:11">
      <c r="A81" s="1306" t="str">
        <f t="shared" si="0"/>
        <v>SAMPLE STATE COLLEGE</v>
      </c>
      <c r="B81" s="1307" t="s">
        <v>374</v>
      </c>
      <c r="C81" s="1308" t="s">
        <v>375</v>
      </c>
      <c r="D81" s="1324">
        <f>VLOOKUP(B81,SRECNP!$A$11:$N$66,12,FALSE)</f>
        <v>0</v>
      </c>
      <c r="E81" s="1324">
        <f>VLOOKUP(B81,SRECNP!$A$11:$N$66,14,FALSE)</f>
        <v>0</v>
      </c>
      <c r="F81" s="1324">
        <f t="array" ref="F81">SUM(ROUND(D81:E81,0))</f>
        <v>0</v>
      </c>
      <c r="G81" s="1307" t="s">
        <v>367</v>
      </c>
      <c r="H81" s="1309"/>
      <c r="I81" s="1832"/>
      <c r="J81" s="1832"/>
      <c r="K81" s="1832"/>
    </row>
    <row r="82" spans="1:11">
      <c r="A82" s="1306" t="str">
        <f t="shared" si="0"/>
        <v>SAMPLE STATE COLLEGE</v>
      </c>
      <c r="B82" s="1307" t="s">
        <v>376</v>
      </c>
      <c r="C82" s="1308" t="s">
        <v>377</v>
      </c>
      <c r="D82" s="1324">
        <f>VLOOKUP(B82,SRECNP!$A$11:$N$66,12,FALSE)</f>
        <v>0</v>
      </c>
      <c r="E82" s="1324">
        <f>VLOOKUP(B82,SRECNP!$A$11:$N$66,14,FALSE)</f>
        <v>0</v>
      </c>
      <c r="F82" s="1324">
        <f t="array" ref="F82">SUM(ROUND(D82:E82,0))</f>
        <v>0</v>
      </c>
      <c r="G82" s="1307" t="s">
        <v>367</v>
      </c>
      <c r="H82" s="1309"/>
      <c r="I82" s="1832"/>
      <c r="J82" s="1832"/>
      <c r="K82" s="1832"/>
    </row>
    <row r="83" spans="1:11">
      <c r="A83" s="1306" t="str">
        <f t="shared" si="0"/>
        <v>SAMPLE STATE COLLEGE</v>
      </c>
      <c r="B83" s="1307" t="s">
        <v>378</v>
      </c>
      <c r="C83" s="1308" t="s">
        <v>379</v>
      </c>
      <c r="D83" s="1324">
        <f>VLOOKUP(B83,SRECNP!$A$11:$N$66,12,FALSE)</f>
        <v>0</v>
      </c>
      <c r="E83" s="1324">
        <f>VLOOKUP(B83,SRECNP!$A$11:$N$66,14,FALSE)</f>
        <v>0</v>
      </c>
      <c r="F83" s="1324">
        <f t="array" ref="F83">SUM(ROUND(D83:E83,0))</f>
        <v>0</v>
      </c>
      <c r="G83" s="1307" t="s">
        <v>367</v>
      </c>
      <c r="H83" s="1309"/>
      <c r="I83" s="1832" t="s">
        <v>380</v>
      </c>
      <c r="J83" s="1832" t="s">
        <v>381</v>
      </c>
      <c r="K83" s="1832" t="s">
        <v>108</v>
      </c>
    </row>
    <row r="84" spans="1:11">
      <c r="A84" s="1306" t="str">
        <f t="shared" si="0"/>
        <v>SAMPLE STATE COLLEGE</v>
      </c>
      <c r="B84" s="1307" t="s">
        <v>382</v>
      </c>
      <c r="C84" s="1308" t="s">
        <v>383</v>
      </c>
      <c r="D84" s="1324">
        <f>VLOOKUP(B84,SRECNP!$A$11:$N$66,12,FALSE)</f>
        <v>0</v>
      </c>
      <c r="E84" s="1324">
        <f>VLOOKUP(B84,SRECNP!$A$11:$N$66,14,FALSE)</f>
        <v>0</v>
      </c>
      <c r="F84" s="1324">
        <f t="array" ref="F84">SUM(ROUND(D84:E84,0))</f>
        <v>0</v>
      </c>
      <c r="G84" s="1307" t="s">
        <v>367</v>
      </c>
      <c r="H84" s="1309"/>
      <c r="I84" s="1837">
        <f t="array" ref="I84">SUM(ROUND(D77:D83,0))</f>
        <v>0</v>
      </c>
      <c r="J84" s="1837">
        <f t="array" ref="J84">SUM(ROUND(E77:E83,0))</f>
        <v>0</v>
      </c>
      <c r="K84" s="1837">
        <f>SUM(I84:J84)</f>
        <v>0</v>
      </c>
    </row>
    <row r="85" spans="1:11">
      <c r="A85" s="1306" t="str">
        <f t="shared" si="0"/>
        <v>SAMPLE STATE COLLEGE</v>
      </c>
      <c r="B85" s="1307" t="s">
        <v>384</v>
      </c>
      <c r="C85" s="1308" t="s">
        <v>385</v>
      </c>
      <c r="D85" s="1324">
        <f>VLOOKUP(B85,SRECNP!$A$11:$N$66,12,FALSE)</f>
        <v>0</v>
      </c>
      <c r="E85" s="1324">
        <f>VLOOKUP(B85,SRECNP!$A$11:$N$66,14,FALSE)</f>
        <v>0</v>
      </c>
      <c r="F85" s="1324">
        <f t="array" ref="F85">SUM(ROUND(D85:E85,0))</f>
        <v>0</v>
      </c>
      <c r="G85" s="1307" t="s">
        <v>367</v>
      </c>
      <c r="H85" s="1309"/>
      <c r="I85" s="1832"/>
      <c r="J85" s="1832" t="s">
        <v>224</v>
      </c>
      <c r="K85" s="1837">
        <f>K84-F84</f>
        <v>0</v>
      </c>
    </row>
    <row r="86" spans="1:11">
      <c r="A86" s="1306" t="str">
        <f t="shared" si="0"/>
        <v>SAMPLE STATE COLLEGE</v>
      </c>
      <c r="B86" s="1307" t="s">
        <v>386</v>
      </c>
      <c r="C86" s="1308" t="s">
        <v>387</v>
      </c>
      <c r="D86" s="1324">
        <f>VLOOKUP(B86,SRECNP!$A$11:$N$66,12,FALSE)</f>
        <v>0</v>
      </c>
      <c r="E86" s="1324">
        <f>VLOOKUP(B86,SRECNP!$A$11:$N$66,14,FALSE)</f>
        <v>0</v>
      </c>
      <c r="F86" s="1324">
        <f t="array" ref="F86">SUM(ROUND(D86:E86,0))</f>
        <v>0</v>
      </c>
      <c r="G86" s="1307" t="s">
        <v>367</v>
      </c>
      <c r="H86" s="1309"/>
      <c r="I86" s="1832"/>
      <c r="J86" s="1832"/>
      <c r="K86" s="1832"/>
    </row>
    <row r="87" spans="1:11">
      <c r="A87" s="1306" t="str">
        <f t="shared" si="0"/>
        <v>SAMPLE STATE COLLEGE</v>
      </c>
      <c r="B87" s="1307" t="s">
        <v>388</v>
      </c>
      <c r="C87" s="1308" t="s">
        <v>389</v>
      </c>
      <c r="D87" s="1324">
        <f>VLOOKUP(B87,SRECNP!$A$11:$N$66,12,FALSE)</f>
        <v>0</v>
      </c>
      <c r="E87" s="1324">
        <f>VLOOKUP(B87,SRECNP!$A$11:$N$66,14,FALSE)</f>
        <v>0</v>
      </c>
      <c r="F87" s="1324">
        <f t="array" ref="F87">SUM(ROUND(D87:E87,0))</f>
        <v>0</v>
      </c>
      <c r="G87" s="1307" t="s">
        <v>367</v>
      </c>
      <c r="H87" s="1309"/>
      <c r="I87" s="1832"/>
      <c r="J87" s="1832"/>
      <c r="K87" s="1832"/>
    </row>
    <row r="88" spans="1:11">
      <c r="A88" s="1306" t="str">
        <f t="shared" ref="A88:A310" si="1">$A$1</f>
        <v>SAMPLE STATE COLLEGE</v>
      </c>
      <c r="B88" s="1307" t="s">
        <v>390</v>
      </c>
      <c r="C88" s="1308" t="s">
        <v>391</v>
      </c>
      <c r="D88" s="1324">
        <f>VLOOKUP(B88,SRECNP!$A$11:$N$66,12,FALSE)</f>
        <v>0</v>
      </c>
      <c r="E88" s="1324">
        <f>VLOOKUP(B88,SRECNP!$A$11:$N$66,14,FALSE)</f>
        <v>0</v>
      </c>
      <c r="F88" s="1324">
        <f t="array" ref="F88">SUM(ROUND(D88:E88,0))</f>
        <v>0</v>
      </c>
      <c r="G88" s="1307" t="s">
        <v>367</v>
      </c>
      <c r="H88" s="1309"/>
      <c r="I88" s="1832"/>
      <c r="J88" s="1832"/>
      <c r="K88" s="1832"/>
    </row>
    <row r="89" spans="1:11">
      <c r="A89" s="1306" t="str">
        <f t="shared" si="1"/>
        <v>SAMPLE STATE COLLEGE</v>
      </c>
      <c r="B89" s="1307" t="s">
        <v>392</v>
      </c>
      <c r="C89" s="1308" t="s">
        <v>393</v>
      </c>
      <c r="D89" s="1324">
        <f>VLOOKUP(B89,SRECNP!$A$11:$N$66,12,FALSE)</f>
        <v>0</v>
      </c>
      <c r="E89" s="1324">
        <f>VLOOKUP(B89,SRECNP!$A$11:$N$66,14,FALSE)</f>
        <v>0</v>
      </c>
      <c r="F89" s="1324">
        <f t="array" ref="F89">SUM(ROUND(D89:E89,0))</f>
        <v>0</v>
      </c>
      <c r="G89" s="1307" t="s">
        <v>367</v>
      </c>
      <c r="H89" s="1309"/>
      <c r="I89" s="1832"/>
      <c r="J89" s="1832"/>
      <c r="K89" s="1832"/>
    </row>
    <row r="90" spans="1:11">
      <c r="A90" s="1306" t="str">
        <f t="shared" si="1"/>
        <v>SAMPLE STATE COLLEGE</v>
      </c>
      <c r="B90" s="1307" t="s">
        <v>394</v>
      </c>
      <c r="C90" s="1308" t="s">
        <v>395</v>
      </c>
      <c r="D90" s="1324">
        <f>VLOOKUP(B90,SRECNP!$A$11:$N$66,12,FALSE)</f>
        <v>0</v>
      </c>
      <c r="E90" s="1324">
        <f>VLOOKUP(B90,SRECNP!$A$11:$N$66,14,FALSE)</f>
        <v>0</v>
      </c>
      <c r="F90" s="1324">
        <f t="array" ref="F90">SUM(ROUND(D90:E90,0))</f>
        <v>0</v>
      </c>
      <c r="G90" s="1307" t="s">
        <v>367</v>
      </c>
      <c r="H90" s="1309"/>
      <c r="I90" s="1832"/>
      <c r="J90" s="1832"/>
      <c r="K90" s="1832"/>
    </row>
    <row r="91" spans="1:11">
      <c r="A91" s="1306" t="str">
        <f t="shared" si="1"/>
        <v>SAMPLE STATE COLLEGE</v>
      </c>
      <c r="B91" s="1307" t="s">
        <v>396</v>
      </c>
      <c r="C91" s="1308" t="s">
        <v>397</v>
      </c>
      <c r="D91" s="1324">
        <f>VLOOKUP(B91,SRECNP!$A$11:$N$66,12,FALSE)</f>
        <v>0</v>
      </c>
      <c r="E91" s="1324">
        <f>VLOOKUP(B91,SRECNP!$A$11:$N$66,14,FALSE)</f>
        <v>0</v>
      </c>
      <c r="F91" s="1324">
        <f t="array" ref="F91">SUM(ROUND(D91:E91,0))</f>
        <v>0</v>
      </c>
      <c r="G91" s="1307" t="s">
        <v>367</v>
      </c>
      <c r="H91" s="1309"/>
      <c r="I91" s="1832" t="s">
        <v>398</v>
      </c>
      <c r="J91" s="1832" t="s">
        <v>399</v>
      </c>
      <c r="K91" s="1832" t="s">
        <v>108</v>
      </c>
    </row>
    <row r="92" spans="1:11">
      <c r="A92" s="1306" t="str">
        <f t="shared" si="1"/>
        <v>SAMPLE STATE COLLEGE</v>
      </c>
      <c r="B92" s="1307" t="s">
        <v>400</v>
      </c>
      <c r="C92" s="1308" t="s">
        <v>401</v>
      </c>
      <c r="D92" s="1324">
        <f>VLOOKUP(B92,SRECNP!$A$11:$N$66,12,FALSE)</f>
        <v>0</v>
      </c>
      <c r="E92" s="1324">
        <f>VLOOKUP(B92,SRECNP!$A$11:$N$66,14,FALSE)</f>
        <v>0</v>
      </c>
      <c r="F92" s="1324">
        <f t="array" ref="F92">SUM(ROUND(D92:E92,0))</f>
        <v>0</v>
      </c>
      <c r="G92" s="1307" t="s">
        <v>367</v>
      </c>
      <c r="H92" s="1309"/>
      <c r="I92" s="1837">
        <f t="array" ref="I92">SUM(ROUND(D85:D91,0))</f>
        <v>0</v>
      </c>
      <c r="J92" s="1837">
        <f t="array" ref="J92">SUM(ROUND(E85:E91,0))</f>
        <v>0</v>
      </c>
      <c r="K92" s="1837">
        <f>SUM(I92:J92)</f>
        <v>0</v>
      </c>
    </row>
    <row r="93" spans="1:11">
      <c r="A93" s="1306" t="str">
        <f t="shared" si="1"/>
        <v>SAMPLE STATE COLLEGE</v>
      </c>
      <c r="B93" s="1307" t="s">
        <v>402</v>
      </c>
      <c r="C93" s="1308" t="s">
        <v>403</v>
      </c>
      <c r="D93" s="1324">
        <f>VLOOKUP(B93,SRECNP!$A$11:$N$66,12,FALSE)</f>
        <v>0</v>
      </c>
      <c r="E93" s="1324">
        <f>VLOOKUP(B93,SRECNP!$A$11:$N$66,14,FALSE)</f>
        <v>0</v>
      </c>
      <c r="F93" s="1324">
        <f t="array" ref="F93">SUM(ROUND(D93:E93,0))</f>
        <v>0</v>
      </c>
      <c r="G93" s="1307" t="s">
        <v>367</v>
      </c>
      <c r="H93" s="1309"/>
      <c r="I93" s="1832"/>
      <c r="J93" s="1832" t="s">
        <v>224</v>
      </c>
      <c r="K93" s="1837">
        <f>K92-F92</f>
        <v>0</v>
      </c>
    </row>
    <row r="94" spans="1:11">
      <c r="A94" s="1306" t="str">
        <f t="shared" si="1"/>
        <v>SAMPLE STATE COLLEGE</v>
      </c>
      <c r="B94" s="1307" t="s">
        <v>404</v>
      </c>
      <c r="C94" s="1308" t="s">
        <v>405</v>
      </c>
      <c r="D94" s="1324">
        <f>VLOOKUP(B94,SRECNP!$A$11:$N$66,12,FALSE)</f>
        <v>0</v>
      </c>
      <c r="E94" s="1324">
        <f>VLOOKUP(B94,SRECNP!$A$11:$N$66,14,FALSE)</f>
        <v>0</v>
      </c>
      <c r="F94" s="1324">
        <f t="array" ref="F94">SUM(ROUND(D94:E94,0))</f>
        <v>0</v>
      </c>
      <c r="G94" s="1307" t="s">
        <v>367</v>
      </c>
      <c r="H94" s="1309"/>
      <c r="I94" s="1832"/>
      <c r="J94" s="1832"/>
      <c r="K94" s="1832"/>
    </row>
    <row r="95" spans="1:11">
      <c r="A95" s="1306" t="str">
        <f t="shared" si="1"/>
        <v>SAMPLE STATE COLLEGE</v>
      </c>
      <c r="B95" s="1307" t="s">
        <v>406</v>
      </c>
      <c r="C95" s="1308" t="s">
        <v>407</v>
      </c>
      <c r="D95" s="1324">
        <f>VLOOKUP(B95,SRECNP!$A$11:$N$66,12,FALSE)</f>
        <v>0</v>
      </c>
      <c r="E95" s="1324">
        <f>VLOOKUP(B95,SRECNP!$A$11:$N$66,14,FALSE)</f>
        <v>0</v>
      </c>
      <c r="F95" s="1324">
        <f t="array" ref="F95">SUM(ROUND(D95:E95,0))</f>
        <v>0</v>
      </c>
      <c r="G95" s="1307" t="s">
        <v>367</v>
      </c>
      <c r="H95" s="1309"/>
      <c r="I95" s="1832"/>
      <c r="J95" s="1832"/>
      <c r="K95" s="1832"/>
    </row>
    <row r="96" spans="1:11">
      <c r="A96" s="1306" t="str">
        <f t="shared" si="1"/>
        <v>SAMPLE STATE COLLEGE</v>
      </c>
      <c r="B96" s="1307" t="s">
        <v>408</v>
      </c>
      <c r="C96" s="1308" t="s">
        <v>409</v>
      </c>
      <c r="D96" s="1324">
        <f>VLOOKUP(B96,SRECNP!$A$11:$N$66,12,FALSE)</f>
        <v>0</v>
      </c>
      <c r="E96" s="1324">
        <f>VLOOKUP(B96,SRECNP!$A$11:$N$66,14,FALSE)</f>
        <v>0</v>
      </c>
      <c r="F96" s="1324">
        <f t="array" ref="F96">SUM(ROUND(D96:E96,0))</f>
        <v>0</v>
      </c>
      <c r="G96" s="1307" t="s">
        <v>367</v>
      </c>
      <c r="H96" s="1309"/>
      <c r="I96" s="1832"/>
      <c r="J96" s="1832"/>
      <c r="K96" s="1832"/>
    </row>
    <row r="97" spans="1:11">
      <c r="A97" s="1306" t="str">
        <f t="shared" si="1"/>
        <v>SAMPLE STATE COLLEGE</v>
      </c>
      <c r="B97" s="1307" t="s">
        <v>410</v>
      </c>
      <c r="C97" s="1308" t="s">
        <v>411</v>
      </c>
      <c r="D97" s="1324">
        <f>VLOOKUP(B97,SRECNP!$A$11:$N$66,12,FALSE)</f>
        <v>0</v>
      </c>
      <c r="E97" s="1324">
        <f>VLOOKUP(B97,SRECNP!$A$11:$N$66,14,FALSE)</f>
        <v>0</v>
      </c>
      <c r="F97" s="1324">
        <f t="array" ref="F97">SUM(ROUND(D97:E97,0))</f>
        <v>0</v>
      </c>
      <c r="G97" s="1307" t="s">
        <v>367</v>
      </c>
      <c r="H97" s="1309"/>
      <c r="I97" s="1832"/>
      <c r="J97" s="1832"/>
      <c r="K97" s="1832"/>
    </row>
    <row r="98" spans="1:11">
      <c r="A98" s="1306" t="str">
        <f t="shared" si="1"/>
        <v>SAMPLE STATE COLLEGE</v>
      </c>
      <c r="B98" s="1307" t="s">
        <v>412</v>
      </c>
      <c r="C98" s="1308" t="s">
        <v>413</v>
      </c>
      <c r="D98" s="1324">
        <f>VLOOKUP(B98,SRECNP!$A$11:$N$66,12,FALSE)</f>
        <v>0</v>
      </c>
      <c r="E98" s="1324">
        <f>VLOOKUP(B98,SRECNP!$A$11:$N$66,14,FALSE)</f>
        <v>0</v>
      </c>
      <c r="F98" s="1324">
        <f t="array" ref="F98">SUM(ROUND(D98:E98,0))</f>
        <v>0</v>
      </c>
      <c r="G98" s="1307" t="s">
        <v>367</v>
      </c>
      <c r="H98" s="1309"/>
      <c r="I98" s="1832"/>
      <c r="J98" s="1832"/>
      <c r="K98" s="1832"/>
    </row>
    <row r="99" spans="1:11">
      <c r="A99" s="1306" t="str">
        <f t="shared" si="1"/>
        <v>SAMPLE STATE COLLEGE</v>
      </c>
      <c r="B99" s="1307" t="s">
        <v>414</v>
      </c>
      <c r="C99" s="1308" t="s">
        <v>415</v>
      </c>
      <c r="D99" s="1324">
        <f>VLOOKUP(B99,SRECNP!$A$11:$N$66,12,FALSE)</f>
        <v>0</v>
      </c>
      <c r="E99" s="1324">
        <f>VLOOKUP(B99,SRECNP!$A$11:$N$66,14,FALSE)</f>
        <v>0</v>
      </c>
      <c r="F99" s="1324">
        <f t="array" ref="F99">SUM(ROUND(D99:E99,0))</f>
        <v>0</v>
      </c>
      <c r="G99" s="1307" t="s">
        <v>367</v>
      </c>
      <c r="H99" s="1309"/>
      <c r="I99" s="1832"/>
      <c r="J99" s="1832"/>
      <c r="K99" s="1832"/>
    </row>
    <row r="100" spans="1:11">
      <c r="A100" s="1306" t="str">
        <f t="shared" si="1"/>
        <v>SAMPLE STATE COLLEGE</v>
      </c>
      <c r="B100" s="1307" t="s">
        <v>416</v>
      </c>
      <c r="C100" s="1308" t="s">
        <v>417</v>
      </c>
      <c r="D100" s="1324">
        <f>VLOOKUP(B100,SRECNP!$A$11:$N$66,12,FALSE)</f>
        <v>0</v>
      </c>
      <c r="E100" s="1324">
        <f>VLOOKUP(B100,SRECNP!$A$11:$N$66,14,FALSE)</f>
        <v>0</v>
      </c>
      <c r="F100" s="1324">
        <f t="array" ref="F100">SUM(ROUND(D100:E100,0))</f>
        <v>0</v>
      </c>
      <c r="G100" s="1307" t="s">
        <v>367</v>
      </c>
      <c r="H100" s="1309"/>
      <c r="I100" s="1832"/>
      <c r="J100" s="1832"/>
      <c r="K100" s="1832"/>
    </row>
    <row r="101" spans="1:11">
      <c r="A101" s="1306" t="str">
        <f t="shared" si="1"/>
        <v>SAMPLE STATE COLLEGE</v>
      </c>
      <c r="B101" s="1307" t="s">
        <v>418</v>
      </c>
      <c r="C101" s="1308" t="s">
        <v>419</v>
      </c>
      <c r="D101" s="1324">
        <f>VLOOKUP(B101,SRECNP!$A$11:$N$66,12,FALSE)</f>
        <v>0</v>
      </c>
      <c r="E101" s="1324">
        <f>VLOOKUP(B101,SRECNP!$A$11:$N$66,14,FALSE)</f>
        <v>0</v>
      </c>
      <c r="F101" s="1324">
        <f t="array" ref="F101">SUM(ROUND(D101:E101,0))</f>
        <v>0</v>
      </c>
      <c r="G101" s="1307" t="s">
        <v>367</v>
      </c>
      <c r="H101" s="1309"/>
      <c r="I101" s="1832" t="s">
        <v>420</v>
      </c>
      <c r="J101" s="1832" t="s">
        <v>421</v>
      </c>
      <c r="K101" s="1832" t="s">
        <v>108</v>
      </c>
    </row>
    <row r="102" spans="1:11">
      <c r="A102" s="1306" t="str">
        <f t="shared" si="1"/>
        <v>SAMPLE STATE COLLEGE</v>
      </c>
      <c r="B102" s="1307" t="s">
        <v>422</v>
      </c>
      <c r="C102" s="1308" t="s">
        <v>423</v>
      </c>
      <c r="D102" s="1324">
        <f>VLOOKUP(B102,SRECNP!$A$11:$N$66,12,FALSE)</f>
        <v>0</v>
      </c>
      <c r="E102" s="1324">
        <f>VLOOKUP(B102,SRECNP!$A$11:$N$66,14,FALSE)</f>
        <v>0</v>
      </c>
      <c r="F102" s="1324">
        <f t="array" ref="F102">SUM(ROUND(D102:E102,0))</f>
        <v>0</v>
      </c>
      <c r="G102" s="1307" t="s">
        <v>367</v>
      </c>
      <c r="H102" s="1309"/>
      <c r="I102" s="1837">
        <f t="array" ref="I102">SUM(ROUND(D93:D101,0))</f>
        <v>0</v>
      </c>
      <c r="J102" s="1837">
        <f t="array" ref="J102">SUM(ROUND(E93:E101,0))</f>
        <v>0</v>
      </c>
      <c r="K102" s="1837">
        <f>SUM(I102:J102)</f>
        <v>0</v>
      </c>
    </row>
    <row r="103" spans="1:11">
      <c r="A103" s="1306" t="str">
        <f t="shared" si="1"/>
        <v>SAMPLE STATE COLLEGE</v>
      </c>
      <c r="B103" s="1307" t="s">
        <v>424</v>
      </c>
      <c r="C103" s="1308" t="s">
        <v>425</v>
      </c>
      <c r="D103" s="1324">
        <f>VLOOKUP(B103,SRECNP!$A$11:$N$66,12,FALSE)</f>
        <v>0</v>
      </c>
      <c r="E103" s="1324">
        <f>VLOOKUP(B103,SRECNP!$A$11:$N$66,14,FALSE)</f>
        <v>0</v>
      </c>
      <c r="F103" s="1324">
        <f t="array" ref="F103">SUM(ROUND(D103:E103,0))</f>
        <v>0</v>
      </c>
      <c r="G103" s="1307" t="s">
        <v>367</v>
      </c>
      <c r="H103" s="1309"/>
      <c r="I103" s="1832"/>
      <c r="J103" s="1832" t="s">
        <v>224</v>
      </c>
      <c r="K103" s="1837">
        <f>K102-F102</f>
        <v>0</v>
      </c>
    </row>
    <row r="104" spans="1:11">
      <c r="A104" s="1306" t="str">
        <f t="shared" si="1"/>
        <v>SAMPLE STATE COLLEGE</v>
      </c>
      <c r="B104" s="1307" t="s">
        <v>426</v>
      </c>
      <c r="C104" s="1308" t="s">
        <v>427</v>
      </c>
      <c r="D104" s="1324">
        <f>VLOOKUP(B104,SRECNP!$A$11:$N$66,12,FALSE)</f>
        <v>0</v>
      </c>
      <c r="E104" s="1324">
        <f>VLOOKUP(B104,SRECNP!$A$11:$N$66,14,FALSE)</f>
        <v>0</v>
      </c>
      <c r="F104" s="1324">
        <f t="array" ref="F104">SUM(ROUND(D104:E104,0))</f>
        <v>0</v>
      </c>
      <c r="G104" s="1307" t="s">
        <v>367</v>
      </c>
      <c r="H104" s="1309"/>
      <c r="I104" s="1832"/>
      <c r="J104" s="1832"/>
      <c r="K104" s="1832"/>
    </row>
    <row r="105" spans="1:11">
      <c r="A105" s="1306" t="str">
        <f t="shared" si="1"/>
        <v>SAMPLE STATE COLLEGE</v>
      </c>
      <c r="B105" s="1307" t="s">
        <v>428</v>
      </c>
      <c r="C105" s="1308" t="s">
        <v>104</v>
      </c>
      <c r="D105" s="1324">
        <f>VLOOKUP(B105,SRECNP!$A$11:$N$66,12,FALSE)</f>
        <v>0</v>
      </c>
      <c r="E105" s="1324">
        <f>VLOOKUP(B105,SRECNP!$A$11:$N$66,14,FALSE)</f>
        <v>0</v>
      </c>
      <c r="F105" s="1324">
        <f t="array" ref="F105">SUM(ROUND(D105:E105,0))</f>
        <v>0</v>
      </c>
      <c r="G105" s="1307" t="s">
        <v>367</v>
      </c>
      <c r="H105" s="1309"/>
      <c r="I105" s="1832"/>
      <c r="J105" s="1832"/>
      <c r="K105" s="1832"/>
    </row>
    <row r="106" spans="1:11">
      <c r="A106" s="1306" t="str">
        <f t="shared" si="1"/>
        <v>SAMPLE STATE COLLEGE</v>
      </c>
      <c r="B106" s="1307" t="s">
        <v>429</v>
      </c>
      <c r="C106" s="1308" t="s">
        <v>430</v>
      </c>
      <c r="D106" s="1324">
        <f>VLOOKUP(B106,SRECNP!$A$11:$N$66,12,FALSE)</f>
        <v>0</v>
      </c>
      <c r="E106" s="1324">
        <f>VLOOKUP(B106,SRECNP!$A$11:$N$66,14,FALSE)</f>
        <v>0</v>
      </c>
      <c r="F106" s="1324">
        <f t="array" ref="F106">SUM(ROUND(D106:E106,0))</f>
        <v>0</v>
      </c>
      <c r="G106" s="1307" t="s">
        <v>367</v>
      </c>
      <c r="H106" s="1309"/>
      <c r="I106" s="1832" t="s">
        <v>431</v>
      </c>
      <c r="J106" s="1832" t="s">
        <v>432</v>
      </c>
      <c r="K106" s="1832" t="s">
        <v>108</v>
      </c>
    </row>
    <row r="107" spans="1:11">
      <c r="A107" s="1306" t="str">
        <f t="shared" si="1"/>
        <v>SAMPLE STATE COLLEGE</v>
      </c>
      <c r="B107" s="1307" t="s">
        <v>433</v>
      </c>
      <c r="C107" s="1308" t="s">
        <v>434</v>
      </c>
      <c r="D107" s="1324">
        <f>VLOOKUP(B107,SRECNP!$A$11:$N$66,12,FALSE)</f>
        <v>0</v>
      </c>
      <c r="E107" s="1324">
        <f>VLOOKUP(B107,SRECNP!$A$11:$N$66,14,FALSE)</f>
        <v>0</v>
      </c>
      <c r="F107" s="1324">
        <f t="array" ref="F107">SUM(ROUND(D107:E107,0))</f>
        <v>0</v>
      </c>
      <c r="G107" s="1307" t="s">
        <v>367</v>
      </c>
      <c r="H107" s="1309"/>
      <c r="I107" s="1837" t="e">
        <f>SUM(ROUND(D103:D106,0))</f>
        <v>#VALUE!</v>
      </c>
      <c r="J107" s="1837" t="e">
        <f>SUM(ROUND(E103:E106,0))</f>
        <v>#VALUE!</v>
      </c>
      <c r="K107" s="1837" t="e">
        <f>SUM(I107:J107)</f>
        <v>#VALUE!</v>
      </c>
    </row>
    <row r="108" spans="1:11">
      <c r="A108" s="1306" t="str">
        <f t="shared" si="1"/>
        <v>SAMPLE STATE COLLEGE</v>
      </c>
      <c r="B108" s="1307" t="s">
        <v>435</v>
      </c>
      <c r="C108" s="1308" t="s">
        <v>436</v>
      </c>
      <c r="D108" s="1324" t="e">
        <f>VLOOKUP(B108,SRECNP!$A$11:$N$66,12,FALSE)</f>
        <v>#N/A</v>
      </c>
      <c r="E108" s="1324" t="e">
        <f>VLOOKUP(B108,SRECNP!$A$11:$N$66,14,FALSE)</f>
        <v>#N/A</v>
      </c>
      <c r="F108" s="1324" t="e">
        <f t="array" ref="F108">SUM(ROUND(D108:E108,0))</f>
        <v>#N/A</v>
      </c>
      <c r="G108" s="1307" t="s">
        <v>367</v>
      </c>
      <c r="H108" s="1309"/>
      <c r="I108" s="1832"/>
      <c r="J108" s="1832" t="s">
        <v>224</v>
      </c>
      <c r="K108" s="1837" t="e">
        <f>K107-F107</f>
        <v>#VALUE!</v>
      </c>
    </row>
    <row r="109" spans="1:11">
      <c r="A109" s="1306" t="str">
        <f t="shared" si="1"/>
        <v>SAMPLE STATE COLLEGE</v>
      </c>
      <c r="B109" s="1307" t="s">
        <v>437</v>
      </c>
      <c r="C109" s="1308" t="s">
        <v>438</v>
      </c>
      <c r="D109" s="1324">
        <f>VLOOKUP(B109,SRECNP!$A$11:$N$66,12,FALSE)</f>
        <v>0</v>
      </c>
      <c r="E109" s="1324">
        <f>VLOOKUP(B109,SRECNP!$A$11:$N$66,14,FALSE)</f>
        <v>0</v>
      </c>
      <c r="F109" s="1324">
        <f t="array" ref="F109">SUM(ROUND(D109:E109,0))</f>
        <v>0</v>
      </c>
      <c r="G109" s="1307" t="s">
        <v>367</v>
      </c>
      <c r="H109" s="1309"/>
      <c r="I109" s="1832"/>
      <c r="J109" s="1832"/>
      <c r="K109" s="1832"/>
    </row>
    <row r="110" spans="1:11">
      <c r="A110" s="1310" t="str">
        <f t="shared" si="1"/>
        <v>SAMPLE STATE COLLEGE</v>
      </c>
      <c r="B110" s="1311" t="s">
        <v>439</v>
      </c>
      <c r="C110" s="1312" t="s">
        <v>15</v>
      </c>
      <c r="D110" s="1325">
        <f>'FCS Notes Sched Inv &amp; Cash'!$G$68</f>
        <v>0</v>
      </c>
      <c r="E110" s="1326">
        <f>ROUND('CU Notes Sched'!K132,0)</f>
        <v>0</v>
      </c>
      <c r="F110" s="1325">
        <f t="array" ref="F110">SUM(ROUND(D110:E110,0))</f>
        <v>0</v>
      </c>
      <c r="G110" s="1311" t="s">
        <v>440</v>
      </c>
      <c r="H110" s="1313"/>
      <c r="I110" s="1832" t="s">
        <v>348</v>
      </c>
      <c r="J110" s="1832" t="s">
        <v>349</v>
      </c>
      <c r="K110" s="1832" t="s">
        <v>108</v>
      </c>
    </row>
    <row r="111" spans="1:11">
      <c r="A111" s="1310" t="str">
        <f t="shared" si="1"/>
        <v>SAMPLE STATE COLLEGE</v>
      </c>
      <c r="B111" s="1311" t="s">
        <v>441</v>
      </c>
      <c r="C111" s="1312" t="s">
        <v>16</v>
      </c>
      <c r="D111" s="1325">
        <f>'FCS Notes Sched Inv &amp; Cash'!$G$69</f>
        <v>0</v>
      </c>
      <c r="E111" s="1326">
        <f>ROUND('CU Notes Sched'!K133,0)</f>
        <v>0</v>
      </c>
      <c r="F111" s="1325">
        <f t="array" ref="F111">SUM(ROUND(D111:E111,0))</f>
        <v>0</v>
      </c>
      <c r="G111" s="1311" t="s">
        <v>440</v>
      </c>
      <c r="H111" s="1313"/>
      <c r="I111" s="1837" t="e">
        <f>I84-I92+I102+I107+D108+D109</f>
        <v>#VALUE!</v>
      </c>
      <c r="J111" s="1837" t="e">
        <f>J84-J92+J102+J107+E108+E109</f>
        <v>#VALUE!</v>
      </c>
      <c r="K111" s="1837" t="e">
        <f>SUM(I111:J111)</f>
        <v>#VALUE!</v>
      </c>
    </row>
    <row r="112" spans="1:11">
      <c r="A112" s="1310" t="str">
        <f t="shared" si="1"/>
        <v>SAMPLE STATE COLLEGE</v>
      </c>
      <c r="B112" s="1311" t="s">
        <v>442</v>
      </c>
      <c r="C112" s="1312" t="s">
        <v>30</v>
      </c>
      <c r="D112" s="1325">
        <f>'FCS Notes Sched Inv &amp; Cash'!$G$70</f>
        <v>0</v>
      </c>
      <c r="E112" s="1326">
        <v>0</v>
      </c>
      <c r="F112" s="1325">
        <f t="array" ref="F112">SUM(ROUND(D112:E112,0))</f>
        <v>0</v>
      </c>
      <c r="G112" s="1311" t="s">
        <v>440</v>
      </c>
      <c r="H112" s="1313"/>
      <c r="I112" s="1832"/>
      <c r="J112" s="1832" t="s">
        <v>224</v>
      </c>
      <c r="K112" s="1837" t="e">
        <f>ROUND((K111-F70),0)</f>
        <v>#VALUE!</v>
      </c>
    </row>
    <row r="113" spans="1:11">
      <c r="A113" s="1310" t="str">
        <f t="shared" si="1"/>
        <v>SAMPLE STATE COLLEGE</v>
      </c>
      <c r="B113" s="1311" t="s">
        <v>443</v>
      </c>
      <c r="C113" s="1312" t="s">
        <v>17</v>
      </c>
      <c r="D113" s="1325">
        <f>'FCS Notes Sched Inv &amp; Cash'!$G$71</f>
        <v>0</v>
      </c>
      <c r="E113" s="1326">
        <f>ROUND('CU Notes Sched'!K134,0)</f>
        <v>0</v>
      </c>
      <c r="F113" s="1325">
        <f t="array" ref="F113">SUM(ROUND(D113:E113,0))</f>
        <v>0</v>
      </c>
      <c r="G113" s="1311" t="s">
        <v>440</v>
      </c>
      <c r="H113" s="1313"/>
      <c r="I113" s="1832"/>
      <c r="J113" s="1832"/>
      <c r="K113" s="1832"/>
    </row>
    <row r="114" spans="1:11">
      <c r="A114" s="1310" t="str">
        <f t="shared" si="1"/>
        <v>SAMPLE STATE COLLEGE</v>
      </c>
      <c r="B114" s="1311" t="s">
        <v>444</v>
      </c>
      <c r="C114" s="1312" t="s">
        <v>31</v>
      </c>
      <c r="D114" s="1325">
        <f>'FCS Notes Sched Inv &amp; Cash'!$G$72</f>
        <v>0</v>
      </c>
      <c r="E114" s="1326">
        <v>0</v>
      </c>
      <c r="F114" s="1325">
        <f t="array" ref="F114">SUM(ROUND(D114:E114,0))</f>
        <v>0</v>
      </c>
      <c r="G114" s="1311" t="s">
        <v>440</v>
      </c>
      <c r="H114" s="1313"/>
      <c r="I114" s="1832"/>
      <c r="J114" s="1832"/>
      <c r="K114" s="1832"/>
    </row>
    <row r="115" spans="1:11">
      <c r="A115" s="1310" t="str">
        <f t="shared" si="1"/>
        <v>SAMPLE STATE COLLEGE</v>
      </c>
      <c r="B115" s="1311" t="s">
        <v>445</v>
      </c>
      <c r="C115" s="1312" t="s">
        <v>446</v>
      </c>
      <c r="D115" s="1325">
        <f>'FCS Notes Sched Inv &amp; Cash'!$G$73</f>
        <v>0</v>
      </c>
      <c r="E115" s="1326">
        <f>ROUND('CU Notes Sched'!K135,0)</f>
        <v>0</v>
      </c>
      <c r="F115" s="1325">
        <f t="array" ref="F115">SUM(ROUND(D115:E115,0))</f>
        <v>0</v>
      </c>
      <c r="G115" s="1311" t="s">
        <v>440</v>
      </c>
      <c r="H115" s="1313"/>
      <c r="I115" s="1832"/>
      <c r="J115" s="1832"/>
      <c r="K115" s="1832"/>
    </row>
    <row r="116" spans="1:11">
      <c r="A116" s="1310" t="str">
        <f t="shared" si="1"/>
        <v>SAMPLE STATE COLLEGE</v>
      </c>
      <c r="B116" s="1311" t="s">
        <v>447</v>
      </c>
      <c r="C116" s="1312" t="s">
        <v>32</v>
      </c>
      <c r="D116" s="1325">
        <f>'FCS Notes Sched Inv &amp; Cash'!$G$74</f>
        <v>0</v>
      </c>
      <c r="E116" s="1326">
        <v>0</v>
      </c>
      <c r="F116" s="1325">
        <f t="array" ref="F116">SUM(ROUND(D116:E116,0))</f>
        <v>0</v>
      </c>
      <c r="G116" s="1311" t="s">
        <v>440</v>
      </c>
      <c r="H116" s="1313"/>
      <c r="I116" s="1832"/>
      <c r="J116" s="1832"/>
      <c r="K116" s="1832"/>
    </row>
    <row r="117" spans="1:11">
      <c r="A117" s="1310" t="str">
        <f t="shared" si="1"/>
        <v>SAMPLE STATE COLLEGE</v>
      </c>
      <c r="B117" s="1311" t="s">
        <v>448</v>
      </c>
      <c r="C117" s="1312" t="s">
        <v>19</v>
      </c>
      <c r="D117" s="1325">
        <f>'FCS Notes Sched Inv &amp; Cash'!$G$77</f>
        <v>0</v>
      </c>
      <c r="E117" s="1326">
        <v>0</v>
      </c>
      <c r="F117" s="1325">
        <f t="array" ref="F117">SUM(ROUND(D117:E117,0))</f>
        <v>0</v>
      </c>
      <c r="G117" s="1311" t="s">
        <v>440</v>
      </c>
      <c r="H117" s="1313"/>
      <c r="I117" s="1838"/>
      <c r="J117" s="1838"/>
      <c r="K117" s="1832"/>
    </row>
    <row r="118" spans="1:11">
      <c r="A118" s="1310" t="str">
        <f t="shared" si="1"/>
        <v>SAMPLE STATE COLLEGE</v>
      </c>
      <c r="B118" s="1311" t="s">
        <v>449</v>
      </c>
      <c r="C118" s="1312" t="s">
        <v>450</v>
      </c>
      <c r="D118" s="1325">
        <f>'FCS Notes Sched Inv &amp; Cash'!$G$78</f>
        <v>0</v>
      </c>
      <c r="E118" s="1326">
        <f>ROUND('CU Notes Sched'!K107,0)+ROUND('CU Notes Sched'!K109,0)</f>
        <v>0</v>
      </c>
      <c r="F118" s="1325">
        <f t="array" ref="F118">SUM(ROUND(D118:E118,0))</f>
        <v>0</v>
      </c>
      <c r="G118" s="1311" t="s">
        <v>440</v>
      </c>
      <c r="H118" s="1313"/>
      <c r="I118" s="1838"/>
      <c r="J118" s="1838"/>
      <c r="K118" s="1832"/>
    </row>
    <row r="119" spans="1:11">
      <c r="A119" s="1310" t="str">
        <f t="shared" si="1"/>
        <v>SAMPLE STATE COLLEGE</v>
      </c>
      <c r="B119" s="1311" t="s">
        <v>451</v>
      </c>
      <c r="C119" s="1312" t="s">
        <v>20</v>
      </c>
      <c r="D119" s="1325">
        <f>'FCS Notes Sched Inv &amp; Cash'!$G$79</f>
        <v>0</v>
      </c>
      <c r="E119" s="1326">
        <f t="array" ref="E119">ROUND(E1,0)+ROUND(E3,0)+ROUND(E15,0)-SUM(ROUND(E110:E111,0))-ROUND(E113,0)-ROUND(E115,0)-ROUND(E117,0)</f>
        <v>0</v>
      </c>
      <c r="F119" s="1325">
        <f t="array" ref="F119">SUM(ROUND(D119:E119,0))</f>
        <v>0</v>
      </c>
      <c r="G119" s="1311" t="s">
        <v>440</v>
      </c>
      <c r="H119" s="1313"/>
      <c r="I119" s="1838"/>
      <c r="J119" s="1838"/>
      <c r="K119" s="1832"/>
    </row>
    <row r="120" spans="1:11">
      <c r="A120" s="1310" t="str">
        <f t="shared" si="1"/>
        <v>SAMPLE STATE COLLEGE</v>
      </c>
      <c r="B120" s="1311" t="s">
        <v>452</v>
      </c>
      <c r="C120" s="1311" t="s">
        <v>34</v>
      </c>
      <c r="D120" s="1325">
        <f>'FCS Notes Sched Inv &amp; Cash'!$G$80</f>
        <v>0</v>
      </c>
      <c r="E120" s="1326">
        <f>ROUND(E2,0)+ROUND(E4,0)+ROUND(E16,0)+ROUND(E14,0)-ROUND(E112,0)-ROUND(E114,0)-ROUND(E116,0)-ROUND(E118,0)</f>
        <v>0</v>
      </c>
      <c r="F120" s="1325">
        <f t="array" ref="F120">SUM(ROUND(D120:E120,0))</f>
        <v>0</v>
      </c>
      <c r="G120" s="1311" t="s">
        <v>440</v>
      </c>
      <c r="H120" s="1313"/>
      <c r="I120" s="1838"/>
      <c r="J120" s="1838"/>
      <c r="K120" s="1832"/>
    </row>
    <row r="121" spans="1:11">
      <c r="A121" s="1310" t="str">
        <f t="shared" si="1"/>
        <v>SAMPLE STATE COLLEGE</v>
      </c>
      <c r="B121" s="1311" t="s">
        <v>453</v>
      </c>
      <c r="C121" s="1311" t="s">
        <v>454</v>
      </c>
      <c r="D121" s="1325" t="e">
        <f>'FCS Notes Sched Cap Assets'!$O$14</f>
        <v>#N/A</v>
      </c>
      <c r="E121" s="1325" t="e">
        <f>'CU Notes Sched'!$M$11</f>
        <v>#N/A</v>
      </c>
      <c r="F121" s="1325" t="e">
        <f t="array" ref="F121">SUM(ROUND(D121:E121,0))</f>
        <v>#N/A</v>
      </c>
      <c r="G121" s="1311" t="s">
        <v>455</v>
      </c>
      <c r="H121" s="1313"/>
      <c r="I121" s="1314"/>
      <c r="J121" s="1314"/>
      <c r="K121" s="1314"/>
    </row>
    <row r="122" spans="1:11">
      <c r="A122" s="1310" t="str">
        <f t="shared" si="1"/>
        <v>SAMPLE STATE COLLEGE</v>
      </c>
      <c r="B122" s="1311" t="s">
        <v>456</v>
      </c>
      <c r="C122" s="1311" t="s">
        <v>457</v>
      </c>
      <c r="D122" s="1325" t="e">
        <f>'FCS Notes Sched Cap Assets'!$O$15</f>
        <v>#N/A</v>
      </c>
      <c r="E122" s="1325" t="e">
        <f>'CU Notes Sched'!$M$12</f>
        <v>#N/A</v>
      </c>
      <c r="F122" s="1325" t="e">
        <f t="array" ref="F122">SUM(ROUND(D122:E122,0))</f>
        <v>#N/A</v>
      </c>
      <c r="G122" s="1311" t="s">
        <v>455</v>
      </c>
      <c r="H122" s="1313"/>
      <c r="I122" s="1314"/>
      <c r="J122" s="1314"/>
      <c r="K122" s="1314"/>
    </row>
    <row r="123" spans="1:11">
      <c r="A123" s="1310" t="str">
        <f t="shared" si="1"/>
        <v>SAMPLE STATE COLLEGE</v>
      </c>
      <c r="B123" s="1311" t="s">
        <v>458</v>
      </c>
      <c r="C123" s="1311" t="s">
        <v>459</v>
      </c>
      <c r="D123" s="1325" t="e">
        <f>'FCS Notes Sched Cap Assets'!$O$16</f>
        <v>#N/A</v>
      </c>
      <c r="E123" s="1325" t="e">
        <f>'CU Notes Sched'!$M$13</f>
        <v>#N/A</v>
      </c>
      <c r="F123" s="1325" t="e">
        <f t="array" ref="F123">SUM(ROUND(D123:E123,0))</f>
        <v>#N/A</v>
      </c>
      <c r="G123" s="1311" t="s">
        <v>455</v>
      </c>
      <c r="H123" s="1313"/>
      <c r="I123" s="1314"/>
      <c r="J123" s="1314"/>
      <c r="K123" s="1314"/>
    </row>
    <row r="124" spans="1:11">
      <c r="A124" s="1310" t="str">
        <f t="shared" si="1"/>
        <v>SAMPLE STATE COLLEGE</v>
      </c>
      <c r="B124" s="1311" t="s">
        <v>460</v>
      </c>
      <c r="C124" s="1311" t="s">
        <v>461</v>
      </c>
      <c r="D124" s="1325" t="e">
        <f>'FCS Notes Sched Cap Assets'!$O$17</f>
        <v>#N/A</v>
      </c>
      <c r="E124" s="1325" t="e">
        <f>'CU Notes Sched'!$M$14</f>
        <v>#N/A</v>
      </c>
      <c r="F124" s="1325" t="e">
        <f t="array" ref="F124">SUM(ROUND(D124:E124,0))</f>
        <v>#N/A</v>
      </c>
      <c r="G124" s="1311" t="s">
        <v>455</v>
      </c>
      <c r="H124" s="1313"/>
      <c r="I124" s="1314"/>
      <c r="J124" s="1314"/>
      <c r="K124" s="1314"/>
    </row>
    <row r="125" spans="1:11">
      <c r="A125" s="1310" t="str">
        <f t="shared" si="1"/>
        <v>SAMPLE STATE COLLEGE</v>
      </c>
      <c r="B125" s="1311" t="s">
        <v>462</v>
      </c>
      <c r="C125" s="1311" t="s">
        <v>463</v>
      </c>
      <c r="D125" s="1325" t="e">
        <f>'FCS Notes Sched Cap Assets'!$O$22</f>
        <v>#N/A</v>
      </c>
      <c r="E125" s="1325" t="e">
        <f>'CU Notes Sched'!$M$19</f>
        <v>#N/A</v>
      </c>
      <c r="F125" s="1325" t="e">
        <f t="array" ref="F125">SUM(ROUND(D125:E125,0))</f>
        <v>#N/A</v>
      </c>
      <c r="G125" s="1311" t="s">
        <v>455</v>
      </c>
      <c r="H125" s="1313"/>
      <c r="I125" s="1314"/>
      <c r="J125" s="1314"/>
      <c r="K125" s="1314"/>
    </row>
    <row r="126" spans="1:11">
      <c r="A126" s="1310" t="str">
        <f t="shared" si="1"/>
        <v>SAMPLE STATE COLLEGE</v>
      </c>
      <c r="B126" s="1311" t="s">
        <v>464</v>
      </c>
      <c r="C126" s="1312" t="s">
        <v>465</v>
      </c>
      <c r="D126" s="1325" t="e">
        <f>'FCS Notes Sched Cap Assets'!$O$23</f>
        <v>#N/A</v>
      </c>
      <c r="E126" s="1325">
        <v>0</v>
      </c>
      <c r="F126" s="1325" t="e">
        <f t="array" ref="F126">SUM(ROUND(D126:E126,0))</f>
        <v>#N/A</v>
      </c>
      <c r="G126" s="1311" t="s">
        <v>455</v>
      </c>
      <c r="H126" s="1313"/>
      <c r="I126" s="1832"/>
      <c r="J126" s="1832"/>
      <c r="K126" s="1832"/>
    </row>
    <row r="127" spans="1:11">
      <c r="A127" s="1310" t="str">
        <f t="shared" si="1"/>
        <v>SAMPLE STATE COLLEGE</v>
      </c>
      <c r="B127" s="1311" t="s">
        <v>466</v>
      </c>
      <c r="C127" s="1312" t="s">
        <v>467</v>
      </c>
      <c r="D127" s="1325" t="e">
        <f>'FCS Notes Sched Cap Assets'!$O$24</f>
        <v>#N/A</v>
      </c>
      <c r="E127" s="1325" t="e">
        <f>'CU Notes Sched'!$M$20</f>
        <v>#N/A</v>
      </c>
      <c r="F127" s="1325" t="e">
        <f t="array" ref="F127">SUM(ROUND(D127:E127,0))</f>
        <v>#N/A</v>
      </c>
      <c r="G127" s="1311" t="s">
        <v>455</v>
      </c>
      <c r="H127" s="1313"/>
      <c r="I127" s="1832"/>
      <c r="J127" s="1832"/>
      <c r="K127" s="1832"/>
    </row>
    <row r="128" spans="1:11">
      <c r="A128" s="1310" t="str">
        <f t="shared" si="1"/>
        <v>SAMPLE STATE COLLEGE</v>
      </c>
      <c r="B128" s="1311" t="s">
        <v>468</v>
      </c>
      <c r="C128" s="1312" t="s">
        <v>41</v>
      </c>
      <c r="D128" s="1325" t="e">
        <f>'FCS Notes Sched Cap Assets'!$O$25</f>
        <v>#N/A</v>
      </c>
      <c r="E128" s="1325">
        <v>0</v>
      </c>
      <c r="F128" s="1325" t="e">
        <f t="array" ref="F128">SUM(ROUND(D128:E128,0))</f>
        <v>#N/A</v>
      </c>
      <c r="G128" s="1311" t="s">
        <v>455</v>
      </c>
      <c r="H128" s="1313"/>
      <c r="I128" s="1832"/>
      <c r="J128" s="1832"/>
      <c r="K128" s="1832"/>
    </row>
    <row r="129" spans="1:11">
      <c r="A129" s="1310" t="str">
        <f t="shared" si="1"/>
        <v>SAMPLE STATE COLLEGE</v>
      </c>
      <c r="B129" s="1311" t="s">
        <v>469</v>
      </c>
      <c r="C129" s="1312" t="s">
        <v>470</v>
      </c>
      <c r="D129" s="1325" t="e">
        <f>'FCS Notes Sched Cap Assets'!$O$26</f>
        <v>#N/A</v>
      </c>
      <c r="E129" s="1325">
        <v>0</v>
      </c>
      <c r="F129" s="1325" t="e">
        <f t="array" ref="F129">SUM(ROUND(D129:E129,0))</f>
        <v>#N/A</v>
      </c>
      <c r="G129" s="1311" t="s">
        <v>455</v>
      </c>
      <c r="H129" s="1313"/>
      <c r="I129" s="1832"/>
      <c r="J129" s="1832"/>
      <c r="K129" s="1832"/>
    </row>
    <row r="130" spans="1:11">
      <c r="A130" s="1310" t="str">
        <f t="shared" si="1"/>
        <v>SAMPLE STATE COLLEGE</v>
      </c>
      <c r="B130" s="1311" t="s">
        <v>471</v>
      </c>
      <c r="C130" s="1312" t="s">
        <v>472</v>
      </c>
      <c r="D130" s="1325" t="e">
        <f>'FCS Notes Sched Cap Assets'!$O$27</f>
        <v>#N/A</v>
      </c>
      <c r="E130" s="1325" t="e">
        <f>'CU Notes Sched'!$M$21</f>
        <v>#N/A</v>
      </c>
      <c r="F130" s="1325" t="e">
        <f t="array" ref="F130">SUM(ROUND(D130:E130,0))</f>
        <v>#N/A</v>
      </c>
      <c r="G130" s="1311" t="s">
        <v>455</v>
      </c>
      <c r="H130" s="1313"/>
      <c r="I130" s="1832"/>
      <c r="J130" s="1832"/>
      <c r="K130" s="1832"/>
    </row>
    <row r="131" spans="1:11">
      <c r="A131" s="1310" t="str">
        <f t="shared" si="1"/>
        <v>SAMPLE STATE COLLEGE</v>
      </c>
      <c r="B131" s="1311" t="s">
        <v>473</v>
      </c>
      <c r="C131" s="1312" t="s">
        <v>474</v>
      </c>
      <c r="D131" s="1325" t="e">
        <f>-'FCS Notes Sched Cap Assets'!$O$32</f>
        <v>#N/A</v>
      </c>
      <c r="E131" s="1325" t="e">
        <f>-'CU Notes Sched'!$M$26</f>
        <v>#N/A</v>
      </c>
      <c r="F131" s="1325" t="e">
        <f t="array" ref="F131">SUM(ROUND(D131:E131,0))</f>
        <v>#N/A</v>
      </c>
      <c r="G131" s="1311" t="s">
        <v>455</v>
      </c>
      <c r="H131" s="1313"/>
      <c r="I131" s="1832"/>
      <c r="J131" s="1832"/>
      <c r="K131" s="1832"/>
    </row>
    <row r="132" spans="1:11">
      <c r="A132" s="1310" t="str">
        <f t="shared" si="1"/>
        <v>SAMPLE STATE COLLEGE</v>
      </c>
      <c r="B132" s="1311" t="s">
        <v>475</v>
      </c>
      <c r="C132" s="1312" t="s">
        <v>476</v>
      </c>
      <c r="D132" s="1325" t="e">
        <f>-'FCS Notes Sched Cap Assets'!$O$33</f>
        <v>#N/A</v>
      </c>
      <c r="E132" s="1325">
        <v>0</v>
      </c>
      <c r="F132" s="1325" t="e">
        <f t="array" ref="F132">SUM(ROUND(D132:E132,0))</f>
        <v>#N/A</v>
      </c>
      <c r="G132" s="1311" t="s">
        <v>455</v>
      </c>
      <c r="H132" s="1313"/>
      <c r="I132" s="1832"/>
      <c r="J132" s="1832"/>
      <c r="K132" s="1832"/>
    </row>
    <row r="133" spans="1:11">
      <c r="A133" s="1310" t="str">
        <f t="shared" si="1"/>
        <v>SAMPLE STATE COLLEGE</v>
      </c>
      <c r="B133" s="1311" t="s">
        <v>477</v>
      </c>
      <c r="C133" s="1312" t="s">
        <v>478</v>
      </c>
      <c r="D133" s="1325" t="e">
        <f>-'FCS Notes Sched Cap Assets'!$O$34</f>
        <v>#N/A</v>
      </c>
      <c r="E133" s="1325" t="e">
        <f>-'CU Notes Sched'!$M$27</f>
        <v>#N/A</v>
      </c>
      <c r="F133" s="1325" t="e">
        <f t="array" ref="F133">SUM(ROUND(D133:E133,0))</f>
        <v>#N/A</v>
      </c>
      <c r="G133" s="1311" t="s">
        <v>455</v>
      </c>
      <c r="H133" s="1313"/>
      <c r="I133" s="1314"/>
      <c r="J133" s="1314"/>
      <c r="K133" s="1314"/>
    </row>
    <row r="134" spans="1:11">
      <c r="A134" s="1310" t="str">
        <f t="shared" si="1"/>
        <v>SAMPLE STATE COLLEGE</v>
      </c>
      <c r="B134" s="1311" t="s">
        <v>479</v>
      </c>
      <c r="C134" s="1312" t="s">
        <v>480</v>
      </c>
      <c r="D134" s="1325" t="e">
        <f>-'FCS Notes Sched Cap Assets'!$O$35</f>
        <v>#N/A</v>
      </c>
      <c r="E134" s="1325">
        <v>0</v>
      </c>
      <c r="F134" s="1325" t="e">
        <f t="array" ref="F134">SUM(ROUND(D134:E134,0))</f>
        <v>#N/A</v>
      </c>
      <c r="G134" s="1311" t="s">
        <v>455</v>
      </c>
      <c r="H134" s="1313"/>
      <c r="I134" s="1314"/>
      <c r="J134" s="1314"/>
      <c r="K134" s="1314"/>
    </row>
    <row r="135" spans="1:11">
      <c r="A135" s="1310" t="str">
        <f t="shared" si="1"/>
        <v>SAMPLE STATE COLLEGE</v>
      </c>
      <c r="B135" s="1311" t="s">
        <v>481</v>
      </c>
      <c r="C135" s="1312" t="s">
        <v>482</v>
      </c>
      <c r="D135" s="1325" t="e">
        <f>-'FCS Notes Sched Cap Assets'!$O$36</f>
        <v>#N/A</v>
      </c>
      <c r="E135" s="1325">
        <v>0</v>
      </c>
      <c r="F135" s="1325" t="e">
        <f t="array" ref="F135">SUM(ROUND(D135:E135,0))</f>
        <v>#N/A</v>
      </c>
      <c r="G135" s="1311" t="s">
        <v>455</v>
      </c>
      <c r="H135" s="1313"/>
      <c r="I135" s="1314"/>
      <c r="J135" s="1314"/>
      <c r="K135" s="1314"/>
    </row>
    <row r="136" spans="1:11">
      <c r="A136" s="1310" t="str">
        <f t="shared" si="1"/>
        <v>SAMPLE STATE COLLEGE</v>
      </c>
      <c r="B136" s="1311" t="s">
        <v>483</v>
      </c>
      <c r="C136" s="1312" t="s">
        <v>484</v>
      </c>
      <c r="D136" s="1325" t="e">
        <f>-'FCS Notes Sched Cap Assets'!$O$37</f>
        <v>#N/A</v>
      </c>
      <c r="E136" s="1325" t="e">
        <f>-'CU Notes Sched'!$M$28</f>
        <v>#N/A</v>
      </c>
      <c r="F136" s="1325" t="e">
        <f t="array" ref="F136">SUM(ROUND(D136:E136,0))</f>
        <v>#N/A</v>
      </c>
      <c r="G136" s="1311" t="s">
        <v>455</v>
      </c>
      <c r="H136" s="1313"/>
      <c r="I136" s="1314"/>
      <c r="J136" s="1314"/>
      <c r="K136" s="1314"/>
    </row>
    <row r="137" spans="1:11">
      <c r="A137" s="1310" t="str">
        <f t="shared" si="1"/>
        <v>SAMPLE STATE COLLEGE</v>
      </c>
      <c r="B137" s="1311" t="s">
        <v>485</v>
      </c>
      <c r="C137" s="1312" t="s">
        <v>486</v>
      </c>
      <c r="D137" s="1325">
        <f>ROUND(D5,0)-ROUND(D138,0)</f>
        <v>0</v>
      </c>
      <c r="E137" s="1325">
        <f>E5</f>
        <v>0</v>
      </c>
      <c r="F137" s="1325">
        <f t="array" ref="F137">SUM(ROUND(D137:E137,0))</f>
        <v>0</v>
      </c>
      <c r="G137" s="1311" t="s">
        <v>487</v>
      </c>
      <c r="H137" s="1313" t="s">
        <v>488</v>
      </c>
      <c r="I137" s="1832"/>
      <c r="J137" s="1832"/>
      <c r="K137" s="1832"/>
    </row>
    <row r="138" spans="1:11">
      <c r="A138" s="1310" t="str">
        <f t="shared" si="1"/>
        <v>SAMPLE STATE COLLEGE</v>
      </c>
      <c r="B138" s="1311" t="s">
        <v>489</v>
      </c>
      <c r="C138" s="1312" t="s">
        <v>490</v>
      </c>
      <c r="D138" s="1325">
        <f>ROUND('Accounts by GL'!O19,0)</f>
        <v>0</v>
      </c>
      <c r="E138" s="1325">
        <v>0</v>
      </c>
      <c r="F138" s="1325">
        <f t="array" ref="F138">SUM(ROUND(D138:E138,0))</f>
        <v>0</v>
      </c>
      <c r="G138" s="1311" t="s">
        <v>487</v>
      </c>
      <c r="H138" s="1313" t="s">
        <v>491</v>
      </c>
      <c r="I138" s="1832"/>
      <c r="J138" s="1832"/>
      <c r="K138" s="1832"/>
    </row>
    <row r="139" spans="1:11">
      <c r="A139" s="1310" t="str">
        <f t="shared" si="1"/>
        <v>SAMPLE STATE COLLEGE</v>
      </c>
      <c r="B139" s="1311" t="s">
        <v>492</v>
      </c>
      <c r="C139" s="1312" t="s">
        <v>493</v>
      </c>
      <c r="D139" s="1325">
        <f>ROUND(D6,0)+ROUND(D18,0)-ROUND(D140,0)</f>
        <v>0</v>
      </c>
      <c r="E139" s="1325">
        <f>E6+E18</f>
        <v>0</v>
      </c>
      <c r="F139" s="1325">
        <f t="array" ref="F139">SUM(ROUND(D139:E139,0))</f>
        <v>0</v>
      </c>
      <c r="G139" s="1311" t="s">
        <v>487</v>
      </c>
      <c r="H139" s="1313" t="s">
        <v>494</v>
      </c>
      <c r="I139" s="1832"/>
      <c r="J139" s="1832"/>
      <c r="K139" s="1832"/>
    </row>
    <row r="140" spans="1:11">
      <c r="A140" s="1310" t="str">
        <f t="shared" si="1"/>
        <v>SAMPLE STATE COLLEGE</v>
      </c>
      <c r="B140" s="1311" t="s">
        <v>495</v>
      </c>
      <c r="C140" s="1312" t="s">
        <v>496</v>
      </c>
      <c r="D140" s="1325">
        <f>ROUND('Accounts by GL'!O24,0)</f>
        <v>0</v>
      </c>
      <c r="E140" s="1325">
        <v>0</v>
      </c>
      <c r="F140" s="1325">
        <f t="array" ref="F140">SUM(ROUND(D140:E140,0))</f>
        <v>0</v>
      </c>
      <c r="G140" s="1311" t="s">
        <v>487</v>
      </c>
      <c r="H140" s="1313" t="s">
        <v>491</v>
      </c>
      <c r="I140" s="1832"/>
      <c r="J140" s="1832"/>
      <c r="K140" s="1832"/>
    </row>
    <row r="141" spans="1:11">
      <c r="A141" s="1310" t="str">
        <f t="shared" si="1"/>
        <v>SAMPLE STATE COLLEGE</v>
      </c>
      <c r="B141" s="1311" t="s">
        <v>497</v>
      </c>
      <c r="C141" s="1311" t="s">
        <v>454</v>
      </c>
      <c r="D141" s="1325" t="e">
        <f>'FCS Notes Sched Cap Assets'!$G$14</f>
        <v>#N/A</v>
      </c>
      <c r="E141" s="1325" t="e">
        <f>'CU Notes Sched'!$G$11</f>
        <v>#N/A</v>
      </c>
      <c r="F141" s="1325" t="e">
        <f t="array" ref="F141">SUM(ROUND(D141:E141,0))</f>
        <v>#N/A</v>
      </c>
      <c r="G141" s="1311" t="s">
        <v>455</v>
      </c>
      <c r="H141" s="1313"/>
      <c r="I141" s="1314"/>
      <c r="J141" s="1314"/>
      <c r="K141" s="1314"/>
    </row>
    <row r="142" spans="1:11">
      <c r="A142" s="1310" t="str">
        <f t="shared" si="1"/>
        <v>SAMPLE STATE COLLEGE</v>
      </c>
      <c r="B142" s="1311" t="s">
        <v>498</v>
      </c>
      <c r="C142" s="1311" t="s">
        <v>457</v>
      </c>
      <c r="D142" s="1325" t="e">
        <f>'FCS Notes Sched Cap Assets'!$G$15</f>
        <v>#N/A</v>
      </c>
      <c r="E142" s="1325">
        <v>0</v>
      </c>
      <c r="F142" s="1325" t="e">
        <f t="array" ref="F142">SUM(ROUND(D142:E142,0))</f>
        <v>#N/A</v>
      </c>
      <c r="G142" s="1311" t="s">
        <v>455</v>
      </c>
      <c r="H142" s="1313"/>
      <c r="I142" s="1314"/>
      <c r="J142" s="1314"/>
      <c r="K142" s="1314"/>
    </row>
    <row r="143" spans="1:11">
      <c r="A143" s="1310" t="str">
        <f t="shared" si="1"/>
        <v>SAMPLE STATE COLLEGE</v>
      </c>
      <c r="B143" s="1311" t="s">
        <v>499</v>
      </c>
      <c r="C143" s="1311" t="s">
        <v>459</v>
      </c>
      <c r="D143" s="1325" t="e">
        <f>'FCS Notes Sched Cap Assets'!$G$16</f>
        <v>#N/A</v>
      </c>
      <c r="E143" s="1325" t="e">
        <f>'CU Notes Sched'!$G$13</f>
        <v>#N/A</v>
      </c>
      <c r="F143" s="1325" t="e">
        <f t="array" ref="F143">SUM(ROUND(D143:E143,0))</f>
        <v>#N/A</v>
      </c>
      <c r="G143" s="1311" t="s">
        <v>455</v>
      </c>
      <c r="H143" s="1313"/>
      <c r="I143" s="1314"/>
      <c r="J143" s="1314"/>
      <c r="K143" s="1314"/>
    </row>
    <row r="144" spans="1:11">
      <c r="A144" s="1310" t="str">
        <f t="shared" si="1"/>
        <v>SAMPLE STATE COLLEGE</v>
      </c>
      <c r="B144" s="1311" t="s">
        <v>500</v>
      </c>
      <c r="C144" s="1311" t="s">
        <v>461</v>
      </c>
      <c r="D144" s="1325" t="e">
        <f>'FCS Notes Sched Cap Assets'!$G$17</f>
        <v>#N/A</v>
      </c>
      <c r="E144" s="1325" t="e">
        <f>'CU Notes Sched'!$G$14</f>
        <v>#N/A</v>
      </c>
      <c r="F144" s="1325" t="e">
        <f t="array" ref="F144">SUM(ROUND(D144:E144,0))</f>
        <v>#N/A</v>
      </c>
      <c r="G144" s="1311" t="s">
        <v>455</v>
      </c>
      <c r="H144" s="1313"/>
      <c r="I144" s="1314"/>
      <c r="J144" s="1314"/>
      <c r="K144" s="1314"/>
    </row>
    <row r="145" spans="1:11">
      <c r="A145" s="1310" t="str">
        <f t="shared" si="1"/>
        <v>SAMPLE STATE COLLEGE</v>
      </c>
      <c r="B145" s="1311" t="s">
        <v>501</v>
      </c>
      <c r="C145" s="1311" t="s">
        <v>463</v>
      </c>
      <c r="D145" s="1325" t="e">
        <f>'FCS Notes Sched Cap Assets'!$G$22</f>
        <v>#N/A</v>
      </c>
      <c r="E145" s="1325" t="e">
        <f>'CU Notes Sched'!$G$19</f>
        <v>#N/A</v>
      </c>
      <c r="F145" s="1325" t="e">
        <f t="array" ref="F145">SUM(ROUND(D145:E145,0))</f>
        <v>#N/A</v>
      </c>
      <c r="G145" s="1311" t="s">
        <v>455</v>
      </c>
      <c r="H145" s="1313"/>
      <c r="I145" s="1314"/>
      <c r="J145" s="1314"/>
      <c r="K145" s="1314"/>
    </row>
    <row r="146" spans="1:11">
      <c r="A146" s="1310" t="str">
        <f t="shared" si="1"/>
        <v>SAMPLE STATE COLLEGE</v>
      </c>
      <c r="B146" s="1311" t="s">
        <v>502</v>
      </c>
      <c r="C146" s="1312" t="s">
        <v>465</v>
      </c>
      <c r="D146" s="1325" t="e">
        <f>'FCS Notes Sched Cap Assets'!$G$23</f>
        <v>#N/A</v>
      </c>
      <c r="E146" s="1325">
        <v>0</v>
      </c>
      <c r="F146" s="1325" t="e">
        <f t="array" ref="F146">SUM(ROUND(D146:E146,0))</f>
        <v>#N/A</v>
      </c>
      <c r="G146" s="1311" t="s">
        <v>455</v>
      </c>
      <c r="H146" s="1313"/>
      <c r="I146" s="1832"/>
      <c r="J146" s="1832"/>
      <c r="K146" s="1832"/>
    </row>
    <row r="147" spans="1:11">
      <c r="A147" s="1310" t="str">
        <f t="shared" si="1"/>
        <v>SAMPLE STATE COLLEGE</v>
      </c>
      <c r="B147" s="1311" t="s">
        <v>503</v>
      </c>
      <c r="C147" s="1312" t="s">
        <v>467</v>
      </c>
      <c r="D147" s="1325" t="e">
        <f>'FCS Notes Sched Cap Assets'!$G$24</f>
        <v>#N/A</v>
      </c>
      <c r="E147" s="1325" t="e">
        <f>'CU Notes Sched'!$G$20</f>
        <v>#N/A</v>
      </c>
      <c r="F147" s="1325" t="e">
        <f t="array" ref="F147">SUM(ROUND(D147:E147,0))</f>
        <v>#N/A</v>
      </c>
      <c r="G147" s="1311" t="s">
        <v>455</v>
      </c>
      <c r="H147" s="1313"/>
      <c r="I147" s="1832"/>
      <c r="J147" s="1832"/>
      <c r="K147" s="1832"/>
    </row>
    <row r="148" spans="1:11">
      <c r="A148" s="1310" t="str">
        <f t="shared" si="1"/>
        <v>SAMPLE STATE COLLEGE</v>
      </c>
      <c r="B148" s="1311" t="s">
        <v>504</v>
      </c>
      <c r="C148" s="1312" t="s">
        <v>41</v>
      </c>
      <c r="D148" s="1325" t="e">
        <f>'FCS Notes Sched Cap Assets'!$G$25</f>
        <v>#N/A</v>
      </c>
      <c r="E148" s="1325">
        <v>0</v>
      </c>
      <c r="F148" s="1325" t="e">
        <f t="array" ref="F148">SUM(ROUND(D148:E148,0))</f>
        <v>#N/A</v>
      </c>
      <c r="G148" s="1311" t="s">
        <v>455</v>
      </c>
      <c r="H148" s="1313"/>
      <c r="I148" s="1832"/>
      <c r="J148" s="1832"/>
      <c r="K148" s="1832"/>
    </row>
    <row r="149" spans="1:11">
      <c r="A149" s="1310" t="str">
        <f t="shared" si="1"/>
        <v>SAMPLE STATE COLLEGE</v>
      </c>
      <c r="B149" s="1311" t="s">
        <v>505</v>
      </c>
      <c r="C149" s="1312" t="s">
        <v>470</v>
      </c>
      <c r="D149" s="1325" t="e">
        <f>'FCS Notes Sched Cap Assets'!$G$26</f>
        <v>#N/A</v>
      </c>
      <c r="E149" s="1325">
        <v>0</v>
      </c>
      <c r="F149" s="1325" t="e">
        <f t="array" ref="F149">SUM(ROUND(D149:E149,0))</f>
        <v>#N/A</v>
      </c>
      <c r="G149" s="1311" t="s">
        <v>455</v>
      </c>
      <c r="H149" s="1313"/>
      <c r="I149" s="1832"/>
      <c r="J149" s="1832"/>
      <c r="K149" s="1832"/>
    </row>
    <row r="150" spans="1:11">
      <c r="A150" s="1310" t="str">
        <f t="shared" si="1"/>
        <v>SAMPLE STATE COLLEGE</v>
      </c>
      <c r="B150" s="1311" t="s">
        <v>506</v>
      </c>
      <c r="C150" s="1312" t="s">
        <v>472</v>
      </c>
      <c r="D150" s="1325" t="e">
        <f>'FCS Notes Sched Cap Assets'!$G$27</f>
        <v>#N/A</v>
      </c>
      <c r="E150" s="1325" t="e">
        <f>'CU Notes Sched'!$G$21</f>
        <v>#N/A</v>
      </c>
      <c r="F150" s="1325" t="e">
        <f t="array" ref="F150">SUM(ROUND(D150:E150,0))</f>
        <v>#N/A</v>
      </c>
      <c r="G150" s="1311" t="s">
        <v>455</v>
      </c>
      <c r="H150" s="1313"/>
      <c r="I150" s="1832"/>
      <c r="J150" s="1832"/>
      <c r="K150" s="1832"/>
    </row>
    <row r="151" spans="1:11">
      <c r="A151" s="1310" t="str">
        <f t="shared" si="1"/>
        <v>SAMPLE STATE COLLEGE</v>
      </c>
      <c r="B151" s="1311" t="s">
        <v>507</v>
      </c>
      <c r="C151" s="1312" t="s">
        <v>474</v>
      </c>
      <c r="D151" s="1325" t="e">
        <f>-'FCS Notes Sched Cap Assets'!$G$32</f>
        <v>#N/A</v>
      </c>
      <c r="E151" s="1325" t="e">
        <f>-'CU Notes Sched'!$G$26</f>
        <v>#N/A</v>
      </c>
      <c r="F151" s="1325" t="e">
        <f t="array" ref="F151">SUM(ROUND(D151:E151,0))</f>
        <v>#N/A</v>
      </c>
      <c r="G151" s="1311" t="s">
        <v>455</v>
      </c>
      <c r="H151" s="1313"/>
      <c r="I151" s="1832"/>
      <c r="J151" s="1832"/>
      <c r="K151" s="1832"/>
    </row>
    <row r="152" spans="1:11">
      <c r="A152" s="1310" t="str">
        <f t="shared" si="1"/>
        <v>SAMPLE STATE COLLEGE</v>
      </c>
      <c r="B152" s="1311" t="s">
        <v>508</v>
      </c>
      <c r="C152" s="1312" t="s">
        <v>476</v>
      </c>
      <c r="D152" s="1325" t="e">
        <f>-'FCS Notes Sched Cap Assets'!$G$33</f>
        <v>#N/A</v>
      </c>
      <c r="E152" s="1325">
        <v>0</v>
      </c>
      <c r="F152" s="1325" t="e">
        <f t="array" ref="F152">SUM(ROUND(D152:E152,0))</f>
        <v>#N/A</v>
      </c>
      <c r="G152" s="1311" t="s">
        <v>455</v>
      </c>
      <c r="H152" s="1313"/>
      <c r="I152" s="1832"/>
      <c r="J152" s="1832"/>
      <c r="K152" s="1832"/>
    </row>
    <row r="153" spans="1:11">
      <c r="A153" s="1310" t="str">
        <f t="shared" si="1"/>
        <v>SAMPLE STATE COLLEGE</v>
      </c>
      <c r="B153" s="1311" t="s">
        <v>509</v>
      </c>
      <c r="C153" s="1312" t="s">
        <v>478</v>
      </c>
      <c r="D153" s="1325" t="e">
        <f>-'FCS Notes Sched Cap Assets'!$G$34</f>
        <v>#N/A</v>
      </c>
      <c r="E153" s="1325" t="e">
        <f>-'CU Notes Sched'!$G$27</f>
        <v>#N/A</v>
      </c>
      <c r="F153" s="1325" t="e">
        <f t="array" ref="F153">SUM(ROUND(D153:E153,0))</f>
        <v>#N/A</v>
      </c>
      <c r="G153" s="1311" t="s">
        <v>455</v>
      </c>
      <c r="H153" s="1313"/>
      <c r="I153" s="1314"/>
      <c r="J153" s="1314"/>
      <c r="K153" s="1314"/>
    </row>
    <row r="154" spans="1:11">
      <c r="A154" s="1310" t="str">
        <f t="shared" si="1"/>
        <v>SAMPLE STATE COLLEGE</v>
      </c>
      <c r="B154" s="1311" t="s">
        <v>510</v>
      </c>
      <c r="C154" s="1312" t="s">
        <v>480</v>
      </c>
      <c r="D154" s="1325" t="e">
        <f>-'FCS Notes Sched Cap Assets'!$G$35</f>
        <v>#N/A</v>
      </c>
      <c r="E154" s="1325">
        <v>0</v>
      </c>
      <c r="F154" s="1325" t="e">
        <f t="array" ref="F154">SUM(ROUND(D154:E154,0))</f>
        <v>#N/A</v>
      </c>
      <c r="G154" s="1311" t="s">
        <v>455</v>
      </c>
      <c r="H154" s="1313"/>
      <c r="I154" s="1314"/>
      <c r="J154" s="1314"/>
      <c r="K154" s="1314"/>
    </row>
    <row r="155" spans="1:11">
      <c r="A155" s="1310" t="str">
        <f t="shared" si="1"/>
        <v>SAMPLE STATE COLLEGE</v>
      </c>
      <c r="B155" s="1311" t="s">
        <v>511</v>
      </c>
      <c r="C155" s="1312" t="s">
        <v>482</v>
      </c>
      <c r="D155" s="1325" t="e">
        <f>-'FCS Notes Sched Cap Assets'!$G$36</f>
        <v>#N/A</v>
      </c>
      <c r="E155" s="1325">
        <v>0</v>
      </c>
      <c r="F155" s="1325" t="e">
        <f t="array" ref="F155">SUM(ROUND(D155:E155,0))</f>
        <v>#N/A</v>
      </c>
      <c r="G155" s="1311" t="s">
        <v>455</v>
      </c>
      <c r="H155" s="1313"/>
      <c r="I155" s="1314"/>
      <c r="J155" s="1314"/>
      <c r="K155" s="1314"/>
    </row>
    <row r="156" spans="1:11">
      <c r="A156" s="1310" t="str">
        <f t="shared" si="1"/>
        <v>SAMPLE STATE COLLEGE</v>
      </c>
      <c r="B156" s="1311" t="s">
        <v>512</v>
      </c>
      <c r="C156" s="1312" t="s">
        <v>484</v>
      </c>
      <c r="D156" s="1325" t="e">
        <f>-'FCS Notes Sched Cap Assets'!$G$37</f>
        <v>#N/A</v>
      </c>
      <c r="E156" s="1325" t="e">
        <f>-'CU Notes Sched'!$G$28</f>
        <v>#N/A</v>
      </c>
      <c r="F156" s="1325" t="e">
        <f t="array" ref="F156">SUM(ROUND(D156:E156,0))</f>
        <v>#N/A</v>
      </c>
      <c r="G156" s="1311" t="s">
        <v>455</v>
      </c>
      <c r="H156" s="1313"/>
      <c r="I156" s="1314"/>
      <c r="J156" s="1314"/>
      <c r="K156" s="1314"/>
    </row>
    <row r="157" spans="1:11">
      <c r="A157" s="1310" t="str">
        <f t="shared" si="1"/>
        <v>SAMPLE STATE COLLEGE</v>
      </c>
      <c r="B157" s="1311" t="s">
        <v>513</v>
      </c>
      <c r="C157" s="1311" t="s">
        <v>454</v>
      </c>
      <c r="D157" s="1325">
        <f>'FCS Notes Sched Cap Assets'!$I$14</f>
        <v>0</v>
      </c>
      <c r="E157" s="1325">
        <v>0</v>
      </c>
      <c r="F157" s="1325">
        <f t="array" ref="F157">SUM(ROUND(D157:E157,0))</f>
        <v>0</v>
      </c>
      <c r="G157" s="1311" t="s">
        <v>455</v>
      </c>
      <c r="H157" s="1313"/>
      <c r="I157" s="1314"/>
      <c r="J157" s="1314"/>
      <c r="K157" s="1314"/>
    </row>
    <row r="158" spans="1:11">
      <c r="A158" s="1310" t="str">
        <f t="shared" si="1"/>
        <v>SAMPLE STATE COLLEGE</v>
      </c>
      <c r="B158" s="1311" t="s">
        <v>514</v>
      </c>
      <c r="C158" s="1311" t="s">
        <v>457</v>
      </c>
      <c r="D158" s="1325">
        <f>'FCS Notes Sched Cap Assets'!$I$15</f>
        <v>0</v>
      </c>
      <c r="E158" s="1325">
        <v>0</v>
      </c>
      <c r="F158" s="1325">
        <f t="array" ref="F158">SUM(ROUND(D158:E158,0))</f>
        <v>0</v>
      </c>
      <c r="G158" s="1311" t="s">
        <v>455</v>
      </c>
      <c r="H158" s="1313"/>
      <c r="I158" s="1314"/>
      <c r="J158" s="1314"/>
      <c r="K158" s="1314"/>
    </row>
    <row r="159" spans="1:11">
      <c r="A159" s="1310" t="str">
        <f t="shared" si="1"/>
        <v>SAMPLE STATE COLLEGE</v>
      </c>
      <c r="B159" s="1311" t="s">
        <v>515</v>
      </c>
      <c r="C159" s="1311" t="s">
        <v>459</v>
      </c>
      <c r="D159" s="1325">
        <f>'FCS Notes Sched Cap Assets'!$I$16</f>
        <v>0</v>
      </c>
      <c r="E159" s="1325">
        <v>0</v>
      </c>
      <c r="F159" s="1325">
        <f t="array" ref="F159">SUM(ROUND(D159:E159,0))</f>
        <v>0</v>
      </c>
      <c r="G159" s="1311" t="s">
        <v>455</v>
      </c>
      <c r="H159" s="1313"/>
      <c r="I159" s="1314"/>
      <c r="J159" s="1314"/>
      <c r="K159" s="1314"/>
    </row>
    <row r="160" spans="1:11">
      <c r="A160" s="1310" t="str">
        <f t="shared" si="1"/>
        <v>SAMPLE STATE COLLEGE</v>
      </c>
      <c r="B160" s="1311" t="s">
        <v>516</v>
      </c>
      <c r="C160" s="1311" t="s">
        <v>461</v>
      </c>
      <c r="D160" s="1325">
        <f>'FCS Notes Sched Cap Assets'!$I$17</f>
        <v>0</v>
      </c>
      <c r="E160" s="1325">
        <v>0</v>
      </c>
      <c r="F160" s="1325">
        <f t="array" ref="F160">SUM(ROUND(D160:E160,0))</f>
        <v>0</v>
      </c>
      <c r="G160" s="1311" t="s">
        <v>455</v>
      </c>
      <c r="H160" s="1313"/>
      <c r="I160" s="1314"/>
      <c r="J160" s="1314"/>
      <c r="K160" s="1314"/>
    </row>
    <row r="161" spans="1:11">
      <c r="A161" s="1310" t="str">
        <f t="shared" si="1"/>
        <v>SAMPLE STATE COLLEGE</v>
      </c>
      <c r="B161" s="1311" t="s">
        <v>517</v>
      </c>
      <c r="C161" s="1311" t="s">
        <v>463</v>
      </c>
      <c r="D161" s="1325">
        <f>'FCS Notes Sched Cap Assets'!$I$22</f>
        <v>0</v>
      </c>
      <c r="E161" s="1325">
        <v>0</v>
      </c>
      <c r="F161" s="1325">
        <f t="array" ref="F161">SUM(ROUND(D161:E161,0))</f>
        <v>0</v>
      </c>
      <c r="G161" s="1311" t="s">
        <v>455</v>
      </c>
      <c r="H161" s="1313"/>
      <c r="I161" s="1314"/>
      <c r="J161" s="1314"/>
      <c r="K161" s="1314"/>
    </row>
    <row r="162" spans="1:11">
      <c r="A162" s="1310" t="str">
        <f t="shared" si="1"/>
        <v>SAMPLE STATE COLLEGE</v>
      </c>
      <c r="B162" s="1311" t="s">
        <v>518</v>
      </c>
      <c r="C162" s="1312" t="s">
        <v>465</v>
      </c>
      <c r="D162" s="1325">
        <f>'FCS Notes Sched Cap Assets'!$I$23</f>
        <v>0</v>
      </c>
      <c r="E162" s="1325">
        <v>0</v>
      </c>
      <c r="F162" s="1325">
        <f t="array" ref="F162">SUM(ROUND(D162:E162,0))</f>
        <v>0</v>
      </c>
      <c r="G162" s="1311" t="s">
        <v>455</v>
      </c>
      <c r="H162" s="1313"/>
      <c r="I162" s="1832"/>
      <c r="J162" s="1832"/>
      <c r="K162" s="1832"/>
    </row>
    <row r="163" spans="1:11">
      <c r="A163" s="1310" t="str">
        <f t="shared" si="1"/>
        <v>SAMPLE STATE COLLEGE</v>
      </c>
      <c r="B163" s="1311" t="s">
        <v>519</v>
      </c>
      <c r="C163" s="1312" t="s">
        <v>467</v>
      </c>
      <c r="D163" s="1325">
        <f>'FCS Notes Sched Cap Assets'!$I$24</f>
        <v>0</v>
      </c>
      <c r="E163" s="1325">
        <v>0</v>
      </c>
      <c r="F163" s="1325">
        <f t="array" ref="F163">SUM(ROUND(D163:E163,0))</f>
        <v>0</v>
      </c>
      <c r="G163" s="1311" t="s">
        <v>455</v>
      </c>
      <c r="H163" s="1313"/>
      <c r="I163" s="1832"/>
      <c r="J163" s="1832"/>
      <c r="K163" s="1832"/>
    </row>
    <row r="164" spans="1:11">
      <c r="A164" s="1310" t="str">
        <f t="shared" si="1"/>
        <v>SAMPLE STATE COLLEGE</v>
      </c>
      <c r="B164" s="1311" t="s">
        <v>520</v>
      </c>
      <c r="C164" s="1312" t="s">
        <v>41</v>
      </c>
      <c r="D164" s="1325">
        <f>'FCS Notes Sched Cap Assets'!$I$25</f>
        <v>0</v>
      </c>
      <c r="E164" s="1325">
        <v>0</v>
      </c>
      <c r="F164" s="1325">
        <f t="array" ref="F164">SUM(ROUND(D164:E164,0))</f>
        <v>0</v>
      </c>
      <c r="G164" s="1311" t="s">
        <v>455</v>
      </c>
      <c r="H164" s="1313"/>
      <c r="I164" s="1832"/>
      <c r="J164" s="1832"/>
      <c r="K164" s="1832"/>
    </row>
    <row r="165" spans="1:11">
      <c r="A165" s="1310" t="str">
        <f t="shared" si="1"/>
        <v>SAMPLE STATE COLLEGE</v>
      </c>
      <c r="B165" s="1311" t="s">
        <v>521</v>
      </c>
      <c r="C165" s="1312" t="s">
        <v>470</v>
      </c>
      <c r="D165" s="1325">
        <f>'FCS Notes Sched Cap Assets'!$I$26</f>
        <v>0</v>
      </c>
      <c r="E165" s="1325">
        <v>0</v>
      </c>
      <c r="F165" s="1325">
        <f t="array" ref="F165">SUM(ROUND(D165:E165,0))</f>
        <v>0</v>
      </c>
      <c r="G165" s="1311" t="s">
        <v>455</v>
      </c>
      <c r="H165" s="1313"/>
      <c r="I165" s="1832"/>
      <c r="J165" s="1832"/>
      <c r="K165" s="1832"/>
    </row>
    <row r="166" spans="1:11">
      <c r="A166" s="1310" t="str">
        <f t="shared" si="1"/>
        <v>SAMPLE STATE COLLEGE</v>
      </c>
      <c r="B166" s="1311" t="s">
        <v>522</v>
      </c>
      <c r="C166" s="1312" t="s">
        <v>472</v>
      </c>
      <c r="D166" s="1325">
        <f>'FCS Notes Sched Cap Assets'!$I$27</f>
        <v>0</v>
      </c>
      <c r="E166" s="1325">
        <v>0</v>
      </c>
      <c r="F166" s="1325">
        <f t="array" ref="F166">SUM(ROUND(D166:E166,0))</f>
        <v>0</v>
      </c>
      <c r="G166" s="1311" t="s">
        <v>455</v>
      </c>
      <c r="H166" s="1313"/>
      <c r="I166" s="1832"/>
      <c r="J166" s="1832"/>
      <c r="K166" s="1832"/>
    </row>
    <row r="167" spans="1:11">
      <c r="A167" s="1310" t="str">
        <f t="shared" si="1"/>
        <v>SAMPLE STATE COLLEGE</v>
      </c>
      <c r="B167" s="1311" t="s">
        <v>523</v>
      </c>
      <c r="C167" s="1312" t="s">
        <v>474</v>
      </c>
      <c r="D167" s="1325">
        <f>-'FCS Notes Sched Cap Assets'!$I$32</f>
        <v>0</v>
      </c>
      <c r="E167" s="1325">
        <v>0</v>
      </c>
      <c r="F167" s="1325">
        <f t="array" ref="F167">SUM(ROUND(D167:E167,0))</f>
        <v>0</v>
      </c>
      <c r="G167" s="1311" t="s">
        <v>455</v>
      </c>
      <c r="H167" s="1313"/>
      <c r="I167" s="1832"/>
      <c r="J167" s="1832"/>
      <c r="K167" s="1832"/>
    </row>
    <row r="168" spans="1:11">
      <c r="A168" s="1310" t="str">
        <f t="shared" si="1"/>
        <v>SAMPLE STATE COLLEGE</v>
      </c>
      <c r="B168" s="1311" t="s">
        <v>524</v>
      </c>
      <c r="C168" s="1312" t="s">
        <v>476</v>
      </c>
      <c r="D168" s="1325">
        <f>-'FCS Notes Sched Cap Assets'!$I$33</f>
        <v>0</v>
      </c>
      <c r="E168" s="1325">
        <v>0</v>
      </c>
      <c r="F168" s="1325">
        <f t="array" ref="F168">SUM(ROUND(D168:E168,0))</f>
        <v>0</v>
      </c>
      <c r="G168" s="1311" t="s">
        <v>455</v>
      </c>
      <c r="H168" s="1313"/>
      <c r="I168" s="1832"/>
      <c r="J168" s="1832"/>
      <c r="K168" s="1832"/>
    </row>
    <row r="169" spans="1:11">
      <c r="A169" s="1310" t="str">
        <f t="shared" si="1"/>
        <v>SAMPLE STATE COLLEGE</v>
      </c>
      <c r="B169" s="1311" t="s">
        <v>525</v>
      </c>
      <c r="C169" s="1312" t="s">
        <v>478</v>
      </c>
      <c r="D169" s="1325">
        <f>-'FCS Notes Sched Cap Assets'!$I$34</f>
        <v>0</v>
      </c>
      <c r="E169" s="1325">
        <v>0</v>
      </c>
      <c r="F169" s="1325">
        <f t="array" ref="F169">SUM(ROUND(D169:E169,0))</f>
        <v>0</v>
      </c>
      <c r="G169" s="1311" t="s">
        <v>455</v>
      </c>
      <c r="H169" s="1313"/>
      <c r="I169" s="1314"/>
      <c r="J169" s="1314"/>
      <c r="K169" s="1314"/>
    </row>
    <row r="170" spans="1:11">
      <c r="A170" s="1310" t="str">
        <f t="shared" si="1"/>
        <v>SAMPLE STATE COLLEGE</v>
      </c>
      <c r="B170" s="1311" t="s">
        <v>526</v>
      </c>
      <c r="C170" s="1312" t="s">
        <v>480</v>
      </c>
      <c r="D170" s="1325">
        <f>-'FCS Notes Sched Cap Assets'!$I$35</f>
        <v>0</v>
      </c>
      <c r="E170" s="1325">
        <v>0</v>
      </c>
      <c r="F170" s="1325">
        <f t="array" ref="F170">SUM(ROUND(D170:E170,0))</f>
        <v>0</v>
      </c>
      <c r="G170" s="1311" t="s">
        <v>455</v>
      </c>
      <c r="H170" s="1313"/>
      <c r="I170" s="1314"/>
      <c r="J170" s="1314"/>
      <c r="K170" s="1314"/>
    </row>
    <row r="171" spans="1:11">
      <c r="A171" s="1310" t="str">
        <f t="shared" si="1"/>
        <v>SAMPLE STATE COLLEGE</v>
      </c>
      <c r="B171" s="1311" t="s">
        <v>527</v>
      </c>
      <c r="C171" s="1312" t="s">
        <v>482</v>
      </c>
      <c r="D171" s="1325">
        <f>-'FCS Notes Sched Cap Assets'!$I$36</f>
        <v>0</v>
      </c>
      <c r="E171" s="1325">
        <v>0</v>
      </c>
      <c r="F171" s="1325">
        <f t="array" ref="F171">SUM(ROUND(D171:E171,0))</f>
        <v>0</v>
      </c>
      <c r="G171" s="1311" t="s">
        <v>455</v>
      </c>
      <c r="H171" s="1313"/>
      <c r="I171" s="1314"/>
      <c r="J171" s="1314"/>
      <c r="K171" s="1314"/>
    </row>
    <row r="172" spans="1:11">
      <c r="A172" s="1310" t="str">
        <f t="shared" si="1"/>
        <v>SAMPLE STATE COLLEGE</v>
      </c>
      <c r="B172" s="1311" t="s">
        <v>528</v>
      </c>
      <c r="C172" s="1312" t="s">
        <v>484</v>
      </c>
      <c r="D172" s="1325">
        <f>-'FCS Notes Sched Cap Assets'!$I$37</f>
        <v>0</v>
      </c>
      <c r="E172" s="1325">
        <v>0</v>
      </c>
      <c r="F172" s="1325">
        <f t="array" ref="F172">SUM(ROUND(D172:E172,0))</f>
        <v>0</v>
      </c>
      <c r="G172" s="1311" t="s">
        <v>455</v>
      </c>
      <c r="H172" s="1313"/>
      <c r="I172" s="1314"/>
      <c r="J172" s="1314"/>
      <c r="K172" s="1314"/>
    </row>
    <row r="173" spans="1:11">
      <c r="A173" s="1310" t="str">
        <f t="shared" si="1"/>
        <v>SAMPLE STATE COLLEGE</v>
      </c>
      <c r="B173" s="1311" t="s">
        <v>529</v>
      </c>
      <c r="C173" s="1311" t="s">
        <v>454</v>
      </c>
      <c r="D173" s="1325">
        <f>'FCS Notes Sched Cap Assets'!$K$14</f>
        <v>0</v>
      </c>
      <c r="E173" s="1325">
        <f>'CU Notes Sched'!$I$11</f>
        <v>0</v>
      </c>
      <c r="F173" s="1325">
        <f t="array" ref="F173">SUM(ROUND(D173:E173,0))</f>
        <v>0</v>
      </c>
      <c r="G173" s="1311" t="s">
        <v>455</v>
      </c>
      <c r="H173" s="1313"/>
      <c r="I173" s="1314"/>
      <c r="J173" s="1314"/>
      <c r="K173" s="1314"/>
    </row>
    <row r="174" spans="1:11">
      <c r="A174" s="1310" t="str">
        <f t="shared" si="1"/>
        <v>SAMPLE STATE COLLEGE</v>
      </c>
      <c r="B174" s="1311" t="s">
        <v>530</v>
      </c>
      <c r="C174" s="1311" t="s">
        <v>457</v>
      </c>
      <c r="D174" s="1325">
        <f>'FCS Notes Sched Cap Assets'!$K$15</f>
        <v>0</v>
      </c>
      <c r="E174" s="1325">
        <v>0</v>
      </c>
      <c r="F174" s="1325">
        <f t="array" ref="F174">SUM(ROUND(D174:E174,0))</f>
        <v>0</v>
      </c>
      <c r="G174" s="1311" t="s">
        <v>455</v>
      </c>
      <c r="H174" s="1313"/>
      <c r="I174" s="1314"/>
      <c r="J174" s="1314"/>
      <c r="K174" s="1314"/>
    </row>
    <row r="175" spans="1:11">
      <c r="A175" s="1310" t="str">
        <f t="shared" si="1"/>
        <v>SAMPLE STATE COLLEGE</v>
      </c>
      <c r="B175" s="1311" t="s">
        <v>531</v>
      </c>
      <c r="C175" s="1311" t="s">
        <v>459</v>
      </c>
      <c r="D175" s="1325">
        <f>'FCS Notes Sched Cap Assets'!$K$16</f>
        <v>0</v>
      </c>
      <c r="E175" s="1325">
        <f>'CU Notes Sched'!$I$13</f>
        <v>0</v>
      </c>
      <c r="F175" s="1325">
        <f t="array" ref="F175">SUM(ROUND(D175:E175,0))</f>
        <v>0</v>
      </c>
      <c r="G175" s="1311" t="s">
        <v>455</v>
      </c>
      <c r="H175" s="1313"/>
      <c r="I175" s="1314"/>
      <c r="J175" s="1314"/>
      <c r="K175" s="1314"/>
    </row>
    <row r="176" spans="1:11">
      <c r="A176" s="1310" t="str">
        <f t="shared" si="1"/>
        <v>SAMPLE STATE COLLEGE</v>
      </c>
      <c r="B176" s="1311" t="s">
        <v>532</v>
      </c>
      <c r="C176" s="1311" t="s">
        <v>461</v>
      </c>
      <c r="D176" s="1325">
        <f>'FCS Notes Sched Cap Assets'!$K$17</f>
        <v>0</v>
      </c>
      <c r="E176" s="1325">
        <f>'CU Notes Sched'!$I$14</f>
        <v>0</v>
      </c>
      <c r="F176" s="1325">
        <f t="array" ref="F176">SUM(ROUND(D176:E176,0))</f>
        <v>0</v>
      </c>
      <c r="G176" s="1311" t="s">
        <v>455</v>
      </c>
      <c r="H176" s="1313"/>
      <c r="I176" s="1314"/>
      <c r="J176" s="1314"/>
      <c r="K176" s="1314"/>
    </row>
    <row r="177" spans="1:11">
      <c r="A177" s="1310" t="str">
        <f t="shared" si="1"/>
        <v>SAMPLE STATE COLLEGE</v>
      </c>
      <c r="B177" s="1311" t="s">
        <v>533</v>
      </c>
      <c r="C177" s="1311" t="s">
        <v>463</v>
      </c>
      <c r="D177" s="1325">
        <f>'FCS Notes Sched Cap Assets'!$K$22</f>
        <v>0</v>
      </c>
      <c r="E177" s="1325">
        <f>'CU Notes Sched'!$I$19</f>
        <v>0</v>
      </c>
      <c r="F177" s="1325">
        <f t="array" ref="F177">SUM(ROUND(D177:E177,0))</f>
        <v>0</v>
      </c>
      <c r="G177" s="1311" t="s">
        <v>455</v>
      </c>
      <c r="H177" s="1313"/>
      <c r="I177" s="1314"/>
      <c r="J177" s="1314"/>
      <c r="K177" s="1314"/>
    </row>
    <row r="178" spans="1:11">
      <c r="A178" s="1310" t="str">
        <f t="shared" si="1"/>
        <v>SAMPLE STATE COLLEGE</v>
      </c>
      <c r="B178" s="1311" t="s">
        <v>534</v>
      </c>
      <c r="C178" s="1312" t="s">
        <v>465</v>
      </c>
      <c r="D178" s="1325">
        <f>'FCS Notes Sched Cap Assets'!$K$23</f>
        <v>0</v>
      </c>
      <c r="E178" s="1325">
        <v>0</v>
      </c>
      <c r="F178" s="1325">
        <f t="array" ref="F178">SUM(ROUND(D178:E178,0))</f>
        <v>0</v>
      </c>
      <c r="G178" s="1311" t="s">
        <v>455</v>
      </c>
      <c r="H178" s="1313"/>
      <c r="I178" s="1832"/>
      <c r="J178" s="1832"/>
      <c r="K178" s="1832"/>
    </row>
    <row r="179" spans="1:11">
      <c r="A179" s="1310" t="str">
        <f t="shared" si="1"/>
        <v>SAMPLE STATE COLLEGE</v>
      </c>
      <c r="B179" s="1311" t="s">
        <v>535</v>
      </c>
      <c r="C179" s="1312" t="s">
        <v>467</v>
      </c>
      <c r="D179" s="1325">
        <f>'FCS Notes Sched Cap Assets'!$K$24</f>
        <v>0</v>
      </c>
      <c r="E179" s="1325">
        <f>'CU Notes Sched'!$I$20</f>
        <v>0</v>
      </c>
      <c r="F179" s="1325">
        <f t="array" ref="F179">SUM(ROUND(D179:E179,0))</f>
        <v>0</v>
      </c>
      <c r="G179" s="1311" t="s">
        <v>455</v>
      </c>
      <c r="H179" s="1313"/>
      <c r="I179" s="1832"/>
      <c r="J179" s="1832"/>
      <c r="K179" s="1832"/>
    </row>
    <row r="180" spans="1:11">
      <c r="A180" s="1310" t="str">
        <f t="shared" si="1"/>
        <v>SAMPLE STATE COLLEGE</v>
      </c>
      <c r="B180" s="1311" t="s">
        <v>536</v>
      </c>
      <c r="C180" s="1312" t="s">
        <v>41</v>
      </c>
      <c r="D180" s="1325">
        <f>'FCS Notes Sched Cap Assets'!$K$25</f>
        <v>0</v>
      </c>
      <c r="E180" s="1325">
        <v>0</v>
      </c>
      <c r="F180" s="1325">
        <f t="array" ref="F180">SUM(ROUND(D180:E180,0))</f>
        <v>0</v>
      </c>
      <c r="G180" s="1311" t="s">
        <v>455</v>
      </c>
      <c r="H180" s="1313"/>
      <c r="I180" s="1832"/>
      <c r="J180" s="1832"/>
      <c r="K180" s="1832"/>
    </row>
    <row r="181" spans="1:11">
      <c r="A181" s="1310" t="str">
        <f t="shared" si="1"/>
        <v>SAMPLE STATE COLLEGE</v>
      </c>
      <c r="B181" s="1311" t="s">
        <v>537</v>
      </c>
      <c r="C181" s="1312" t="s">
        <v>470</v>
      </c>
      <c r="D181" s="1325">
        <f>'FCS Notes Sched Cap Assets'!$K$26</f>
        <v>0</v>
      </c>
      <c r="E181" s="1325">
        <v>0</v>
      </c>
      <c r="F181" s="1325">
        <f t="array" ref="F181">SUM(ROUND(D181:E181,0))</f>
        <v>0</v>
      </c>
      <c r="G181" s="1311" t="s">
        <v>455</v>
      </c>
      <c r="H181" s="1313"/>
      <c r="I181" s="1832"/>
      <c r="J181" s="1832"/>
      <c r="K181" s="1832"/>
    </row>
    <row r="182" spans="1:11">
      <c r="A182" s="1310" t="str">
        <f t="shared" si="1"/>
        <v>SAMPLE STATE COLLEGE</v>
      </c>
      <c r="B182" s="1311" t="s">
        <v>538</v>
      </c>
      <c r="C182" s="1312" t="s">
        <v>472</v>
      </c>
      <c r="D182" s="1325">
        <f>'FCS Notes Sched Cap Assets'!$K$27</f>
        <v>0</v>
      </c>
      <c r="E182" s="1325">
        <f>'CU Notes Sched'!$I$21</f>
        <v>0</v>
      </c>
      <c r="F182" s="1325">
        <f t="array" ref="F182">SUM(ROUND(D182:E182,0))</f>
        <v>0</v>
      </c>
      <c r="G182" s="1311" t="s">
        <v>455</v>
      </c>
      <c r="H182" s="1313"/>
      <c r="I182" s="1832"/>
      <c r="J182" s="1832"/>
      <c r="K182" s="1832"/>
    </row>
    <row r="183" spans="1:11">
      <c r="A183" s="1310" t="str">
        <f t="shared" si="1"/>
        <v>SAMPLE STATE COLLEGE</v>
      </c>
      <c r="B183" s="1311" t="s">
        <v>539</v>
      </c>
      <c r="C183" s="1312" t="s">
        <v>474</v>
      </c>
      <c r="D183" s="1325">
        <f>-'FCS Notes Sched Cap Assets'!$K$32</f>
        <v>0</v>
      </c>
      <c r="E183" s="1325">
        <f>-'CU Notes Sched'!$I$26</f>
        <v>0</v>
      </c>
      <c r="F183" s="1325">
        <f t="array" ref="F183">SUM(ROUND(D183:E183,0))</f>
        <v>0</v>
      </c>
      <c r="G183" s="1311" t="s">
        <v>455</v>
      </c>
      <c r="H183" s="1313"/>
      <c r="I183" s="1832"/>
      <c r="J183" s="1832"/>
      <c r="K183" s="1832"/>
    </row>
    <row r="184" spans="1:11">
      <c r="A184" s="1310" t="str">
        <f t="shared" si="1"/>
        <v>SAMPLE STATE COLLEGE</v>
      </c>
      <c r="B184" s="1311" t="s">
        <v>540</v>
      </c>
      <c r="C184" s="1312" t="s">
        <v>476</v>
      </c>
      <c r="D184" s="1325">
        <f>-'FCS Notes Sched Cap Assets'!$K$33</f>
        <v>0</v>
      </c>
      <c r="E184" s="1325">
        <v>0</v>
      </c>
      <c r="F184" s="1325">
        <f t="array" ref="F184">SUM(ROUND(D184:E184,0))</f>
        <v>0</v>
      </c>
      <c r="G184" s="1311" t="s">
        <v>455</v>
      </c>
      <c r="H184" s="1313"/>
      <c r="I184" s="1832"/>
      <c r="J184" s="1832"/>
      <c r="K184" s="1832"/>
    </row>
    <row r="185" spans="1:11">
      <c r="A185" s="1310" t="str">
        <f t="shared" si="1"/>
        <v>SAMPLE STATE COLLEGE</v>
      </c>
      <c r="B185" s="1311" t="s">
        <v>541</v>
      </c>
      <c r="C185" s="1312" t="s">
        <v>478</v>
      </c>
      <c r="D185" s="1325">
        <f>-'FCS Notes Sched Cap Assets'!$K$34</f>
        <v>0</v>
      </c>
      <c r="E185" s="1325">
        <f>-'CU Notes Sched'!$I$27</f>
        <v>0</v>
      </c>
      <c r="F185" s="1325">
        <f t="array" ref="F185">SUM(ROUND(D185:E185,0))</f>
        <v>0</v>
      </c>
      <c r="G185" s="1311" t="s">
        <v>455</v>
      </c>
      <c r="H185" s="1313"/>
      <c r="I185" s="1314"/>
      <c r="J185" s="1314"/>
      <c r="K185" s="1314"/>
    </row>
    <row r="186" spans="1:11">
      <c r="A186" s="1310" t="str">
        <f t="shared" si="1"/>
        <v>SAMPLE STATE COLLEGE</v>
      </c>
      <c r="B186" s="1311" t="s">
        <v>542</v>
      </c>
      <c r="C186" s="1312" t="s">
        <v>480</v>
      </c>
      <c r="D186" s="1325">
        <f>-'FCS Notes Sched Cap Assets'!$K$35</f>
        <v>0</v>
      </c>
      <c r="E186" s="1325">
        <v>0</v>
      </c>
      <c r="F186" s="1325">
        <f t="array" ref="F186">SUM(ROUND(D186:E186,0))</f>
        <v>0</v>
      </c>
      <c r="G186" s="1311" t="s">
        <v>455</v>
      </c>
      <c r="H186" s="1313"/>
      <c r="I186" s="1314"/>
      <c r="J186" s="1314"/>
      <c r="K186" s="1314"/>
    </row>
    <row r="187" spans="1:11">
      <c r="A187" s="1310" t="str">
        <f t="shared" si="1"/>
        <v>SAMPLE STATE COLLEGE</v>
      </c>
      <c r="B187" s="1311" t="s">
        <v>543</v>
      </c>
      <c r="C187" s="1312" t="s">
        <v>482</v>
      </c>
      <c r="D187" s="1325">
        <f>-'FCS Notes Sched Cap Assets'!$K$36</f>
        <v>0</v>
      </c>
      <c r="E187" s="1325">
        <v>0</v>
      </c>
      <c r="F187" s="1325">
        <f t="array" ref="F187">SUM(ROUND(D187:E187,0))</f>
        <v>0</v>
      </c>
      <c r="G187" s="1311" t="s">
        <v>455</v>
      </c>
      <c r="H187" s="1313"/>
      <c r="I187" s="1314"/>
      <c r="J187" s="1314"/>
      <c r="K187" s="1314"/>
    </row>
    <row r="188" spans="1:11">
      <c r="A188" s="1310" t="str">
        <f t="shared" si="1"/>
        <v>SAMPLE STATE COLLEGE</v>
      </c>
      <c r="B188" s="1311" t="s">
        <v>544</v>
      </c>
      <c r="C188" s="1312" t="s">
        <v>484</v>
      </c>
      <c r="D188" s="1325">
        <f>-'FCS Notes Sched Cap Assets'!$K$37</f>
        <v>0</v>
      </c>
      <c r="E188" s="1325">
        <f>-'CU Notes Sched'!$I$28</f>
        <v>0</v>
      </c>
      <c r="F188" s="1325">
        <f t="array" ref="F188">SUM(ROUND(D188:E188,0))</f>
        <v>0</v>
      </c>
      <c r="G188" s="1311" t="s">
        <v>455</v>
      </c>
      <c r="H188" s="1313"/>
      <c r="I188" s="1314"/>
      <c r="J188" s="1314"/>
      <c r="K188" s="1314"/>
    </row>
    <row r="189" spans="1:11">
      <c r="A189" s="1310" t="str">
        <f t="shared" si="1"/>
        <v>SAMPLE STATE COLLEGE</v>
      </c>
      <c r="B189" s="1311" t="s">
        <v>545</v>
      </c>
      <c r="C189" s="1311" t="s">
        <v>454</v>
      </c>
      <c r="D189" s="1325">
        <f>'FCS Notes Sched Cap Assets'!$M$14</f>
        <v>0</v>
      </c>
      <c r="E189" s="1325">
        <f>'CU Notes Sched'!$K$11</f>
        <v>0</v>
      </c>
      <c r="F189" s="1325">
        <f t="array" ref="F189">SUM(ROUND(D189:E189,0))</f>
        <v>0</v>
      </c>
      <c r="G189" s="1311" t="s">
        <v>455</v>
      </c>
      <c r="H189" s="1313"/>
      <c r="I189" s="1314"/>
      <c r="J189" s="1314"/>
      <c r="K189" s="1314"/>
    </row>
    <row r="190" spans="1:11">
      <c r="A190" s="1310" t="str">
        <f t="shared" si="1"/>
        <v>SAMPLE STATE COLLEGE</v>
      </c>
      <c r="B190" s="1311" t="s">
        <v>546</v>
      </c>
      <c r="C190" s="1311" t="s">
        <v>457</v>
      </c>
      <c r="D190" s="1325">
        <f>'FCS Notes Sched Cap Assets'!$M$15</f>
        <v>0</v>
      </c>
      <c r="E190" s="1325">
        <v>0</v>
      </c>
      <c r="F190" s="1325">
        <f t="array" ref="F190">SUM(ROUND(D190:E190,0))</f>
        <v>0</v>
      </c>
      <c r="G190" s="1311" t="s">
        <v>455</v>
      </c>
      <c r="H190" s="1313"/>
      <c r="I190" s="1314"/>
      <c r="J190" s="1314"/>
      <c r="K190" s="1314"/>
    </row>
    <row r="191" spans="1:11">
      <c r="A191" s="1310" t="str">
        <f t="shared" si="1"/>
        <v>SAMPLE STATE COLLEGE</v>
      </c>
      <c r="B191" s="1311" t="s">
        <v>547</v>
      </c>
      <c r="C191" s="1311" t="s">
        <v>459</v>
      </c>
      <c r="D191" s="1325">
        <f>'FCS Notes Sched Cap Assets'!$M$16</f>
        <v>0</v>
      </c>
      <c r="E191" s="1325">
        <f>'CU Notes Sched'!$K$13</f>
        <v>0</v>
      </c>
      <c r="F191" s="1325">
        <f t="array" ref="F191">SUM(ROUND(D191:E191,0))</f>
        <v>0</v>
      </c>
      <c r="G191" s="1311" t="s">
        <v>455</v>
      </c>
      <c r="H191" s="1313"/>
      <c r="I191" s="1314"/>
      <c r="J191" s="1314"/>
      <c r="K191" s="1314"/>
    </row>
    <row r="192" spans="1:11">
      <c r="A192" s="1310" t="str">
        <f t="shared" si="1"/>
        <v>SAMPLE STATE COLLEGE</v>
      </c>
      <c r="B192" s="1311" t="s">
        <v>548</v>
      </c>
      <c r="C192" s="1311" t="s">
        <v>461</v>
      </c>
      <c r="D192" s="1325">
        <f>'FCS Notes Sched Cap Assets'!$M$17</f>
        <v>0</v>
      </c>
      <c r="E192" s="1325">
        <f>'CU Notes Sched'!$K$14</f>
        <v>0</v>
      </c>
      <c r="F192" s="1325">
        <f t="array" ref="F192">SUM(ROUND(D192:E192,0))</f>
        <v>0</v>
      </c>
      <c r="G192" s="1311" t="s">
        <v>455</v>
      </c>
      <c r="H192" s="1313"/>
      <c r="I192" s="1314"/>
      <c r="J192" s="1314"/>
      <c r="K192" s="1314"/>
    </row>
    <row r="193" spans="1:11">
      <c r="A193" s="1310" t="str">
        <f t="shared" si="1"/>
        <v>SAMPLE STATE COLLEGE</v>
      </c>
      <c r="B193" s="1311" t="s">
        <v>549</v>
      </c>
      <c r="C193" s="1311" t="s">
        <v>463</v>
      </c>
      <c r="D193" s="1325">
        <f>'FCS Notes Sched Cap Assets'!$M$22</f>
        <v>0</v>
      </c>
      <c r="E193" s="1325">
        <f>'CU Notes Sched'!$K$19</f>
        <v>0</v>
      </c>
      <c r="F193" s="1325">
        <f t="array" ref="F193">SUM(ROUND(D193:E193,0))</f>
        <v>0</v>
      </c>
      <c r="G193" s="1311" t="s">
        <v>455</v>
      </c>
      <c r="H193" s="1313"/>
      <c r="I193" s="1314"/>
      <c r="J193" s="1314"/>
      <c r="K193" s="1314"/>
    </row>
    <row r="194" spans="1:11">
      <c r="A194" s="1310" t="str">
        <f t="shared" si="1"/>
        <v>SAMPLE STATE COLLEGE</v>
      </c>
      <c r="B194" s="1311" t="s">
        <v>550</v>
      </c>
      <c r="C194" s="1312" t="s">
        <v>465</v>
      </c>
      <c r="D194" s="1325">
        <f>'FCS Notes Sched Cap Assets'!$M$23</f>
        <v>0</v>
      </c>
      <c r="E194" s="1325">
        <v>0</v>
      </c>
      <c r="F194" s="1325">
        <f t="array" ref="F194">SUM(ROUND(D194:E194,0))</f>
        <v>0</v>
      </c>
      <c r="G194" s="1311" t="s">
        <v>455</v>
      </c>
      <c r="H194" s="1313"/>
      <c r="I194" s="1832"/>
      <c r="J194" s="1832"/>
      <c r="K194" s="1832"/>
    </row>
    <row r="195" spans="1:11">
      <c r="A195" s="1310" t="str">
        <f t="shared" si="1"/>
        <v>SAMPLE STATE COLLEGE</v>
      </c>
      <c r="B195" s="1311" t="s">
        <v>551</v>
      </c>
      <c r="C195" s="1312" t="s">
        <v>467</v>
      </c>
      <c r="D195" s="1325">
        <f>'FCS Notes Sched Cap Assets'!$M$24</f>
        <v>0</v>
      </c>
      <c r="E195" s="1325">
        <f>'CU Notes Sched'!$K$20</f>
        <v>0</v>
      </c>
      <c r="F195" s="1325">
        <f t="array" ref="F195">SUM(ROUND(D195:E195,0))</f>
        <v>0</v>
      </c>
      <c r="G195" s="1311" t="s">
        <v>455</v>
      </c>
      <c r="H195" s="1313"/>
      <c r="I195" s="1832"/>
      <c r="J195" s="1832"/>
      <c r="K195" s="1832"/>
    </row>
    <row r="196" spans="1:11">
      <c r="A196" s="1310" t="str">
        <f t="shared" si="1"/>
        <v>SAMPLE STATE COLLEGE</v>
      </c>
      <c r="B196" s="1311" t="s">
        <v>552</v>
      </c>
      <c r="C196" s="1312" t="s">
        <v>41</v>
      </c>
      <c r="D196" s="1325">
        <f>'FCS Notes Sched Cap Assets'!$M$25</f>
        <v>0</v>
      </c>
      <c r="E196" s="1325">
        <v>0</v>
      </c>
      <c r="F196" s="1325">
        <f t="array" ref="F196">SUM(ROUND(D196:E196,0))</f>
        <v>0</v>
      </c>
      <c r="G196" s="1311" t="s">
        <v>455</v>
      </c>
      <c r="H196" s="1313"/>
      <c r="I196" s="1832"/>
      <c r="J196" s="1832"/>
      <c r="K196" s="1832"/>
    </row>
    <row r="197" spans="1:11">
      <c r="A197" s="1310" t="str">
        <f t="shared" si="1"/>
        <v>SAMPLE STATE COLLEGE</v>
      </c>
      <c r="B197" s="1311" t="s">
        <v>553</v>
      </c>
      <c r="C197" s="1312" t="s">
        <v>470</v>
      </c>
      <c r="D197" s="1325">
        <f>'FCS Notes Sched Cap Assets'!$M$26</f>
        <v>0</v>
      </c>
      <c r="E197" s="1325">
        <v>0</v>
      </c>
      <c r="F197" s="1325">
        <f t="array" ref="F197">SUM(ROUND(D197:E197,0))</f>
        <v>0</v>
      </c>
      <c r="G197" s="1311" t="s">
        <v>455</v>
      </c>
      <c r="H197" s="1313"/>
      <c r="I197" s="1832"/>
      <c r="J197" s="1832"/>
      <c r="K197" s="1832"/>
    </row>
    <row r="198" spans="1:11">
      <c r="A198" s="1310" t="str">
        <f t="shared" si="1"/>
        <v>SAMPLE STATE COLLEGE</v>
      </c>
      <c r="B198" s="1311" t="s">
        <v>554</v>
      </c>
      <c r="C198" s="1312" t="s">
        <v>472</v>
      </c>
      <c r="D198" s="1325">
        <f>'FCS Notes Sched Cap Assets'!$M$27</f>
        <v>0</v>
      </c>
      <c r="E198" s="1325">
        <f>'CU Notes Sched'!$K$21</f>
        <v>0</v>
      </c>
      <c r="F198" s="1325">
        <f t="array" ref="F198">SUM(ROUND(D198:E198,0))</f>
        <v>0</v>
      </c>
      <c r="G198" s="1311" t="s">
        <v>455</v>
      </c>
      <c r="H198" s="1313"/>
      <c r="I198" s="1832"/>
      <c r="J198" s="1832"/>
      <c r="K198" s="1832"/>
    </row>
    <row r="199" spans="1:11">
      <c r="A199" s="1310" t="str">
        <f t="shared" si="1"/>
        <v>SAMPLE STATE COLLEGE</v>
      </c>
      <c r="B199" s="1311" t="s">
        <v>555</v>
      </c>
      <c r="C199" s="1312" t="s">
        <v>474</v>
      </c>
      <c r="D199" s="1325">
        <f>-'FCS Notes Sched Cap Assets'!$M$32</f>
        <v>0</v>
      </c>
      <c r="E199" s="1325">
        <f>-'CU Notes Sched'!$K$26</f>
        <v>0</v>
      </c>
      <c r="F199" s="1325">
        <f t="array" ref="F199">SUM(ROUND(D199:E199,0))</f>
        <v>0</v>
      </c>
      <c r="G199" s="1311" t="s">
        <v>455</v>
      </c>
      <c r="H199" s="1313"/>
      <c r="I199" s="1832"/>
      <c r="J199" s="1832"/>
      <c r="K199" s="1832"/>
    </row>
    <row r="200" spans="1:11">
      <c r="A200" s="1310" t="str">
        <f t="shared" si="1"/>
        <v>SAMPLE STATE COLLEGE</v>
      </c>
      <c r="B200" s="1311" t="s">
        <v>556</v>
      </c>
      <c r="C200" s="1312" t="s">
        <v>476</v>
      </c>
      <c r="D200" s="1325">
        <f>-'FCS Notes Sched Cap Assets'!$M$33</f>
        <v>0</v>
      </c>
      <c r="E200" s="1325">
        <v>0</v>
      </c>
      <c r="F200" s="1325">
        <f t="array" ref="F200">SUM(ROUND(D200:E200,0))</f>
        <v>0</v>
      </c>
      <c r="G200" s="1311" t="s">
        <v>455</v>
      </c>
      <c r="H200" s="1313"/>
      <c r="I200" s="1832"/>
      <c r="J200" s="1832"/>
      <c r="K200" s="1832"/>
    </row>
    <row r="201" spans="1:11">
      <c r="A201" s="1310" t="str">
        <f t="shared" si="1"/>
        <v>SAMPLE STATE COLLEGE</v>
      </c>
      <c r="B201" s="1311" t="s">
        <v>557</v>
      </c>
      <c r="C201" s="1312" t="s">
        <v>478</v>
      </c>
      <c r="D201" s="1325">
        <f>-'FCS Notes Sched Cap Assets'!$M$34</f>
        <v>0</v>
      </c>
      <c r="E201" s="1325">
        <f>-'CU Notes Sched'!$K$27</f>
        <v>0</v>
      </c>
      <c r="F201" s="1325">
        <f t="array" ref="F201">SUM(ROUND(D201:E201,0))</f>
        <v>0</v>
      </c>
      <c r="G201" s="1311" t="s">
        <v>455</v>
      </c>
      <c r="H201" s="1313"/>
      <c r="I201" s="1314"/>
      <c r="J201" s="1314"/>
      <c r="K201" s="1314"/>
    </row>
    <row r="202" spans="1:11">
      <c r="A202" s="1310" t="str">
        <f t="shared" si="1"/>
        <v>SAMPLE STATE COLLEGE</v>
      </c>
      <c r="B202" s="1311" t="s">
        <v>558</v>
      </c>
      <c r="C202" s="1312" t="s">
        <v>480</v>
      </c>
      <c r="D202" s="1325">
        <f>-'FCS Notes Sched Cap Assets'!$M$35</f>
        <v>0</v>
      </c>
      <c r="E202" s="1325">
        <v>0</v>
      </c>
      <c r="F202" s="1325">
        <f t="array" ref="F202">SUM(ROUND(D202:E202,0))</f>
        <v>0</v>
      </c>
      <c r="G202" s="1311" t="s">
        <v>455</v>
      </c>
      <c r="H202" s="1313"/>
      <c r="I202" s="1314"/>
      <c r="J202" s="1314"/>
      <c r="K202" s="1314"/>
    </row>
    <row r="203" spans="1:11">
      <c r="A203" s="1310" t="str">
        <f t="shared" si="1"/>
        <v>SAMPLE STATE COLLEGE</v>
      </c>
      <c r="B203" s="1311" t="s">
        <v>559</v>
      </c>
      <c r="C203" s="1312" t="s">
        <v>482</v>
      </c>
      <c r="D203" s="1325">
        <f>-'FCS Notes Sched Cap Assets'!$M$36</f>
        <v>0</v>
      </c>
      <c r="E203" s="1325">
        <v>0</v>
      </c>
      <c r="F203" s="1325">
        <f t="array" ref="F203">SUM(ROUND(D203:E203,0))</f>
        <v>0</v>
      </c>
      <c r="G203" s="1311" t="s">
        <v>455</v>
      </c>
      <c r="H203" s="1313"/>
      <c r="I203" s="1314"/>
      <c r="J203" s="1314"/>
      <c r="K203" s="1314"/>
    </row>
    <row r="204" spans="1:11">
      <c r="A204" s="1310" t="str">
        <f t="shared" si="1"/>
        <v>SAMPLE STATE COLLEGE</v>
      </c>
      <c r="B204" s="1311" t="s">
        <v>560</v>
      </c>
      <c r="C204" s="1312" t="s">
        <v>484</v>
      </c>
      <c r="D204" s="1325">
        <f>-'FCS Notes Sched Cap Assets'!$M$37</f>
        <v>0</v>
      </c>
      <c r="E204" s="1325">
        <f>-'CU Notes Sched'!$K$28</f>
        <v>0</v>
      </c>
      <c r="F204" s="1325">
        <f t="array" ref="F204">SUM(ROUND(D204:E204,0))</f>
        <v>0</v>
      </c>
      <c r="G204" s="1311" t="s">
        <v>455</v>
      </c>
      <c r="H204" s="1313"/>
      <c r="I204" s="1314"/>
      <c r="J204" s="1314"/>
      <c r="K204" s="1314"/>
    </row>
    <row r="205" spans="1:11">
      <c r="A205" s="1310" t="str">
        <f t="shared" si="1"/>
        <v>SAMPLE STATE COLLEGE</v>
      </c>
      <c r="B205" s="1311" t="s">
        <v>561</v>
      </c>
      <c r="C205" s="1312" t="s">
        <v>75</v>
      </c>
      <c r="D205" s="1325" t="e">
        <f>'FCS Notes Sched LTD'!$F$15</f>
        <v>#N/A</v>
      </c>
      <c r="E205" s="1325" t="e">
        <f>'CU Notes Sched'!$G$40</f>
        <v>#N/A</v>
      </c>
      <c r="F205" s="1325" t="e">
        <f t="array" ref="F205">SUM(ROUND(D205:E205,0))</f>
        <v>#N/A</v>
      </c>
      <c r="G205" s="1311" t="s">
        <v>562</v>
      </c>
      <c r="H205" s="1313"/>
      <c r="I205" s="1832"/>
      <c r="J205" s="1832"/>
      <c r="K205" s="1832"/>
    </row>
    <row r="206" spans="1:11">
      <c r="A206" s="1310" t="str">
        <f t="shared" si="1"/>
        <v>SAMPLE STATE COLLEGE</v>
      </c>
      <c r="B206" s="1311" t="s">
        <v>563</v>
      </c>
      <c r="C206" s="1312" t="s">
        <v>564</v>
      </c>
      <c r="D206" s="1325" t="e">
        <f>'FCS Notes Sched LTD'!$F$16</f>
        <v>#N/A</v>
      </c>
      <c r="E206" s="1325" t="e">
        <f>'CU Notes Sched'!$G$41</f>
        <v>#N/A</v>
      </c>
      <c r="F206" s="1325" t="e">
        <f t="array" ref="F206">SUM(ROUND(D206:E206,0))</f>
        <v>#N/A</v>
      </c>
      <c r="G206" s="1311" t="s">
        <v>562</v>
      </c>
      <c r="H206" s="1313"/>
      <c r="I206" s="1832"/>
      <c r="J206" s="1832"/>
      <c r="K206" s="1832"/>
    </row>
    <row r="207" spans="1:11">
      <c r="A207" s="1310" t="str">
        <f t="shared" si="1"/>
        <v>SAMPLE STATE COLLEGE</v>
      </c>
      <c r="B207" s="1311" t="s">
        <v>565</v>
      </c>
      <c r="C207" s="1312" t="s">
        <v>566</v>
      </c>
      <c r="D207" s="1325" t="e">
        <f>'FCS Notes Sched LTD'!$F$17</f>
        <v>#N/A</v>
      </c>
      <c r="E207" s="1325" t="e">
        <f>'CU Notes Sched'!$G$42</f>
        <v>#N/A</v>
      </c>
      <c r="F207" s="1325" t="e">
        <f t="array" ref="F207">SUM(ROUND(D207:E207,0))</f>
        <v>#N/A</v>
      </c>
      <c r="G207" s="1311" t="s">
        <v>562</v>
      </c>
      <c r="H207" s="1313"/>
      <c r="I207" s="1832"/>
      <c r="J207" s="1832"/>
      <c r="K207" s="1832"/>
    </row>
    <row r="208" spans="1:11">
      <c r="A208" s="1310" t="str">
        <f t="shared" si="1"/>
        <v>SAMPLE STATE COLLEGE</v>
      </c>
      <c r="B208" s="1311" t="s">
        <v>567</v>
      </c>
      <c r="C208" s="1312" t="s">
        <v>568</v>
      </c>
      <c r="D208" s="1325" t="e">
        <f>'FCS Notes Sched LTD'!$F$18</f>
        <v>#N/A</v>
      </c>
      <c r="E208" s="1325" t="e">
        <f>'CU Notes Sched'!$G$43</f>
        <v>#N/A</v>
      </c>
      <c r="F208" s="1325" t="e">
        <f t="array" ref="F208">SUM(ROUND(D208:E208,0))</f>
        <v>#N/A</v>
      </c>
      <c r="G208" s="1311" t="s">
        <v>562</v>
      </c>
      <c r="H208" s="1313"/>
      <c r="I208" s="1832"/>
      <c r="J208" s="1832"/>
      <c r="K208" s="1832"/>
    </row>
    <row r="209" spans="1:11">
      <c r="A209" s="1310" t="str">
        <f t="shared" si="1"/>
        <v>SAMPLE STATE COLLEGE</v>
      </c>
      <c r="B209" s="1311" t="s">
        <v>569</v>
      </c>
      <c r="C209" s="1312" t="s">
        <v>289</v>
      </c>
      <c r="D209" s="1325" t="e">
        <f>'FCS Notes Sched LTD'!$F$19</f>
        <v>#N/A</v>
      </c>
      <c r="E209" s="1325" t="e">
        <f>'CU Notes Sched'!$G$44</f>
        <v>#N/A</v>
      </c>
      <c r="F209" s="1325" t="e">
        <f t="array" ref="F209">SUM(ROUND(D209:E209,0))</f>
        <v>#N/A</v>
      </c>
      <c r="G209" s="1311" t="s">
        <v>562</v>
      </c>
      <c r="H209" s="1313"/>
      <c r="I209" s="1832"/>
      <c r="J209" s="1832"/>
      <c r="K209" s="1832"/>
    </row>
    <row r="210" spans="1:11">
      <c r="A210" s="1310" t="str">
        <f t="shared" si="1"/>
        <v>SAMPLE STATE COLLEGE</v>
      </c>
      <c r="B210" s="1311" t="s">
        <v>570</v>
      </c>
      <c r="C210" s="1312" t="s">
        <v>291</v>
      </c>
      <c r="D210" s="1325" t="e">
        <f>'FCS Notes Sched LTD'!$F$20</f>
        <v>#N/A</v>
      </c>
      <c r="E210" s="1325" t="e">
        <f>'CU Notes Sched'!$G$45</f>
        <v>#N/A</v>
      </c>
      <c r="F210" s="1325" t="e">
        <f t="array" ref="F210">SUM(ROUND(D210:E210,0))</f>
        <v>#N/A</v>
      </c>
      <c r="G210" s="1311" t="s">
        <v>562</v>
      </c>
      <c r="H210" s="1313"/>
      <c r="I210" s="1832"/>
      <c r="J210" s="1832"/>
      <c r="K210" s="1832"/>
    </row>
    <row r="211" spans="1:11">
      <c r="A211" s="1310" t="str">
        <f t="shared" si="1"/>
        <v>SAMPLE STATE COLLEGE</v>
      </c>
      <c r="B211" s="1311" t="s">
        <v>571</v>
      </c>
      <c r="C211" s="1312" t="s">
        <v>572</v>
      </c>
      <c r="D211" s="1325" t="e">
        <f>'FCS Notes Sched LTD'!$F$22</f>
        <v>#N/A</v>
      </c>
      <c r="E211" s="1325" t="e">
        <f>'CU Notes Sched'!$G$50</f>
        <v>#N/A</v>
      </c>
      <c r="F211" s="1325" t="e">
        <f t="array" ref="F211">SUM(ROUND(D211:E211,0))</f>
        <v>#N/A</v>
      </c>
      <c r="G211" s="1311" t="s">
        <v>562</v>
      </c>
      <c r="H211" s="1313"/>
      <c r="I211" s="1832"/>
      <c r="J211" s="1832"/>
      <c r="K211" s="1832"/>
    </row>
    <row r="212" spans="1:11">
      <c r="A212" s="1310" t="str">
        <f t="shared" si="1"/>
        <v>SAMPLE STATE COLLEGE</v>
      </c>
      <c r="B212" s="1311" t="s">
        <v>573</v>
      </c>
      <c r="C212" s="1312" t="s">
        <v>89</v>
      </c>
      <c r="D212" s="1325" t="e">
        <f>'FCS Notes Sched LTD'!$F$25</f>
        <v>#N/A</v>
      </c>
      <c r="E212" s="1325">
        <f>'CU Notes Sched'!$G$51</f>
        <v>0</v>
      </c>
      <c r="F212" s="1325" t="e">
        <f t="array" ref="F212">SUM(ROUND(D212:E212,0))</f>
        <v>#N/A</v>
      </c>
      <c r="G212" s="1311" t="s">
        <v>562</v>
      </c>
      <c r="H212" s="1313"/>
      <c r="I212" s="1838"/>
      <c r="J212" s="1838"/>
      <c r="K212" s="1838"/>
    </row>
    <row r="213" spans="1:11">
      <c r="A213" s="1310" t="str">
        <f t="shared" si="1"/>
        <v>SAMPLE STATE COLLEGE</v>
      </c>
      <c r="B213" s="1311" t="s">
        <v>574</v>
      </c>
      <c r="C213" s="1312" t="s">
        <v>75</v>
      </c>
      <c r="D213" s="1325">
        <f>'FCS Notes Sched LTD'!$H$15</f>
        <v>0</v>
      </c>
      <c r="E213" s="1325">
        <f>'CU Notes Sched'!$I$40</f>
        <v>0</v>
      </c>
      <c r="F213" s="1325">
        <f t="array" ref="F213">SUM(ROUND(D213:E213,0))</f>
        <v>0</v>
      </c>
      <c r="G213" s="1311" t="s">
        <v>562</v>
      </c>
      <c r="H213" s="1313"/>
      <c r="I213" s="1838"/>
      <c r="J213" s="1838"/>
      <c r="K213" s="1838"/>
    </row>
    <row r="214" spans="1:11">
      <c r="A214" s="1310" t="str">
        <f t="shared" si="1"/>
        <v>SAMPLE STATE COLLEGE</v>
      </c>
      <c r="B214" s="1311" t="s">
        <v>575</v>
      </c>
      <c r="C214" s="1312" t="s">
        <v>564</v>
      </c>
      <c r="D214" s="1325">
        <f>'FCS Notes Sched LTD'!$H$16</f>
        <v>0</v>
      </c>
      <c r="E214" s="1325">
        <f>'CU Notes Sched'!$I$41</f>
        <v>0</v>
      </c>
      <c r="F214" s="1325">
        <f t="array" ref="F214">SUM(ROUND(D214:E214,0))</f>
        <v>0</v>
      </c>
      <c r="G214" s="1311" t="s">
        <v>562</v>
      </c>
      <c r="H214" s="1313"/>
      <c r="I214" s="1838"/>
      <c r="J214" s="1838"/>
      <c r="K214" s="1838"/>
    </row>
    <row r="215" spans="1:11">
      <c r="A215" s="1310" t="str">
        <f t="shared" si="1"/>
        <v>SAMPLE STATE COLLEGE</v>
      </c>
      <c r="B215" s="1311" t="s">
        <v>576</v>
      </c>
      <c r="C215" s="1312" t="s">
        <v>566</v>
      </c>
      <c r="D215" s="1325">
        <f>'FCS Notes Sched LTD'!$H$17</f>
        <v>0</v>
      </c>
      <c r="E215" s="1325">
        <f>'CU Notes Sched'!$I$42</f>
        <v>0</v>
      </c>
      <c r="F215" s="1325">
        <f t="array" ref="F215">SUM(ROUND(D215:E215,0))</f>
        <v>0</v>
      </c>
      <c r="G215" s="1311" t="s">
        <v>562</v>
      </c>
      <c r="H215" s="1313"/>
      <c r="I215" s="1838"/>
      <c r="J215" s="1838"/>
      <c r="K215" s="1838"/>
    </row>
    <row r="216" spans="1:11">
      <c r="A216" s="1310" t="str">
        <f t="shared" si="1"/>
        <v>SAMPLE STATE COLLEGE</v>
      </c>
      <c r="B216" s="1311" t="s">
        <v>577</v>
      </c>
      <c r="C216" s="1312" t="s">
        <v>568</v>
      </c>
      <c r="D216" s="1325">
        <f>'FCS Notes Sched LTD'!$H$18</f>
        <v>0</v>
      </c>
      <c r="E216" s="1325">
        <f>'CU Notes Sched'!$I$43</f>
        <v>0</v>
      </c>
      <c r="F216" s="1325">
        <f t="array" ref="F216">SUM(ROUND(D216:E216,0))</f>
        <v>0</v>
      </c>
      <c r="G216" s="1311" t="s">
        <v>562</v>
      </c>
      <c r="H216" s="1313"/>
      <c r="I216" s="1838"/>
      <c r="J216" s="1838"/>
      <c r="K216" s="1838"/>
    </row>
    <row r="217" spans="1:11">
      <c r="A217" s="1310" t="str">
        <f t="shared" si="1"/>
        <v>SAMPLE STATE COLLEGE</v>
      </c>
      <c r="B217" s="1311" t="s">
        <v>578</v>
      </c>
      <c r="C217" s="1312" t="s">
        <v>289</v>
      </c>
      <c r="D217" s="1325">
        <f>'FCS Notes Sched LTD'!$H$19</f>
        <v>0</v>
      </c>
      <c r="E217" s="1325">
        <f>'CU Notes Sched'!$I$44</f>
        <v>0</v>
      </c>
      <c r="F217" s="1325">
        <f t="array" ref="F217">SUM(ROUND(D217:E217,0))</f>
        <v>0</v>
      </c>
      <c r="G217" s="1311" t="s">
        <v>562</v>
      </c>
      <c r="H217" s="1313"/>
      <c r="I217" s="1838"/>
      <c r="J217" s="1838"/>
      <c r="K217" s="1838"/>
    </row>
    <row r="218" spans="1:11">
      <c r="A218" s="1310" t="str">
        <f t="shared" si="1"/>
        <v>SAMPLE STATE COLLEGE</v>
      </c>
      <c r="B218" s="1311" t="s">
        <v>579</v>
      </c>
      <c r="C218" s="1312" t="s">
        <v>291</v>
      </c>
      <c r="D218" s="1325">
        <f>'FCS Notes Sched LTD'!$H$20</f>
        <v>0</v>
      </c>
      <c r="E218" s="1325">
        <f>'CU Notes Sched'!$I$45</f>
        <v>0</v>
      </c>
      <c r="F218" s="1325">
        <f t="array" ref="F218">SUM(ROUND(D218:E218,0))</f>
        <v>0</v>
      </c>
      <c r="G218" s="1311" t="s">
        <v>562</v>
      </c>
      <c r="H218" s="1313"/>
      <c r="I218" s="1838"/>
      <c r="J218" s="1838"/>
      <c r="K218" s="1838"/>
    </row>
    <row r="219" spans="1:11">
      <c r="A219" s="1310" t="str">
        <f t="shared" si="1"/>
        <v>SAMPLE STATE COLLEGE</v>
      </c>
      <c r="B219" s="1311" t="s">
        <v>580</v>
      </c>
      <c r="C219" s="1312" t="s">
        <v>572</v>
      </c>
      <c r="D219" s="1325">
        <f>'FCS Notes Sched LTD'!$H$22</f>
        <v>0</v>
      </c>
      <c r="E219" s="1325">
        <f>'CU Notes Sched'!$I$50</f>
        <v>0</v>
      </c>
      <c r="F219" s="1325">
        <f t="array" ref="F219">SUM(ROUND(D219:E219,0))</f>
        <v>0</v>
      </c>
      <c r="G219" s="1311" t="s">
        <v>562</v>
      </c>
      <c r="H219" s="1313"/>
      <c r="I219" s="1838"/>
      <c r="J219" s="1838"/>
      <c r="K219" s="1838"/>
    </row>
    <row r="220" spans="1:11">
      <c r="A220" s="1310" t="str">
        <f t="shared" si="1"/>
        <v>SAMPLE STATE COLLEGE</v>
      </c>
      <c r="B220" s="1311" t="s">
        <v>581</v>
      </c>
      <c r="C220" s="1312" t="s">
        <v>89</v>
      </c>
      <c r="D220" s="1325">
        <f>'FCS Notes Sched LTD'!$H$25</f>
        <v>0</v>
      </c>
      <c r="E220" s="1325">
        <f>'CU Notes Sched'!$I$51</f>
        <v>0</v>
      </c>
      <c r="F220" s="1325">
        <f t="array" ref="F220">SUM(ROUND(D220:E220,0))</f>
        <v>0</v>
      </c>
      <c r="G220" s="1311" t="s">
        <v>562</v>
      </c>
      <c r="H220" s="1313"/>
      <c r="I220" s="1838"/>
      <c r="J220" s="1838"/>
      <c r="K220" s="1838"/>
    </row>
    <row r="221" spans="1:11">
      <c r="A221" s="1310" t="str">
        <f t="shared" si="1"/>
        <v>SAMPLE STATE COLLEGE</v>
      </c>
      <c r="B221" s="1311" t="s">
        <v>582</v>
      </c>
      <c r="C221" s="1312" t="s">
        <v>75</v>
      </c>
      <c r="D221" s="1325">
        <f>'FCS Notes Sched LTD'!$J$15</f>
        <v>0</v>
      </c>
      <c r="E221" s="1325">
        <f>'CU Notes Sched'!$K$40</f>
        <v>0</v>
      </c>
      <c r="F221" s="1325">
        <f t="array" ref="F221">SUM(ROUND(D221:E221,0))</f>
        <v>0</v>
      </c>
      <c r="G221" s="1311" t="s">
        <v>562</v>
      </c>
      <c r="H221" s="1313"/>
      <c r="I221" s="1838"/>
      <c r="J221" s="1838"/>
      <c r="K221" s="1838"/>
    </row>
    <row r="222" spans="1:11">
      <c r="A222" s="1310" t="str">
        <f t="shared" si="1"/>
        <v>SAMPLE STATE COLLEGE</v>
      </c>
      <c r="B222" s="1311" t="s">
        <v>583</v>
      </c>
      <c r="C222" s="1312" t="s">
        <v>564</v>
      </c>
      <c r="D222" s="1325">
        <f>'FCS Notes Sched LTD'!$J$16</f>
        <v>0</v>
      </c>
      <c r="E222" s="1325">
        <f>'CU Notes Sched'!$K$41</f>
        <v>0</v>
      </c>
      <c r="F222" s="1325">
        <f t="array" ref="F222">SUM(ROUND(D222:E222,0))</f>
        <v>0</v>
      </c>
      <c r="G222" s="1311" t="s">
        <v>562</v>
      </c>
      <c r="H222" s="1313"/>
      <c r="I222" s="1838"/>
      <c r="J222" s="1838"/>
      <c r="K222" s="1838"/>
    </row>
    <row r="223" spans="1:11">
      <c r="A223" s="1310" t="str">
        <f t="shared" si="1"/>
        <v>SAMPLE STATE COLLEGE</v>
      </c>
      <c r="B223" s="1311" t="s">
        <v>584</v>
      </c>
      <c r="C223" s="1312" t="s">
        <v>566</v>
      </c>
      <c r="D223" s="1325">
        <f>'FCS Notes Sched LTD'!$J$17</f>
        <v>0</v>
      </c>
      <c r="E223" s="1325">
        <f>'CU Notes Sched'!$K$42</f>
        <v>0</v>
      </c>
      <c r="F223" s="1325">
        <f t="array" ref="F223">SUM(ROUND(D223:E223,0))</f>
        <v>0</v>
      </c>
      <c r="G223" s="1311" t="s">
        <v>562</v>
      </c>
      <c r="H223" s="1313"/>
      <c r="I223" s="1838"/>
      <c r="J223" s="1838"/>
      <c r="K223" s="1838"/>
    </row>
    <row r="224" spans="1:11">
      <c r="A224" s="1310" t="str">
        <f t="shared" si="1"/>
        <v>SAMPLE STATE COLLEGE</v>
      </c>
      <c r="B224" s="1311" t="s">
        <v>585</v>
      </c>
      <c r="C224" s="1312" t="s">
        <v>568</v>
      </c>
      <c r="D224" s="1325">
        <f>'FCS Notes Sched LTD'!$J$18</f>
        <v>0</v>
      </c>
      <c r="E224" s="1325">
        <f>'CU Notes Sched'!$K$43</f>
        <v>0</v>
      </c>
      <c r="F224" s="1325">
        <f t="array" ref="F224">SUM(ROUND(D224:E224,0))</f>
        <v>0</v>
      </c>
      <c r="G224" s="1311" t="s">
        <v>562</v>
      </c>
      <c r="H224" s="1313"/>
      <c r="I224" s="1838"/>
      <c r="J224" s="1838"/>
      <c r="K224" s="1838"/>
    </row>
    <row r="225" spans="1:11">
      <c r="A225" s="1310" t="str">
        <f t="shared" si="1"/>
        <v>SAMPLE STATE COLLEGE</v>
      </c>
      <c r="B225" s="1311" t="s">
        <v>586</v>
      </c>
      <c r="C225" s="1312" t="s">
        <v>289</v>
      </c>
      <c r="D225" s="1325">
        <f>'FCS Notes Sched LTD'!$J$19</f>
        <v>0</v>
      </c>
      <c r="E225" s="1325">
        <f>'CU Notes Sched'!$K$44</f>
        <v>0</v>
      </c>
      <c r="F225" s="1325">
        <f t="array" ref="F225">SUM(ROUND(D225:E225,0))</f>
        <v>0</v>
      </c>
      <c r="G225" s="1311" t="s">
        <v>562</v>
      </c>
      <c r="H225" s="1313"/>
      <c r="I225" s="1838"/>
      <c r="J225" s="1838"/>
      <c r="K225" s="1838"/>
    </row>
    <row r="226" spans="1:11">
      <c r="A226" s="1310" t="str">
        <f t="shared" si="1"/>
        <v>SAMPLE STATE COLLEGE</v>
      </c>
      <c r="B226" s="1311" t="s">
        <v>587</v>
      </c>
      <c r="C226" s="1312" t="s">
        <v>291</v>
      </c>
      <c r="D226" s="1325">
        <f>'FCS Notes Sched LTD'!$J$20</f>
        <v>0</v>
      </c>
      <c r="E226" s="1325">
        <f>'CU Notes Sched'!$K$45</f>
        <v>0</v>
      </c>
      <c r="F226" s="1325">
        <f t="array" ref="F226">SUM(ROUND(D226:E226,0))</f>
        <v>0</v>
      </c>
      <c r="G226" s="1311" t="s">
        <v>562</v>
      </c>
      <c r="H226" s="1313"/>
      <c r="I226" s="1838"/>
      <c r="J226" s="1838"/>
      <c r="K226" s="1838"/>
    </row>
    <row r="227" spans="1:11">
      <c r="A227" s="1310" t="str">
        <f t="shared" si="1"/>
        <v>SAMPLE STATE COLLEGE</v>
      </c>
      <c r="B227" s="1311" t="s">
        <v>588</v>
      </c>
      <c r="C227" s="1312" t="s">
        <v>572</v>
      </c>
      <c r="D227" s="1325">
        <f>'FCS Notes Sched LTD'!$J$22</f>
        <v>0</v>
      </c>
      <c r="E227" s="1325">
        <f>'CU Notes Sched'!$K$50</f>
        <v>0</v>
      </c>
      <c r="F227" s="1325">
        <f t="array" ref="F227">SUM(ROUND(D227:E227,0))</f>
        <v>0</v>
      </c>
      <c r="G227" s="1311" t="s">
        <v>562</v>
      </c>
      <c r="H227" s="1313"/>
      <c r="I227" s="1838"/>
      <c r="J227" s="1838"/>
      <c r="K227" s="1838"/>
    </row>
    <row r="228" spans="1:11">
      <c r="A228" s="1310" t="str">
        <f t="shared" si="1"/>
        <v>SAMPLE STATE COLLEGE</v>
      </c>
      <c r="B228" s="1311" t="s">
        <v>589</v>
      </c>
      <c r="C228" s="1312" t="s">
        <v>89</v>
      </c>
      <c r="D228" s="1325">
        <f>'FCS Notes Sched LTD'!$J$25</f>
        <v>0</v>
      </c>
      <c r="E228" s="1325">
        <f>'CU Notes Sched'!$K$51</f>
        <v>0</v>
      </c>
      <c r="F228" s="1325">
        <f t="array" ref="F228">SUM(ROUND(D228:E228,0))</f>
        <v>0</v>
      </c>
      <c r="G228" s="1311" t="s">
        <v>562</v>
      </c>
      <c r="H228" s="1313"/>
      <c r="I228" s="1838"/>
      <c r="J228" s="1838"/>
      <c r="K228" s="1838"/>
    </row>
    <row r="229" spans="1:11">
      <c r="A229" s="1310" t="str">
        <f t="shared" si="1"/>
        <v>SAMPLE STATE COLLEGE</v>
      </c>
      <c r="B229" s="1311" t="s">
        <v>590</v>
      </c>
      <c r="C229" s="1312" t="s">
        <v>75</v>
      </c>
      <c r="D229" s="1325" t="e">
        <f>'FCS Notes Sched LTD'!$L$15</f>
        <v>#N/A</v>
      </c>
      <c r="E229" s="1325" t="e">
        <f>'CU Notes Sched'!$M$40</f>
        <v>#N/A</v>
      </c>
      <c r="F229" s="1325" t="e">
        <f t="array" ref="F229">SUM(ROUND(D229:E229,0))</f>
        <v>#N/A</v>
      </c>
      <c r="G229" s="1311" t="s">
        <v>562</v>
      </c>
      <c r="H229" s="1313"/>
      <c r="I229" s="1838"/>
      <c r="J229" s="1838"/>
      <c r="K229" s="1838"/>
    </row>
    <row r="230" spans="1:11">
      <c r="A230" s="1310" t="str">
        <f t="shared" si="1"/>
        <v>SAMPLE STATE COLLEGE</v>
      </c>
      <c r="B230" s="1311" t="s">
        <v>591</v>
      </c>
      <c r="C230" s="1312" t="s">
        <v>564</v>
      </c>
      <c r="D230" s="1325" t="e">
        <f>'FCS Notes Sched LTD'!$L$16</f>
        <v>#N/A</v>
      </c>
      <c r="E230" s="1325" t="e">
        <f>'CU Notes Sched'!$M$41</f>
        <v>#N/A</v>
      </c>
      <c r="F230" s="1325" t="e">
        <f t="array" ref="F230">SUM(ROUND(D230:E230,0))</f>
        <v>#N/A</v>
      </c>
      <c r="G230" s="1311" t="s">
        <v>562</v>
      </c>
      <c r="H230" s="1313"/>
      <c r="I230" s="1838"/>
      <c r="J230" s="1838"/>
      <c r="K230" s="1838"/>
    </row>
    <row r="231" spans="1:11">
      <c r="A231" s="1310" t="str">
        <f t="shared" si="1"/>
        <v>SAMPLE STATE COLLEGE</v>
      </c>
      <c r="B231" s="1311" t="s">
        <v>592</v>
      </c>
      <c r="C231" s="1312" t="s">
        <v>566</v>
      </c>
      <c r="D231" s="1325" t="e">
        <f>'FCS Notes Sched LTD'!$L$17</f>
        <v>#N/A</v>
      </c>
      <c r="E231" s="1325" t="e">
        <f>'CU Notes Sched'!$M$42</f>
        <v>#N/A</v>
      </c>
      <c r="F231" s="1325" t="e">
        <f t="array" ref="F231">SUM(ROUND(D231:E231,0))</f>
        <v>#N/A</v>
      </c>
      <c r="G231" s="1311" t="s">
        <v>562</v>
      </c>
      <c r="H231" s="1313"/>
      <c r="I231" s="1838"/>
      <c r="J231" s="1838"/>
      <c r="K231" s="1838"/>
    </row>
    <row r="232" spans="1:11">
      <c r="A232" s="1310" t="str">
        <f t="shared" si="1"/>
        <v>SAMPLE STATE COLLEGE</v>
      </c>
      <c r="B232" s="1311" t="s">
        <v>593</v>
      </c>
      <c r="C232" s="1312" t="s">
        <v>568</v>
      </c>
      <c r="D232" s="1325" t="e">
        <f>'FCS Notes Sched LTD'!$L$18</f>
        <v>#N/A</v>
      </c>
      <c r="E232" s="1325" t="e">
        <f>'CU Notes Sched'!$M$43</f>
        <v>#N/A</v>
      </c>
      <c r="F232" s="1325" t="e">
        <f t="array" ref="F232">SUM(ROUND(D232:E232,0))</f>
        <v>#N/A</v>
      </c>
      <c r="G232" s="1311" t="s">
        <v>562</v>
      </c>
      <c r="H232" s="1313"/>
      <c r="I232" s="1838"/>
      <c r="J232" s="1838"/>
      <c r="K232" s="1838"/>
    </row>
    <row r="233" spans="1:11">
      <c r="A233" s="1310" t="str">
        <f t="shared" si="1"/>
        <v>SAMPLE STATE COLLEGE</v>
      </c>
      <c r="B233" s="1311" t="s">
        <v>594</v>
      </c>
      <c r="C233" s="1312" t="s">
        <v>289</v>
      </c>
      <c r="D233" s="1325" t="e">
        <f>'FCS Notes Sched LTD'!$L$19</f>
        <v>#N/A</v>
      </c>
      <c r="E233" s="1325" t="e">
        <f>'CU Notes Sched'!$M$44</f>
        <v>#N/A</v>
      </c>
      <c r="F233" s="1325" t="e">
        <f t="array" ref="F233">SUM(ROUND(D233:E233,0))</f>
        <v>#N/A</v>
      </c>
      <c r="G233" s="1311" t="s">
        <v>562</v>
      </c>
      <c r="H233" s="1313"/>
      <c r="I233" s="1838"/>
      <c r="J233" s="1838"/>
      <c r="K233" s="1838"/>
    </row>
    <row r="234" spans="1:11">
      <c r="A234" s="1310" t="str">
        <f t="shared" si="1"/>
        <v>SAMPLE STATE COLLEGE</v>
      </c>
      <c r="B234" s="1311" t="s">
        <v>595</v>
      </c>
      <c r="C234" s="1312" t="s">
        <v>291</v>
      </c>
      <c r="D234" s="1325" t="e">
        <f>'FCS Notes Sched LTD'!$L$20</f>
        <v>#N/A</v>
      </c>
      <c r="E234" s="1325" t="e">
        <f>'CU Notes Sched'!$M$45</f>
        <v>#N/A</v>
      </c>
      <c r="F234" s="1325" t="e">
        <f t="array" ref="F234">SUM(ROUND(D234:E234,0))</f>
        <v>#N/A</v>
      </c>
      <c r="G234" s="1311" t="s">
        <v>562</v>
      </c>
      <c r="H234" s="1313"/>
      <c r="I234" s="1838"/>
      <c r="J234" s="1838"/>
      <c r="K234" s="1838"/>
    </row>
    <row r="235" spans="1:11">
      <c r="A235" s="1310" t="str">
        <f t="shared" si="1"/>
        <v>SAMPLE STATE COLLEGE</v>
      </c>
      <c r="B235" s="1311" t="s">
        <v>596</v>
      </c>
      <c r="C235" s="1312" t="s">
        <v>572</v>
      </c>
      <c r="D235" s="1325" t="e">
        <f>'FCS Notes Sched LTD'!$L$22</f>
        <v>#N/A</v>
      </c>
      <c r="E235" s="1325" t="e">
        <f>'CU Notes Sched'!$M$50</f>
        <v>#N/A</v>
      </c>
      <c r="F235" s="1325" t="e">
        <f t="array" ref="F235">SUM(ROUND(D235:E235,0))</f>
        <v>#N/A</v>
      </c>
      <c r="G235" s="1311" t="s">
        <v>562</v>
      </c>
      <c r="H235" s="1313"/>
      <c r="I235" s="1838"/>
      <c r="J235" s="1838"/>
      <c r="K235" s="1838"/>
    </row>
    <row r="236" spans="1:11">
      <c r="A236" s="1310" t="str">
        <f t="shared" si="1"/>
        <v>SAMPLE STATE COLLEGE</v>
      </c>
      <c r="B236" s="1311" t="s">
        <v>597</v>
      </c>
      <c r="C236" s="1312" t="s">
        <v>89</v>
      </c>
      <c r="D236" s="1325" t="e">
        <f>'FCS Notes Sched LTD'!$L$25</f>
        <v>#N/A</v>
      </c>
      <c r="E236" s="1325">
        <f>'CU Notes Sched'!$M$51</f>
        <v>0</v>
      </c>
      <c r="F236" s="1325" t="e">
        <f t="array" ref="F236">SUM(ROUND(D236:E236,0))</f>
        <v>#N/A</v>
      </c>
      <c r="G236" s="1311" t="s">
        <v>562</v>
      </c>
      <c r="H236" s="1313"/>
      <c r="I236" s="1838"/>
      <c r="J236" s="1838"/>
      <c r="K236" s="1838"/>
    </row>
    <row r="237" spans="1:11">
      <c r="A237" s="1310" t="str">
        <f t="shared" si="1"/>
        <v>SAMPLE STATE COLLEGE</v>
      </c>
      <c r="B237" s="1311" t="s">
        <v>598</v>
      </c>
      <c r="C237" s="1312" t="s">
        <v>75</v>
      </c>
      <c r="D237" s="1325">
        <f>'FCS Notes Sched LTD'!$N$15</f>
        <v>0</v>
      </c>
      <c r="E237" s="1325">
        <f>'CU Notes Sched'!$O$40</f>
        <v>0</v>
      </c>
      <c r="F237" s="1325">
        <f t="array" ref="F237">SUM(ROUND(D237:E237,0))</f>
        <v>0</v>
      </c>
      <c r="G237" s="1311" t="s">
        <v>562</v>
      </c>
      <c r="H237" s="1313"/>
      <c r="I237" s="1838"/>
      <c r="J237" s="1838"/>
      <c r="K237" s="1838"/>
    </row>
    <row r="238" spans="1:11">
      <c r="A238" s="1310" t="str">
        <f t="shared" si="1"/>
        <v>SAMPLE STATE COLLEGE</v>
      </c>
      <c r="B238" s="1311" t="s">
        <v>599</v>
      </c>
      <c r="C238" s="1312" t="s">
        <v>564</v>
      </c>
      <c r="D238" s="1325">
        <f>'FCS Notes Sched LTD'!$N$16</f>
        <v>0</v>
      </c>
      <c r="E238" s="1325">
        <f>'CU Notes Sched'!$O$41</f>
        <v>0</v>
      </c>
      <c r="F238" s="1325">
        <f t="array" ref="F238">SUM(ROUND(D238:E238,0))</f>
        <v>0</v>
      </c>
      <c r="G238" s="1311" t="s">
        <v>562</v>
      </c>
      <c r="H238" s="1313"/>
      <c r="I238" s="1838"/>
      <c r="J238" s="1838"/>
      <c r="K238" s="1838"/>
    </row>
    <row r="239" spans="1:11">
      <c r="A239" s="1310" t="str">
        <f t="shared" si="1"/>
        <v>SAMPLE STATE COLLEGE</v>
      </c>
      <c r="B239" s="1311" t="s">
        <v>600</v>
      </c>
      <c r="C239" s="1312" t="s">
        <v>566</v>
      </c>
      <c r="D239" s="1325">
        <f>'FCS Notes Sched LTD'!$N$17</f>
        <v>0</v>
      </c>
      <c r="E239" s="1325">
        <f>'CU Notes Sched'!$O$42</f>
        <v>0</v>
      </c>
      <c r="F239" s="1325">
        <f t="array" ref="F239">SUM(ROUND(D239:E239,0))</f>
        <v>0</v>
      </c>
      <c r="G239" s="1311" t="s">
        <v>562</v>
      </c>
      <c r="H239" s="1313"/>
      <c r="I239" s="1838"/>
      <c r="J239" s="1838"/>
      <c r="K239" s="1838"/>
    </row>
    <row r="240" spans="1:11">
      <c r="A240" s="1310" t="str">
        <f t="shared" si="1"/>
        <v>SAMPLE STATE COLLEGE</v>
      </c>
      <c r="B240" s="1311" t="s">
        <v>601</v>
      </c>
      <c r="C240" s="1312" t="s">
        <v>568</v>
      </c>
      <c r="D240" s="1325">
        <f>'FCS Notes Sched LTD'!$N$18</f>
        <v>0</v>
      </c>
      <c r="E240" s="1325">
        <f>'CU Notes Sched'!$O$43</f>
        <v>0</v>
      </c>
      <c r="F240" s="1325">
        <f t="array" ref="F240">SUM(ROUND(D240:E240,0))</f>
        <v>0</v>
      </c>
      <c r="G240" s="1311" t="s">
        <v>562</v>
      </c>
      <c r="H240" s="1313"/>
      <c r="I240" s="1838"/>
      <c r="J240" s="1838"/>
      <c r="K240" s="1838"/>
    </row>
    <row r="241" spans="1:11">
      <c r="A241" s="1310" t="str">
        <f t="shared" si="1"/>
        <v>SAMPLE STATE COLLEGE</v>
      </c>
      <c r="B241" s="1311" t="s">
        <v>602</v>
      </c>
      <c r="C241" s="1312" t="s">
        <v>289</v>
      </c>
      <c r="D241" s="1325">
        <f>'FCS Notes Sched LTD'!$N$19</f>
        <v>0</v>
      </c>
      <c r="E241" s="1325">
        <f>'CU Notes Sched'!$O$44</f>
        <v>0</v>
      </c>
      <c r="F241" s="1325">
        <f t="array" ref="F241">SUM(ROUND(D241:E241,0))</f>
        <v>0</v>
      </c>
      <c r="G241" s="1311" t="s">
        <v>562</v>
      </c>
      <c r="H241" s="1313"/>
      <c r="I241" s="1838"/>
      <c r="J241" s="1838"/>
      <c r="K241" s="1838"/>
    </row>
    <row r="242" spans="1:11">
      <c r="A242" s="1310" t="str">
        <f t="shared" si="1"/>
        <v>SAMPLE STATE COLLEGE</v>
      </c>
      <c r="B242" s="1311" t="s">
        <v>603</v>
      </c>
      <c r="C242" s="1312" t="s">
        <v>291</v>
      </c>
      <c r="D242" s="1325">
        <f>'FCS Notes Sched LTD'!$N$20</f>
        <v>0</v>
      </c>
      <c r="E242" s="1325">
        <f>'CU Notes Sched'!$O$45</f>
        <v>0</v>
      </c>
      <c r="F242" s="1325">
        <f t="array" ref="F242">SUM(ROUND(D242:E242,0))</f>
        <v>0</v>
      </c>
      <c r="G242" s="1311" t="s">
        <v>562</v>
      </c>
      <c r="H242" s="1313"/>
      <c r="I242" s="1838"/>
      <c r="J242" s="1838"/>
      <c r="K242" s="1838"/>
    </row>
    <row r="243" spans="1:11">
      <c r="A243" s="1310" t="str">
        <f t="shared" si="1"/>
        <v>SAMPLE STATE COLLEGE</v>
      </c>
      <c r="B243" s="1311" t="s">
        <v>604</v>
      </c>
      <c r="C243" s="1312" t="s">
        <v>572</v>
      </c>
      <c r="D243" s="1325">
        <f>'FCS Notes Sched LTD'!$N$22</f>
        <v>0</v>
      </c>
      <c r="E243" s="1325">
        <f>'CU Notes Sched'!$O$50</f>
        <v>0</v>
      </c>
      <c r="F243" s="1325">
        <f t="array" ref="F243">SUM(ROUND(D243:E243,0))</f>
        <v>0</v>
      </c>
      <c r="G243" s="1311" t="s">
        <v>562</v>
      </c>
      <c r="H243" s="1313"/>
      <c r="I243" s="1838"/>
      <c r="J243" s="1838"/>
      <c r="K243" s="1838"/>
    </row>
    <row r="244" spans="1:11">
      <c r="A244" s="1310" t="str">
        <f t="shared" si="1"/>
        <v>SAMPLE STATE COLLEGE</v>
      </c>
      <c r="B244" s="1311" t="s">
        <v>605</v>
      </c>
      <c r="C244" s="1312" t="s">
        <v>89</v>
      </c>
      <c r="D244" s="1325">
        <f>'FCS Notes Sched LTD'!$N$25</f>
        <v>0</v>
      </c>
      <c r="E244" s="1325">
        <f>'CU Notes Sched'!$O$51</f>
        <v>0</v>
      </c>
      <c r="F244" s="1325">
        <f t="array" ref="F244">SUM(ROUND(D244:E244,0))</f>
        <v>0</v>
      </c>
      <c r="G244" s="1311" t="s">
        <v>562</v>
      </c>
      <c r="H244" s="1313"/>
      <c r="I244" s="1838"/>
      <c r="J244" s="1838"/>
      <c r="K244" s="1838"/>
    </row>
    <row r="245" spans="1:11">
      <c r="A245" s="1327" t="str">
        <f t="shared" si="1"/>
        <v>SAMPLE STATE COLLEGE</v>
      </c>
      <c r="B245" s="1328" t="s">
        <v>606</v>
      </c>
      <c r="C245" s="1327" t="s">
        <v>607</v>
      </c>
      <c r="D245" s="1330">
        <f>ROUND('FCS Notes Sched Inv &amp; Cash'!G11,0)-J249</f>
        <v>0</v>
      </c>
      <c r="E245" s="1330">
        <f>ROUND('CU Notes Sched'!K107,0)</f>
        <v>0</v>
      </c>
      <c r="F245" s="1330">
        <f t="array" ref="F245">SUM(ROUND(D245:E245,0))</f>
        <v>0</v>
      </c>
      <c r="G245" s="1328" t="s">
        <v>184</v>
      </c>
      <c r="H245" s="1331"/>
      <c r="I245" s="1838"/>
      <c r="J245" s="1838"/>
      <c r="K245" s="1838"/>
    </row>
    <row r="246" spans="1:11">
      <c r="A246" s="1327" t="str">
        <f t="shared" si="1"/>
        <v>SAMPLE STATE COLLEGE</v>
      </c>
      <c r="B246" s="1328" t="s">
        <v>608</v>
      </c>
      <c r="C246" s="1327" t="s">
        <v>609</v>
      </c>
      <c r="D246" s="1330">
        <f>ROUND('FCS Notes Sched Inv &amp; Cash'!G13,0)</f>
        <v>0</v>
      </c>
      <c r="E246" s="1330">
        <f>ROUND('CU Notes Sched'!K109,0)</f>
        <v>0</v>
      </c>
      <c r="F246" s="1330">
        <f t="array" ref="F246">SUM(ROUND(D246:E246,0))</f>
        <v>0</v>
      </c>
      <c r="G246" s="1328" t="s">
        <v>184</v>
      </c>
      <c r="H246" s="1331"/>
      <c r="I246" s="1838"/>
      <c r="J246" s="1838"/>
      <c r="K246" s="1838"/>
    </row>
    <row r="247" spans="1:11">
      <c r="A247" s="1327" t="str">
        <f t="shared" si="1"/>
        <v>SAMPLE STATE COLLEGE</v>
      </c>
      <c r="B247" s="1328" t="s">
        <v>610</v>
      </c>
      <c r="C247" s="1327" t="s">
        <v>611</v>
      </c>
      <c r="D247" s="1330">
        <f>ROUND('FCS Notes Sched Inv &amp; Cash'!G15,0)</f>
        <v>0</v>
      </c>
      <c r="E247" s="1330">
        <f>ROUND('CU Notes Sched'!K111,0)</f>
        <v>0</v>
      </c>
      <c r="F247" s="1330">
        <f t="array" ref="F247">SUM(ROUND(D247:E247,0))</f>
        <v>0</v>
      </c>
      <c r="G247" s="1328" t="s">
        <v>184</v>
      </c>
      <c r="H247" s="1331"/>
      <c r="I247" s="1832" t="s">
        <v>612</v>
      </c>
      <c r="J247" s="1832">
        <f>'FCS Notes Sched Inv &amp; Cash'!G29</f>
        <v>0</v>
      </c>
      <c r="K247" s="1838"/>
    </row>
    <row r="248" spans="1:11">
      <c r="A248" s="1327" t="str">
        <f t="shared" si="1"/>
        <v>SAMPLE STATE COLLEGE</v>
      </c>
      <c r="B248" s="1328" t="s">
        <v>613</v>
      </c>
      <c r="C248" s="1327" t="s">
        <v>614</v>
      </c>
      <c r="D248" s="1330">
        <f>ROUND('FCS Notes Sched Inv &amp; Cash'!G16,0)</f>
        <v>0</v>
      </c>
      <c r="E248" s="1330">
        <f>ROUND('CU Notes Sched'!K112,0)</f>
        <v>0</v>
      </c>
      <c r="F248" s="1330">
        <f t="array" ref="F248">SUM(ROUND(D248:E248,0))</f>
        <v>0</v>
      </c>
      <c r="G248" s="1328" t="s">
        <v>184</v>
      </c>
      <c r="H248" s="1331"/>
      <c r="I248" s="1832" t="s">
        <v>615</v>
      </c>
      <c r="J248" s="1832">
        <f>'FCS Notes Sched Inv &amp; Cash'!H81</f>
        <v>0</v>
      </c>
      <c r="K248" s="1838"/>
    </row>
    <row r="249" spans="1:11">
      <c r="A249" s="1327" t="str">
        <f t="shared" si="1"/>
        <v>SAMPLE STATE COLLEGE</v>
      </c>
      <c r="B249" s="1328" t="s">
        <v>616</v>
      </c>
      <c r="C249" s="1327" t="s">
        <v>617</v>
      </c>
      <c r="D249" s="1330">
        <f>D258+D259</f>
        <v>0</v>
      </c>
      <c r="E249" s="1330">
        <f>ROUND('CU Notes Sched'!K113,0)+ROUND('CU Notes Sched'!K114,0)</f>
        <v>0</v>
      </c>
      <c r="F249" s="1330">
        <f t="array" ref="F249">SUM(ROUND(D249:E249,0))</f>
        <v>0</v>
      </c>
      <c r="G249" s="1328" t="s">
        <v>184</v>
      </c>
      <c r="H249" s="1331"/>
      <c r="I249" s="1832"/>
      <c r="J249" s="1832">
        <f>J247-J248</f>
        <v>0</v>
      </c>
      <c r="K249" s="1838"/>
    </row>
    <row r="250" spans="1:11">
      <c r="A250" s="1327" t="str">
        <f t="shared" si="1"/>
        <v>SAMPLE STATE COLLEGE</v>
      </c>
      <c r="B250" s="1328" t="s">
        <v>618</v>
      </c>
      <c r="C250" s="1327" t="s">
        <v>619</v>
      </c>
      <c r="D250" s="1330">
        <f>D260+D261</f>
        <v>0</v>
      </c>
      <c r="E250" s="1330">
        <f>ROUND('CU Notes Sched'!K115,0)+ROUND('CU Notes Sched'!K116,0)</f>
        <v>0</v>
      </c>
      <c r="F250" s="1330">
        <f t="array" ref="F250">SUM(ROUND(D250:E250,0))</f>
        <v>0</v>
      </c>
      <c r="G250" s="1328" t="s">
        <v>184</v>
      </c>
      <c r="H250" s="1331"/>
      <c r="I250" s="1832"/>
      <c r="J250" s="1832"/>
      <c r="K250" s="1838"/>
    </row>
    <row r="251" spans="1:11">
      <c r="A251" s="1327" t="str">
        <f t="shared" si="1"/>
        <v>SAMPLE STATE COLLEGE</v>
      </c>
      <c r="B251" s="1328" t="s">
        <v>620</v>
      </c>
      <c r="C251" s="1327" t="s">
        <v>621</v>
      </c>
      <c r="D251" s="1330">
        <f>ROUND('FCS Notes Sched Inv &amp; Cash'!G21,0)</f>
        <v>0</v>
      </c>
      <c r="E251" s="1330">
        <f>ROUND('CU Notes Sched'!K104,0)+ROUND('CU Notes Sched'!K137,0)</f>
        <v>0</v>
      </c>
      <c r="F251" s="1330">
        <f t="array" ref="F251">SUM(ROUND(D251:E251,0))</f>
        <v>0</v>
      </c>
      <c r="G251" s="1328" t="s">
        <v>184</v>
      </c>
      <c r="H251" s="1331"/>
      <c r="I251" s="1838"/>
      <c r="J251" s="1838"/>
      <c r="K251" s="1838"/>
    </row>
    <row r="252" spans="1:11">
      <c r="A252" s="1327" t="str">
        <f t="shared" si="1"/>
        <v>SAMPLE STATE COLLEGE</v>
      </c>
      <c r="B252" s="1328" t="s">
        <v>622</v>
      </c>
      <c r="C252" s="1327" t="s">
        <v>623</v>
      </c>
      <c r="D252" s="1330">
        <f>ROUND('FCS Notes Sched Inv &amp; Cash'!G22,0)</f>
        <v>0</v>
      </c>
      <c r="E252" s="1330">
        <f>ROUND('CU Notes Sched'!K105,0)+ROUND('CU Notes Sched'!K138,0)</f>
        <v>0</v>
      </c>
      <c r="F252" s="1330">
        <f t="array" ref="F252">SUM(ROUND(D252:E252,0))</f>
        <v>0</v>
      </c>
      <c r="G252" s="1328" t="s">
        <v>184</v>
      </c>
      <c r="H252" s="1331"/>
      <c r="I252" s="1838"/>
      <c r="J252" s="1838"/>
      <c r="K252" s="1838"/>
    </row>
    <row r="253" spans="1:11">
      <c r="A253" s="1327" t="str">
        <f t="shared" si="1"/>
        <v>SAMPLE STATE COLLEGE</v>
      </c>
      <c r="B253" s="1328" t="s">
        <v>624</v>
      </c>
      <c r="C253" s="1327" t="s">
        <v>625</v>
      </c>
      <c r="D253" s="1330">
        <f>ROUND('FCS Notes Sched Inv &amp; Cash'!G23,0)</f>
        <v>0</v>
      </c>
      <c r="E253" s="1330">
        <f>ROUND('CU Notes Sched'!K117,0)</f>
        <v>0</v>
      </c>
      <c r="F253" s="1330">
        <f t="array" ref="F253">SUM(ROUND(D253:E253,0))</f>
        <v>0</v>
      </c>
      <c r="G253" s="1328" t="s">
        <v>184</v>
      </c>
      <c r="H253" s="1331"/>
      <c r="I253" s="1838"/>
      <c r="J253" s="1838"/>
      <c r="K253" s="1838"/>
    </row>
    <row r="254" spans="1:11">
      <c r="A254" s="1327" t="str">
        <f t="shared" si="1"/>
        <v>SAMPLE STATE COLLEGE</v>
      </c>
      <c r="B254" s="1328" t="s">
        <v>626</v>
      </c>
      <c r="C254" s="1327" t="s">
        <v>627</v>
      </c>
      <c r="D254" s="1330">
        <f>ROUND('FCS Notes Sched Inv &amp; Cash'!G24,0)</f>
        <v>0</v>
      </c>
      <c r="E254" s="1330">
        <f>ROUND('CU Notes Sched'!K118,0)+ROUND('CU Notes Sched'!K136,0)</f>
        <v>0</v>
      </c>
      <c r="F254" s="1330">
        <f t="array" ref="F254">SUM(ROUND(D254:E254,0))</f>
        <v>0</v>
      </c>
      <c r="G254" s="1328" t="s">
        <v>184</v>
      </c>
      <c r="H254" s="1331"/>
      <c r="I254" s="1838"/>
      <c r="J254" s="1838"/>
      <c r="K254" s="1838"/>
    </row>
    <row r="255" spans="1:11">
      <c r="A255" s="1327" t="str">
        <f t="shared" si="1"/>
        <v>SAMPLE STATE COLLEGE</v>
      </c>
      <c r="B255" s="1328" t="s">
        <v>628</v>
      </c>
      <c r="C255" s="1327" t="s">
        <v>629</v>
      </c>
      <c r="D255" s="1330">
        <f>ROUND('FCS Notes Sched Inv &amp; Cash'!G25,0)</f>
        <v>0</v>
      </c>
      <c r="E255" s="1330">
        <f>ROUND('CU Notes Sched'!K119,0)</f>
        <v>0</v>
      </c>
      <c r="F255" s="1330">
        <f t="array" ref="F255">SUM(ROUND(D255:E255,0))</f>
        <v>0</v>
      </c>
      <c r="G255" s="1328" t="s">
        <v>184</v>
      </c>
      <c r="H255" s="1331"/>
      <c r="I255" s="1838"/>
      <c r="J255" s="1838"/>
      <c r="K255" s="1838"/>
    </row>
    <row r="256" spans="1:11">
      <c r="A256" s="1327" t="str">
        <f t="shared" si="1"/>
        <v>SAMPLE STATE COLLEGE</v>
      </c>
      <c r="B256" s="1328" t="s">
        <v>630</v>
      </c>
      <c r="C256" s="1327" t="s">
        <v>631</v>
      </c>
      <c r="D256" s="1330">
        <f>ROUND('FCS Notes Sched Inv &amp; Cash'!G26,0)</f>
        <v>0</v>
      </c>
      <c r="E256" s="1330">
        <f>ROUND('CU Notes Sched'!K120,0)</f>
        <v>0</v>
      </c>
      <c r="F256" s="1330">
        <f t="array" ref="F256">SUM(ROUND(D256:E256,0))</f>
        <v>0</v>
      </c>
      <c r="G256" s="1328" t="s">
        <v>184</v>
      </c>
      <c r="H256" s="1331"/>
      <c r="I256" s="1838"/>
      <c r="J256" s="1838"/>
      <c r="K256" s="1838"/>
    </row>
    <row r="257" spans="1:11">
      <c r="A257" s="1327" t="str">
        <f t="shared" si="1"/>
        <v>SAMPLE STATE COLLEGE</v>
      </c>
      <c r="B257" s="1328" t="s">
        <v>632</v>
      </c>
      <c r="C257" s="1327" t="s">
        <v>633</v>
      </c>
      <c r="D257" s="1330">
        <f>ROUND('FCS Notes Sched Inv &amp; Cash'!G27,0)</f>
        <v>0</v>
      </c>
      <c r="E257" s="1330">
        <f>ROUND('CU Notes Sched'!K121,0)</f>
        <v>0</v>
      </c>
      <c r="F257" s="1330">
        <f t="array" ref="F257">SUM(ROUND(D257:E257,0))</f>
        <v>0</v>
      </c>
      <c r="G257" s="1328" t="s">
        <v>184</v>
      </c>
      <c r="H257" s="1331"/>
      <c r="I257" s="1838"/>
      <c r="J257" s="1838"/>
      <c r="K257" s="1838"/>
    </row>
    <row r="258" spans="1:11">
      <c r="A258" s="1327" t="str">
        <f t="shared" si="1"/>
        <v>SAMPLE STATE COLLEGE</v>
      </c>
      <c r="B258" s="1328" t="s">
        <v>634</v>
      </c>
      <c r="C258" s="1327" t="s">
        <v>635</v>
      </c>
      <c r="D258" s="1330">
        <f>ROUND('FCS Notes Sched Inv &amp; Cash'!G17,0)</f>
        <v>0</v>
      </c>
      <c r="E258" s="1330">
        <f>ROUND('CU Notes Sched'!K113,0)</f>
        <v>0</v>
      </c>
      <c r="F258" s="1330">
        <f t="array" ref="F258">SUM(ROUND(D258:E258,0))</f>
        <v>0</v>
      </c>
      <c r="G258" s="1328" t="s">
        <v>184</v>
      </c>
      <c r="H258" s="1331"/>
      <c r="I258" s="1838"/>
      <c r="J258" s="1838"/>
      <c r="K258" s="1838"/>
    </row>
    <row r="259" spans="1:11">
      <c r="A259" s="1327" t="str">
        <f t="shared" si="1"/>
        <v>SAMPLE STATE COLLEGE</v>
      </c>
      <c r="B259" s="1328" t="s">
        <v>636</v>
      </c>
      <c r="C259" s="1327" t="s">
        <v>637</v>
      </c>
      <c r="D259" s="1330">
        <f>ROUND('FCS Notes Sched Inv &amp; Cash'!G18,0)</f>
        <v>0</v>
      </c>
      <c r="E259" s="1330">
        <f>ROUND('CU Notes Sched'!K114,0)</f>
        <v>0</v>
      </c>
      <c r="F259" s="1330">
        <f t="array" ref="F259">SUM(ROUND(D259:E259,0))</f>
        <v>0</v>
      </c>
      <c r="G259" s="1328" t="s">
        <v>184</v>
      </c>
      <c r="H259" s="1331"/>
      <c r="I259" s="1838"/>
      <c r="J259" s="1838"/>
      <c r="K259" s="1838"/>
    </row>
    <row r="260" spans="1:11">
      <c r="A260" s="1327" t="str">
        <f t="shared" si="1"/>
        <v>SAMPLE STATE COLLEGE</v>
      </c>
      <c r="B260" s="1328" t="s">
        <v>638</v>
      </c>
      <c r="C260" s="1327" t="s">
        <v>639</v>
      </c>
      <c r="D260" s="1330">
        <f>ROUND('FCS Notes Sched Inv &amp; Cash'!G19,0)</f>
        <v>0</v>
      </c>
      <c r="E260" s="1330">
        <f>ROUND('CU Notes Sched'!K115,0)</f>
        <v>0</v>
      </c>
      <c r="F260" s="1330">
        <f t="array" ref="F260">SUM(ROUND(D260:E260,0))</f>
        <v>0</v>
      </c>
      <c r="G260" s="1328" t="s">
        <v>184</v>
      </c>
      <c r="H260" s="1331"/>
      <c r="I260" s="1838"/>
      <c r="J260" s="1838"/>
      <c r="K260" s="1838"/>
    </row>
    <row r="261" spans="1:11">
      <c r="A261" s="1327" t="str">
        <f t="shared" si="1"/>
        <v>SAMPLE STATE COLLEGE</v>
      </c>
      <c r="B261" s="1328" t="s">
        <v>640</v>
      </c>
      <c r="C261" s="1327" t="s">
        <v>641</v>
      </c>
      <c r="D261" s="1330">
        <f>ROUND('FCS Notes Sched Inv &amp; Cash'!G20,0)</f>
        <v>0</v>
      </c>
      <c r="E261" s="1330">
        <f>ROUND('CU Notes Sched'!K116,0)</f>
        <v>0</v>
      </c>
      <c r="F261" s="1330">
        <f t="array" ref="F261">SUM(ROUND(D261:E261,0))</f>
        <v>0</v>
      </c>
      <c r="G261" s="1328" t="s">
        <v>184</v>
      </c>
      <c r="H261" s="1331"/>
      <c r="I261" s="1838"/>
      <c r="J261" s="1838"/>
      <c r="K261" s="1838"/>
    </row>
    <row r="262" spans="1:11">
      <c r="A262" s="1327" t="str">
        <f t="shared" si="1"/>
        <v>SAMPLE STATE COLLEGE</v>
      </c>
      <c r="B262" s="1328" t="s">
        <v>642</v>
      </c>
      <c r="C262" s="1329" t="s">
        <v>643</v>
      </c>
      <c r="D262" s="1330">
        <f>'FCS Notes Sched Inv &amp; Cash'!G92</f>
        <v>0</v>
      </c>
      <c r="E262" s="1330">
        <f>'CU Notes Sched'!K146</f>
        <v>0</v>
      </c>
      <c r="F262" s="1330">
        <f t="array" ref="F262">SUM(ROUND(D262:E262,0))</f>
        <v>0</v>
      </c>
      <c r="G262" s="1328" t="s">
        <v>184</v>
      </c>
      <c r="H262" s="1331"/>
      <c r="I262" s="1838"/>
      <c r="J262" s="1838"/>
      <c r="K262" s="1838"/>
    </row>
    <row r="263" spans="1:11">
      <c r="A263" s="1327" t="str">
        <f t="shared" si="1"/>
        <v>SAMPLE STATE COLLEGE</v>
      </c>
      <c r="B263" s="1328" t="s">
        <v>644</v>
      </c>
      <c r="C263" s="1329" t="s">
        <v>645</v>
      </c>
      <c r="D263" s="1330">
        <f>'FCS Notes Sched Inv &amp; Cash'!G103</f>
        <v>0</v>
      </c>
      <c r="E263" s="1330">
        <f>'CU Notes Sched'!M151</f>
        <v>0</v>
      </c>
      <c r="F263" s="1330">
        <f t="array" ref="F263">SUM(ROUND(D263:E263,0))</f>
        <v>0</v>
      </c>
      <c r="G263" s="1328" t="s">
        <v>184</v>
      </c>
      <c r="H263" s="1331"/>
      <c r="I263" s="1838"/>
      <c r="J263" s="1838"/>
      <c r="K263" s="1838"/>
    </row>
    <row r="264" spans="1:11">
      <c r="A264" s="1327" t="str">
        <f t="shared" si="1"/>
        <v>SAMPLE STATE COLLEGE</v>
      </c>
      <c r="B264" s="1328" t="s">
        <v>646</v>
      </c>
      <c r="C264" s="1329" t="s">
        <v>647</v>
      </c>
      <c r="D264" s="1330">
        <f>'FCS Notes Sched Inv &amp; Cash'!G106</f>
        <v>0</v>
      </c>
      <c r="E264" s="1330">
        <f>'CU Notes Sched'!M153</f>
        <v>0</v>
      </c>
      <c r="F264" s="1330">
        <f t="array" ref="F264">SUM(ROUND(D264:E264,0))</f>
        <v>0</v>
      </c>
      <c r="G264" s="1328" t="s">
        <v>184</v>
      </c>
      <c r="H264" s="1331"/>
      <c r="I264" s="1838"/>
      <c r="J264" s="1838"/>
      <c r="K264" s="1838"/>
    </row>
    <row r="265" spans="1:11">
      <c r="A265" s="1327" t="str">
        <f t="shared" si="1"/>
        <v>SAMPLE STATE COLLEGE</v>
      </c>
      <c r="B265" s="1328" t="s">
        <v>648</v>
      </c>
      <c r="C265" s="1329" t="s">
        <v>649</v>
      </c>
      <c r="D265" s="1330">
        <f>'FCS Notes Sched Inv &amp; Cash'!G109</f>
        <v>0</v>
      </c>
      <c r="E265" s="1330">
        <f>'CU Notes Sched'!M155</f>
        <v>0</v>
      </c>
      <c r="F265" s="1330">
        <f t="array" ref="F265">SUM(ROUND(D265:E265,0))</f>
        <v>0</v>
      </c>
      <c r="G265" s="1328" t="s">
        <v>184</v>
      </c>
      <c r="H265" s="1331"/>
      <c r="I265" s="1838"/>
      <c r="J265" s="1838"/>
      <c r="K265" s="1838"/>
    </row>
    <row r="266" spans="1:11">
      <c r="A266" s="1310" t="str">
        <f t="shared" si="1"/>
        <v>SAMPLE STATE COLLEGE</v>
      </c>
      <c r="B266" s="1311" t="s">
        <v>650</v>
      </c>
      <c r="C266" s="1312" t="s">
        <v>651</v>
      </c>
      <c r="D266" s="1325">
        <f>'FCS Notes Sched Commitments'!G21</f>
        <v>0</v>
      </c>
      <c r="E266" s="1325">
        <f>'CU Notes Sched'!G95</f>
        <v>0</v>
      </c>
      <c r="F266" s="1325">
        <f t="array" ref="F266">SUM(ROUND(D266:E266,0))</f>
        <v>0</v>
      </c>
      <c r="G266" s="1311" t="s">
        <v>652</v>
      </c>
      <c r="H266" s="1313"/>
      <c r="I266" s="1838"/>
      <c r="J266" s="1838"/>
      <c r="K266" s="1838"/>
    </row>
    <row r="267" spans="1:11">
      <c r="A267" s="1310" t="str">
        <f t="shared" si="1"/>
        <v>SAMPLE STATE COLLEGE</v>
      </c>
      <c r="B267" s="1311" t="s">
        <v>653</v>
      </c>
      <c r="C267" s="1312" t="s">
        <v>654</v>
      </c>
      <c r="D267" s="1325">
        <f>'FCS Notes Sched Commitments'!I21</f>
        <v>0</v>
      </c>
      <c r="E267" s="1325">
        <f>'CU Notes Sched'!I95</f>
        <v>0</v>
      </c>
      <c r="F267" s="1325">
        <f t="array" ref="F267">SUM(ROUND(D267:E267,0))</f>
        <v>0</v>
      </c>
      <c r="G267" s="1311" t="s">
        <v>652</v>
      </c>
      <c r="H267" s="1313"/>
      <c r="I267" s="1838"/>
      <c r="J267" s="1838"/>
      <c r="K267" s="1838"/>
    </row>
    <row r="268" spans="1:11">
      <c r="A268" s="1310" t="str">
        <f t="shared" si="1"/>
        <v>SAMPLE STATE COLLEGE</v>
      </c>
      <c r="B268" s="1311" t="s">
        <v>655</v>
      </c>
      <c r="C268" s="1312" t="s">
        <v>656</v>
      </c>
      <c r="D268" s="1325">
        <f>'FCS Notes Sched Commitments'!K21</f>
        <v>0</v>
      </c>
      <c r="E268" s="1325">
        <f>'CU Notes Sched'!K95</f>
        <v>0</v>
      </c>
      <c r="F268" s="1325">
        <f t="array" ref="F268">SUM(ROUND(D268:E268,0))</f>
        <v>0</v>
      </c>
      <c r="G268" s="1311" t="s">
        <v>652</v>
      </c>
      <c r="H268" s="1313"/>
      <c r="I268" s="1838"/>
      <c r="J268" s="1838"/>
      <c r="K268" s="1838"/>
    </row>
    <row r="269" spans="1:11">
      <c r="A269" s="1310" t="str">
        <f t="shared" si="1"/>
        <v>SAMPLE STATE COLLEGE</v>
      </c>
      <c r="B269" s="1311" t="s">
        <v>657</v>
      </c>
      <c r="C269" s="1312">
        <v>2013</v>
      </c>
      <c r="D269" s="1325">
        <f>'FCS Notes Sched Cap Ls&amp;Inst Pur'!I14</f>
        <v>0</v>
      </c>
      <c r="E269" s="1325">
        <v>0</v>
      </c>
      <c r="F269" s="1325">
        <f t="array" ref="F269">SUM(ROUND(D269:E269,0))</f>
        <v>0</v>
      </c>
      <c r="G269" s="1311" t="s">
        <v>658</v>
      </c>
      <c r="H269" s="1313"/>
      <c r="I269" s="1838"/>
      <c r="J269" s="1838"/>
      <c r="K269" s="1838"/>
    </row>
    <row r="270" spans="1:11">
      <c r="A270" s="1310" t="str">
        <f t="shared" si="1"/>
        <v>SAMPLE STATE COLLEGE</v>
      </c>
      <c r="B270" s="1311" t="s">
        <v>659</v>
      </c>
      <c r="C270" s="1312">
        <v>2014</v>
      </c>
      <c r="D270" s="1325">
        <f>'FCS Notes Sched Cap Ls&amp;Inst Pur'!I15</f>
        <v>0</v>
      </c>
      <c r="E270" s="1325">
        <v>0</v>
      </c>
      <c r="F270" s="1325">
        <f t="array" ref="F270">SUM(ROUND(D270:E270,0))</f>
        <v>0</v>
      </c>
      <c r="G270" s="1311" t="s">
        <v>658</v>
      </c>
      <c r="H270" s="1313"/>
      <c r="I270" s="1838"/>
      <c r="J270" s="1838"/>
      <c r="K270" s="1838"/>
    </row>
    <row r="271" spans="1:11">
      <c r="A271" s="1310" t="str">
        <f t="shared" si="1"/>
        <v>SAMPLE STATE COLLEGE</v>
      </c>
      <c r="B271" s="1311" t="s">
        <v>660</v>
      </c>
      <c r="C271" s="1312">
        <v>2015</v>
      </c>
      <c r="D271" s="1325">
        <f>'FCS Notes Sched Cap Ls&amp;Inst Pur'!I16</f>
        <v>0</v>
      </c>
      <c r="E271" s="1325">
        <v>0</v>
      </c>
      <c r="F271" s="1325">
        <f t="array" ref="F271">SUM(ROUND(D271:E271,0))</f>
        <v>0</v>
      </c>
      <c r="G271" s="1311" t="s">
        <v>658</v>
      </c>
      <c r="H271" s="1313"/>
      <c r="I271" s="1838"/>
      <c r="J271" s="1838"/>
      <c r="K271" s="1838"/>
    </row>
    <row r="272" spans="1:11">
      <c r="A272" s="1310" t="str">
        <f t="shared" si="1"/>
        <v>SAMPLE STATE COLLEGE</v>
      </c>
      <c r="B272" s="1311" t="s">
        <v>661</v>
      </c>
      <c r="C272" s="1312">
        <v>2016</v>
      </c>
      <c r="D272" s="1325">
        <f>'FCS Notes Sched Cap Ls&amp;Inst Pur'!I17</f>
        <v>0</v>
      </c>
      <c r="E272" s="1325">
        <v>0</v>
      </c>
      <c r="F272" s="1325">
        <f t="array" ref="F272">SUM(ROUND(D272:E272,0))</f>
        <v>0</v>
      </c>
      <c r="G272" s="1311" t="s">
        <v>658</v>
      </c>
      <c r="H272" s="1313"/>
      <c r="I272" s="1838"/>
      <c r="J272" s="1838"/>
      <c r="K272" s="1838"/>
    </row>
    <row r="273" spans="1:11">
      <c r="A273" s="1310" t="str">
        <f t="shared" si="1"/>
        <v>SAMPLE STATE COLLEGE</v>
      </c>
      <c r="B273" s="1311" t="s">
        <v>662</v>
      </c>
      <c r="C273" s="1312">
        <v>2017</v>
      </c>
      <c r="D273" s="1325">
        <f>'FCS Notes Sched Cap Ls&amp;Inst Pur'!I18</f>
        <v>0</v>
      </c>
      <c r="E273" s="1325">
        <v>0</v>
      </c>
      <c r="F273" s="1325">
        <f t="array" ref="F273">SUM(ROUND(D273:E273,0))</f>
        <v>0</v>
      </c>
      <c r="G273" s="1311" t="s">
        <v>658</v>
      </c>
      <c r="H273" s="1313"/>
      <c r="I273" s="1838"/>
      <c r="J273" s="1838"/>
      <c r="K273" s="1838"/>
    </row>
    <row r="274" spans="1:11">
      <c r="A274" s="1310" t="str">
        <f t="shared" si="1"/>
        <v>SAMPLE STATE COLLEGE</v>
      </c>
      <c r="B274" s="1311" t="s">
        <v>663</v>
      </c>
      <c r="C274" s="1312" t="s">
        <v>664</v>
      </c>
      <c r="D274" s="1325">
        <f>-'FCS Notes Sched Cap Ls&amp;Inst Pur'!I21</f>
        <v>0</v>
      </c>
      <c r="E274" s="1325">
        <v>0</v>
      </c>
      <c r="F274" s="1325">
        <f t="array" ref="F274">SUM(ROUND(D274:E274,0))</f>
        <v>0</v>
      </c>
      <c r="G274" s="1311" t="s">
        <v>658</v>
      </c>
      <c r="H274" s="1313"/>
      <c r="I274" s="1838"/>
      <c r="J274" s="1838"/>
      <c r="K274" s="1838"/>
    </row>
    <row r="275" spans="1:11">
      <c r="A275" s="1310" t="str">
        <f t="shared" si="1"/>
        <v>SAMPLE STATE COLLEGE</v>
      </c>
      <c r="B275" s="1311" t="s">
        <v>665</v>
      </c>
      <c r="C275" s="1312" t="s">
        <v>666</v>
      </c>
      <c r="D275" s="1334">
        <f>'FCS Notes Sched Cap Ls&amp;Inst Pur'!Q14</f>
        <v>0</v>
      </c>
      <c r="E275" s="1325">
        <v>0</v>
      </c>
      <c r="F275" s="1325">
        <f t="array" ref="F275">SUM(ROUND(D275:E275,0))</f>
        <v>0</v>
      </c>
      <c r="G275" s="1311" t="s">
        <v>658</v>
      </c>
      <c r="H275" s="1313"/>
      <c r="I275" s="1838"/>
      <c r="J275" s="1838"/>
      <c r="K275" s="1838"/>
    </row>
    <row r="276" spans="1:11">
      <c r="A276" s="1310" t="str">
        <f t="shared" si="1"/>
        <v>SAMPLE STATE COLLEGE</v>
      </c>
      <c r="B276" s="1311" t="s">
        <v>667</v>
      </c>
      <c r="C276" s="1312" t="s">
        <v>668</v>
      </c>
      <c r="D276" s="1334">
        <f>'FCS Notes Sched Cap Ls&amp;Inst Pur'!Q15</f>
        <v>0</v>
      </c>
      <c r="E276" s="1325">
        <v>0</v>
      </c>
      <c r="F276" s="1325">
        <f t="array" ref="F276">SUM(ROUND(D276:E276,0))</f>
        <v>0</v>
      </c>
      <c r="G276" s="1311" t="s">
        <v>658</v>
      </c>
      <c r="H276" s="1313"/>
      <c r="I276" s="1838"/>
      <c r="J276" s="1838"/>
      <c r="K276" s="1838"/>
    </row>
    <row r="277" spans="1:11">
      <c r="A277" s="1310" t="str">
        <f t="shared" si="1"/>
        <v>SAMPLE STATE COLLEGE</v>
      </c>
      <c r="B277" s="1311" t="s">
        <v>669</v>
      </c>
      <c r="C277" s="1312" t="s">
        <v>670</v>
      </c>
      <c r="D277" s="1334">
        <f>'FCS Notes Sched Cap Ls&amp;Inst Pur'!Q16</f>
        <v>0</v>
      </c>
      <c r="E277" s="1325">
        <v>0</v>
      </c>
      <c r="F277" s="1325">
        <f t="array" ref="F277">SUM(ROUND(D277:E277,0))</f>
        <v>0</v>
      </c>
      <c r="G277" s="1311" t="s">
        <v>658</v>
      </c>
      <c r="H277" s="1313"/>
      <c r="I277" s="1838"/>
      <c r="J277" s="1838"/>
      <c r="K277" s="1838"/>
    </row>
    <row r="278" spans="1:11">
      <c r="A278" s="1310" t="str">
        <f t="shared" si="1"/>
        <v>SAMPLE STATE COLLEGE</v>
      </c>
      <c r="B278" s="1311" t="s">
        <v>671</v>
      </c>
      <c r="C278" s="1312">
        <v>2013</v>
      </c>
      <c r="D278" s="1325">
        <f>'FCS Notes Sched Cap Ls&amp;Inst Pur'!I34</f>
        <v>0</v>
      </c>
      <c r="E278" s="1325">
        <v>0</v>
      </c>
      <c r="F278" s="1325">
        <f t="array" ref="F278">SUM(ROUND(D278:E278,0))</f>
        <v>0</v>
      </c>
      <c r="G278" s="1311" t="s">
        <v>672</v>
      </c>
      <c r="H278" s="1313"/>
      <c r="I278" s="1838"/>
      <c r="J278" s="1838"/>
      <c r="K278" s="1838"/>
    </row>
    <row r="279" spans="1:11">
      <c r="A279" s="1310" t="str">
        <f t="shared" si="1"/>
        <v>SAMPLE STATE COLLEGE</v>
      </c>
      <c r="B279" s="1311" t="s">
        <v>673</v>
      </c>
      <c r="C279" s="1312">
        <v>2014</v>
      </c>
      <c r="D279" s="1325">
        <f>'FCS Notes Sched Cap Ls&amp;Inst Pur'!I35</f>
        <v>0</v>
      </c>
      <c r="E279" s="1325">
        <v>0</v>
      </c>
      <c r="F279" s="1325">
        <f t="array" ref="F279">SUM(ROUND(D279:E279,0))</f>
        <v>0</v>
      </c>
      <c r="G279" s="1311" t="s">
        <v>672</v>
      </c>
      <c r="H279" s="1313"/>
      <c r="I279" s="1838"/>
      <c r="J279" s="1838"/>
      <c r="K279" s="1838"/>
    </row>
    <row r="280" spans="1:11">
      <c r="A280" s="1310" t="str">
        <f t="shared" si="1"/>
        <v>SAMPLE STATE COLLEGE</v>
      </c>
      <c r="B280" s="1311" t="s">
        <v>674</v>
      </c>
      <c r="C280" s="1312">
        <v>2015</v>
      </c>
      <c r="D280" s="1325">
        <f>'FCS Notes Sched Cap Ls&amp;Inst Pur'!I36</f>
        <v>0</v>
      </c>
      <c r="E280" s="1325">
        <v>0</v>
      </c>
      <c r="F280" s="1325">
        <f t="array" ref="F280">SUM(ROUND(D280:E280,0))</f>
        <v>0</v>
      </c>
      <c r="G280" s="1311" t="s">
        <v>672</v>
      </c>
      <c r="H280" s="1313"/>
      <c r="I280" s="1838"/>
      <c r="J280" s="1838"/>
      <c r="K280" s="1838"/>
    </row>
    <row r="281" spans="1:11">
      <c r="A281" s="1310" t="str">
        <f t="shared" si="1"/>
        <v>SAMPLE STATE COLLEGE</v>
      </c>
      <c r="B281" s="1311" t="s">
        <v>675</v>
      </c>
      <c r="C281" s="1312">
        <v>2016</v>
      </c>
      <c r="D281" s="1325">
        <f>'FCS Notes Sched Cap Ls&amp;Inst Pur'!I37</f>
        <v>0</v>
      </c>
      <c r="E281" s="1325">
        <v>0</v>
      </c>
      <c r="F281" s="1325">
        <f t="array" ref="F281">SUM(ROUND(D281:E281,0))</f>
        <v>0</v>
      </c>
      <c r="G281" s="1311" t="s">
        <v>672</v>
      </c>
      <c r="H281" s="1313"/>
      <c r="I281" s="1838"/>
      <c r="J281" s="1838"/>
      <c r="K281" s="1838"/>
    </row>
    <row r="282" spans="1:11">
      <c r="A282" s="1310" t="str">
        <f t="shared" si="1"/>
        <v>SAMPLE STATE COLLEGE</v>
      </c>
      <c r="B282" s="1311" t="s">
        <v>676</v>
      </c>
      <c r="C282" s="1312">
        <v>2017</v>
      </c>
      <c r="D282" s="1325">
        <f>'FCS Notes Sched Cap Ls&amp;Inst Pur'!I38</f>
        <v>0</v>
      </c>
      <c r="E282" s="1325">
        <v>0</v>
      </c>
      <c r="F282" s="1325">
        <f t="array" ref="F282">SUM(ROUND(D282:E282,0))</f>
        <v>0</v>
      </c>
      <c r="G282" s="1311" t="s">
        <v>672</v>
      </c>
      <c r="H282" s="1313"/>
      <c r="I282" s="1838"/>
      <c r="J282" s="1838"/>
      <c r="K282" s="1838"/>
    </row>
    <row r="283" spans="1:11">
      <c r="A283" s="1310" t="str">
        <f t="shared" si="1"/>
        <v>SAMPLE STATE COLLEGE</v>
      </c>
      <c r="B283" s="1311" t="s">
        <v>677</v>
      </c>
      <c r="C283" s="1312" t="s">
        <v>678</v>
      </c>
      <c r="D283" s="1325">
        <f>'FCS Notes Sched Cap Ls&amp;Inst Pur'!I39</f>
        <v>0</v>
      </c>
      <c r="E283" s="1325">
        <v>0</v>
      </c>
      <c r="F283" s="1325">
        <f t="array" ref="F283">SUM(ROUND(D283:E283,0))</f>
        <v>0</v>
      </c>
      <c r="G283" s="1311" t="s">
        <v>672</v>
      </c>
      <c r="H283" s="1313"/>
      <c r="I283" s="1838"/>
      <c r="J283" s="1838"/>
      <c r="K283" s="1838"/>
    </row>
    <row r="284" spans="1:11">
      <c r="A284" s="1310" t="str">
        <f t="shared" si="1"/>
        <v>SAMPLE STATE COLLEGE</v>
      </c>
      <c r="B284" s="1311" t="s">
        <v>679</v>
      </c>
      <c r="C284" s="1312" t="s">
        <v>680</v>
      </c>
      <c r="D284" s="1325">
        <f>'FCS Notes Sched Cap Ls&amp;Inst Pur'!I40</f>
        <v>0</v>
      </c>
      <c r="E284" s="1325">
        <v>0</v>
      </c>
      <c r="F284" s="1325">
        <f t="array" ref="F284">SUM(ROUND(D284:E284,0))</f>
        <v>0</v>
      </c>
      <c r="G284" s="1311" t="s">
        <v>672</v>
      </c>
      <c r="H284" s="1313"/>
      <c r="I284" s="1838"/>
      <c r="J284" s="1838"/>
      <c r="K284" s="1838"/>
    </row>
    <row r="285" spans="1:11">
      <c r="A285" s="1310" t="str">
        <f t="shared" si="1"/>
        <v>SAMPLE STATE COLLEGE</v>
      </c>
      <c r="B285" s="1311" t="s">
        <v>681</v>
      </c>
      <c r="C285" s="1312" t="s">
        <v>682</v>
      </c>
      <c r="D285" s="1325">
        <f>'FCS Notes Sched Cap Ls&amp;Inst Pur'!I41</f>
        <v>0</v>
      </c>
      <c r="E285" s="1325">
        <v>0</v>
      </c>
      <c r="F285" s="1325">
        <f t="array" ref="F285">SUM(ROUND(D285:E285,0))</f>
        <v>0</v>
      </c>
      <c r="G285" s="1311" t="s">
        <v>672</v>
      </c>
      <c r="H285" s="1313"/>
      <c r="I285" s="1838"/>
      <c r="J285" s="1838"/>
      <c r="K285" s="1838"/>
    </row>
    <row r="286" spans="1:11">
      <c r="A286" s="1310" t="str">
        <f t="shared" si="1"/>
        <v>SAMPLE STATE COLLEGE</v>
      </c>
      <c r="B286" s="1311" t="s">
        <v>683</v>
      </c>
      <c r="C286" s="1312" t="s">
        <v>664</v>
      </c>
      <c r="D286" s="1346">
        <f>'FCS Notes Sched Cap Ls&amp;Inst Pur'!I44</f>
        <v>0</v>
      </c>
      <c r="E286" s="1325">
        <v>0</v>
      </c>
      <c r="F286" s="1325">
        <f t="array" ref="F286">SUM(ROUND(D286:E286,0))</f>
        <v>0</v>
      </c>
      <c r="G286" s="1311" t="s">
        <v>672</v>
      </c>
      <c r="H286" s="1313"/>
      <c r="I286" s="1838"/>
      <c r="J286" s="1838"/>
      <c r="K286" s="1838"/>
    </row>
    <row r="287" spans="1:11">
      <c r="A287" s="1310" t="str">
        <f t="shared" si="1"/>
        <v>SAMPLE STATE COLLEGE</v>
      </c>
      <c r="B287" s="1311" t="s">
        <v>684</v>
      </c>
      <c r="C287" s="1312" t="s">
        <v>685</v>
      </c>
      <c r="D287" s="1335">
        <f>'FCS Notes Sched Cap Ls&amp;Inst Pur'!Q30</f>
        <v>0</v>
      </c>
      <c r="E287" s="1325">
        <v>0</v>
      </c>
      <c r="F287" s="1325">
        <f t="array" ref="F287">SUM(ROUND(D287:E287,0))</f>
        <v>0</v>
      </c>
      <c r="G287" s="1311" t="s">
        <v>672</v>
      </c>
      <c r="H287" s="1313"/>
      <c r="I287" s="1838"/>
      <c r="J287" s="1838"/>
      <c r="K287" s="1838"/>
    </row>
    <row r="288" spans="1:11">
      <c r="A288" s="1310" t="str">
        <f t="shared" si="1"/>
        <v>SAMPLE STATE COLLEGE</v>
      </c>
      <c r="B288" s="1311" t="s">
        <v>686</v>
      </c>
      <c r="C288" s="1312" t="s">
        <v>687</v>
      </c>
      <c r="D288" s="1335">
        <f>'FCS Notes Sched Cap Ls&amp;Inst Pur'!Q31</f>
        <v>0</v>
      </c>
      <c r="E288" s="1325">
        <v>0</v>
      </c>
      <c r="F288" s="1325">
        <f t="array" ref="F288">SUM(ROUND(D288:E288,0))</f>
        <v>0</v>
      </c>
      <c r="G288" s="1311" t="s">
        <v>672</v>
      </c>
      <c r="H288" s="1313"/>
      <c r="I288" s="1838"/>
      <c r="J288" s="1838"/>
      <c r="K288" s="1838"/>
    </row>
    <row r="289" spans="1:11">
      <c r="A289" s="1310" t="str">
        <f t="shared" si="1"/>
        <v>SAMPLE STATE COLLEGE</v>
      </c>
      <c r="B289" s="1311" t="s">
        <v>688</v>
      </c>
      <c r="C289" s="1312" t="s">
        <v>689</v>
      </c>
      <c r="D289" s="1335">
        <f>'FCS Notes Sched Cap Ls&amp;Inst Pur'!Q32</f>
        <v>0</v>
      </c>
      <c r="E289" s="1325">
        <v>0</v>
      </c>
      <c r="F289" s="1325">
        <f t="array" ref="F289">SUM(ROUND(D289:E289,0))</f>
        <v>0</v>
      </c>
      <c r="G289" s="1311" t="s">
        <v>672</v>
      </c>
      <c r="H289" s="1313"/>
      <c r="I289" s="1838"/>
      <c r="J289" s="1838"/>
      <c r="K289" s="1838"/>
    </row>
    <row r="290" spans="1:11">
      <c r="A290" s="1310" t="str">
        <f t="shared" si="1"/>
        <v>SAMPLE STATE COLLEGE</v>
      </c>
      <c r="B290" s="1311" t="s">
        <v>690</v>
      </c>
      <c r="C290" s="1312">
        <v>2013</v>
      </c>
      <c r="D290" s="1325">
        <f>'FCS Notes Sched Bonds'!G12</f>
        <v>0</v>
      </c>
      <c r="E290" s="1325">
        <f>'CU Notes Sched'!G66</f>
        <v>0</v>
      </c>
      <c r="F290" s="1325">
        <f t="array" ref="F290">SUM(ROUND(D290:E290,0))</f>
        <v>0</v>
      </c>
      <c r="G290" s="1311" t="s">
        <v>691</v>
      </c>
      <c r="H290" s="1313"/>
      <c r="I290" s="1838"/>
      <c r="J290" s="1838"/>
      <c r="K290" s="1838"/>
    </row>
    <row r="291" spans="1:11">
      <c r="A291" s="1310" t="str">
        <f t="shared" si="1"/>
        <v>SAMPLE STATE COLLEGE</v>
      </c>
      <c r="B291" s="1311" t="s">
        <v>692</v>
      </c>
      <c r="C291" s="1312">
        <v>2014</v>
      </c>
      <c r="D291" s="1325">
        <f>'FCS Notes Sched Bonds'!G13</f>
        <v>0</v>
      </c>
      <c r="E291" s="1325">
        <f>'CU Notes Sched'!G67</f>
        <v>0</v>
      </c>
      <c r="F291" s="1325">
        <f t="array" ref="F291">SUM(ROUND(D291:E291,0))</f>
        <v>0</v>
      </c>
      <c r="G291" s="1311" t="s">
        <v>691</v>
      </c>
      <c r="H291" s="1313"/>
      <c r="I291" s="1838"/>
      <c r="J291" s="1838"/>
      <c r="K291" s="1838"/>
    </row>
    <row r="292" spans="1:11">
      <c r="A292" s="1310" t="str">
        <f t="shared" si="1"/>
        <v>SAMPLE STATE COLLEGE</v>
      </c>
      <c r="B292" s="1311" t="s">
        <v>693</v>
      </c>
      <c r="C292" s="1312">
        <v>2015</v>
      </c>
      <c r="D292" s="1325">
        <f>'FCS Notes Sched Bonds'!G14</f>
        <v>0</v>
      </c>
      <c r="E292" s="1325">
        <f>'CU Notes Sched'!G68</f>
        <v>0</v>
      </c>
      <c r="F292" s="1325">
        <f t="array" ref="F292">SUM(ROUND(D292:E292,0))</f>
        <v>0</v>
      </c>
      <c r="G292" s="1311" t="s">
        <v>691</v>
      </c>
      <c r="H292" s="1313"/>
      <c r="I292" s="1838"/>
      <c r="J292" s="1838"/>
      <c r="K292" s="1838"/>
    </row>
    <row r="293" spans="1:11">
      <c r="A293" s="1310" t="str">
        <f t="shared" si="1"/>
        <v>SAMPLE STATE COLLEGE</v>
      </c>
      <c r="B293" s="1311" t="s">
        <v>694</v>
      </c>
      <c r="C293" s="1312">
        <v>2016</v>
      </c>
      <c r="D293" s="1325">
        <f>'FCS Notes Sched Bonds'!G15</f>
        <v>0</v>
      </c>
      <c r="E293" s="1325">
        <f>'CU Notes Sched'!G69</f>
        <v>0</v>
      </c>
      <c r="F293" s="1325">
        <f t="array" ref="F293">SUM(ROUND(D293:E293,0))</f>
        <v>0</v>
      </c>
      <c r="G293" s="1311" t="s">
        <v>691</v>
      </c>
      <c r="H293" s="1313"/>
      <c r="I293" s="1838"/>
      <c r="J293" s="1838"/>
      <c r="K293" s="1838"/>
    </row>
    <row r="294" spans="1:11">
      <c r="A294" s="1310" t="str">
        <f t="shared" si="1"/>
        <v>SAMPLE STATE COLLEGE</v>
      </c>
      <c r="B294" s="1311" t="s">
        <v>695</v>
      </c>
      <c r="C294" s="1312">
        <v>2017</v>
      </c>
      <c r="D294" s="1325">
        <f>'FCS Notes Sched Bonds'!G16</f>
        <v>0</v>
      </c>
      <c r="E294" s="1325">
        <f>'CU Notes Sched'!G70</f>
        <v>0</v>
      </c>
      <c r="F294" s="1325">
        <f t="array" ref="F294">SUM(ROUND(D294:E294,0))</f>
        <v>0</v>
      </c>
      <c r="G294" s="1311" t="s">
        <v>691</v>
      </c>
      <c r="H294" s="1313"/>
      <c r="I294" s="1838"/>
      <c r="J294" s="1838"/>
      <c r="K294" s="1838"/>
    </row>
    <row r="295" spans="1:11">
      <c r="A295" s="1310" t="str">
        <f t="shared" si="1"/>
        <v>SAMPLE STATE COLLEGE</v>
      </c>
      <c r="B295" s="1311" t="s">
        <v>696</v>
      </c>
      <c r="C295" s="1312" t="s">
        <v>678</v>
      </c>
      <c r="D295" s="1325">
        <f>'FCS Notes Sched Bonds'!G17</f>
        <v>0</v>
      </c>
      <c r="E295" s="1325">
        <f>'CU Notes Sched'!G71</f>
        <v>0</v>
      </c>
      <c r="F295" s="1325">
        <f t="array" ref="F295">SUM(ROUND(D295:E295,0))</f>
        <v>0</v>
      </c>
      <c r="G295" s="1311" t="s">
        <v>691</v>
      </c>
      <c r="H295" s="1313"/>
      <c r="I295" s="1838"/>
      <c r="J295" s="1838"/>
      <c r="K295" s="1838"/>
    </row>
    <row r="296" spans="1:11">
      <c r="A296" s="1310" t="str">
        <f t="shared" si="1"/>
        <v>SAMPLE STATE COLLEGE</v>
      </c>
      <c r="B296" s="1311" t="s">
        <v>697</v>
      </c>
      <c r="C296" s="1312" t="s">
        <v>680</v>
      </c>
      <c r="D296" s="1325">
        <f>'FCS Notes Sched Bonds'!G18</f>
        <v>0</v>
      </c>
      <c r="E296" s="1325">
        <f>'CU Notes Sched'!G72</f>
        <v>0</v>
      </c>
      <c r="F296" s="1325">
        <f t="array" ref="F296">SUM(ROUND(D296:E296,0))</f>
        <v>0</v>
      </c>
      <c r="G296" s="1311" t="s">
        <v>691</v>
      </c>
      <c r="H296" s="1313"/>
      <c r="I296" s="1838"/>
      <c r="J296" s="1838"/>
      <c r="K296" s="1838"/>
    </row>
    <row r="297" spans="1:11">
      <c r="A297" s="1310" t="str">
        <f t="shared" si="1"/>
        <v>SAMPLE STATE COLLEGE</v>
      </c>
      <c r="B297" s="1311" t="s">
        <v>698</v>
      </c>
      <c r="C297" s="1312">
        <v>2013</v>
      </c>
      <c r="D297" s="1325">
        <f>'FCS Notes Sched Bonds'!I12</f>
        <v>0</v>
      </c>
      <c r="E297" s="1325">
        <f>'CU Notes Sched'!I66</f>
        <v>0</v>
      </c>
      <c r="F297" s="1325">
        <f t="array" ref="F297">SUM(ROUND(D297:E297,0))</f>
        <v>0</v>
      </c>
      <c r="G297" s="1311" t="s">
        <v>691</v>
      </c>
      <c r="H297" s="1313"/>
      <c r="I297" s="1838"/>
      <c r="J297" s="1838"/>
      <c r="K297" s="1838"/>
    </row>
    <row r="298" spans="1:11">
      <c r="A298" s="1310" t="str">
        <f t="shared" si="1"/>
        <v>SAMPLE STATE COLLEGE</v>
      </c>
      <c r="B298" s="1311" t="s">
        <v>699</v>
      </c>
      <c r="C298" s="1312">
        <v>2014</v>
      </c>
      <c r="D298" s="1325">
        <f>'FCS Notes Sched Bonds'!I13</f>
        <v>0</v>
      </c>
      <c r="E298" s="1325">
        <f>'CU Notes Sched'!I67</f>
        <v>0</v>
      </c>
      <c r="F298" s="1325">
        <f t="array" ref="F298">SUM(ROUND(D298:E298,0))</f>
        <v>0</v>
      </c>
      <c r="G298" s="1311" t="s">
        <v>691</v>
      </c>
      <c r="H298" s="1313"/>
      <c r="I298" s="1838"/>
      <c r="J298" s="1838"/>
      <c r="K298" s="1838"/>
    </row>
    <row r="299" spans="1:11">
      <c r="A299" s="1310" t="str">
        <f t="shared" si="1"/>
        <v>SAMPLE STATE COLLEGE</v>
      </c>
      <c r="B299" s="1311" t="s">
        <v>700</v>
      </c>
      <c r="C299" s="1312">
        <v>2015</v>
      </c>
      <c r="D299" s="1325">
        <f>'FCS Notes Sched Bonds'!I14</f>
        <v>0</v>
      </c>
      <c r="E299" s="1325">
        <f>'CU Notes Sched'!I68</f>
        <v>0</v>
      </c>
      <c r="F299" s="1325">
        <f t="array" ref="F299">SUM(ROUND(D299:E299,0))</f>
        <v>0</v>
      </c>
      <c r="G299" s="1311" t="s">
        <v>691</v>
      </c>
      <c r="H299" s="1313"/>
      <c r="I299" s="1838"/>
      <c r="J299" s="1838"/>
      <c r="K299" s="1838"/>
    </row>
    <row r="300" spans="1:11">
      <c r="A300" s="1310" t="str">
        <f t="shared" si="1"/>
        <v>SAMPLE STATE COLLEGE</v>
      </c>
      <c r="B300" s="1311" t="s">
        <v>701</v>
      </c>
      <c r="C300" s="1312">
        <v>2016</v>
      </c>
      <c r="D300" s="1325">
        <f>'FCS Notes Sched Bonds'!I15</f>
        <v>0</v>
      </c>
      <c r="E300" s="1325">
        <f>'CU Notes Sched'!I69</f>
        <v>0</v>
      </c>
      <c r="F300" s="1325">
        <f t="array" ref="F300">SUM(ROUND(D300:E300,0))</f>
        <v>0</v>
      </c>
      <c r="G300" s="1311" t="s">
        <v>691</v>
      </c>
      <c r="H300" s="1313"/>
      <c r="I300" s="1838"/>
      <c r="J300" s="1838"/>
      <c r="K300" s="1838"/>
    </row>
    <row r="301" spans="1:11">
      <c r="A301" s="1310" t="str">
        <f t="shared" si="1"/>
        <v>SAMPLE STATE COLLEGE</v>
      </c>
      <c r="B301" s="1311" t="s">
        <v>702</v>
      </c>
      <c r="C301" s="1312">
        <v>2017</v>
      </c>
      <c r="D301" s="1325">
        <f>'FCS Notes Sched Bonds'!I16</f>
        <v>0</v>
      </c>
      <c r="E301" s="1325">
        <f>'CU Notes Sched'!I70</f>
        <v>0</v>
      </c>
      <c r="F301" s="1325">
        <f t="array" ref="F301">SUM(ROUND(D301:E301,0))</f>
        <v>0</v>
      </c>
      <c r="G301" s="1311" t="s">
        <v>691</v>
      </c>
      <c r="H301" s="1313"/>
      <c r="I301" s="1838"/>
      <c r="J301" s="1838"/>
      <c r="K301" s="1838"/>
    </row>
    <row r="302" spans="1:11">
      <c r="A302" s="1310" t="str">
        <f t="shared" si="1"/>
        <v>SAMPLE STATE COLLEGE</v>
      </c>
      <c r="B302" s="1311" t="s">
        <v>703</v>
      </c>
      <c r="C302" s="1312" t="s">
        <v>678</v>
      </c>
      <c r="D302" s="1325">
        <f>'FCS Notes Sched Bonds'!I17</f>
        <v>0</v>
      </c>
      <c r="E302" s="1325">
        <f>'CU Notes Sched'!I71</f>
        <v>0</v>
      </c>
      <c r="F302" s="1325">
        <f t="array" ref="F302">SUM(ROUND(D302:E302,0))</f>
        <v>0</v>
      </c>
      <c r="G302" s="1311" t="s">
        <v>691</v>
      </c>
      <c r="H302" s="1313"/>
      <c r="I302" s="1838"/>
      <c r="J302" s="1838"/>
      <c r="K302" s="1838"/>
    </row>
    <row r="303" spans="1:11">
      <c r="A303" s="1310" t="str">
        <f t="shared" si="1"/>
        <v>SAMPLE STATE COLLEGE</v>
      </c>
      <c r="B303" s="1311" t="s">
        <v>704</v>
      </c>
      <c r="C303" s="1312" t="s">
        <v>680</v>
      </c>
      <c r="D303" s="1325">
        <f>'FCS Notes Sched Bonds'!I18</f>
        <v>0</v>
      </c>
      <c r="E303" s="1325">
        <f>'CU Notes Sched'!I72</f>
        <v>0</v>
      </c>
      <c r="F303" s="1325">
        <f t="array" ref="F303">SUM(ROUND(D303:E303,0))</f>
        <v>0</v>
      </c>
      <c r="G303" s="1311" t="s">
        <v>691</v>
      </c>
      <c r="H303" s="1313"/>
      <c r="I303" s="1838"/>
      <c r="J303" s="1838"/>
      <c r="K303" s="1838"/>
    </row>
    <row r="304" spans="1:11">
      <c r="A304" s="1310" t="str">
        <f t="shared" si="1"/>
        <v>SAMPLE STATE COLLEGE</v>
      </c>
      <c r="B304" s="1311" t="s">
        <v>705</v>
      </c>
      <c r="C304" s="1312">
        <v>2013</v>
      </c>
      <c r="D304" s="1325">
        <f>'FCS Notes Sched Op Leases'!I16</f>
        <v>0</v>
      </c>
      <c r="E304" s="1325">
        <v>0</v>
      </c>
      <c r="F304" s="1325">
        <f t="array" ref="F304">SUM(ROUND(D304:E304,0))</f>
        <v>0</v>
      </c>
      <c r="G304" s="1311" t="s">
        <v>706</v>
      </c>
      <c r="H304" s="1313"/>
      <c r="I304" s="1838"/>
      <c r="J304" s="1838"/>
      <c r="K304" s="1838"/>
    </row>
    <row r="305" spans="1:11">
      <c r="A305" s="1310" t="str">
        <f t="shared" si="1"/>
        <v>SAMPLE STATE COLLEGE</v>
      </c>
      <c r="B305" s="1311" t="s">
        <v>707</v>
      </c>
      <c r="C305" s="1312">
        <v>2014</v>
      </c>
      <c r="D305" s="1325">
        <f>'FCS Notes Sched Op Leases'!I17</f>
        <v>0</v>
      </c>
      <c r="E305" s="1325">
        <v>0</v>
      </c>
      <c r="F305" s="1325">
        <f t="array" ref="F305">SUM(ROUND(D305:E305,0))</f>
        <v>0</v>
      </c>
      <c r="G305" s="1311" t="s">
        <v>706</v>
      </c>
      <c r="H305" s="1313"/>
      <c r="I305" s="1838"/>
      <c r="J305" s="1838"/>
      <c r="K305" s="1838"/>
    </row>
    <row r="306" spans="1:11">
      <c r="A306" s="1310" t="str">
        <f t="shared" si="1"/>
        <v>SAMPLE STATE COLLEGE</v>
      </c>
      <c r="B306" s="1311" t="s">
        <v>708</v>
      </c>
      <c r="C306" s="1312">
        <v>2015</v>
      </c>
      <c r="D306" s="1325">
        <f>'FCS Notes Sched Op Leases'!I18</f>
        <v>0</v>
      </c>
      <c r="E306" s="1325">
        <v>0</v>
      </c>
      <c r="F306" s="1325">
        <f t="array" ref="F306">SUM(ROUND(D306:E306,0))</f>
        <v>0</v>
      </c>
      <c r="G306" s="1311" t="s">
        <v>706</v>
      </c>
      <c r="H306" s="1313"/>
      <c r="I306" s="1838"/>
      <c r="J306" s="1838"/>
      <c r="K306" s="1838"/>
    </row>
    <row r="307" spans="1:11">
      <c r="A307" s="1310" t="str">
        <f t="shared" si="1"/>
        <v>SAMPLE STATE COLLEGE</v>
      </c>
      <c r="B307" s="1311" t="s">
        <v>709</v>
      </c>
      <c r="C307" s="1312">
        <v>2016</v>
      </c>
      <c r="D307" s="1325">
        <f>'FCS Notes Sched Op Leases'!I19</f>
        <v>0</v>
      </c>
      <c r="E307" s="1325">
        <v>0</v>
      </c>
      <c r="F307" s="1325">
        <f t="array" ref="F307">SUM(ROUND(D307:E307,0))</f>
        <v>0</v>
      </c>
      <c r="G307" s="1311" t="s">
        <v>706</v>
      </c>
      <c r="H307" s="1313"/>
      <c r="I307" s="1838"/>
      <c r="J307" s="1838"/>
      <c r="K307" s="1838"/>
    </row>
    <row r="308" spans="1:11">
      <c r="A308" s="1310" t="str">
        <f t="shared" si="1"/>
        <v>SAMPLE STATE COLLEGE</v>
      </c>
      <c r="B308" s="1311" t="s">
        <v>710</v>
      </c>
      <c r="C308" s="1312">
        <v>2017</v>
      </c>
      <c r="D308" s="1325">
        <f>'FCS Notes Sched Op Leases'!I20</f>
        <v>0</v>
      </c>
      <c r="E308" s="1325">
        <v>0</v>
      </c>
      <c r="F308" s="1325">
        <f t="array" ref="F308">SUM(ROUND(D308:E308,0))</f>
        <v>0</v>
      </c>
      <c r="G308" s="1311" t="s">
        <v>706</v>
      </c>
      <c r="H308" s="1313"/>
      <c r="I308" s="1838"/>
      <c r="J308" s="1838"/>
      <c r="K308" s="1838"/>
    </row>
    <row r="309" spans="1:11">
      <c r="A309" s="1310" t="str">
        <f t="shared" si="1"/>
        <v>SAMPLE STATE COLLEGE</v>
      </c>
      <c r="B309" s="1311" t="s">
        <v>711</v>
      </c>
      <c r="C309" s="1312" t="s">
        <v>712</v>
      </c>
      <c r="D309" s="1325">
        <f>'FCS Notes Sched Op Leases'!I21</f>
        <v>0</v>
      </c>
      <c r="E309" s="1325">
        <v>0</v>
      </c>
      <c r="F309" s="1325">
        <f t="array" ref="F309">SUM(ROUND(D309:E309,0))</f>
        <v>0</v>
      </c>
      <c r="G309" s="1311" t="s">
        <v>706</v>
      </c>
      <c r="H309" s="1313"/>
      <c r="I309" s="1838"/>
      <c r="J309" s="1838"/>
      <c r="K309" s="1838"/>
    </row>
    <row r="310" spans="1:11">
      <c r="A310" s="1310" t="str">
        <f t="shared" si="1"/>
        <v>SAMPLE STATE COLLEGE</v>
      </c>
      <c r="B310" s="1311" t="s">
        <v>713</v>
      </c>
      <c r="C310" s="1312" t="s">
        <v>714</v>
      </c>
      <c r="D310" s="1325">
        <f>'FCS Notes Sched Op Leases'!R13</f>
        <v>0</v>
      </c>
      <c r="E310" s="1325">
        <v>0</v>
      </c>
      <c r="F310" s="1325">
        <f t="array" ref="F310">SUM(ROUND(D310:E310,0))</f>
        <v>0</v>
      </c>
      <c r="G310" s="1311" t="s">
        <v>706</v>
      </c>
      <c r="H310" s="1313"/>
      <c r="I310" s="1838"/>
      <c r="J310" s="1838"/>
      <c r="K310" s="1838"/>
    </row>
    <row r="311" spans="1:11">
      <c r="A311" s="1327" t="str">
        <f t="shared" ref="A311:A380" si="2">$A$1</f>
        <v>SAMPLE STATE COLLEGE</v>
      </c>
      <c r="B311" s="1328" t="s">
        <v>715</v>
      </c>
      <c r="C311" s="1329" t="s">
        <v>716</v>
      </c>
      <c r="D311" s="1330">
        <f>'FCS Notes Sched Commitments'!Q8</f>
        <v>0</v>
      </c>
      <c r="E311" s="1330" t="s">
        <v>717</v>
      </c>
      <c r="F311" s="1330"/>
      <c r="G311" s="1328"/>
      <c r="H311" s="1331"/>
      <c r="I311" s="1838"/>
      <c r="J311" s="1838"/>
      <c r="K311" s="1838"/>
    </row>
    <row r="312" spans="1:11">
      <c r="A312" s="1327" t="str">
        <f t="shared" si="2"/>
        <v>SAMPLE STATE COLLEGE</v>
      </c>
      <c r="B312" s="1328" t="s">
        <v>718</v>
      </c>
      <c r="C312" s="1338" t="s">
        <v>719</v>
      </c>
      <c r="D312" s="1339">
        <f>'FCS Notes Sched Commitments'!Q14</f>
        <v>0</v>
      </c>
      <c r="E312" s="1330" t="s">
        <v>717</v>
      </c>
      <c r="F312" s="1330"/>
      <c r="G312" s="1328"/>
      <c r="H312" s="1331"/>
      <c r="I312" s="1838"/>
      <c r="J312" s="1838"/>
      <c r="K312" s="1838"/>
    </row>
    <row r="313" spans="1:11">
      <c r="A313" s="1327" t="str">
        <f t="shared" si="2"/>
        <v>SAMPLE STATE COLLEGE</v>
      </c>
      <c r="B313" s="1328" t="s">
        <v>720</v>
      </c>
      <c r="C313" s="1329" t="s">
        <v>721</v>
      </c>
      <c r="D313" s="1330">
        <f>'FCS Notes Sched Inv &amp; Cash'!G43</f>
        <v>0</v>
      </c>
      <c r="E313" s="1330" t="s">
        <v>717</v>
      </c>
      <c r="F313" s="1330"/>
      <c r="G313" s="1328"/>
      <c r="H313" s="1331"/>
      <c r="I313" s="1838"/>
      <c r="J313" s="1838"/>
      <c r="K313" s="1838"/>
    </row>
    <row r="314" spans="1:11">
      <c r="A314" s="1327" t="str">
        <f t="shared" si="2"/>
        <v>SAMPLE STATE COLLEGE</v>
      </c>
      <c r="B314" s="1328" t="s">
        <v>722</v>
      </c>
      <c r="C314" s="1329" t="s">
        <v>723</v>
      </c>
      <c r="D314" s="1330">
        <f>'CU Notes Sched'!K128</f>
        <v>0</v>
      </c>
      <c r="E314" s="1330" t="s">
        <v>717</v>
      </c>
      <c r="F314" s="1330"/>
      <c r="G314" s="1328"/>
      <c r="H314" s="1331"/>
      <c r="I314" s="1838"/>
      <c r="J314" s="1838"/>
      <c r="K314" s="1838"/>
    </row>
    <row r="315" spans="1:11">
      <c r="A315" s="1327" t="str">
        <f t="shared" si="2"/>
        <v>SAMPLE STATE COLLEGE</v>
      </c>
      <c r="B315" s="1328" t="s">
        <v>724</v>
      </c>
      <c r="C315" s="1329" t="s">
        <v>725</v>
      </c>
      <c r="D315" s="1330">
        <f>'FCS Notes Sched Related Parties'!E7</f>
        <v>0</v>
      </c>
      <c r="E315" s="1330" t="s">
        <v>717</v>
      </c>
      <c r="F315" s="1330"/>
      <c r="G315" s="1328"/>
      <c r="H315" s="1331"/>
      <c r="I315" s="1838"/>
      <c r="J315" s="1838"/>
      <c r="K315" s="1838"/>
    </row>
    <row r="316" spans="1:11">
      <c r="A316" s="1327" t="str">
        <f t="shared" si="2"/>
        <v>SAMPLE STATE COLLEGE</v>
      </c>
      <c r="B316" s="1328" t="s">
        <v>726</v>
      </c>
      <c r="C316" s="1329" t="s">
        <v>727</v>
      </c>
      <c r="D316" s="1330">
        <f>'FCS Notes Sched Op Leases'!R8</f>
        <v>0</v>
      </c>
      <c r="E316" s="1330" t="s">
        <v>717</v>
      </c>
      <c r="F316" s="1330"/>
      <c r="G316" s="1328"/>
      <c r="H316" s="1331"/>
      <c r="I316" s="1838"/>
      <c r="J316" s="1838"/>
      <c r="K316" s="1838"/>
    </row>
    <row r="317" spans="1:11">
      <c r="A317" s="1327" t="str">
        <f t="shared" si="2"/>
        <v>SAMPLE STATE COLLEGE</v>
      </c>
      <c r="B317" s="1328" t="s">
        <v>728</v>
      </c>
      <c r="C317" s="1329"/>
      <c r="D317" s="1330"/>
      <c r="E317" s="1330"/>
      <c r="F317" s="1330"/>
      <c r="G317" s="1328"/>
      <c r="H317" s="1331"/>
      <c r="I317" s="1838"/>
      <c r="J317" s="1838"/>
      <c r="K317" s="1838"/>
    </row>
    <row r="318" spans="1:11">
      <c r="A318" s="1327" t="str">
        <f t="shared" si="2"/>
        <v>SAMPLE STATE COLLEGE</v>
      </c>
      <c r="B318" s="1328" t="s">
        <v>729</v>
      </c>
      <c r="C318" s="1329"/>
      <c r="D318" s="1330"/>
      <c r="E318" s="1330"/>
      <c r="F318" s="1330"/>
      <c r="G318" s="1328"/>
      <c r="H318" s="1331"/>
      <c r="I318" s="1838"/>
      <c r="J318" s="1838"/>
      <c r="K318" s="1838"/>
    </row>
    <row r="319" spans="1:11">
      <c r="A319" s="1327" t="str">
        <f t="shared" si="2"/>
        <v>SAMPLE STATE COLLEGE</v>
      </c>
      <c r="B319" s="1328" t="s">
        <v>730</v>
      </c>
      <c r="C319" s="1329"/>
      <c r="D319" s="1330"/>
      <c r="E319" s="1330"/>
      <c r="F319" s="1330"/>
      <c r="G319" s="1328"/>
      <c r="H319" s="1331"/>
      <c r="I319" s="1838"/>
      <c r="J319" s="1838"/>
      <c r="K319" s="1838"/>
    </row>
    <row r="320" spans="1:11">
      <c r="A320" s="1327" t="str">
        <f t="shared" si="2"/>
        <v>SAMPLE STATE COLLEGE</v>
      </c>
      <c r="B320" s="1328"/>
      <c r="C320" s="1329"/>
      <c r="D320" s="1330"/>
      <c r="E320" s="1330"/>
      <c r="F320" s="1330"/>
      <c r="G320" s="1328"/>
      <c r="H320" s="1331"/>
      <c r="I320" s="1838"/>
      <c r="J320" s="1838"/>
      <c r="K320" s="1838"/>
    </row>
    <row r="321" spans="1:11">
      <c r="A321" s="1315"/>
      <c r="B321" s="1316"/>
      <c r="C321" s="1317"/>
      <c r="D321" s="1332"/>
      <c r="E321" s="1332"/>
      <c r="F321" s="1332"/>
      <c r="G321" s="1316"/>
      <c r="H321" s="1318"/>
      <c r="I321" s="1838"/>
      <c r="J321" s="1838"/>
      <c r="K321" s="1838"/>
    </row>
    <row r="322" spans="1:11">
      <c r="A322" s="1315"/>
      <c r="B322" s="1316"/>
      <c r="C322" s="1317"/>
      <c r="D322" s="1332"/>
      <c r="E322" s="1332"/>
      <c r="F322" s="1332"/>
      <c r="G322" s="1316"/>
      <c r="H322" s="1318"/>
      <c r="I322" s="1838"/>
      <c r="J322" s="1838"/>
      <c r="K322" s="1838"/>
    </row>
    <row r="323" spans="1:11">
      <c r="A323" s="1315"/>
      <c r="B323" s="1316"/>
      <c r="C323" s="1317"/>
      <c r="D323" s="1332"/>
      <c r="E323" s="1332"/>
      <c r="F323" s="1332"/>
      <c r="G323" s="1316"/>
      <c r="H323" s="1318"/>
      <c r="I323" s="1838"/>
      <c r="J323" s="1838"/>
      <c r="K323" s="1838"/>
    </row>
    <row r="324" spans="1:11">
      <c r="A324" s="1315"/>
      <c r="B324" s="1316"/>
      <c r="C324" s="1317"/>
      <c r="D324" s="1332"/>
      <c r="E324" s="1332"/>
      <c r="F324" s="1332"/>
      <c r="G324" s="1316"/>
      <c r="H324" s="1318"/>
      <c r="I324" s="1838"/>
      <c r="J324" s="1838"/>
      <c r="K324" s="1838"/>
    </row>
    <row r="325" spans="1:11">
      <c r="A325" s="1310" t="str">
        <f t="shared" si="2"/>
        <v>SAMPLE STATE COLLEGE</v>
      </c>
      <c r="B325" s="1311"/>
      <c r="C325" s="1311" t="str">
        <f>SCF!A9</f>
        <v>CFOA0100</v>
      </c>
      <c r="D325" s="1325">
        <f>SCF!M9</f>
        <v>0</v>
      </c>
      <c r="E325" s="1325"/>
      <c r="F325" s="1325"/>
      <c r="G325" s="1311" t="s">
        <v>731</v>
      </c>
      <c r="H325" s="1313"/>
      <c r="I325" s="1838"/>
      <c r="J325" s="1838"/>
      <c r="K325" s="1838"/>
    </row>
    <row r="326" spans="1:11">
      <c r="A326" s="1310" t="str">
        <f t="shared" si="2"/>
        <v>SAMPLE STATE COLLEGE</v>
      </c>
      <c r="B326" s="1311"/>
      <c r="C326" s="1311" t="str">
        <f>SCF!A10</f>
        <v>CFOA0200</v>
      </c>
      <c r="D326" s="1325">
        <f>SCF!M10</f>
        <v>0</v>
      </c>
      <c r="E326" s="1325"/>
      <c r="F326" s="1325"/>
      <c r="G326" s="1311" t="s">
        <v>731</v>
      </c>
      <c r="H326" s="1313"/>
      <c r="I326" s="1838"/>
      <c r="J326" s="1838"/>
      <c r="K326" s="1838"/>
    </row>
    <row r="327" spans="1:11">
      <c r="A327" s="1310" t="str">
        <f t="shared" si="2"/>
        <v>SAMPLE STATE COLLEGE</v>
      </c>
      <c r="B327" s="1311"/>
      <c r="C327" s="1311" t="str">
        <f>SCF!A11</f>
        <v>CFOA0300</v>
      </c>
      <c r="D327" s="1325">
        <f>SCF!M11</f>
        <v>0</v>
      </c>
      <c r="E327" s="1325"/>
      <c r="F327" s="1325"/>
      <c r="G327" s="1311" t="s">
        <v>731</v>
      </c>
      <c r="H327" s="1313"/>
      <c r="I327" s="1838"/>
      <c r="J327" s="1838"/>
      <c r="K327" s="1838"/>
    </row>
    <row r="328" spans="1:11">
      <c r="A328" s="1310" t="str">
        <f t="shared" si="2"/>
        <v>SAMPLE STATE COLLEGE</v>
      </c>
      <c r="B328" s="1311"/>
      <c r="C328" s="1311" t="str">
        <f>SCF!A12</f>
        <v>CFOA0400</v>
      </c>
      <c r="D328" s="1325">
        <f>SCF!M12</f>
        <v>0</v>
      </c>
      <c r="E328" s="1325"/>
      <c r="F328" s="1325"/>
      <c r="G328" s="1311" t="s">
        <v>731</v>
      </c>
      <c r="H328" s="1313"/>
      <c r="I328" s="1838"/>
      <c r="J328" s="1838"/>
      <c r="K328" s="1838"/>
    </row>
    <row r="329" spans="1:11">
      <c r="A329" s="1310" t="str">
        <f t="shared" si="2"/>
        <v>SAMPLE STATE COLLEGE</v>
      </c>
      <c r="B329" s="1311"/>
      <c r="C329" s="1311" t="str">
        <f>SCF!A13</f>
        <v>CFOA0500</v>
      </c>
      <c r="D329" s="1325">
        <f>SCF!M13</f>
        <v>0</v>
      </c>
      <c r="E329" s="1325"/>
      <c r="F329" s="1325"/>
      <c r="G329" s="1311" t="s">
        <v>731</v>
      </c>
      <c r="H329" s="1313"/>
      <c r="I329" s="1838"/>
      <c r="J329" s="1838"/>
      <c r="K329" s="1838"/>
    </row>
    <row r="330" spans="1:11">
      <c r="A330" s="1310" t="str">
        <f t="shared" si="2"/>
        <v>SAMPLE STATE COLLEGE</v>
      </c>
      <c r="B330" s="1311"/>
      <c r="C330" s="1311" t="str">
        <f>SCF!A14</f>
        <v>CFOA0600</v>
      </c>
      <c r="D330" s="1325">
        <f>SCF!M14</f>
        <v>0</v>
      </c>
      <c r="E330" s="1325"/>
      <c r="F330" s="1325"/>
      <c r="G330" s="1311" t="s">
        <v>731</v>
      </c>
      <c r="H330" s="1313"/>
      <c r="I330" s="1838"/>
      <c r="J330" s="1838"/>
      <c r="K330" s="1838"/>
    </row>
    <row r="331" spans="1:11">
      <c r="A331" s="1310" t="str">
        <f t="shared" si="2"/>
        <v>SAMPLE STATE COLLEGE</v>
      </c>
      <c r="B331" s="1311"/>
      <c r="C331" s="1311" t="str">
        <f>SCF!A15</f>
        <v>CFOA0700</v>
      </c>
      <c r="D331" s="1325">
        <f>SCF!M15</f>
        <v>0</v>
      </c>
      <c r="E331" s="1325"/>
      <c r="F331" s="1325"/>
      <c r="G331" s="1311" t="s">
        <v>731</v>
      </c>
      <c r="H331" s="1313"/>
      <c r="I331" s="1838"/>
      <c r="J331" s="1838"/>
      <c r="K331" s="1838"/>
    </row>
    <row r="332" spans="1:11">
      <c r="A332" s="1310" t="str">
        <f t="shared" si="2"/>
        <v>SAMPLE STATE COLLEGE</v>
      </c>
      <c r="B332" s="1311"/>
      <c r="C332" s="1311" t="str">
        <f>SCF!A16</f>
        <v>CFOA0800</v>
      </c>
      <c r="D332" s="1325">
        <f>SCF!M16</f>
        <v>0</v>
      </c>
      <c r="E332" s="1325"/>
      <c r="F332" s="1325"/>
      <c r="G332" s="1311" t="s">
        <v>731</v>
      </c>
      <c r="H332" s="1313"/>
      <c r="I332" s="1838"/>
      <c r="J332" s="1838"/>
      <c r="K332" s="1838"/>
    </row>
    <row r="333" spans="1:11">
      <c r="A333" s="1310" t="str">
        <f t="shared" si="2"/>
        <v>SAMPLE STATE COLLEGE</v>
      </c>
      <c r="B333" s="1311"/>
      <c r="C333" s="1311" t="str">
        <f>SCF!A17</f>
        <v>CFOA0900</v>
      </c>
      <c r="D333" s="1325">
        <f>SCF!M17</f>
        <v>0</v>
      </c>
      <c r="E333" s="1325"/>
      <c r="F333" s="1325"/>
      <c r="G333" s="1311" t="s">
        <v>731</v>
      </c>
      <c r="H333" s="1313"/>
      <c r="I333" s="1838"/>
      <c r="J333" s="1838"/>
      <c r="K333" s="1838"/>
    </row>
    <row r="334" spans="1:11">
      <c r="A334" s="1310" t="str">
        <f t="shared" si="2"/>
        <v>SAMPLE STATE COLLEGE</v>
      </c>
      <c r="B334" s="1311"/>
      <c r="C334" s="1311" t="str">
        <f>SCF!A18</f>
        <v>CFOA1000</v>
      </c>
      <c r="D334" s="1325">
        <f>SCF!M18</f>
        <v>0</v>
      </c>
      <c r="E334" s="1325"/>
      <c r="F334" s="1325"/>
      <c r="G334" s="1311" t="s">
        <v>731</v>
      </c>
      <c r="H334" s="1313"/>
      <c r="I334" s="1838"/>
      <c r="J334" s="1838"/>
      <c r="K334" s="1838"/>
    </row>
    <row r="335" spans="1:11">
      <c r="A335" s="1310" t="str">
        <f t="shared" si="2"/>
        <v>SAMPLE STATE COLLEGE</v>
      </c>
      <c r="B335" s="1311"/>
      <c r="C335" s="1311" t="str">
        <f>SCF!A19</f>
        <v>CFOA1100</v>
      </c>
      <c r="D335" s="1325">
        <f>SCF!M19</f>
        <v>0</v>
      </c>
      <c r="E335" s="1325"/>
      <c r="F335" s="1325"/>
      <c r="G335" s="1311" t="s">
        <v>731</v>
      </c>
      <c r="H335" s="1313"/>
      <c r="I335" s="1838"/>
      <c r="J335" s="1838"/>
      <c r="K335" s="1838"/>
    </row>
    <row r="336" spans="1:11">
      <c r="A336" s="1310" t="str">
        <f t="shared" si="2"/>
        <v>SAMPLE STATE COLLEGE</v>
      </c>
      <c r="B336" s="1311"/>
      <c r="C336" s="1311" t="str">
        <f>SCF!A20</f>
        <v>CFOA1200</v>
      </c>
      <c r="D336" s="1325">
        <f>SCF!M20</f>
        <v>0</v>
      </c>
      <c r="E336" s="1325"/>
      <c r="F336" s="1325"/>
      <c r="G336" s="1311" t="s">
        <v>731</v>
      </c>
      <c r="H336" s="1313"/>
      <c r="I336" s="1838"/>
      <c r="J336" s="1838"/>
      <c r="K336" s="1838"/>
    </row>
    <row r="337" spans="1:11">
      <c r="A337" s="1310" t="str">
        <f t="shared" si="2"/>
        <v>SAMPLE STATE COLLEGE</v>
      </c>
      <c r="B337" s="1311"/>
      <c r="C337" s="1311" t="str">
        <f>SCF!A22</f>
        <v>CFOA2000</v>
      </c>
      <c r="D337" s="1325">
        <f>SCF!M22</f>
        <v>0</v>
      </c>
      <c r="E337" s="1325"/>
      <c r="F337" s="1325"/>
      <c r="G337" s="1311" t="s">
        <v>731</v>
      </c>
      <c r="H337" s="1313"/>
      <c r="I337" s="1838"/>
      <c r="J337" s="1838"/>
      <c r="K337" s="1838"/>
    </row>
    <row r="338" spans="1:11">
      <c r="A338" s="1310" t="str">
        <f t="shared" si="2"/>
        <v>SAMPLE STATE COLLEGE</v>
      </c>
      <c r="B338" s="1311"/>
      <c r="C338" s="1311" t="str">
        <f>SCF!A25</f>
        <v>CFNCFA0100</v>
      </c>
      <c r="D338" s="1325">
        <f>SCF!M25</f>
        <v>0</v>
      </c>
      <c r="E338" s="1325"/>
      <c r="F338" s="1325"/>
      <c r="G338" s="1311" t="s">
        <v>731</v>
      </c>
      <c r="H338" s="1313"/>
      <c r="I338" s="1838"/>
      <c r="J338" s="1838"/>
      <c r="K338" s="1838"/>
    </row>
    <row r="339" spans="1:11">
      <c r="A339" s="1310" t="str">
        <f t="shared" si="2"/>
        <v>SAMPLE STATE COLLEGE</v>
      </c>
      <c r="B339" s="1311"/>
      <c r="C339" s="1311" t="str">
        <f>SCF!A26</f>
        <v>CFNCFA0200</v>
      </c>
      <c r="D339" s="1325">
        <f>SCF!M26</f>
        <v>0</v>
      </c>
      <c r="E339" s="1325"/>
      <c r="F339" s="1325"/>
      <c r="G339" s="1311" t="s">
        <v>731</v>
      </c>
      <c r="H339" s="1313"/>
      <c r="I339" s="1838"/>
      <c r="J339" s="1838"/>
      <c r="K339" s="1838"/>
    </row>
    <row r="340" spans="1:11">
      <c r="A340" s="1310" t="str">
        <f t="shared" si="2"/>
        <v>SAMPLE STATE COLLEGE</v>
      </c>
      <c r="B340" s="1311"/>
      <c r="C340" s="1311" t="str">
        <f>SCF!A27</f>
        <v>CFNCFA0300</v>
      </c>
      <c r="D340" s="1325">
        <f>SCF!M27</f>
        <v>0</v>
      </c>
      <c r="E340" s="1325"/>
      <c r="F340" s="1325"/>
      <c r="G340" s="1311" t="s">
        <v>731</v>
      </c>
      <c r="H340" s="1313"/>
      <c r="I340" s="1838"/>
      <c r="J340" s="1838"/>
      <c r="K340" s="1838"/>
    </row>
    <row r="341" spans="1:11">
      <c r="A341" s="1310" t="str">
        <f t="shared" si="2"/>
        <v>SAMPLE STATE COLLEGE</v>
      </c>
      <c r="B341" s="1311"/>
      <c r="C341" s="1311" t="str">
        <f>SCF!A28</f>
        <v>CFNCFA0400</v>
      </c>
      <c r="D341" s="1325">
        <f>SCF!M28</f>
        <v>0</v>
      </c>
      <c r="E341" s="1325"/>
      <c r="F341" s="1325"/>
      <c r="G341" s="1311" t="s">
        <v>731</v>
      </c>
      <c r="H341" s="1313"/>
      <c r="I341" s="1838"/>
      <c r="J341" s="1838"/>
      <c r="K341" s="1838"/>
    </row>
    <row r="342" spans="1:11">
      <c r="A342" s="1310" t="str">
        <f t="shared" si="2"/>
        <v>SAMPLE STATE COLLEGE</v>
      </c>
      <c r="B342" s="1311"/>
      <c r="C342" s="1311" t="str">
        <f>SCF!A29</f>
        <v>CFNCFA0500</v>
      </c>
      <c r="D342" s="1325">
        <f>SCF!M29</f>
        <v>0</v>
      </c>
      <c r="E342" s="1325"/>
      <c r="F342" s="1325"/>
      <c r="G342" s="1311" t="s">
        <v>731</v>
      </c>
      <c r="H342" s="1313"/>
      <c r="I342" s="1838"/>
      <c r="J342" s="1838"/>
      <c r="K342" s="1838"/>
    </row>
    <row r="343" spans="1:11">
      <c r="A343" s="1310" t="str">
        <f t="shared" si="2"/>
        <v>SAMPLE STATE COLLEGE</v>
      </c>
      <c r="B343" s="1311"/>
      <c r="C343" s="1311" t="str">
        <f>SCF!A30</f>
        <v>CFNCFA0600</v>
      </c>
      <c r="D343" s="1325">
        <f>SCF!M30</f>
        <v>0</v>
      </c>
      <c r="E343" s="1325"/>
      <c r="F343" s="1325"/>
      <c r="G343" s="1311" t="s">
        <v>731</v>
      </c>
      <c r="H343" s="1313"/>
      <c r="I343" s="1838"/>
      <c r="J343" s="1838"/>
      <c r="K343" s="1838"/>
    </row>
    <row r="344" spans="1:11">
      <c r="A344" s="1310" t="str">
        <f t="shared" si="2"/>
        <v>SAMPLE STATE COLLEGE</v>
      </c>
      <c r="B344" s="1311"/>
      <c r="C344" s="1311" t="str">
        <f>SCF!A31</f>
        <v>CFNCFA0700</v>
      </c>
      <c r="D344" s="1325">
        <f>SCF!M31</f>
        <v>0</v>
      </c>
      <c r="E344" s="1325"/>
      <c r="F344" s="1325"/>
      <c r="G344" s="1311" t="s">
        <v>731</v>
      </c>
      <c r="H344" s="1313"/>
      <c r="I344" s="1838"/>
      <c r="J344" s="1838"/>
      <c r="K344" s="1838"/>
    </row>
    <row r="345" spans="1:11">
      <c r="A345" s="1310" t="str">
        <f t="shared" si="2"/>
        <v>SAMPLE STATE COLLEGE</v>
      </c>
      <c r="B345" s="1311"/>
      <c r="C345" s="1311" t="str">
        <f>SCF!A33</f>
        <v>CFNCFA2000</v>
      </c>
      <c r="D345" s="1325">
        <f>SCF!M33</f>
        <v>0</v>
      </c>
      <c r="E345" s="1325"/>
      <c r="F345" s="1325"/>
      <c r="G345" s="1311" t="s">
        <v>731</v>
      </c>
      <c r="H345" s="1313"/>
      <c r="I345" s="1838"/>
      <c r="J345" s="1838"/>
      <c r="K345" s="1838"/>
    </row>
    <row r="346" spans="1:11">
      <c r="A346" s="1310" t="str">
        <f t="shared" si="2"/>
        <v>SAMPLE STATE COLLEGE</v>
      </c>
      <c r="B346" s="1311"/>
      <c r="C346" s="1311" t="str">
        <f>SCF!A36</f>
        <v>CFCRFA0100</v>
      </c>
      <c r="D346" s="1325">
        <f>SCF!M36</f>
        <v>0</v>
      </c>
      <c r="E346" s="1325"/>
      <c r="F346" s="1325"/>
      <c r="G346" s="1311" t="s">
        <v>731</v>
      </c>
      <c r="H346" s="1313"/>
      <c r="I346" s="1838"/>
      <c r="J346" s="1838"/>
      <c r="K346" s="1838"/>
    </row>
    <row r="347" spans="1:11">
      <c r="A347" s="1310" t="str">
        <f t="shared" si="2"/>
        <v>SAMPLE STATE COLLEGE</v>
      </c>
      <c r="B347" s="1311"/>
      <c r="C347" s="1311" t="str">
        <f>SCF!A37</f>
        <v>CFCRFA0200</v>
      </c>
      <c r="D347" s="1325">
        <f>SCF!M37</f>
        <v>0</v>
      </c>
      <c r="E347" s="1325"/>
      <c r="F347" s="1325"/>
      <c r="G347" s="1311" t="s">
        <v>731</v>
      </c>
      <c r="H347" s="1313"/>
      <c r="I347" s="1838"/>
      <c r="J347" s="1838"/>
      <c r="K347" s="1838"/>
    </row>
    <row r="348" spans="1:11">
      <c r="A348" s="1310" t="str">
        <f t="shared" si="2"/>
        <v>SAMPLE STATE COLLEGE</v>
      </c>
      <c r="B348" s="1311"/>
      <c r="C348" s="1311" t="str">
        <f>SCF!A38</f>
        <v>CFCRFA0300</v>
      </c>
      <c r="D348" s="1325">
        <f>SCF!M38</f>
        <v>0</v>
      </c>
      <c r="E348" s="1325"/>
      <c r="F348" s="1325"/>
      <c r="G348" s="1311" t="s">
        <v>731</v>
      </c>
      <c r="H348" s="1313"/>
      <c r="I348" s="1838"/>
      <c r="J348" s="1838"/>
      <c r="K348" s="1838"/>
    </row>
    <row r="349" spans="1:11">
      <c r="A349" s="1310" t="str">
        <f t="shared" si="2"/>
        <v>SAMPLE STATE COLLEGE</v>
      </c>
      <c r="B349" s="1311"/>
      <c r="C349" s="1311" t="str">
        <f>SCF!A39</f>
        <v>CFCRFA0400</v>
      </c>
      <c r="D349" s="1325">
        <f>SCF!M39</f>
        <v>0</v>
      </c>
      <c r="E349" s="1325"/>
      <c r="F349" s="1325"/>
      <c r="G349" s="1311" t="s">
        <v>731</v>
      </c>
      <c r="H349" s="1313"/>
      <c r="I349" s="1838"/>
      <c r="J349" s="1838"/>
      <c r="K349" s="1838"/>
    </row>
    <row r="350" spans="1:11">
      <c r="A350" s="1310" t="str">
        <f t="shared" si="2"/>
        <v>SAMPLE STATE COLLEGE</v>
      </c>
      <c r="B350" s="1311"/>
      <c r="C350" s="1311" t="str">
        <f>SCF!A40</f>
        <v>CFCRFA0500</v>
      </c>
      <c r="D350" s="1325">
        <f>SCF!M40</f>
        <v>0</v>
      </c>
      <c r="E350" s="1325"/>
      <c r="F350" s="1325"/>
      <c r="G350" s="1311" t="s">
        <v>731</v>
      </c>
      <c r="H350" s="1313"/>
      <c r="I350" s="1838"/>
      <c r="J350" s="1838"/>
      <c r="K350" s="1838"/>
    </row>
    <row r="351" spans="1:11">
      <c r="A351" s="1310" t="str">
        <f t="shared" si="2"/>
        <v>SAMPLE STATE COLLEGE</v>
      </c>
      <c r="B351" s="1311"/>
      <c r="C351" s="1311" t="str">
        <f>SCF!A41</f>
        <v>CFCRFA0600</v>
      </c>
      <c r="D351" s="1325">
        <f>SCF!M41</f>
        <v>0</v>
      </c>
      <c r="E351" s="1325"/>
      <c r="F351" s="1325"/>
      <c r="G351" s="1311" t="s">
        <v>731</v>
      </c>
      <c r="H351" s="1313"/>
      <c r="I351" s="1838"/>
      <c r="J351" s="1838"/>
      <c r="K351" s="1838"/>
    </row>
    <row r="352" spans="1:11">
      <c r="A352" s="1310" t="str">
        <f t="shared" si="2"/>
        <v>SAMPLE STATE COLLEGE</v>
      </c>
      <c r="B352" s="1311"/>
      <c r="C352" s="1311" t="str">
        <f>SCF!A42</f>
        <v>CFCRFA0700</v>
      </c>
      <c r="D352" s="1325">
        <f>SCF!M42</f>
        <v>0</v>
      </c>
      <c r="E352" s="1325"/>
      <c r="F352" s="1325"/>
      <c r="G352" s="1311" t="s">
        <v>731</v>
      </c>
      <c r="H352" s="1313"/>
      <c r="I352" s="1838"/>
      <c r="J352" s="1838"/>
      <c r="K352" s="1838"/>
    </row>
    <row r="353" spans="1:11">
      <c r="A353" s="1310" t="str">
        <f t="shared" si="2"/>
        <v>SAMPLE STATE COLLEGE</v>
      </c>
      <c r="B353" s="1311"/>
      <c r="C353" s="1311" t="str">
        <f>SCF!A43</f>
        <v>CFCRFA0800</v>
      </c>
      <c r="D353" s="1325">
        <f>SCF!M43</f>
        <v>0</v>
      </c>
      <c r="E353" s="1325"/>
      <c r="F353" s="1325"/>
      <c r="G353" s="1311" t="s">
        <v>731</v>
      </c>
      <c r="H353" s="1313"/>
      <c r="I353" s="1838"/>
      <c r="J353" s="1838"/>
      <c r="K353" s="1838"/>
    </row>
    <row r="354" spans="1:11">
      <c r="A354" s="1310" t="str">
        <f t="shared" si="2"/>
        <v>SAMPLE STATE COLLEGE</v>
      </c>
      <c r="B354" s="1311"/>
      <c r="C354" s="1311" t="str">
        <f>SCF!A44</f>
        <v>CFCRFA0900</v>
      </c>
      <c r="D354" s="1325">
        <f>SCF!M44</f>
        <v>0</v>
      </c>
      <c r="E354" s="1325"/>
      <c r="F354" s="1325"/>
      <c r="G354" s="1311" t="s">
        <v>731</v>
      </c>
      <c r="H354" s="1313"/>
      <c r="I354" s="1838"/>
      <c r="J354" s="1838"/>
      <c r="K354" s="1838"/>
    </row>
    <row r="355" spans="1:11">
      <c r="A355" s="1310" t="str">
        <f t="shared" si="2"/>
        <v>SAMPLE STATE COLLEGE</v>
      </c>
      <c r="B355" s="1311"/>
      <c r="C355" s="1311" t="str">
        <f>SCF!A46</f>
        <v>CFCRFA2000</v>
      </c>
      <c r="D355" s="1325">
        <f>SCF!M46</f>
        <v>0</v>
      </c>
      <c r="E355" s="1325"/>
      <c r="F355" s="1325"/>
      <c r="G355" s="1311" t="s">
        <v>731</v>
      </c>
      <c r="H355" s="1313"/>
      <c r="I355" s="1838"/>
      <c r="J355" s="1838"/>
      <c r="K355" s="1838"/>
    </row>
    <row r="356" spans="1:11">
      <c r="A356" s="1310" t="str">
        <f t="shared" si="2"/>
        <v>SAMPLE STATE COLLEGE</v>
      </c>
      <c r="B356" s="1311"/>
      <c r="C356" s="1311" t="str">
        <f>SCF!A49</f>
        <v>CFIA0100</v>
      </c>
      <c r="D356" s="1325">
        <f>SCF!M49</f>
        <v>0</v>
      </c>
      <c r="E356" s="1325"/>
      <c r="F356" s="1325"/>
      <c r="G356" s="1311" t="s">
        <v>731</v>
      </c>
      <c r="H356" s="1313"/>
      <c r="I356" s="1838"/>
      <c r="J356" s="1838"/>
      <c r="K356" s="1838"/>
    </row>
    <row r="357" spans="1:11">
      <c r="A357" s="1310" t="str">
        <f t="shared" si="2"/>
        <v>SAMPLE STATE COLLEGE</v>
      </c>
      <c r="B357" s="1311"/>
      <c r="C357" s="1311" t="str">
        <f>SCF!A50</f>
        <v>CFIA0200</v>
      </c>
      <c r="D357" s="1325">
        <f>SCF!M50</f>
        <v>0</v>
      </c>
      <c r="E357" s="1325"/>
      <c r="F357" s="1325"/>
      <c r="G357" s="1311" t="s">
        <v>731</v>
      </c>
      <c r="H357" s="1313"/>
      <c r="I357" s="1838"/>
      <c r="J357" s="1838"/>
      <c r="K357" s="1838"/>
    </row>
    <row r="358" spans="1:11">
      <c r="A358" s="1310" t="str">
        <f t="shared" si="2"/>
        <v>SAMPLE STATE COLLEGE</v>
      </c>
      <c r="B358" s="1311"/>
      <c r="C358" s="1311" t="str">
        <f>SCF!A51</f>
        <v>CFIA0300</v>
      </c>
      <c r="D358" s="1325">
        <f>SCF!M51</f>
        <v>0</v>
      </c>
      <c r="E358" s="1325"/>
      <c r="F358" s="1325"/>
      <c r="G358" s="1311" t="s">
        <v>731</v>
      </c>
      <c r="H358" s="1313"/>
      <c r="I358" s="1838"/>
      <c r="J358" s="1838"/>
      <c r="K358" s="1838"/>
    </row>
    <row r="359" spans="1:11">
      <c r="A359" s="1310" t="str">
        <f t="shared" si="2"/>
        <v>SAMPLE STATE COLLEGE</v>
      </c>
      <c r="B359" s="1311"/>
      <c r="C359" s="1311" t="str">
        <f>SCF!A53</f>
        <v>CFIA2000</v>
      </c>
      <c r="D359" s="1325">
        <f>SCF!M53</f>
        <v>0</v>
      </c>
      <c r="E359" s="1325"/>
      <c r="F359" s="1325"/>
      <c r="G359" s="1311" t="s">
        <v>731</v>
      </c>
      <c r="H359" s="1313"/>
      <c r="I359" s="1838"/>
      <c r="J359" s="1838"/>
      <c r="K359" s="1838"/>
    </row>
    <row r="360" spans="1:11">
      <c r="A360" s="1310" t="str">
        <f t="shared" si="2"/>
        <v>SAMPLE STATE COLLEGE</v>
      </c>
      <c r="B360" s="1311"/>
      <c r="C360" s="1311">
        <f>SCF!A55</f>
        <v>0</v>
      </c>
      <c r="D360" s="1325">
        <f>SCF!J55</f>
        <v>0</v>
      </c>
      <c r="E360" s="1325"/>
      <c r="F360" s="1325"/>
      <c r="G360" s="1311" t="s">
        <v>731</v>
      </c>
      <c r="H360" s="1313"/>
      <c r="I360" s="1838"/>
      <c r="J360" s="1838"/>
      <c r="K360" s="1838"/>
    </row>
    <row r="361" spans="1:11">
      <c r="A361" s="1310" t="str">
        <f t="shared" si="2"/>
        <v>SAMPLE STATE COLLEGE</v>
      </c>
      <c r="B361" s="1311"/>
      <c r="C361" s="1311" t="str">
        <f>SCF!A56</f>
        <v>BCASH2000</v>
      </c>
      <c r="D361" s="1325" t="e">
        <f>SCF!M56</f>
        <v>#N/A</v>
      </c>
      <c r="E361" s="1325"/>
      <c r="F361" s="1325"/>
      <c r="G361" s="1311" t="s">
        <v>731</v>
      </c>
      <c r="H361" s="1313"/>
      <c r="I361" s="1838"/>
      <c r="J361" s="1838"/>
      <c r="K361" s="1838"/>
    </row>
    <row r="362" spans="1:11">
      <c r="A362" s="1310" t="str">
        <f t="shared" si="2"/>
        <v>SAMPLE STATE COLLEGE</v>
      </c>
      <c r="B362" s="1311"/>
      <c r="C362" s="1311">
        <f>SCF!A58</f>
        <v>0</v>
      </c>
      <c r="D362" s="1325">
        <f>SCF!J58</f>
        <v>0</v>
      </c>
      <c r="E362" s="1325"/>
      <c r="F362" s="1325"/>
      <c r="G362" s="1311" t="s">
        <v>731</v>
      </c>
      <c r="H362" s="1313"/>
      <c r="I362" s="1838"/>
      <c r="J362" s="1838"/>
      <c r="K362" s="1838"/>
    </row>
    <row r="363" spans="1:11">
      <c r="A363" s="1310" t="str">
        <f t="shared" si="2"/>
        <v>SAMPLE STATE COLLEGE</v>
      </c>
      <c r="B363" s="1311"/>
      <c r="C363" s="1311">
        <f>SCF!A69</f>
        <v>0</v>
      </c>
      <c r="D363" s="1325">
        <f>SCF!J69</f>
        <v>0</v>
      </c>
      <c r="E363" s="1325"/>
      <c r="F363" s="1325"/>
      <c r="G363" s="1311" t="s">
        <v>731</v>
      </c>
      <c r="H363" s="1313"/>
      <c r="I363" s="1838"/>
      <c r="J363" s="1838"/>
      <c r="K363" s="1838"/>
    </row>
    <row r="364" spans="1:11">
      <c r="A364" s="1310" t="str">
        <f t="shared" si="2"/>
        <v>SAMPLE STATE COLLEGE</v>
      </c>
      <c r="B364" s="1311"/>
      <c r="C364" s="1311">
        <f>SCF!A70</f>
        <v>0</v>
      </c>
      <c r="D364" s="1325">
        <f>SCF!J70</f>
        <v>0</v>
      </c>
      <c r="E364" s="1325"/>
      <c r="F364" s="1325"/>
      <c r="G364" s="1311" t="s">
        <v>731</v>
      </c>
      <c r="H364" s="1313"/>
      <c r="I364" s="1838"/>
      <c r="J364" s="1838"/>
      <c r="K364" s="1838"/>
    </row>
    <row r="365" spans="1:11">
      <c r="A365" s="1310" t="str">
        <f t="shared" si="2"/>
        <v>SAMPLE STATE COLLEGE</v>
      </c>
      <c r="B365" s="1311"/>
      <c r="C365" s="1311">
        <f>SCF!A71</f>
        <v>0</v>
      </c>
      <c r="D365" s="1325">
        <f>SCF!J71</f>
        <v>0</v>
      </c>
      <c r="E365" s="1325"/>
      <c r="F365" s="1325"/>
      <c r="G365" s="1311" t="s">
        <v>731</v>
      </c>
      <c r="H365" s="1313"/>
      <c r="I365" s="1838"/>
      <c r="J365" s="1838"/>
      <c r="K365" s="1838"/>
    </row>
    <row r="366" spans="1:11">
      <c r="A366" s="1310" t="str">
        <f t="shared" si="2"/>
        <v>SAMPLE STATE COLLEGE</v>
      </c>
      <c r="B366" s="1311"/>
      <c r="C366" s="1311">
        <f>SCF!B72</f>
        <v>0</v>
      </c>
      <c r="D366" s="1325">
        <f>SCF!J72</f>
        <v>0</v>
      </c>
      <c r="E366" s="1325"/>
      <c r="F366" s="1325"/>
      <c r="G366" s="1311" t="s">
        <v>731</v>
      </c>
      <c r="H366" s="1313"/>
      <c r="I366" s="1838"/>
      <c r="J366" s="1838"/>
      <c r="K366" s="1838"/>
    </row>
    <row r="367" spans="1:11">
      <c r="A367" s="1310" t="str">
        <f t="shared" si="2"/>
        <v>SAMPLE STATE COLLEGE</v>
      </c>
      <c r="B367" s="1311"/>
      <c r="C367" s="1311">
        <f>SCF!B73</f>
        <v>0</v>
      </c>
      <c r="D367" s="1325">
        <f>SCF!J73</f>
        <v>0</v>
      </c>
      <c r="E367" s="1325"/>
      <c r="F367" s="1325"/>
      <c r="G367" s="1311" t="s">
        <v>731</v>
      </c>
      <c r="H367" s="1313"/>
      <c r="I367" s="1838"/>
      <c r="J367" s="1838"/>
      <c r="K367" s="1838"/>
    </row>
    <row r="368" spans="1:11">
      <c r="A368" s="1310" t="str">
        <f t="shared" si="2"/>
        <v>SAMPLE STATE COLLEGE</v>
      </c>
      <c r="B368" s="1311"/>
      <c r="C368" s="1311">
        <f>SCF!C74</f>
        <v>0</v>
      </c>
      <c r="D368" s="1325">
        <f>SCF!J74</f>
        <v>0</v>
      </c>
      <c r="E368" s="1325"/>
      <c r="F368" s="1325"/>
      <c r="G368" s="1311" t="s">
        <v>731</v>
      </c>
      <c r="H368" s="1313"/>
      <c r="I368" s="1838"/>
      <c r="J368" s="1838"/>
      <c r="K368" s="1838"/>
    </row>
    <row r="369" spans="1:11">
      <c r="A369" s="1310" t="str">
        <f t="shared" si="2"/>
        <v>SAMPLE STATE COLLEGE</v>
      </c>
      <c r="B369" s="1311"/>
      <c r="C369" s="1311">
        <f>SCF!C75</f>
        <v>0</v>
      </c>
      <c r="D369" s="1325">
        <f>SCF!J75</f>
        <v>0</v>
      </c>
      <c r="E369" s="1325"/>
      <c r="F369" s="1325"/>
      <c r="G369" s="1311" t="s">
        <v>731</v>
      </c>
      <c r="H369" s="1313"/>
      <c r="I369" s="1838"/>
      <c r="J369" s="1838"/>
      <c r="K369" s="1838"/>
    </row>
    <row r="370" spans="1:11">
      <c r="A370" s="1310" t="str">
        <f t="shared" si="2"/>
        <v>SAMPLE STATE COLLEGE</v>
      </c>
      <c r="B370" s="1311"/>
      <c r="C370" s="1311">
        <f>SCF!C79</f>
        <v>0</v>
      </c>
      <c r="D370" s="1325">
        <f>SCF!J79</f>
        <v>0</v>
      </c>
      <c r="E370" s="1325"/>
      <c r="F370" s="1325"/>
      <c r="G370" s="1311" t="s">
        <v>731</v>
      </c>
      <c r="H370" s="1313"/>
      <c r="I370" s="1838"/>
      <c r="J370" s="1838"/>
      <c r="K370" s="1838"/>
    </row>
    <row r="371" spans="1:11">
      <c r="A371" s="1310" t="str">
        <f t="shared" si="2"/>
        <v>SAMPLE STATE COLLEGE</v>
      </c>
      <c r="B371" s="1311"/>
      <c r="C371" s="1311">
        <f>SCF!C80</f>
        <v>0</v>
      </c>
      <c r="D371" s="1325">
        <f>SCF!J80</f>
        <v>0</v>
      </c>
      <c r="E371" s="1325"/>
      <c r="F371" s="1325"/>
      <c r="G371" s="1311" t="s">
        <v>731</v>
      </c>
      <c r="H371" s="1313"/>
      <c r="I371" s="1838"/>
      <c r="J371" s="1838"/>
      <c r="K371" s="1838"/>
    </row>
    <row r="372" spans="1:11">
      <c r="A372" s="1310" t="str">
        <f t="shared" si="2"/>
        <v>SAMPLE STATE COLLEGE</v>
      </c>
      <c r="B372" s="1311"/>
      <c r="C372" s="1311">
        <f>SCF!C81</f>
        <v>0</v>
      </c>
      <c r="D372" s="1325">
        <f>SCF!J81</f>
        <v>0</v>
      </c>
      <c r="E372" s="1325"/>
      <c r="F372" s="1325"/>
      <c r="G372" s="1311" t="s">
        <v>731</v>
      </c>
      <c r="H372" s="1313"/>
      <c r="I372" s="1838"/>
      <c r="J372" s="1838"/>
      <c r="K372" s="1838"/>
    </row>
    <row r="373" spans="1:11">
      <c r="A373" s="1310" t="str">
        <f t="shared" si="2"/>
        <v>SAMPLE STATE COLLEGE</v>
      </c>
      <c r="B373" s="1311"/>
      <c r="C373" s="1311">
        <f>SCF!C82</f>
        <v>0</v>
      </c>
      <c r="D373" s="1325">
        <f>SCF!J82</f>
        <v>0</v>
      </c>
      <c r="E373" s="1325"/>
      <c r="F373" s="1325"/>
      <c r="G373" s="1311" t="s">
        <v>731</v>
      </c>
      <c r="H373" s="1313"/>
      <c r="I373" s="1838"/>
      <c r="J373" s="1838"/>
      <c r="K373" s="1838"/>
    </row>
    <row r="374" spans="1:11">
      <c r="A374" s="1310" t="str">
        <f t="shared" si="2"/>
        <v>SAMPLE STATE COLLEGE</v>
      </c>
      <c r="B374" s="1311"/>
      <c r="C374" s="1311">
        <f>SCF!C84</f>
        <v>0</v>
      </c>
      <c r="D374" s="1325">
        <f>SCF!J84</f>
        <v>0</v>
      </c>
      <c r="E374" s="1325"/>
      <c r="F374" s="1325"/>
      <c r="G374" s="1311" t="s">
        <v>731</v>
      </c>
      <c r="H374" s="1313"/>
      <c r="I374" s="1838"/>
      <c r="J374" s="1838"/>
      <c r="K374" s="1838"/>
    </row>
    <row r="375" spans="1:11">
      <c r="A375" s="1310" t="str">
        <f t="shared" si="2"/>
        <v>SAMPLE STATE COLLEGE</v>
      </c>
      <c r="B375" s="1311"/>
      <c r="C375" s="1311">
        <f>SCF!C85</f>
        <v>0</v>
      </c>
      <c r="D375" s="1325">
        <f>SCF!J85</f>
        <v>0</v>
      </c>
      <c r="E375" s="1325"/>
      <c r="F375" s="1325"/>
      <c r="G375" s="1311" t="s">
        <v>731</v>
      </c>
      <c r="H375" s="1313"/>
      <c r="I375" s="1838"/>
      <c r="J375" s="1838"/>
      <c r="K375" s="1838"/>
    </row>
    <row r="376" spans="1:11">
      <c r="A376" s="1310" t="str">
        <f t="shared" si="2"/>
        <v>SAMPLE STATE COLLEGE</v>
      </c>
      <c r="B376" s="1311"/>
      <c r="C376" s="1311">
        <f>SCF!C87</f>
        <v>0</v>
      </c>
      <c r="D376" s="1325">
        <f>SCF!J87</f>
        <v>0</v>
      </c>
      <c r="E376" s="1325"/>
      <c r="F376" s="1325"/>
      <c r="G376" s="1311" t="s">
        <v>731</v>
      </c>
      <c r="H376" s="1313"/>
      <c r="I376" s="1838"/>
      <c r="J376" s="1838"/>
      <c r="K376" s="1838"/>
    </row>
    <row r="377" spans="1:11">
      <c r="A377" s="1310" t="str">
        <f t="shared" si="2"/>
        <v>SAMPLE STATE COLLEGE</v>
      </c>
      <c r="B377" s="1311"/>
      <c r="C377" s="1311">
        <f>SCF!C88</f>
        <v>0</v>
      </c>
      <c r="D377" s="1325">
        <f>SCF!J88</f>
        <v>0</v>
      </c>
      <c r="E377" s="1325"/>
      <c r="F377" s="1325"/>
      <c r="G377" s="1311" t="s">
        <v>731</v>
      </c>
      <c r="H377" s="1313"/>
      <c r="I377" s="1838"/>
      <c r="J377" s="1838"/>
      <c r="K377" s="1838"/>
    </row>
    <row r="378" spans="1:11">
      <c r="A378" s="1310" t="str">
        <f t="shared" si="2"/>
        <v>SAMPLE STATE COLLEGE</v>
      </c>
      <c r="B378" s="1311"/>
      <c r="C378" s="1311">
        <f>SCF!C89</f>
        <v>0</v>
      </c>
      <c r="D378" s="1325">
        <f>SCF!J89</f>
        <v>0</v>
      </c>
      <c r="E378" s="1325"/>
      <c r="F378" s="1325"/>
      <c r="G378" s="1311" t="s">
        <v>731</v>
      </c>
      <c r="H378" s="1313"/>
      <c r="I378" s="1838"/>
      <c r="J378" s="1838"/>
      <c r="K378" s="1838"/>
    </row>
    <row r="379" spans="1:11">
      <c r="A379" s="1310" t="str">
        <f t="shared" si="2"/>
        <v>SAMPLE STATE COLLEGE</v>
      </c>
      <c r="B379" s="1311"/>
      <c r="C379" s="1311">
        <f>SCF!C90</f>
        <v>0</v>
      </c>
      <c r="D379" s="1325">
        <f>SCF!J90</f>
        <v>0</v>
      </c>
      <c r="E379" s="1325"/>
      <c r="F379" s="1325"/>
      <c r="G379" s="1311" t="s">
        <v>731</v>
      </c>
      <c r="H379" s="1313"/>
      <c r="I379" s="1838"/>
      <c r="J379" s="1838"/>
      <c r="K379" s="1838"/>
    </row>
    <row r="380" spans="1:11">
      <c r="A380" s="1310" t="str">
        <f t="shared" si="2"/>
        <v>SAMPLE STATE COLLEGE</v>
      </c>
      <c r="B380" s="1311"/>
      <c r="C380" s="1311">
        <f>SCF!A96</f>
        <v>0</v>
      </c>
      <c r="D380" s="1325">
        <f>SCF!J96</f>
        <v>0</v>
      </c>
      <c r="E380" s="1325"/>
      <c r="F380" s="1325"/>
      <c r="G380" s="1311" t="s">
        <v>731</v>
      </c>
      <c r="H380" s="1313"/>
      <c r="I380" s="1838"/>
      <c r="J380" s="1838"/>
      <c r="K380" s="1838"/>
    </row>
    <row r="388" spans="1:11">
      <c r="A388" s="1838"/>
      <c r="B388" s="1838"/>
      <c r="C388" s="1838"/>
      <c r="D388" s="1838"/>
      <c r="E388" s="1838"/>
      <c r="F388" s="1838"/>
      <c r="G388" s="1838"/>
      <c r="H388" s="1838"/>
      <c r="I388" s="1838"/>
      <c r="J388" s="1838"/>
      <c r="K388" s="1838"/>
    </row>
    <row r="389" spans="1:11">
      <c r="A389" s="1838"/>
      <c r="B389" s="1838"/>
      <c r="C389" s="1838"/>
      <c r="D389" s="1838"/>
      <c r="E389" s="1838"/>
      <c r="F389" s="1838"/>
      <c r="G389" s="1838"/>
      <c r="H389" s="1838"/>
      <c r="I389" s="1838"/>
      <c r="J389" s="1838"/>
      <c r="K389" s="1838"/>
    </row>
    <row r="390" spans="1:11">
      <c r="A390" s="1838"/>
      <c r="B390" s="1838"/>
      <c r="C390" s="1838"/>
      <c r="D390" s="1838"/>
      <c r="E390" s="1838"/>
      <c r="F390" s="1838"/>
      <c r="G390" s="1838"/>
      <c r="H390" s="1838"/>
      <c r="I390" s="1838"/>
      <c r="J390" s="1838"/>
      <c r="K390" s="1838"/>
    </row>
    <row r="391" spans="1:11">
      <c r="A391" s="1838"/>
      <c r="B391" s="1838"/>
      <c r="C391" s="1838"/>
      <c r="D391" s="1838"/>
      <c r="E391" s="1838"/>
      <c r="F391" s="1838"/>
      <c r="G391" s="1838"/>
      <c r="H391" s="1838"/>
      <c r="I391" s="1838"/>
      <c r="J391" s="1838"/>
      <c r="K391" s="1838"/>
    </row>
    <row r="392" spans="1:11">
      <c r="A392" s="1838"/>
      <c r="B392" s="1838"/>
      <c r="C392" s="1838"/>
      <c r="D392" s="1838"/>
      <c r="E392" s="1838"/>
      <c r="F392" s="1838"/>
      <c r="G392" s="1838"/>
      <c r="H392" s="1838"/>
      <c r="I392" s="1838"/>
      <c r="J392" s="1838"/>
      <c r="K392" s="1838"/>
    </row>
    <row r="393" spans="1:11">
      <c r="A393" s="1838"/>
      <c r="B393" s="1838"/>
      <c r="C393" s="1838"/>
      <c r="D393" s="1838"/>
      <c r="E393" s="1838"/>
      <c r="F393" s="1838"/>
      <c r="G393" s="1838"/>
      <c r="H393" s="1838"/>
      <c r="I393" s="1838"/>
      <c r="J393" s="1838"/>
      <c r="K393" s="1838"/>
    </row>
    <row r="394" spans="1:11">
      <c r="A394" s="1838"/>
      <c r="B394" s="1838"/>
      <c r="C394" s="1838"/>
      <c r="D394" s="1838"/>
      <c r="E394" s="1838"/>
      <c r="F394" s="1838"/>
      <c r="G394" s="1838"/>
      <c r="H394" s="1838"/>
      <c r="I394" s="1838"/>
      <c r="J394" s="1838"/>
      <c r="K394" s="1838"/>
    </row>
    <row r="395" spans="1:11">
      <c r="A395" s="1838"/>
      <c r="B395" s="1838"/>
      <c r="C395" s="1838"/>
      <c r="D395" s="1838"/>
      <c r="E395" s="1838"/>
      <c r="F395" s="1838"/>
      <c r="G395" s="1838"/>
      <c r="H395" s="1838"/>
      <c r="I395" s="1838"/>
      <c r="J395" s="1838"/>
      <c r="K395" s="1838"/>
    </row>
    <row r="396" spans="1:11">
      <c r="A396" s="1838"/>
      <c r="B396" s="1838"/>
      <c r="C396" s="1838"/>
      <c r="D396" s="1838"/>
      <c r="E396" s="1838"/>
      <c r="F396" s="1838"/>
      <c r="G396" s="1838"/>
      <c r="H396" s="1838"/>
      <c r="I396" s="1838"/>
      <c r="J396" s="1838"/>
      <c r="K396" s="1838"/>
    </row>
    <row r="397" spans="1:11">
      <c r="A397" s="1838"/>
      <c r="B397" s="1838"/>
      <c r="C397" s="1838"/>
      <c r="D397" s="1838"/>
      <c r="E397" s="1838"/>
      <c r="F397" s="1838"/>
      <c r="G397" s="1838"/>
      <c r="H397" s="1838"/>
      <c r="I397" s="1838"/>
      <c r="J397" s="1838"/>
      <c r="K397" s="1838"/>
    </row>
    <row r="398" spans="1:11">
      <c r="A398" s="1838"/>
      <c r="B398" s="1838"/>
      <c r="C398" s="1838"/>
      <c r="D398" s="1838"/>
      <c r="E398" s="1838"/>
      <c r="F398" s="1838"/>
      <c r="G398" s="1838"/>
      <c r="H398" s="1838"/>
      <c r="I398" s="1838"/>
      <c r="J398" s="1838"/>
      <c r="K398" s="1838"/>
    </row>
    <row r="399" spans="1:11">
      <c r="A399" s="1838"/>
      <c r="B399" s="1838"/>
      <c r="C399" s="1838"/>
      <c r="D399" s="1838"/>
      <c r="E399" s="1838"/>
      <c r="F399" s="1838"/>
      <c r="G399" s="1838"/>
      <c r="H399" s="1838"/>
      <c r="I399" s="1838"/>
      <c r="J399" s="1838"/>
      <c r="K399" s="1838"/>
    </row>
    <row r="400" spans="1:11">
      <c r="A400" s="1838"/>
      <c r="B400" s="1838"/>
      <c r="C400" s="1838"/>
      <c r="D400" s="1838"/>
      <c r="E400" s="1838"/>
      <c r="F400" s="1838"/>
      <c r="G400" s="1838"/>
      <c r="H400" s="1838"/>
      <c r="I400" s="1838"/>
      <c r="J400" s="1838"/>
      <c r="K400" s="1838"/>
    </row>
    <row r="401" spans="1:11">
      <c r="A401" s="1838"/>
      <c r="B401" s="1838"/>
      <c r="C401" s="1838"/>
      <c r="D401" s="1838"/>
      <c r="E401" s="1838"/>
      <c r="F401" s="1838"/>
      <c r="G401" s="1838"/>
      <c r="H401" s="1838"/>
      <c r="I401" s="1838"/>
      <c r="J401" s="1838"/>
      <c r="K401" s="1838"/>
    </row>
    <row r="402" spans="1:11">
      <c r="A402" s="1838"/>
      <c r="B402" s="1838"/>
      <c r="C402" s="1838"/>
      <c r="D402" s="1838"/>
      <c r="E402" s="1838"/>
      <c r="F402" s="1838"/>
      <c r="G402" s="1838"/>
      <c r="H402" s="1838"/>
      <c r="I402" s="1838"/>
      <c r="J402" s="1838"/>
      <c r="K402" s="1838"/>
    </row>
    <row r="403" spans="1:11">
      <c r="A403" s="1838"/>
      <c r="B403" s="1838"/>
      <c r="C403" s="1838"/>
      <c r="D403" s="1838"/>
      <c r="E403" s="1838"/>
      <c r="F403" s="1838"/>
      <c r="G403" s="1838"/>
      <c r="H403" s="1838"/>
      <c r="I403" s="1838"/>
      <c r="J403" s="1838"/>
      <c r="K403" s="1838"/>
    </row>
    <row r="404" spans="1:11">
      <c r="A404" s="1838"/>
      <c r="B404" s="1838"/>
      <c r="C404" s="1838"/>
      <c r="D404" s="1838"/>
      <c r="E404" s="1838"/>
      <c r="F404" s="1838"/>
      <c r="G404" s="1838"/>
      <c r="H404" s="1838"/>
      <c r="I404" s="1838"/>
      <c r="J404" s="1838"/>
      <c r="K404" s="1838"/>
    </row>
    <row r="405" spans="1:11">
      <c r="A405" s="1838"/>
      <c r="B405" s="1838"/>
      <c r="C405" s="1838"/>
      <c r="D405" s="1838"/>
      <c r="E405" s="1838"/>
      <c r="F405" s="1838"/>
      <c r="G405" s="1838"/>
      <c r="H405" s="1838"/>
      <c r="I405" s="1838"/>
      <c r="J405" s="1838"/>
      <c r="K405" s="1838"/>
    </row>
    <row r="406" spans="1:11">
      <c r="A406" s="1838"/>
      <c r="B406" s="1838"/>
      <c r="C406" s="1838"/>
      <c r="D406" s="1838"/>
      <c r="E406" s="1838"/>
      <c r="F406" s="1838"/>
      <c r="G406" s="1838"/>
      <c r="H406" s="1838"/>
      <c r="I406" s="1838"/>
      <c r="J406" s="1838"/>
      <c r="K406" s="1838"/>
    </row>
    <row r="407" spans="1:11">
      <c r="A407" s="1838"/>
      <c r="B407" s="1838"/>
      <c r="C407" s="1838"/>
      <c r="D407" s="1838"/>
      <c r="E407" s="1838"/>
      <c r="F407" s="1838"/>
      <c r="G407" s="1838"/>
      <c r="H407" s="1838"/>
      <c r="I407" s="1838"/>
      <c r="J407" s="1838"/>
      <c r="K407" s="1838"/>
    </row>
    <row r="408" spans="1:11">
      <c r="A408" s="1838"/>
      <c r="B408" s="1838"/>
      <c r="C408" s="1838"/>
      <c r="D408" s="1838"/>
      <c r="E408" s="1838"/>
      <c r="F408" s="1838"/>
      <c r="G408" s="1838"/>
      <c r="H408" s="1838"/>
      <c r="I408" s="1838"/>
      <c r="J408" s="1838"/>
      <c r="K408" s="1838"/>
    </row>
    <row r="409" spans="1:11">
      <c r="A409" s="1838"/>
      <c r="B409" s="1838"/>
      <c r="C409" s="1838"/>
      <c r="D409" s="1838"/>
      <c r="E409" s="1838"/>
      <c r="F409" s="1838"/>
      <c r="G409" s="1838"/>
      <c r="H409" s="1838"/>
      <c r="I409" s="1838"/>
      <c r="J409" s="1838"/>
      <c r="K409" s="1838"/>
    </row>
    <row r="410" spans="1:11">
      <c r="A410" s="1838"/>
      <c r="B410" s="1838"/>
      <c r="C410" s="1838"/>
      <c r="D410" s="1838"/>
      <c r="E410" s="1838"/>
      <c r="F410" s="1838"/>
      <c r="G410" s="1838"/>
      <c r="H410" s="1838"/>
      <c r="I410" s="1838"/>
      <c r="J410" s="1838"/>
      <c r="K410" s="1838"/>
    </row>
    <row r="411" spans="1:11">
      <c r="A411" s="1838"/>
      <c r="B411" s="1838"/>
      <c r="C411" s="1838"/>
      <c r="D411" s="1838"/>
      <c r="E411" s="1838"/>
      <c r="F411" s="1838"/>
      <c r="G411" s="1838"/>
      <c r="H411" s="1838"/>
      <c r="I411" s="1838"/>
      <c r="J411" s="1838"/>
      <c r="K411" s="1838"/>
    </row>
    <row r="412" spans="1:11">
      <c r="A412" s="1838"/>
      <c r="B412" s="1838"/>
      <c r="C412" s="1838"/>
      <c r="D412" s="1838"/>
      <c r="E412" s="1838"/>
      <c r="F412" s="1838"/>
      <c r="G412" s="1838"/>
      <c r="H412" s="1838"/>
      <c r="I412" s="1838"/>
      <c r="J412" s="1838"/>
      <c r="K412" s="1838"/>
    </row>
    <row r="413" spans="1:11">
      <c r="A413" s="1838"/>
      <c r="B413" s="1838"/>
      <c r="C413" s="1838"/>
      <c r="D413" s="1838"/>
      <c r="E413" s="1838"/>
      <c r="F413" s="1838"/>
      <c r="G413" s="1838"/>
      <c r="H413" s="1838"/>
      <c r="I413" s="1838"/>
      <c r="J413" s="1838"/>
      <c r="K413" s="1838"/>
    </row>
    <row r="414" spans="1:11">
      <c r="A414" s="1838"/>
      <c r="B414" s="1838"/>
      <c r="C414" s="1838"/>
      <c r="D414" s="1838"/>
      <c r="E414" s="1838"/>
      <c r="F414" s="1838"/>
      <c r="G414" s="1838"/>
      <c r="H414" s="1838"/>
      <c r="I414" s="1838"/>
      <c r="J414" s="1838"/>
      <c r="K414" s="1838"/>
    </row>
    <row r="415" spans="1:11">
      <c r="A415" s="1838"/>
      <c r="B415" s="1838"/>
      <c r="C415" s="1838"/>
      <c r="D415" s="1838"/>
      <c r="E415" s="1838"/>
      <c r="F415" s="1838"/>
      <c r="G415" s="1838"/>
      <c r="H415" s="1838"/>
      <c r="I415" s="1838"/>
      <c r="J415" s="1838"/>
      <c r="K415" s="1838"/>
    </row>
    <row r="416" spans="1:11">
      <c r="A416" s="1838"/>
      <c r="B416" s="1838"/>
      <c r="C416" s="1838"/>
      <c r="D416" s="1838"/>
      <c r="E416" s="1838"/>
      <c r="F416" s="1838"/>
      <c r="G416" s="1838"/>
      <c r="H416" s="1838"/>
      <c r="I416" s="1838"/>
      <c r="J416" s="1838"/>
      <c r="K416" s="1838"/>
    </row>
    <row r="417" spans="1:11">
      <c r="A417" s="1838"/>
      <c r="B417" s="1838"/>
      <c r="C417" s="1838"/>
      <c r="D417" s="1838"/>
      <c r="E417" s="1838"/>
      <c r="F417" s="1838"/>
      <c r="G417" s="1838"/>
      <c r="H417" s="1838"/>
      <c r="I417" s="1838"/>
      <c r="J417" s="1838"/>
      <c r="K417" s="1838"/>
    </row>
    <row r="418" spans="1:11">
      <c r="A418" s="1838"/>
      <c r="B418" s="1838"/>
      <c r="C418" s="1838"/>
      <c r="D418" s="1838"/>
      <c r="E418" s="1838"/>
      <c r="F418" s="1838"/>
      <c r="G418" s="1838"/>
      <c r="H418" s="1838"/>
      <c r="I418" s="1838"/>
      <c r="J418" s="1838"/>
      <c r="K418" s="1838"/>
    </row>
    <row r="419" spans="1:11">
      <c r="A419" s="1838"/>
      <c r="B419" s="1838"/>
      <c r="C419" s="1838"/>
      <c r="D419" s="1838"/>
      <c r="E419" s="1838"/>
      <c r="F419" s="1838"/>
      <c r="G419" s="1838"/>
      <c r="H419" s="1838"/>
      <c r="I419" s="1838"/>
      <c r="J419" s="1838"/>
      <c r="K419" s="1838"/>
    </row>
    <row r="420" spans="1:11">
      <c r="A420" s="1838"/>
      <c r="B420" s="1838"/>
      <c r="C420" s="1838"/>
      <c r="D420" s="1838"/>
      <c r="E420" s="1838"/>
      <c r="F420" s="1838"/>
      <c r="G420" s="1838"/>
      <c r="H420" s="1838"/>
      <c r="I420" s="1838"/>
      <c r="J420" s="1838"/>
      <c r="K420" s="1838"/>
    </row>
    <row r="421" spans="1:11">
      <c r="A421" s="1838"/>
      <c r="B421" s="1838"/>
      <c r="C421" s="1838"/>
      <c r="D421" s="1838"/>
      <c r="E421" s="1838"/>
      <c r="F421" s="1838"/>
      <c r="G421" s="1838"/>
      <c r="H421" s="1838"/>
      <c r="I421" s="1838"/>
      <c r="J421" s="1838"/>
      <c r="K421" s="1838"/>
    </row>
    <row r="422" spans="1:11">
      <c r="A422" s="1838"/>
      <c r="B422" s="1838"/>
      <c r="C422" s="1838"/>
      <c r="D422" s="1838"/>
      <c r="E422" s="1838"/>
      <c r="F422" s="1838"/>
      <c r="G422" s="1838"/>
      <c r="H422" s="1838"/>
      <c r="I422" s="1838"/>
      <c r="J422" s="1838"/>
      <c r="K422" s="1838"/>
    </row>
    <row r="423" spans="1:11">
      <c r="A423" s="1838"/>
      <c r="B423" s="1838"/>
      <c r="C423" s="1838"/>
      <c r="D423" s="1838"/>
      <c r="E423" s="1838"/>
      <c r="F423" s="1838"/>
      <c r="G423" s="1838"/>
      <c r="H423" s="1838"/>
      <c r="I423" s="1838"/>
      <c r="J423" s="1838"/>
      <c r="K423" s="1838"/>
    </row>
    <row r="424" spans="1:11">
      <c r="A424" s="1838"/>
      <c r="B424" s="1838"/>
      <c r="C424" s="1838"/>
      <c r="D424" s="1838"/>
      <c r="E424" s="1838"/>
      <c r="F424" s="1838"/>
      <c r="G424" s="1838"/>
      <c r="H424" s="1838"/>
      <c r="I424" s="1838"/>
      <c r="J424" s="1838"/>
      <c r="K424" s="1838"/>
    </row>
    <row r="425" spans="1:11">
      <c r="A425" s="1838"/>
      <c r="B425" s="1838"/>
      <c r="C425" s="1838"/>
      <c r="D425" s="1838"/>
      <c r="E425" s="1838"/>
      <c r="F425" s="1838"/>
      <c r="G425" s="1838"/>
      <c r="H425" s="1838"/>
      <c r="I425" s="1838"/>
      <c r="J425" s="1838"/>
      <c r="K425" s="1838"/>
    </row>
    <row r="426" spans="1:11">
      <c r="A426" s="1838"/>
      <c r="B426" s="1838"/>
      <c r="C426" s="1838"/>
      <c r="D426" s="1838"/>
      <c r="E426" s="1838"/>
      <c r="F426" s="1838"/>
      <c r="G426" s="1838"/>
      <c r="H426" s="1838"/>
      <c r="I426" s="1838"/>
      <c r="J426" s="1838"/>
      <c r="K426" s="1838"/>
    </row>
    <row r="427" spans="1:11">
      <c r="A427" s="1838"/>
      <c r="B427" s="1838"/>
      <c r="C427" s="1838"/>
      <c r="D427" s="1838"/>
      <c r="E427" s="1838"/>
      <c r="F427" s="1838"/>
      <c r="G427" s="1838"/>
      <c r="H427" s="1838"/>
      <c r="I427" s="1838"/>
      <c r="J427" s="1838"/>
      <c r="K427" s="1838"/>
    </row>
    <row r="428" spans="1:11">
      <c r="A428" s="1838"/>
      <c r="B428" s="1838"/>
      <c r="C428" s="1838"/>
      <c r="D428" s="1838"/>
      <c r="E428" s="1838"/>
      <c r="F428" s="1838"/>
      <c r="G428" s="1838"/>
      <c r="H428" s="1838"/>
      <c r="I428" s="1838"/>
      <c r="J428" s="1838"/>
      <c r="K428" s="1838"/>
    </row>
    <row r="429" spans="1:11">
      <c r="A429" s="1838"/>
      <c r="B429" s="1838"/>
      <c r="C429" s="1838"/>
      <c r="D429" s="1838"/>
      <c r="E429" s="1838"/>
      <c r="F429" s="1838"/>
      <c r="G429" s="1838"/>
      <c r="H429" s="1838"/>
      <c r="I429" s="1838"/>
      <c r="J429" s="1838"/>
      <c r="K429" s="1838"/>
    </row>
    <row r="430" spans="1:11">
      <c r="A430" s="1838"/>
      <c r="B430" s="1838"/>
      <c r="C430" s="1838"/>
      <c r="D430" s="1838"/>
      <c r="E430" s="1838"/>
      <c r="F430" s="1838"/>
      <c r="G430" s="1838"/>
      <c r="H430" s="1838"/>
      <c r="I430" s="1838"/>
      <c r="J430" s="1838"/>
      <c r="K430" s="1838"/>
    </row>
    <row r="431" spans="1:11">
      <c r="A431" s="1838"/>
      <c r="B431" s="1838"/>
      <c r="C431" s="1838"/>
      <c r="D431" s="1838"/>
      <c r="E431" s="1838"/>
      <c r="F431" s="1838"/>
      <c r="G431" s="1838"/>
      <c r="H431" s="1838"/>
      <c r="I431" s="1838"/>
      <c r="J431" s="1838"/>
      <c r="K431" s="1838"/>
    </row>
    <row r="432" spans="1:11">
      <c r="A432" s="1838"/>
      <c r="B432" s="1838"/>
      <c r="C432" s="1838"/>
      <c r="D432" s="1838"/>
      <c r="E432" s="1838"/>
      <c r="F432" s="1838"/>
      <c r="G432" s="1838"/>
      <c r="H432" s="1838"/>
      <c r="I432" s="1838"/>
      <c r="J432" s="1838"/>
      <c r="K432" s="1838"/>
    </row>
    <row r="433" spans="1:11">
      <c r="A433" s="1838"/>
      <c r="B433" s="1838"/>
      <c r="C433" s="1838"/>
      <c r="D433" s="1838"/>
      <c r="E433" s="1838"/>
      <c r="F433" s="1838"/>
      <c r="G433" s="1838"/>
      <c r="H433" s="1838"/>
      <c r="I433" s="1838"/>
      <c r="J433" s="1838"/>
      <c r="K433" s="1838"/>
    </row>
    <row r="434" spans="1:11">
      <c r="A434" s="1838"/>
      <c r="B434" s="1838"/>
      <c r="C434" s="1838"/>
      <c r="D434" s="1838"/>
      <c r="E434" s="1838"/>
      <c r="F434" s="1838"/>
      <c r="G434" s="1838"/>
      <c r="H434" s="1838"/>
      <c r="I434" s="1838"/>
      <c r="J434" s="1838"/>
      <c r="K434" s="1838"/>
    </row>
    <row r="435" spans="1:11">
      <c r="A435" s="1838"/>
      <c r="B435" s="1838"/>
      <c r="C435" s="1838"/>
      <c r="D435" s="1838"/>
      <c r="E435" s="1838"/>
      <c r="F435" s="1838"/>
      <c r="G435" s="1838"/>
      <c r="H435" s="1838"/>
      <c r="I435" s="1838"/>
      <c r="J435" s="1838"/>
      <c r="K435" s="1838"/>
    </row>
    <row r="436" spans="1:11">
      <c r="A436" s="1838"/>
      <c r="B436" s="1838"/>
      <c r="C436" s="1838"/>
      <c r="D436" s="1838"/>
      <c r="E436" s="1838"/>
      <c r="F436" s="1838"/>
      <c r="G436" s="1838"/>
      <c r="H436" s="1838"/>
      <c r="I436" s="1838"/>
      <c r="J436" s="1838"/>
      <c r="K436" s="1838"/>
    </row>
    <row r="437" spans="1:11">
      <c r="A437" s="1838"/>
      <c r="B437" s="1838"/>
      <c r="C437" s="1838"/>
      <c r="D437" s="1838"/>
      <c r="E437" s="1838"/>
      <c r="F437" s="1838"/>
      <c r="G437" s="1838"/>
      <c r="H437" s="1838"/>
      <c r="I437" s="1838"/>
      <c r="J437" s="1838"/>
      <c r="K437" s="1838"/>
    </row>
    <row r="438" spans="1:11">
      <c r="A438" s="1838"/>
      <c r="B438" s="1838"/>
      <c r="C438" s="1838"/>
      <c r="D438" s="1838"/>
      <c r="E438" s="1838"/>
      <c r="F438" s="1838"/>
      <c r="G438" s="1838"/>
      <c r="H438" s="1838"/>
      <c r="I438" s="1838"/>
      <c r="J438" s="1838"/>
      <c r="K438" s="1838"/>
    </row>
    <row r="439" spans="1:11">
      <c r="A439" s="1838"/>
      <c r="B439" s="1838"/>
      <c r="C439" s="1838"/>
      <c r="D439" s="1838"/>
      <c r="E439" s="1838"/>
      <c r="F439" s="1838"/>
      <c r="G439" s="1838"/>
      <c r="H439" s="1838"/>
      <c r="I439" s="1838"/>
      <c r="J439" s="1838"/>
      <c r="K439" s="1838"/>
    </row>
    <row r="440" spans="1:11">
      <c r="A440" s="1838"/>
      <c r="B440" s="1838"/>
      <c r="C440" s="1838"/>
      <c r="D440" s="1838"/>
      <c r="E440" s="1838"/>
      <c r="F440" s="1838"/>
      <c r="G440" s="1838"/>
      <c r="H440" s="1838"/>
      <c r="I440" s="1838"/>
      <c r="J440" s="1838"/>
      <c r="K440" s="1838"/>
    </row>
  </sheetData>
  <sheetProtection algorithmName="SHA-512" hashValue="feZzRxBvdaPpW+Ig4fuKJAAVVlbamViPi4+FRZP7pdMKsNARHIKkuj9Yx0WU1JV4FBzHPtlT5dxPi/F8zg2sAg==" saltValue="9ndvOlGn1fWkpzLTBQkcXA==" spinCount="100000" sheet="1" objects="1" scenarios="1"/>
  <mergeCells count="1">
    <mergeCell ref="I1:K1"/>
  </mergeCells>
  <conditionalFormatting sqref="K14 K28 K49 K61 K77 K85 K93 K103 K108 K112 J5 J8 J11">
    <cfRule type="cellIs" dxfId="456" priority="5" operator="notEqual">
      <formula>0</formula>
    </cfRule>
    <cfRule type="cellIs" dxfId="455" priority="6" operator="equal">
      <formula>0</formula>
    </cfRule>
  </conditionalFormatting>
  <conditionalFormatting sqref="K11">
    <cfRule type="cellIs" dxfId="454" priority="3" operator="notEqual">
      <formula>0</formula>
    </cfRule>
    <cfRule type="cellIs" dxfId="453" priority="4" operator="equal">
      <formula>0</formula>
    </cfRule>
  </conditionalFormatting>
  <conditionalFormatting sqref="K8">
    <cfRule type="cellIs" dxfId="452" priority="1" operator="notEqual">
      <formula>0</formula>
    </cfRule>
    <cfRule type="cellIs" dxfId="451" priority="2" operator="equal">
      <formula>0</formula>
    </cfRule>
  </conditionalFormatting>
  <conditionalFormatting sqref="K14 K28 K49 K61 K77 K85 K93 K103 K108 K112">
    <cfRule type="cellIs" dxfId="450" priority="7" operator="notEqual">
      <formula>0</formula>
    </cfRule>
    <cfRule type="cellIs" dxfId="449" priority="8" operator="equal">
      <formula>0</formula>
    </cfRule>
  </conditionalFormatting>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9" tint="-0.249977111117893"/>
  </sheetPr>
  <dimension ref="A1:L115"/>
  <sheetViews>
    <sheetView zoomScaleNormal="100" workbookViewId="0"/>
  </sheetViews>
  <sheetFormatPr defaultColWidth="9.140625" defaultRowHeight="12"/>
  <cols>
    <col min="1" max="1" width="13.7109375" style="1266" customWidth="1"/>
    <col min="2" max="2" width="6.7109375" style="1266" customWidth="1"/>
    <col min="3" max="3" width="7.7109375" style="1266" customWidth="1"/>
    <col min="4" max="4" width="10.28515625" style="1266" customWidth="1"/>
    <col min="5" max="5" width="19.140625" style="1266" customWidth="1"/>
    <col min="6" max="6" width="24.85546875" style="1266" customWidth="1"/>
    <col min="7" max="7" width="26" style="1266" customWidth="1"/>
    <col min="8" max="8" width="12" style="1266" customWidth="1"/>
    <col min="9" max="9" width="79.7109375" style="1267" customWidth="1"/>
    <col min="10" max="10" width="13.42578125" style="1223" customWidth="1"/>
    <col min="11" max="11" width="13.42578125" style="1233" customWidth="1"/>
    <col min="12" max="12" width="60.140625" style="1223" customWidth="1"/>
    <col min="13" max="16384" width="9.140625" style="1223"/>
  </cols>
  <sheetData>
    <row r="1" spans="1:12" s="1204" customFormat="1" ht="15.75" thickBot="1">
      <c r="B1" s="2624"/>
      <c r="C1" s="2624"/>
      <c r="D1" s="2624"/>
      <c r="E1" s="3080" t="str">
        <f>'Contact Information'!$C$5</f>
        <v>SAMPLE STATE COLLEGE</v>
      </c>
      <c r="F1" s="2624"/>
      <c r="G1" s="2624"/>
      <c r="H1" s="2624"/>
      <c r="I1" s="2645" t="s">
        <v>2769</v>
      </c>
      <c r="J1" s="3084"/>
      <c r="K1" s="3084"/>
      <c r="L1" s="3084"/>
    </row>
    <row r="2" spans="1:12" s="1204" customFormat="1" ht="15" customHeight="1">
      <c r="B2" s="2626"/>
      <c r="C2" s="2626"/>
      <c r="D2" s="2626"/>
      <c r="E2" s="3081" t="s">
        <v>2298</v>
      </c>
      <c r="F2" s="2626"/>
      <c r="G2" s="2626"/>
      <c r="H2" s="2626"/>
      <c r="I2" s="3086" t="s">
        <v>2770</v>
      </c>
      <c r="J2" s="3085"/>
      <c r="K2" s="3085"/>
      <c r="L2" s="3085"/>
    </row>
    <row r="3" spans="1:12" s="1204" customFormat="1" ht="15">
      <c r="B3" s="2633"/>
      <c r="C3" s="2633"/>
      <c r="D3" s="2633"/>
      <c r="E3" s="3082" t="s">
        <v>2744</v>
      </c>
      <c r="F3" s="2633"/>
      <c r="G3" s="2633"/>
      <c r="H3" s="2633"/>
      <c r="I3" s="3087" t="s">
        <v>2771</v>
      </c>
    </row>
    <row r="4" spans="1:12" s="1204" customFormat="1" ht="15">
      <c r="B4" s="2974"/>
      <c r="C4" s="2974"/>
      <c r="D4" s="2974"/>
      <c r="E4" s="3083" t="str">
        <f>+SNP!K6</f>
        <v>For the Fiscal Year Ended June 30, 2021</v>
      </c>
      <c r="F4" s="2974"/>
      <c r="G4" s="2634"/>
      <c r="H4" s="2634"/>
      <c r="I4" s="3087" t="s">
        <v>2772</v>
      </c>
    </row>
    <row r="5" spans="1:12" s="1204" customFormat="1" ht="15">
      <c r="A5" s="1205"/>
      <c r="B5" s="489"/>
      <c r="C5" s="489"/>
      <c r="D5" s="489"/>
      <c r="E5" s="489"/>
      <c r="F5" s="489"/>
      <c r="G5" s="489"/>
      <c r="H5" s="489"/>
      <c r="I5" s="3087" t="s">
        <v>2773</v>
      </c>
    </row>
    <row r="6" spans="1:12" s="1204" customFormat="1" ht="15.75" thickBot="1">
      <c r="A6" s="2975" t="s">
        <v>4061</v>
      </c>
      <c r="B6" s="1206"/>
      <c r="C6" s="1206"/>
      <c r="D6" s="1206"/>
      <c r="E6" s="1206"/>
      <c r="F6" s="1206"/>
      <c r="G6" s="1206"/>
      <c r="H6" s="1206"/>
      <c r="I6" s="3088" t="s">
        <v>2774</v>
      </c>
    </row>
    <row r="7" spans="1:12" s="1209" customFormat="1" ht="12.75">
      <c r="A7" s="1207"/>
      <c r="B7" s="1208"/>
      <c r="C7" s="1208"/>
      <c r="D7" s="1208"/>
      <c r="E7" s="1208"/>
      <c r="F7" s="1208"/>
      <c r="G7" s="1208"/>
      <c r="H7" s="1208"/>
    </row>
    <row r="8" spans="1:12" s="1209" customFormat="1" ht="12.75">
      <c r="A8" s="239"/>
      <c r="B8" s="1813"/>
      <c r="C8" s="1813"/>
      <c r="D8" s="1210" t="s">
        <v>2775</v>
      </c>
      <c r="E8" s="1210"/>
      <c r="F8" s="1813"/>
      <c r="G8" s="1211" t="s">
        <v>2776</v>
      </c>
      <c r="H8" s="1813"/>
    </row>
    <row r="9" spans="1:12" s="1209" customFormat="1" ht="15">
      <c r="A9" s="239"/>
      <c r="B9" s="1813"/>
      <c r="C9" s="1813"/>
      <c r="D9" s="1813"/>
      <c r="E9" s="1813"/>
      <c r="F9" s="1813"/>
      <c r="G9" s="1813"/>
      <c r="H9" s="1813"/>
      <c r="I9" s="2646" t="s">
        <v>2349</v>
      </c>
      <c r="J9" s="2647"/>
      <c r="K9" s="1212"/>
      <c r="L9" s="1204"/>
    </row>
    <row r="10" spans="1:12" s="1209" customFormat="1" ht="12.75">
      <c r="A10" s="239"/>
      <c r="B10" s="1813"/>
      <c r="C10" s="1813"/>
      <c r="D10" s="1813" t="s">
        <v>2777</v>
      </c>
      <c r="E10" s="1176"/>
      <c r="F10" s="1176"/>
      <c r="G10" s="1213"/>
      <c r="H10" s="1813"/>
      <c r="I10" s="1198"/>
      <c r="J10" s="4092"/>
      <c r="K10" s="4092"/>
      <c r="L10" s="4092"/>
    </row>
    <row r="11" spans="1:12" s="1209" customFormat="1" ht="12.75">
      <c r="A11" s="239"/>
      <c r="B11" s="1813"/>
      <c r="C11" s="1813"/>
      <c r="D11" s="1813" t="s">
        <v>2778</v>
      </c>
      <c r="E11" s="1176"/>
      <c r="F11" s="1176"/>
      <c r="G11" s="1214">
        <f>ROUND('Accounts by GL'!O34,0)</f>
        <v>0</v>
      </c>
      <c r="H11" s="1813"/>
      <c r="I11" s="1198"/>
      <c r="J11" s="4092"/>
      <c r="K11" s="4092"/>
      <c r="L11" s="4092"/>
    </row>
    <row r="12" spans="1:12" s="1209" customFormat="1" ht="12.75">
      <c r="A12" s="239"/>
      <c r="B12" s="1813"/>
      <c r="C12" s="1813"/>
      <c r="D12" s="1813" t="s">
        <v>2779</v>
      </c>
      <c r="E12" s="1176"/>
      <c r="F12" s="1176"/>
      <c r="G12" s="1213"/>
      <c r="H12" s="1813"/>
      <c r="I12" s="1198"/>
      <c r="J12" s="4092"/>
      <c r="K12" s="4092"/>
      <c r="L12" s="4092"/>
    </row>
    <row r="13" spans="1:12" s="1209" customFormat="1" ht="15" customHeight="1">
      <c r="A13" s="239"/>
      <c r="B13" s="1813"/>
      <c r="C13" s="1813"/>
      <c r="D13" s="1813" t="s">
        <v>2780</v>
      </c>
      <c r="E13" s="1176"/>
      <c r="F13" s="1176"/>
      <c r="G13" s="1215">
        <f>ROUND('Accounts by GL'!O32,0)</f>
        <v>0</v>
      </c>
      <c r="H13" s="1813"/>
      <c r="I13" s="1198"/>
      <c r="J13" s="4092"/>
      <c r="K13" s="4092"/>
      <c r="L13" s="4092"/>
    </row>
    <row r="14" spans="1:12" s="1209" customFormat="1" ht="12.75">
      <c r="A14" s="239"/>
      <c r="B14" s="1813"/>
      <c r="C14" s="1813"/>
      <c r="D14" s="1813" t="s">
        <v>2781</v>
      </c>
      <c r="E14" s="1176"/>
      <c r="F14" s="1176"/>
      <c r="G14" s="1216"/>
      <c r="H14" s="1813"/>
      <c r="I14" s="1198"/>
      <c r="J14" s="4092"/>
      <c r="K14" s="4092"/>
      <c r="L14" s="4092"/>
    </row>
    <row r="15" spans="1:12" s="1209" customFormat="1" ht="12.75">
      <c r="A15" s="239"/>
      <c r="B15" s="1813"/>
      <c r="C15" s="1813"/>
      <c r="D15" s="1813" t="s">
        <v>2782</v>
      </c>
      <c r="E15" s="1176"/>
      <c r="F15" s="1176"/>
      <c r="G15" s="482">
        <v>0</v>
      </c>
      <c r="H15" s="1813"/>
      <c r="I15" s="1198"/>
      <c r="J15" s="4092"/>
      <c r="K15" s="4092"/>
      <c r="L15" s="4092"/>
    </row>
    <row r="16" spans="1:12" s="1209" customFormat="1" ht="12.75">
      <c r="A16" s="239"/>
      <c r="B16" s="1813"/>
      <c r="C16" s="1813"/>
      <c r="D16" s="1813" t="s">
        <v>614</v>
      </c>
      <c r="E16" s="1813"/>
      <c r="F16" s="1813"/>
      <c r="G16" s="482">
        <v>0</v>
      </c>
      <c r="H16" s="239"/>
      <c r="I16" s="1198"/>
      <c r="J16" s="4092"/>
      <c r="K16" s="4092"/>
      <c r="L16" s="4092"/>
    </row>
    <row r="17" spans="1:12" s="1209" customFormat="1" ht="12.75" customHeight="1">
      <c r="A17" s="239"/>
      <c r="B17" s="1813"/>
      <c r="C17" s="1813"/>
      <c r="D17" s="1813" t="s">
        <v>2783</v>
      </c>
      <c r="E17" s="1813"/>
      <c r="F17" s="1813"/>
      <c r="G17" s="482">
        <v>0</v>
      </c>
      <c r="H17" s="239"/>
      <c r="I17" s="1198"/>
      <c r="J17" s="4092"/>
      <c r="K17" s="4092"/>
      <c r="L17" s="4092"/>
    </row>
    <row r="18" spans="1:12" s="1209" customFormat="1" ht="12.75">
      <c r="A18" s="239"/>
      <c r="B18" s="1813"/>
      <c r="C18" s="1813"/>
      <c r="D18" s="1813" t="s">
        <v>2784</v>
      </c>
      <c r="E18" s="1813"/>
      <c r="F18" s="1813"/>
      <c r="G18" s="482">
        <v>0</v>
      </c>
      <c r="H18" s="239"/>
      <c r="I18" s="1198"/>
      <c r="J18" s="4092"/>
      <c r="K18" s="4092"/>
      <c r="L18" s="4092"/>
    </row>
    <row r="19" spans="1:12" s="1209" customFormat="1" ht="15" customHeight="1">
      <c r="A19" s="239"/>
      <c r="B19" s="1813"/>
      <c r="C19" s="1813"/>
      <c r="D19" s="2640" t="s">
        <v>639</v>
      </c>
      <c r="E19" s="2640"/>
      <c r="F19" s="2640"/>
      <c r="G19" s="482">
        <v>0</v>
      </c>
      <c r="H19" s="239"/>
      <c r="I19" s="1198"/>
      <c r="J19" s="4092"/>
      <c r="K19" s="4092"/>
      <c r="L19" s="4092"/>
    </row>
    <row r="20" spans="1:12" s="1209" customFormat="1" ht="15" customHeight="1">
      <c r="A20" s="239"/>
      <c r="B20" s="1813"/>
      <c r="C20" s="1813"/>
      <c r="D20" s="2640" t="s">
        <v>641</v>
      </c>
      <c r="E20" s="2640"/>
      <c r="F20" s="2640"/>
      <c r="G20" s="482">
        <v>0</v>
      </c>
      <c r="H20" s="239"/>
      <c r="I20" s="1198"/>
      <c r="J20" s="4092"/>
      <c r="K20" s="4092"/>
      <c r="L20" s="4092"/>
    </row>
    <row r="21" spans="1:12" s="1209" customFormat="1" ht="12.75">
      <c r="A21" s="239"/>
      <c r="B21" s="1813"/>
      <c r="C21" s="1813"/>
      <c r="D21" s="1813" t="s">
        <v>621</v>
      </c>
      <c r="E21" s="1176"/>
      <c r="F21" s="1176"/>
      <c r="G21" s="482">
        <v>0</v>
      </c>
      <c r="H21" s="239"/>
      <c r="I21" s="1198"/>
      <c r="J21" s="4092"/>
      <c r="K21" s="4092"/>
      <c r="L21" s="4092"/>
    </row>
    <row r="22" spans="1:12" s="1209" customFormat="1" ht="12.75">
      <c r="A22" s="239"/>
      <c r="B22" s="1813"/>
      <c r="C22" s="1813"/>
      <c r="D22" s="1813" t="s">
        <v>623</v>
      </c>
      <c r="E22" s="1176"/>
      <c r="F22" s="1176"/>
      <c r="G22" s="482">
        <v>0</v>
      </c>
      <c r="H22" s="239"/>
      <c r="I22" s="1198"/>
      <c r="J22" s="4092"/>
      <c r="K22" s="4092"/>
      <c r="L22" s="4092"/>
    </row>
    <row r="23" spans="1:12" s="1209" customFormat="1" ht="12.75">
      <c r="A23" s="239"/>
      <c r="B23" s="1813"/>
      <c r="C23" s="1813"/>
      <c r="D23" s="1813" t="s">
        <v>625</v>
      </c>
      <c r="E23" s="1217"/>
      <c r="F23" s="1217"/>
      <c r="G23" s="482">
        <v>0</v>
      </c>
      <c r="H23" s="239"/>
      <c r="I23" s="1198"/>
      <c r="J23" s="4092"/>
      <c r="K23" s="4092"/>
      <c r="L23" s="4092"/>
    </row>
    <row r="24" spans="1:12" s="1209" customFormat="1" ht="12.75">
      <c r="A24" s="239"/>
      <c r="B24" s="1813"/>
      <c r="C24" s="1813"/>
      <c r="D24" s="1813" t="s">
        <v>627</v>
      </c>
      <c r="E24" s="1217"/>
      <c r="F24" s="1217"/>
      <c r="G24" s="482">
        <v>0</v>
      </c>
      <c r="H24" s="239"/>
      <c r="I24" s="1198"/>
      <c r="J24" s="4092"/>
      <c r="K24" s="4092"/>
      <c r="L24" s="4092"/>
    </row>
    <row r="25" spans="1:12" s="1209" customFormat="1" ht="12.75">
      <c r="A25" s="239"/>
      <c r="B25" s="1813"/>
      <c r="C25" s="1813"/>
      <c r="D25" s="1813" t="s">
        <v>629</v>
      </c>
      <c r="E25" s="1217"/>
      <c r="F25" s="1217"/>
      <c r="G25" s="482">
        <v>0</v>
      </c>
      <c r="H25" s="239"/>
      <c r="I25" s="1198"/>
      <c r="J25" s="4092"/>
      <c r="K25" s="4092"/>
      <c r="L25" s="4092"/>
    </row>
    <row r="26" spans="1:12" s="1209" customFormat="1" ht="12.75">
      <c r="A26" s="239"/>
      <c r="B26" s="1813"/>
      <c r="C26" s="1813"/>
      <c r="D26" s="1813" t="s">
        <v>631</v>
      </c>
      <c r="E26" s="1813"/>
      <c r="F26" s="1813"/>
      <c r="G26" s="482">
        <v>0</v>
      </c>
      <c r="H26" s="239"/>
      <c r="I26" s="1198"/>
      <c r="J26" s="4092"/>
      <c r="K26" s="4092"/>
      <c r="L26" s="4092"/>
    </row>
    <row r="27" spans="1:12" s="1209" customFormat="1" ht="12.75">
      <c r="A27" s="239"/>
      <c r="B27" s="1813"/>
      <c r="C27" s="1813"/>
      <c r="D27" s="1813" t="s">
        <v>633</v>
      </c>
      <c r="E27" s="1813"/>
      <c r="F27" s="1813"/>
      <c r="G27" s="483">
        <v>0</v>
      </c>
      <c r="H27" s="239"/>
      <c r="I27" s="1198"/>
      <c r="J27" s="4092"/>
      <c r="K27" s="4092"/>
      <c r="L27" s="4092"/>
    </row>
    <row r="28" spans="1:12" s="1209" customFormat="1" ht="9" customHeight="1">
      <c r="A28" s="239"/>
      <c r="B28" s="1813"/>
      <c r="C28" s="1813"/>
      <c r="D28" s="1813"/>
      <c r="E28" s="1813"/>
      <c r="F28" s="1813"/>
      <c r="G28" s="1218"/>
      <c r="H28" s="239"/>
      <c r="I28" s="1198"/>
      <c r="J28" s="4092"/>
      <c r="K28" s="4092"/>
      <c r="L28" s="4092"/>
    </row>
    <row r="29" spans="1:12" s="1209" customFormat="1" ht="13.5" thickBot="1">
      <c r="A29" s="239"/>
      <c r="B29" s="1813"/>
      <c r="C29" s="1813"/>
      <c r="D29" s="1811" t="s">
        <v>2785</v>
      </c>
      <c r="E29" s="1176"/>
      <c r="F29" s="1176"/>
      <c r="G29" s="1219">
        <f t="array" ref="G29">SUM(ROUND(G11:G27,0))</f>
        <v>0</v>
      </c>
      <c r="H29" s="239"/>
      <c r="I29" s="1198"/>
      <c r="J29" s="4092"/>
      <c r="K29" s="4092"/>
      <c r="L29" s="4092"/>
    </row>
    <row r="30" spans="1:12" s="1209" customFormat="1" ht="13.5" thickTop="1">
      <c r="A30" s="239"/>
      <c r="B30" s="1813"/>
      <c r="C30" s="1813"/>
      <c r="D30" s="1813"/>
      <c r="E30" s="1813"/>
      <c r="F30" s="1813"/>
      <c r="G30" s="1813"/>
      <c r="H30" s="239"/>
      <c r="I30" s="1198"/>
      <c r="J30" s="4092"/>
      <c r="K30" s="4092"/>
      <c r="L30" s="4092"/>
    </row>
    <row r="31" spans="1:12" s="1209" customFormat="1" ht="12.75">
      <c r="A31" s="1207"/>
      <c r="B31" s="1208"/>
      <c r="C31" s="1208"/>
      <c r="D31" s="1813"/>
      <c r="E31" s="1813"/>
      <c r="F31" s="1176" t="s">
        <v>2786</v>
      </c>
      <c r="G31" s="1027">
        <f t="array" ref="G31">(SUM(ROUND(SNP!M14:'SNP'!M15,0)))+(SUM(ROUND(SNP!M29:'SNP'!M30,0)))</f>
        <v>0</v>
      </c>
      <c r="H31" s="1207"/>
      <c r="I31" s="1198"/>
      <c r="J31" s="4092"/>
      <c r="K31" s="4092"/>
      <c r="L31" s="4092"/>
    </row>
    <row r="32" spans="1:12" s="1209" customFormat="1" ht="12.75">
      <c r="A32" s="1207"/>
      <c r="B32" s="1208"/>
      <c r="C32" s="1208"/>
      <c r="D32" s="1208"/>
      <c r="E32" s="1208"/>
      <c r="F32" s="1176" t="s">
        <v>2787</v>
      </c>
      <c r="G32" s="1027">
        <f t="array" ref="G32">SUM(ROUND('Accounts by GL'!O31:O34,0))</f>
        <v>0</v>
      </c>
      <c r="H32" s="1207"/>
      <c r="I32" s="1198"/>
      <c r="J32" s="4092"/>
      <c r="K32" s="4092"/>
      <c r="L32" s="4092"/>
    </row>
    <row r="33" spans="1:12">
      <c r="A33" s="1220"/>
      <c r="B33" s="1221"/>
      <c r="C33" s="1221"/>
      <c r="D33" s="1221"/>
      <c r="E33" s="1221"/>
      <c r="F33" s="1221"/>
      <c r="G33" s="1221"/>
      <c r="H33" s="1222"/>
      <c r="I33" s="1198"/>
      <c r="J33" s="4092"/>
      <c r="K33" s="4092"/>
      <c r="L33" s="4092"/>
    </row>
    <row r="34" spans="1:12">
      <c r="A34" s="3755" t="str">
        <f>E1</f>
        <v>SAMPLE STATE COLLEGE</v>
      </c>
      <c r="B34" s="3756"/>
      <c r="C34" s="3756"/>
      <c r="D34" s="3756"/>
      <c r="E34" s="3756"/>
      <c r="F34" s="3756"/>
      <c r="G34" s="3756"/>
      <c r="H34" s="3757"/>
      <c r="I34" s="1198"/>
      <c r="J34" s="4092"/>
      <c r="K34" s="4092"/>
      <c r="L34" s="4092"/>
    </row>
    <row r="35" spans="1:12" ht="12.75" thickBot="1">
      <c r="A35" s="2976" t="str">
        <f>E4</f>
        <v>For the Fiscal Year Ended June 30, 2021</v>
      </c>
      <c r="B35" s="2649"/>
      <c r="C35" s="2649"/>
      <c r="D35" s="2649"/>
      <c r="E35" s="2649"/>
      <c r="F35" s="2649"/>
      <c r="G35" s="2649"/>
      <c r="H35" s="2650"/>
      <c r="I35" s="1198"/>
      <c r="J35" s="4092"/>
      <c r="K35" s="4092"/>
      <c r="L35" s="4092"/>
    </row>
    <row r="36" spans="1:12">
      <c r="A36" s="2656" t="s">
        <v>2788</v>
      </c>
      <c r="B36" s="2657"/>
      <c r="C36" s="2657"/>
      <c r="D36" s="2657"/>
      <c r="E36" s="2657"/>
      <c r="F36" s="2657"/>
      <c r="G36" s="2657"/>
      <c r="H36" s="2658"/>
      <c r="I36" s="1198"/>
      <c r="J36" s="4092"/>
      <c r="K36" s="4092"/>
      <c r="L36" s="4092"/>
    </row>
    <row r="37" spans="1:12">
      <c r="A37" s="2653" t="s">
        <v>2789</v>
      </c>
      <c r="B37" s="2654"/>
      <c r="C37" s="2654"/>
      <c r="D37" s="2654"/>
      <c r="E37" s="2654"/>
      <c r="F37" s="2654"/>
      <c r="G37" s="2654"/>
      <c r="H37" s="2655"/>
      <c r="I37" s="1198"/>
      <c r="J37" s="4092"/>
      <c r="K37" s="4092"/>
      <c r="L37" s="4092"/>
    </row>
    <row r="38" spans="1:12" s="307" customFormat="1">
      <c r="A38" s="1224"/>
      <c r="B38" s="1224" t="s">
        <v>2790</v>
      </c>
      <c r="C38" s="1224" t="s">
        <v>2791</v>
      </c>
      <c r="D38" s="1225"/>
      <c r="E38" s="1225"/>
      <c r="F38" s="1225"/>
      <c r="G38" s="1225"/>
      <c r="H38" s="1226" t="s">
        <v>3</v>
      </c>
      <c r="I38" s="1198"/>
      <c r="J38" s="4092"/>
      <c r="K38" s="4092"/>
      <c r="L38" s="4092"/>
    </row>
    <row r="39" spans="1:12" s="307" customFormat="1">
      <c r="A39" s="1227"/>
      <c r="B39" s="1227"/>
      <c r="C39" s="1227"/>
      <c r="D39" s="1227"/>
      <c r="E39" s="1227"/>
      <c r="F39" s="1227"/>
      <c r="G39" s="1227"/>
      <c r="H39" s="2973" t="str">
        <f>'Contact Information'!$C$3</f>
        <v>2021.v01</v>
      </c>
      <c r="I39" s="1198"/>
      <c r="J39" s="4092"/>
      <c r="K39" s="4092"/>
      <c r="L39" s="4092"/>
    </row>
    <row r="40" spans="1:12" s="307" customFormat="1" ht="9" customHeight="1">
      <c r="A40" s="1227"/>
      <c r="B40" s="1227"/>
      <c r="C40" s="1227"/>
      <c r="D40" s="1227"/>
      <c r="E40" s="1227"/>
      <c r="F40" s="1227"/>
      <c r="G40" s="1227"/>
      <c r="H40" s="1228"/>
      <c r="I40" s="1198"/>
      <c r="J40" s="4092"/>
      <c r="K40" s="4092"/>
      <c r="L40" s="4092"/>
    </row>
    <row r="41" spans="1:12" ht="15.75" customHeight="1">
      <c r="A41" s="3323" t="s">
        <v>2792</v>
      </c>
      <c r="B41" s="3324"/>
      <c r="C41" s="3324"/>
      <c r="D41" s="3324"/>
      <c r="E41" s="3324"/>
      <c r="F41" s="3324"/>
      <c r="G41" s="3324"/>
      <c r="H41" s="3758"/>
      <c r="I41" s="1198"/>
      <c r="J41" s="4092"/>
      <c r="K41" s="4092"/>
      <c r="L41" s="4092"/>
    </row>
    <row r="42" spans="1:12" s="307" customFormat="1" ht="13.5" customHeight="1">
      <c r="A42" s="1229"/>
      <c r="B42" s="1186"/>
      <c r="C42" s="1229"/>
      <c r="D42" s="1229"/>
      <c r="E42" s="1229"/>
      <c r="F42" s="1229"/>
      <c r="G42" s="1230"/>
      <c r="H42" s="1231"/>
      <c r="I42" s="1198"/>
      <c r="J42" s="4092"/>
      <c r="K42" s="4092"/>
      <c r="L42" s="4092"/>
    </row>
    <row r="43" spans="1:12" s="307" customFormat="1" ht="12.75">
      <c r="A43" s="1232" t="s">
        <v>2793</v>
      </c>
      <c r="B43" s="1818"/>
      <c r="C43" s="1227"/>
      <c r="D43" s="1227"/>
      <c r="E43" s="1227"/>
      <c r="F43" s="1227"/>
      <c r="G43" s="3325"/>
      <c r="H43" s="1818"/>
      <c r="I43" s="1198"/>
      <c r="J43" s="4092"/>
      <c r="K43" s="4092"/>
      <c r="L43" s="4092"/>
    </row>
    <row r="44" spans="1:12" s="307" customFormat="1" ht="14.25" customHeight="1">
      <c r="A44" s="1227"/>
      <c r="B44" s="1227"/>
      <c r="C44" s="1227"/>
      <c r="D44" s="1227"/>
      <c r="E44" s="1227"/>
      <c r="F44" s="1227"/>
      <c r="G44" s="1227"/>
      <c r="H44" s="1227"/>
      <c r="I44" s="1198"/>
      <c r="J44" s="4092"/>
      <c r="K44" s="4092"/>
      <c r="L44" s="4092"/>
    </row>
    <row r="45" spans="1:12" s="1233" customFormat="1" ht="9" customHeight="1">
      <c r="A45" s="1234"/>
      <c r="B45" s="1234"/>
      <c r="C45" s="1234"/>
      <c r="D45" s="1234"/>
      <c r="E45" s="1234"/>
      <c r="F45" s="1234"/>
      <c r="G45" s="1234"/>
      <c r="H45" s="1234"/>
      <c r="I45" s="1198"/>
      <c r="J45" s="4092"/>
      <c r="K45" s="4092"/>
      <c r="L45" s="4092"/>
    </row>
    <row r="46" spans="1:12" s="1233" customFormat="1" ht="15.75" customHeight="1">
      <c r="A46" s="3323" t="s">
        <v>2794</v>
      </c>
      <c r="B46" s="3324"/>
      <c r="C46" s="3324"/>
      <c r="D46" s="3324"/>
      <c r="E46" s="3324"/>
      <c r="F46" s="3324"/>
      <c r="G46" s="3324"/>
      <c r="H46" s="3758"/>
      <c r="I46" s="1198"/>
      <c r="J46" s="4092"/>
      <c r="K46" s="4092"/>
      <c r="L46" s="4092"/>
    </row>
    <row r="47" spans="1:12" s="307" customFormat="1" ht="17.25" customHeight="1">
      <c r="A47" s="3759"/>
      <c r="B47" s="3759"/>
      <c r="C47" s="3759"/>
      <c r="D47" s="3759"/>
      <c r="E47" s="3759"/>
      <c r="F47" s="3759"/>
      <c r="G47" s="3759"/>
      <c r="H47" s="3759"/>
      <c r="I47" s="1198"/>
      <c r="J47" s="4092"/>
      <c r="K47" s="4092"/>
      <c r="L47" s="4092"/>
    </row>
    <row r="48" spans="1:12" s="797" customFormat="1" ht="9" customHeight="1">
      <c r="A48" s="1225"/>
      <c r="B48" s="1225"/>
      <c r="C48" s="1225"/>
      <c r="D48" s="1225"/>
      <c r="E48" s="1225"/>
      <c r="F48" s="1225"/>
      <c r="G48" s="1225"/>
      <c r="H48" s="1225"/>
      <c r="I48" s="1198"/>
      <c r="J48" s="4093"/>
      <c r="K48" s="4093"/>
      <c r="L48" s="4093"/>
    </row>
    <row r="49" spans="1:12" s="797" customFormat="1">
      <c r="A49" s="2648" t="s">
        <v>2795</v>
      </c>
      <c r="B49" s="2648"/>
      <c r="C49" s="2648"/>
      <c r="D49" s="2648"/>
      <c r="E49" s="2648"/>
      <c r="F49" s="2648"/>
      <c r="G49" s="2648"/>
      <c r="H49" s="2648"/>
      <c r="I49" s="1198"/>
      <c r="J49" s="4093"/>
      <c r="K49" s="4093"/>
      <c r="L49" s="4093"/>
    </row>
    <row r="50" spans="1:12" s="797" customFormat="1">
      <c r="A50" s="1235"/>
      <c r="B50" s="1235"/>
      <c r="C50" s="1235"/>
      <c r="D50" s="1235"/>
      <c r="E50" s="1235"/>
      <c r="F50" s="1235"/>
      <c r="G50" s="1235"/>
      <c r="H50" s="1235"/>
      <c r="I50" s="1198"/>
      <c r="J50" s="4093"/>
      <c r="K50" s="4093"/>
      <c r="L50" s="4093"/>
    </row>
    <row r="51" spans="1:12" s="797" customFormat="1">
      <c r="A51" s="2636" t="s">
        <v>2796</v>
      </c>
      <c r="B51" s="2636"/>
      <c r="C51" s="2636"/>
      <c r="D51" s="2636"/>
      <c r="E51" s="2636"/>
      <c r="F51" s="2636"/>
      <c r="G51" s="2636"/>
      <c r="H51" s="2636"/>
      <c r="I51" s="1198"/>
      <c r="J51" s="4093"/>
      <c r="K51" s="4093"/>
      <c r="L51" s="4093"/>
    </row>
    <row r="52" spans="1:12" s="307" customFormat="1" ht="12.75" customHeight="1">
      <c r="A52" s="1225"/>
      <c r="B52" s="1225"/>
      <c r="C52" s="1225"/>
      <c r="D52" s="1225"/>
      <c r="E52" s="1225"/>
      <c r="F52" s="1225"/>
      <c r="G52" s="1236"/>
      <c r="H52" s="1236"/>
      <c r="I52" s="1198"/>
      <c r="J52" s="4092"/>
      <c r="K52" s="4092"/>
      <c r="L52" s="4092"/>
    </row>
    <row r="53" spans="1:12" s="307" customFormat="1" ht="15" customHeight="1">
      <c r="A53" s="1225"/>
      <c r="B53" s="3326" t="s">
        <v>2797</v>
      </c>
      <c r="C53" s="3327"/>
      <c r="D53" s="3327"/>
      <c r="E53" s="3327"/>
      <c r="F53" s="3327"/>
      <c r="G53" s="3760"/>
      <c r="H53" s="1236"/>
      <c r="I53" s="1198"/>
      <c r="J53" s="4092"/>
      <c r="K53" s="4092"/>
      <c r="L53" s="4092"/>
    </row>
    <row r="54" spans="1:12" s="307" customFormat="1">
      <c r="A54" s="1185"/>
      <c r="B54" s="1192"/>
      <c r="C54" s="1237"/>
      <c r="D54" s="1237"/>
      <c r="E54" s="1187" t="s">
        <v>2798</v>
      </c>
      <c r="F54" s="1188">
        <f>SNP!M12</f>
        <v>0</v>
      </c>
      <c r="G54" s="1238"/>
      <c r="H54" s="1236"/>
      <c r="I54" s="1198"/>
      <c r="J54" s="4092"/>
      <c r="K54" s="4092"/>
      <c r="L54" s="4092"/>
    </row>
    <row r="55" spans="1:12" s="307" customFormat="1">
      <c r="A55" s="1185"/>
      <c r="B55" s="1192"/>
      <c r="C55" s="1237"/>
      <c r="D55" s="1237"/>
      <c r="E55" s="1187" t="s">
        <v>2799</v>
      </c>
      <c r="F55" s="1189">
        <f>SNP!M13+SNP!M28</f>
        <v>0</v>
      </c>
      <c r="G55" s="1238"/>
      <c r="H55" s="1236"/>
      <c r="I55" s="1198"/>
      <c r="J55" s="4092"/>
      <c r="K55" s="4092"/>
      <c r="L55" s="4092"/>
    </row>
    <row r="56" spans="1:12" s="307" customFormat="1">
      <c r="A56" s="1185"/>
      <c r="B56" s="1192"/>
      <c r="C56" s="1237"/>
      <c r="D56" s="1237"/>
      <c r="E56" s="1190" t="s">
        <v>2800</v>
      </c>
      <c r="F56" s="1237"/>
      <c r="G56" s="1194">
        <f>SUM(F54:F55)</f>
        <v>0</v>
      </c>
      <c r="H56" s="1236"/>
      <c r="I56" s="1198"/>
      <c r="J56" s="4092"/>
      <c r="K56" s="4092"/>
      <c r="L56" s="4092"/>
    </row>
    <row r="57" spans="1:12" s="307" customFormat="1">
      <c r="A57" s="1185"/>
      <c r="B57" s="1192"/>
      <c r="C57" s="1237"/>
      <c r="D57" s="1237"/>
      <c r="E57" s="1187" t="s">
        <v>184</v>
      </c>
      <c r="F57" s="1191">
        <f>SNP!M14+SNP!M29</f>
        <v>0</v>
      </c>
      <c r="G57" s="1238"/>
      <c r="H57" s="1236"/>
      <c r="I57" s="1198"/>
      <c r="J57" s="4092"/>
      <c r="K57" s="4092"/>
      <c r="L57" s="4092"/>
    </row>
    <row r="58" spans="1:12" s="307" customFormat="1">
      <c r="A58" s="1185"/>
      <c r="B58" s="1192"/>
      <c r="C58" s="1237"/>
      <c r="D58" s="1237"/>
      <c r="E58" s="1187" t="s">
        <v>187</v>
      </c>
      <c r="F58" s="1189">
        <f>SNP!M15+SNP!M30</f>
        <v>0</v>
      </c>
      <c r="G58" s="1238"/>
      <c r="H58" s="1236"/>
      <c r="I58" s="1198"/>
      <c r="J58" s="4092"/>
      <c r="K58" s="4092"/>
      <c r="L58" s="4092"/>
    </row>
    <row r="59" spans="1:12" s="307" customFormat="1">
      <c r="A59" s="1185"/>
      <c r="B59" s="1192"/>
      <c r="C59" s="1237"/>
      <c r="D59" s="1237"/>
      <c r="E59" s="1190" t="s">
        <v>2801</v>
      </c>
      <c r="F59" s="1237"/>
      <c r="G59" s="1239">
        <f>SUM(F57:F58)</f>
        <v>0</v>
      </c>
      <c r="H59" s="1236"/>
      <c r="I59" s="1198"/>
      <c r="J59" s="4092"/>
      <c r="K59" s="4092"/>
      <c r="L59" s="4092"/>
    </row>
    <row r="60" spans="1:12" s="307" customFormat="1" ht="12.75" thickBot="1">
      <c r="A60" s="1225"/>
      <c r="B60" s="1240"/>
      <c r="C60" s="1241"/>
      <c r="D60" s="1237"/>
      <c r="E60" s="1190" t="s">
        <v>2802</v>
      </c>
      <c r="F60" s="1237"/>
      <c r="G60" s="1242">
        <f>G59+G56</f>
        <v>0</v>
      </c>
      <c r="H60" s="1236"/>
      <c r="I60" s="1198"/>
      <c r="J60" s="4092"/>
      <c r="K60" s="4092"/>
      <c r="L60" s="4092"/>
    </row>
    <row r="61" spans="1:12" s="307" customFormat="1" ht="12.75" thickTop="1">
      <c r="A61" s="1243"/>
      <c r="B61" s="1244"/>
      <c r="C61" s="1245"/>
      <c r="D61" s="1246"/>
      <c r="E61" s="1193"/>
      <c r="F61" s="1246"/>
      <c r="G61" s="1247"/>
      <c r="H61" s="1248"/>
      <c r="I61" s="1198"/>
      <c r="J61" s="4092"/>
      <c r="K61" s="4092"/>
      <c r="L61" s="4092"/>
    </row>
    <row r="62" spans="1:12" s="307" customFormat="1" ht="9" customHeight="1">
      <c r="A62" s="795"/>
      <c r="B62" s="795"/>
      <c r="C62" s="1186"/>
      <c r="D62" s="1184"/>
      <c r="E62" s="1184"/>
      <c r="F62" s="1236"/>
      <c r="G62" s="1236"/>
      <c r="H62" s="1236"/>
      <c r="I62" s="1198"/>
      <c r="J62" s="4092"/>
      <c r="K62" s="4092"/>
      <c r="L62" s="4092"/>
    </row>
    <row r="63" spans="1:12" s="800" customFormat="1">
      <c r="A63" s="1227" t="s">
        <v>2803</v>
      </c>
      <c r="B63" s="1227"/>
      <c r="C63" s="1227"/>
      <c r="D63" s="1227"/>
      <c r="E63" s="1227"/>
      <c r="F63" s="1227"/>
      <c r="G63" s="1227"/>
      <c r="H63" s="1227"/>
      <c r="I63" s="1198"/>
      <c r="J63" s="4093"/>
      <c r="K63" s="4093"/>
      <c r="L63" s="4093"/>
    </row>
    <row r="64" spans="1:12" s="800" customFormat="1">
      <c r="A64" s="917" t="s">
        <v>2804</v>
      </c>
      <c r="B64" s="917"/>
      <c r="C64" s="917"/>
      <c r="D64" s="917"/>
      <c r="E64" s="917"/>
      <c r="F64" s="917"/>
      <c r="G64" s="917"/>
      <c r="H64" s="917"/>
      <c r="I64" s="1198"/>
      <c r="J64" s="4093"/>
      <c r="K64" s="4093"/>
      <c r="L64" s="4093"/>
    </row>
    <row r="65" spans="1:12" s="800" customFormat="1">
      <c r="A65" s="2637" t="s">
        <v>2805</v>
      </c>
      <c r="B65" s="2637"/>
      <c r="C65" s="2637"/>
      <c r="D65" s="2637"/>
      <c r="E65" s="2637"/>
      <c r="F65" s="2637"/>
      <c r="G65" s="2637"/>
      <c r="H65" s="2637"/>
      <c r="I65" s="1198"/>
      <c r="J65" s="4093"/>
      <c r="K65" s="4093"/>
      <c r="L65" s="4093"/>
    </row>
    <row r="66" spans="1:12" s="1249" customFormat="1" ht="12" customHeight="1">
      <c r="A66" s="795"/>
      <c r="B66" s="795"/>
      <c r="C66" s="800"/>
      <c r="D66" s="795"/>
      <c r="E66" s="795"/>
      <c r="F66" s="1199"/>
      <c r="G66" s="1199"/>
      <c r="H66" s="800"/>
      <c r="I66" s="1198"/>
      <c r="J66" s="4092"/>
      <c r="K66" s="4092"/>
      <c r="L66" s="4092"/>
    </row>
    <row r="67" spans="1:12" s="1249" customFormat="1" ht="15" customHeight="1">
      <c r="A67" s="3328" t="s">
        <v>2806</v>
      </c>
      <c r="B67" s="3761"/>
      <c r="C67" s="3329" t="s">
        <v>2807</v>
      </c>
      <c r="D67" s="3330"/>
      <c r="E67" s="3761"/>
      <c r="F67" s="3331" t="s">
        <v>2808</v>
      </c>
      <c r="G67" s="3332" t="s">
        <v>2809</v>
      </c>
      <c r="H67" s="3762"/>
      <c r="I67" s="1198"/>
      <c r="J67" s="4092"/>
      <c r="K67" s="4092"/>
      <c r="L67" s="4092"/>
    </row>
    <row r="68" spans="1:12" s="1249" customFormat="1" ht="12.75" customHeight="1">
      <c r="A68" s="2638" t="s">
        <v>2810</v>
      </c>
      <c r="B68" s="3763"/>
      <c r="C68" s="2638" t="s">
        <v>2811</v>
      </c>
      <c r="D68" s="2638"/>
      <c r="E68" s="2639"/>
      <c r="F68" s="3764" t="s">
        <v>15</v>
      </c>
      <c r="G68" s="1188">
        <f>ROUND(SUM('Accounts by GL'!O11:'Accounts by GL'!O14),0)</f>
        <v>0</v>
      </c>
      <c r="H68" s="1250"/>
      <c r="I68" s="1198"/>
      <c r="J68" s="4092"/>
      <c r="K68" s="4092"/>
      <c r="L68" s="4092"/>
    </row>
    <row r="69" spans="1:12" s="1249" customFormat="1">
      <c r="A69" s="2638" t="s">
        <v>2812</v>
      </c>
      <c r="B69" s="2639"/>
      <c r="C69" s="2638">
        <v>10100</v>
      </c>
      <c r="D69" s="2638"/>
      <c r="E69" s="2639"/>
      <c r="F69" s="1195" t="s">
        <v>16</v>
      </c>
      <c r="G69" s="1619">
        <f>ROUND(('Accounts by GL'!D6+'Accounts by GL'!F6),0)+'Accounts by GL'!N6</f>
        <v>0</v>
      </c>
      <c r="H69" s="1250"/>
      <c r="I69" s="1198"/>
      <c r="J69" s="4092"/>
      <c r="K69" s="4092"/>
      <c r="L69" s="4092"/>
    </row>
    <row r="70" spans="1:12" s="1249" customFormat="1">
      <c r="A70" s="2638" t="s">
        <v>2813</v>
      </c>
      <c r="B70" s="2639"/>
      <c r="C70" s="2638">
        <v>10100</v>
      </c>
      <c r="D70" s="2638"/>
      <c r="E70" s="2639"/>
      <c r="F70" s="1195" t="s">
        <v>30</v>
      </c>
      <c r="G70" s="1619">
        <f>ROUND(('Accounts by GL'!E6+SUM('Accounts by GL'!G6:'Accounts by GL'!L6)),0)</f>
        <v>0</v>
      </c>
      <c r="H70" s="1250"/>
      <c r="I70" s="1198"/>
      <c r="J70" s="4092"/>
      <c r="K70" s="4092"/>
      <c r="L70" s="4092"/>
    </row>
    <row r="71" spans="1:12" s="1249" customFormat="1">
      <c r="A71" s="2638" t="s">
        <v>2812</v>
      </c>
      <c r="B71" s="2639"/>
      <c r="C71" s="2638">
        <v>10210</v>
      </c>
      <c r="D71" s="2638"/>
      <c r="E71" s="2639"/>
      <c r="F71" s="1195" t="s">
        <v>17</v>
      </c>
      <c r="G71" s="1251">
        <f>ROUND(('Accounts by GL'!D8+'Accounts by GL'!F8),0)</f>
        <v>0</v>
      </c>
      <c r="H71" s="1250"/>
      <c r="I71" s="1198"/>
      <c r="J71" s="4092"/>
      <c r="K71" s="4092"/>
      <c r="L71" s="4092"/>
    </row>
    <row r="72" spans="1:12" s="1249" customFormat="1">
      <c r="A72" s="2638" t="s">
        <v>2813</v>
      </c>
      <c r="B72" s="2639"/>
      <c r="C72" s="2638">
        <v>10210</v>
      </c>
      <c r="D72" s="2638"/>
      <c r="E72" s="2639"/>
      <c r="F72" s="1195" t="s">
        <v>31</v>
      </c>
      <c r="G72" s="1251">
        <f>ROUND(('Accounts by GL'!E8+SUM('Accounts by GL'!G8:'Accounts by GL'!L8)),0)</f>
        <v>0</v>
      </c>
      <c r="H72" s="1250"/>
      <c r="I72" s="1198"/>
      <c r="J72" s="4092"/>
      <c r="K72" s="4092"/>
      <c r="L72" s="4092"/>
    </row>
    <row r="73" spans="1:12" s="1249" customFormat="1">
      <c r="A73" s="2638" t="s">
        <v>2812</v>
      </c>
      <c r="B73" s="2639"/>
      <c r="C73" s="2638">
        <v>10220</v>
      </c>
      <c r="D73" s="2638"/>
      <c r="E73" s="2639"/>
      <c r="F73" s="1195" t="s">
        <v>446</v>
      </c>
      <c r="G73" s="1251">
        <f>ROUND(('Accounts by GL'!D9+'Accounts by GL'!F9),0)</f>
        <v>0</v>
      </c>
      <c r="H73" s="1250"/>
      <c r="I73" s="1198"/>
      <c r="J73" s="4092"/>
      <c r="K73" s="4092"/>
      <c r="L73" s="4092"/>
    </row>
    <row r="74" spans="1:12" s="1249" customFormat="1">
      <c r="A74" s="2638" t="s">
        <v>2813</v>
      </c>
      <c r="B74" s="2639"/>
      <c r="C74" s="2638">
        <v>10220</v>
      </c>
      <c r="D74" s="2638"/>
      <c r="E74" s="2639"/>
      <c r="F74" s="1195" t="s">
        <v>32</v>
      </c>
      <c r="G74" s="1252">
        <f>ROUND(('Accounts by GL'!E9+SUM('Accounts by GL'!G9:'Accounts by GL'!L9)),0)</f>
        <v>0</v>
      </c>
      <c r="H74" s="1250"/>
      <c r="I74" s="1198"/>
      <c r="J74" s="4092"/>
      <c r="K74" s="4092"/>
      <c r="L74" s="4092"/>
    </row>
    <row r="75" spans="1:12" s="1249" customFormat="1">
      <c r="A75" s="2638"/>
      <c r="B75" s="2639"/>
      <c r="C75" s="2638" t="s">
        <v>1792</v>
      </c>
      <c r="D75" s="2638"/>
      <c r="E75" s="2639"/>
      <c r="F75" s="1195" t="s">
        <v>2814</v>
      </c>
      <c r="G75" s="1253"/>
      <c r="H75" s="1194">
        <f>SUM(G68:G74)</f>
        <v>0</v>
      </c>
      <c r="I75" s="1198"/>
      <c r="J75" s="4092"/>
      <c r="K75" s="4092"/>
      <c r="L75" s="4092"/>
    </row>
    <row r="76" spans="1:12" s="1249" customFormat="1">
      <c r="A76" s="2638"/>
      <c r="B76" s="2639"/>
      <c r="C76" s="2638" t="s">
        <v>1792</v>
      </c>
      <c r="D76" s="2638"/>
      <c r="E76" s="2639"/>
      <c r="F76" s="1195" t="s">
        <v>1792</v>
      </c>
      <c r="G76" s="1253"/>
      <c r="H76" s="1250"/>
      <c r="I76" s="1198"/>
      <c r="J76" s="4092"/>
      <c r="K76" s="4092"/>
      <c r="L76" s="4092"/>
    </row>
    <row r="77" spans="1:12" s="1249" customFormat="1">
      <c r="A77" s="2638" t="s">
        <v>2812</v>
      </c>
      <c r="B77" s="2639"/>
      <c r="C77" s="2638" t="s">
        <v>2815</v>
      </c>
      <c r="D77" s="2638"/>
      <c r="E77" s="2639"/>
      <c r="F77" s="1195" t="s">
        <v>19</v>
      </c>
      <c r="G77" s="1251">
        <v>0</v>
      </c>
      <c r="H77" s="1250"/>
      <c r="I77" s="1198"/>
      <c r="J77" s="4092"/>
      <c r="K77" s="4092"/>
      <c r="L77" s="4092"/>
    </row>
    <row r="78" spans="1:12" s="1249" customFormat="1">
      <c r="A78" s="2638" t="s">
        <v>2816</v>
      </c>
      <c r="B78" s="2639"/>
      <c r="C78" s="2643">
        <v>16210</v>
      </c>
      <c r="D78" s="2638"/>
      <c r="E78" s="2639"/>
      <c r="F78" s="1195" t="s">
        <v>450</v>
      </c>
      <c r="G78" s="1251">
        <f>'Accounts by GL'!K34</f>
        <v>0</v>
      </c>
      <c r="H78" s="1250"/>
      <c r="I78" s="1198"/>
      <c r="J78" s="4092"/>
      <c r="K78" s="4092"/>
      <c r="L78" s="4092"/>
    </row>
    <row r="79" spans="1:12" s="1249" customFormat="1">
      <c r="A79" s="2638" t="s">
        <v>2812</v>
      </c>
      <c r="B79" s="2639"/>
      <c r="C79" s="2638" t="s">
        <v>2817</v>
      </c>
      <c r="D79" s="2638"/>
      <c r="E79" s="2639"/>
      <c r="F79" s="1195" t="s">
        <v>20</v>
      </c>
      <c r="G79" s="1251">
        <f>ROUND(('Accounts by GL'!D7+'Accounts by GL'!F7+'Accounts by GL'!D33+'Accounts by GL'!F33+'Accounts by GL'!D31+'Accounts by GL'!F31+'Accounts by GL'!D32+'Accounts by GL'!F32+'Accounts by GL'!D34+'Accounts by GL'!F34),0)+'Accounts by GL'!N34+'Accounts by GL'!N31</f>
        <v>0</v>
      </c>
      <c r="H79" s="1250"/>
      <c r="I79" s="1198"/>
      <c r="J79" s="4092"/>
      <c r="K79" s="4092"/>
      <c r="L79" s="4092"/>
    </row>
    <row r="80" spans="1:12" s="1249" customFormat="1">
      <c r="A80" s="2638" t="s">
        <v>2813</v>
      </c>
      <c r="B80" s="2639"/>
      <c r="C80" s="2638" t="s">
        <v>2817</v>
      </c>
      <c r="D80" s="2638"/>
      <c r="E80" s="2639"/>
      <c r="F80" s="1195" t="s">
        <v>34</v>
      </c>
      <c r="G80" s="1252">
        <f>ROUND(('Accounts by GL'!E7+'Accounts by GL'!E31+'Accounts by GL'!E33+SUM('Accounts by GL'!G7:'Accounts by GL'!L7)+SUM('Accounts by GL'!G31:'Accounts by GL'!L31)+SUM('Accounts by GL'!G33:'Accounts by GL'!L33)+'Accounts by GL'!E32+'Accounts by GL'!E34+SUM('Accounts by GL'!G32:'Accounts by GL'!L32)+SUM('Accounts by GL'!G34:'Accounts by GL'!L34)),0)+'Accounts by GL'!N33-'Accounts by GL'!K34</f>
        <v>0</v>
      </c>
      <c r="H80" s="1250"/>
      <c r="I80" s="1198"/>
      <c r="J80" s="4092"/>
      <c r="K80" s="4092"/>
      <c r="L80" s="4092"/>
    </row>
    <row r="81" spans="1:12" s="1249" customFormat="1">
      <c r="A81" s="1195"/>
      <c r="B81" s="2641"/>
      <c r="C81" s="668"/>
      <c r="D81" s="1254"/>
      <c r="E81" s="1255"/>
      <c r="F81" s="1195" t="s">
        <v>2801</v>
      </c>
      <c r="G81" s="1253"/>
      <c r="H81" s="1250">
        <f>SUM(G77:G80)</f>
        <v>0</v>
      </c>
      <c r="I81" s="1198"/>
      <c r="J81" s="4092"/>
      <c r="K81" s="4092"/>
      <c r="L81" s="4092"/>
    </row>
    <row r="82" spans="1:12" s="1249" customFormat="1" ht="12.75" thickBot="1">
      <c r="A82" s="1195"/>
      <c r="B82" s="2641"/>
      <c r="C82" s="668"/>
      <c r="D82" s="1254"/>
      <c r="E82" s="1255"/>
      <c r="F82" s="1195" t="s">
        <v>2802</v>
      </c>
      <c r="G82" s="1253"/>
      <c r="H82" s="1242">
        <f>H75+H81</f>
        <v>0</v>
      </c>
      <c r="I82" s="1198"/>
      <c r="J82" s="4092"/>
      <c r="K82" s="4092"/>
      <c r="L82" s="4092"/>
    </row>
    <row r="83" spans="1:12" s="1249" customFormat="1" ht="12.75" thickTop="1">
      <c r="A83" s="1196"/>
      <c r="B83" s="2642"/>
      <c r="C83" s="1197"/>
      <c r="D83" s="1256"/>
      <c r="E83" s="1257"/>
      <c r="F83" s="1258"/>
      <c r="G83" s="1193" t="s">
        <v>2818</v>
      </c>
      <c r="H83" s="1259">
        <f>G60-H82</f>
        <v>0</v>
      </c>
      <c r="I83" s="1198"/>
      <c r="J83" s="4092"/>
      <c r="K83" s="4092"/>
      <c r="L83" s="4092"/>
    </row>
    <row r="84" spans="1:12" s="1249" customFormat="1" ht="11.25" customHeight="1">
      <c r="A84" s="1200"/>
      <c r="B84" s="1200"/>
      <c r="C84" s="1200"/>
      <c r="D84" s="1200"/>
      <c r="E84" s="1200"/>
      <c r="F84" s="1200"/>
      <c r="G84" s="1200"/>
      <c r="H84" s="1200"/>
      <c r="I84" s="1198"/>
      <c r="J84" s="4092"/>
      <c r="K84" s="4092"/>
      <c r="L84" s="4092"/>
    </row>
    <row r="85" spans="1:12" s="1249" customFormat="1" ht="12.75">
      <c r="A85" s="2644" t="s">
        <v>2819</v>
      </c>
      <c r="B85" s="2644"/>
      <c r="C85" s="2644"/>
      <c r="D85" s="2644"/>
      <c r="E85" s="2644"/>
      <c r="F85" s="2644"/>
      <c r="G85" s="2644"/>
      <c r="H85" s="2644"/>
      <c r="I85" s="1198"/>
      <c r="J85" s="4092"/>
      <c r="K85" s="4092"/>
      <c r="L85" s="4092"/>
    </row>
    <row r="86" spans="1:12" s="1233" customFormat="1" ht="12" customHeight="1">
      <c r="A86" s="1234"/>
      <c r="B86" s="1234"/>
      <c r="C86" s="1234"/>
      <c r="D86" s="1234"/>
      <c r="E86" s="1234"/>
      <c r="F86" s="1234"/>
      <c r="G86" s="1234"/>
      <c r="H86" s="1234"/>
      <c r="I86" s="1198"/>
      <c r="J86" s="4092"/>
      <c r="K86" s="4092"/>
      <c r="L86" s="4092"/>
    </row>
    <row r="87" spans="1:12" s="1233" customFormat="1" ht="15.75" customHeight="1">
      <c r="A87" s="3323" t="s">
        <v>2820</v>
      </c>
      <c r="B87" s="3324"/>
      <c r="C87" s="3324"/>
      <c r="D87" s="3324"/>
      <c r="E87" s="3324"/>
      <c r="F87" s="3324"/>
      <c r="G87" s="3324"/>
      <c r="H87" s="3758"/>
      <c r="I87" s="1198"/>
      <c r="J87" s="4092"/>
      <c r="K87" s="4092"/>
      <c r="L87" s="4092"/>
    </row>
    <row r="88" spans="1:12" s="307" customFormat="1" ht="13.5" customHeight="1">
      <c r="A88" s="3759"/>
      <c r="B88" s="3759"/>
      <c r="C88" s="3759"/>
      <c r="D88" s="3759"/>
      <c r="E88" s="3759"/>
      <c r="F88" s="3759"/>
      <c r="G88" s="3759"/>
      <c r="H88" s="3759"/>
      <c r="I88" s="1198"/>
      <c r="J88" s="4092"/>
      <c r="K88" s="4092"/>
      <c r="L88" s="4092"/>
    </row>
    <row r="89" spans="1:12" s="797" customFormat="1" ht="15" customHeight="1">
      <c r="A89" s="1260" t="s">
        <v>2821</v>
      </c>
      <c r="B89" s="917"/>
      <c r="C89" s="917"/>
      <c r="D89" s="2523"/>
      <c r="E89" s="917"/>
      <c r="F89" s="2523"/>
      <c r="G89" s="1236"/>
      <c r="H89" s="1236"/>
      <c r="I89" s="1198"/>
      <c r="J89" s="4093"/>
      <c r="K89" s="4093"/>
      <c r="L89" s="4093"/>
    </row>
    <row r="90" spans="1:12" s="797" customFormat="1" ht="12" customHeight="1">
      <c r="A90" s="917"/>
      <c r="B90" s="917"/>
      <c r="C90" s="917"/>
      <c r="D90" s="1236"/>
      <c r="E90" s="917"/>
      <c r="F90" s="917" t="s">
        <v>2822</v>
      </c>
      <c r="G90" s="2651" t="s">
        <v>2823</v>
      </c>
      <c r="H90" s="2651"/>
      <c r="I90" s="1198"/>
      <c r="J90" s="4093"/>
      <c r="K90" s="4093"/>
      <c r="L90" s="4093"/>
    </row>
    <row r="91" spans="1:12" s="797" customFormat="1" ht="15" customHeight="1">
      <c r="A91" s="1236"/>
      <c r="B91" s="1261"/>
      <c r="C91" s="1261"/>
      <c r="D91" s="1236"/>
      <c r="E91" s="1261"/>
      <c r="F91" s="2637"/>
      <c r="G91" s="2652"/>
      <c r="H91" s="2652"/>
      <c r="I91" s="1198"/>
      <c r="J91" s="4092"/>
      <c r="K91" s="4092"/>
      <c r="L91" s="4092"/>
    </row>
    <row r="92" spans="1:12" s="797" customFormat="1">
      <c r="A92" s="1236"/>
      <c r="B92" s="1262" t="s">
        <v>2824</v>
      </c>
      <c r="C92" s="1818"/>
      <c r="D92" s="1262" t="s">
        <v>2825</v>
      </c>
      <c r="E92" s="1261"/>
      <c r="F92" s="3333">
        <f>G69+G70</f>
        <v>0</v>
      </c>
      <c r="G92" s="3334">
        <v>0</v>
      </c>
      <c r="H92" s="3334"/>
      <c r="I92" s="1198"/>
      <c r="J92" s="4092"/>
      <c r="K92" s="4092"/>
      <c r="L92" s="4092"/>
    </row>
    <row r="93" spans="1:12" s="797" customFormat="1" ht="10.5" customHeight="1">
      <c r="A93" s="2524"/>
      <c r="B93" s="2524"/>
      <c r="C93" s="2524"/>
      <c r="D93" s="2524"/>
      <c r="E93" s="2524"/>
      <c r="F93" s="2524"/>
      <c r="G93" s="1236"/>
      <c r="H93" s="1236"/>
      <c r="I93" s="1198"/>
      <c r="J93" s="4092"/>
      <c r="K93" s="4092"/>
      <c r="L93" s="4092"/>
    </row>
    <row r="94" spans="1:12" s="797" customFormat="1" ht="11.25" customHeight="1">
      <c r="A94" s="2524"/>
      <c r="B94" s="2524"/>
      <c r="C94" s="2524"/>
      <c r="D94" s="2524"/>
      <c r="E94" s="2524"/>
      <c r="F94" s="2524"/>
      <c r="G94" s="1236"/>
      <c r="H94" s="1236"/>
      <c r="I94" s="1198"/>
      <c r="J94" s="4092"/>
      <c r="K94" s="4092"/>
      <c r="L94" s="4092"/>
    </row>
    <row r="95" spans="1:12" s="797" customFormat="1" ht="13.5" customHeight="1">
      <c r="A95" s="1467" t="s">
        <v>2826</v>
      </c>
      <c r="B95" s="1818"/>
      <c r="C95" s="1818"/>
      <c r="D95" s="2524"/>
      <c r="E95" s="2524"/>
      <c r="F95" s="2524"/>
      <c r="G95" s="1236"/>
      <c r="H95" s="1236"/>
      <c r="I95" s="1198"/>
      <c r="J95" s="4092"/>
      <c r="K95" s="4092"/>
      <c r="L95" s="4092"/>
    </row>
    <row r="96" spans="1:12" s="797" customFormat="1" ht="13.5" customHeight="1">
      <c r="A96" s="1466"/>
      <c r="B96" s="1818"/>
      <c r="C96" s="1818"/>
      <c r="D96" s="2524"/>
      <c r="E96" s="2524"/>
      <c r="F96" s="2524"/>
      <c r="G96" s="1236"/>
      <c r="H96" s="1236"/>
      <c r="I96" s="1198"/>
      <c r="J96" s="4092"/>
      <c r="K96" s="4092"/>
      <c r="L96" s="4092"/>
    </row>
    <row r="97" spans="1:12" s="797" customFormat="1">
      <c r="A97" s="2524"/>
      <c r="B97" s="2524"/>
      <c r="C97" s="2524"/>
      <c r="D97" s="2524"/>
      <c r="E97" s="2524"/>
      <c r="F97" s="2524"/>
      <c r="G97" s="3325"/>
      <c r="H97" s="1236"/>
      <c r="I97" s="1198" t="s">
        <v>2827</v>
      </c>
      <c r="J97" s="4092"/>
      <c r="K97" s="4092"/>
      <c r="L97" s="4092"/>
    </row>
    <row r="98" spans="1:12" s="797" customFormat="1" ht="14.25" customHeight="1">
      <c r="A98" s="2524"/>
      <c r="B98" s="2524"/>
      <c r="C98" s="2524"/>
      <c r="D98" s="2524"/>
      <c r="E98" s="2524"/>
      <c r="F98" s="1236"/>
      <c r="G98" s="1236"/>
      <c r="H98" s="1236"/>
      <c r="I98" s="1198"/>
      <c r="J98" s="4093"/>
      <c r="K98" s="4093"/>
      <c r="L98" s="4093"/>
    </row>
    <row r="99" spans="1:12" s="797" customFormat="1" ht="13.5" customHeight="1">
      <c r="A99" s="917" t="s">
        <v>2828</v>
      </c>
      <c r="B99" s="1261"/>
      <c r="C99" s="1261"/>
      <c r="D99" s="1261"/>
      <c r="E99" s="1261"/>
      <c r="F99" s="1261"/>
      <c r="G99" s="1261"/>
      <c r="H99" s="1261"/>
      <c r="I99" s="1198"/>
      <c r="J99" s="4093"/>
      <c r="K99" s="4093"/>
      <c r="L99" s="4093"/>
    </row>
    <row r="100" spans="1:12" s="797" customFormat="1">
      <c r="A100" s="917" t="s">
        <v>2829</v>
      </c>
      <c r="B100" s="1261"/>
      <c r="C100" s="1261"/>
      <c r="D100" s="1261"/>
      <c r="E100" s="1261"/>
      <c r="F100" s="1261"/>
      <c r="G100" s="1261"/>
      <c r="H100" s="1261"/>
      <c r="I100" s="1198"/>
      <c r="J100" s="4093"/>
      <c r="K100" s="4093"/>
      <c r="L100" s="4093"/>
    </row>
    <row r="101" spans="1:12" s="797" customFormat="1" ht="15" customHeight="1">
      <c r="A101" s="1261"/>
      <c r="B101" s="1261"/>
      <c r="C101" s="1261"/>
      <c r="D101" s="1261"/>
      <c r="E101" s="1261"/>
      <c r="F101" s="1261"/>
      <c r="G101" s="1261"/>
      <c r="H101" s="1261"/>
      <c r="I101" s="1198"/>
      <c r="J101" s="4093"/>
      <c r="K101" s="4093"/>
      <c r="L101" s="4093"/>
    </row>
    <row r="102" spans="1:12" s="797" customFormat="1" ht="13.5" customHeight="1">
      <c r="A102" s="2523"/>
      <c r="B102" s="2523"/>
      <c r="C102" s="2523"/>
      <c r="D102" s="2523"/>
      <c r="E102" s="2523"/>
      <c r="F102" s="2523"/>
      <c r="G102" s="2523"/>
      <c r="H102" s="1236"/>
      <c r="I102" s="1198"/>
      <c r="J102" s="4092"/>
      <c r="K102" s="4092"/>
      <c r="L102" s="4092"/>
    </row>
    <row r="103" spans="1:12" s="797" customFormat="1" ht="24">
      <c r="A103" s="1263"/>
      <c r="B103" s="1236"/>
      <c r="C103" s="1236"/>
      <c r="D103" s="1236"/>
      <c r="E103" s="1262"/>
      <c r="F103" s="1262" t="s">
        <v>2830</v>
      </c>
      <c r="G103" s="3335">
        <v>0</v>
      </c>
      <c r="H103" s="3218"/>
      <c r="I103" s="4094" t="s">
        <v>2831</v>
      </c>
      <c r="J103" s="4092"/>
      <c r="K103" s="4092"/>
      <c r="L103" s="4092"/>
    </row>
    <row r="104" spans="1:12" s="797" customFormat="1" ht="14.25" customHeight="1">
      <c r="A104" s="1263"/>
      <c r="B104" s="1236"/>
      <c r="C104" s="1236"/>
      <c r="D104" s="1236"/>
      <c r="E104" s="1262"/>
      <c r="F104" s="1262"/>
      <c r="G104" s="1236"/>
      <c r="H104" s="1236"/>
      <c r="I104" s="1198"/>
      <c r="J104" s="4092"/>
      <c r="K104" s="4092"/>
      <c r="L104" s="4092"/>
    </row>
    <row r="105" spans="1:12" s="797" customFormat="1" ht="15" customHeight="1">
      <c r="A105" s="1818"/>
      <c r="B105" s="1261"/>
      <c r="C105" s="1261"/>
      <c r="D105" s="917" t="s">
        <v>2832</v>
      </c>
      <c r="E105" s="1818"/>
      <c r="F105" s="1818"/>
      <c r="G105" s="1236"/>
      <c r="H105" s="1236"/>
      <c r="I105" s="1198"/>
      <c r="J105" s="4092"/>
      <c r="K105" s="4092"/>
      <c r="L105" s="4092"/>
    </row>
    <row r="106" spans="1:12" s="797" customFormat="1">
      <c r="A106" s="1261"/>
      <c r="B106" s="1261"/>
      <c r="C106" s="1261"/>
      <c r="D106" s="1261"/>
      <c r="E106" s="1261"/>
      <c r="F106" s="1262" t="s">
        <v>2833</v>
      </c>
      <c r="G106" s="3335">
        <v>0</v>
      </c>
      <c r="H106" s="3218"/>
      <c r="I106" s="1198"/>
      <c r="J106" s="4092"/>
      <c r="K106" s="4092"/>
      <c r="L106" s="4092"/>
    </row>
    <row r="107" spans="1:12" s="797" customFormat="1" ht="11.25" customHeight="1">
      <c r="A107" s="1264"/>
      <c r="B107" s="1264"/>
      <c r="C107" s="1264"/>
      <c r="D107" s="1264"/>
      <c r="E107" s="1264"/>
      <c r="F107" s="1264"/>
      <c r="G107" s="1236"/>
      <c r="H107" s="1236"/>
      <c r="I107" s="1198"/>
      <c r="J107" s="4092"/>
      <c r="K107" s="4092"/>
      <c r="L107" s="4092"/>
    </row>
    <row r="108" spans="1:12" s="797" customFormat="1" ht="15.75" customHeight="1">
      <c r="A108" s="1818"/>
      <c r="B108" s="1262"/>
      <c r="C108" s="1262"/>
      <c r="D108" s="1262"/>
      <c r="E108" s="1262"/>
      <c r="F108" s="1262" t="s">
        <v>2834</v>
      </c>
      <c r="G108" s="1236"/>
      <c r="H108" s="1236"/>
      <c r="I108" s="1198"/>
      <c r="J108" s="4092"/>
      <c r="K108" s="4092"/>
      <c r="L108" s="4092"/>
    </row>
    <row r="109" spans="1:12" s="797" customFormat="1" ht="14.25" customHeight="1">
      <c r="A109" s="1262"/>
      <c r="B109" s="1262"/>
      <c r="C109" s="1262"/>
      <c r="D109" s="1262"/>
      <c r="E109" s="1262"/>
      <c r="F109" s="1262" t="s">
        <v>2833</v>
      </c>
      <c r="G109" s="3335">
        <v>0</v>
      </c>
      <c r="H109" s="3218"/>
      <c r="I109" s="1198"/>
      <c r="J109" s="4092"/>
      <c r="K109" s="4092"/>
      <c r="L109" s="4092"/>
    </row>
    <row r="110" spans="1:12" s="797" customFormat="1" ht="9" customHeight="1">
      <c r="A110" s="1236"/>
      <c r="B110" s="1236"/>
      <c r="C110" s="1236"/>
      <c r="D110" s="1236"/>
      <c r="E110" s="1236"/>
      <c r="F110" s="1236"/>
      <c r="G110" s="1236"/>
      <c r="H110" s="1236"/>
      <c r="I110" s="1198"/>
      <c r="J110" s="4092"/>
      <c r="K110" s="4092"/>
      <c r="L110" s="4092"/>
    </row>
    <row r="111" spans="1:12" s="307" customFormat="1">
      <c r="A111" s="1818"/>
      <c r="B111" s="1818"/>
      <c r="C111" s="1818"/>
      <c r="D111" s="1818"/>
      <c r="E111" s="1818"/>
      <c r="F111" s="1818"/>
      <c r="G111" s="1818"/>
      <c r="H111" s="1818"/>
      <c r="I111" s="1818"/>
      <c r="K111" s="1265"/>
    </row>
    <row r="112" spans="1:12" s="307" customFormat="1">
      <c r="I112" s="1818"/>
      <c r="K112" s="1265"/>
    </row>
    <row r="113" spans="9:11" s="307" customFormat="1">
      <c r="I113" s="1818"/>
      <c r="K113" s="1265"/>
    </row>
    <row r="114" spans="9:11" s="307" customFormat="1">
      <c r="I114" s="1818"/>
      <c r="K114" s="1265"/>
    </row>
    <row r="115" spans="9:11" s="307" customFormat="1">
      <c r="I115" s="1818"/>
      <c r="K115" s="1265"/>
    </row>
  </sheetData>
  <sheetProtection algorithmName="SHA-512" hashValue="M9A7A9K9plrajthrf3cPGUN7G9VwF69HoRe0RDLlYBoEixIyR6QxAx1knxGqTHPeG4pPZu/e9dG27sOqQY+GgA==" saltValue="P/epYXhp8FlxaTsfQXIMTg==" spinCount="100000" sheet="1" formatColumns="0" formatRows="0"/>
  <conditionalFormatting sqref="G31:G32">
    <cfRule type="cellIs" dxfId="302" priority="36" operator="notBetween">
      <formula>$G$29+5</formula>
      <formula>$G$29-5</formula>
    </cfRule>
    <cfRule type="cellIs" dxfId="301" priority="37" operator="between">
      <formula>$G$29+5</formula>
      <formula>$G$29-5</formula>
    </cfRule>
  </conditionalFormatting>
  <conditionalFormatting sqref="H83">
    <cfRule type="cellIs" dxfId="300" priority="6" operator="notBetween">
      <formula>-5</formula>
      <formula>5</formula>
    </cfRule>
    <cfRule type="cellIs" dxfId="299" priority="7" operator="between">
      <formula>-5</formula>
      <formula>5</formula>
    </cfRule>
  </conditionalFormatting>
  <dataValidations disablePrompts="1" count="1">
    <dataValidation type="list" showInputMessage="1" showErrorMessage="1" sqref="G42:G43 G97">
      <formula1>$A$38:$C$38</formula1>
    </dataValidation>
  </dataValidations>
  <pageMargins left="0.25" right="0.25" top="0.75" bottom="0.75" header="0.3" footer="0.3"/>
  <pageSetup fitToWidth="0" orientation="landscape" r:id="rId1"/>
  <headerFooter>
    <oddHeader>&amp;L&amp;"Arial,Regular"&amp;8&amp;F&amp;R&amp;"Arial,Regular"&amp;8&amp;A</oddHeader>
    <oddFooter>&amp;L&amp;"Arial,Regular"&amp;8&amp;D&amp;R&amp;"Arial,Regular"&amp;8&amp;P of &amp;N</oddFooter>
  </headerFooter>
  <rowBreaks count="2" manualBreakCount="2">
    <brk id="29" max="16383" man="1"/>
    <brk id="86" max="7"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249977111117893"/>
  </sheetPr>
  <dimension ref="A1:U67"/>
  <sheetViews>
    <sheetView zoomScaleNormal="100" workbookViewId="0"/>
  </sheetViews>
  <sheetFormatPr defaultColWidth="9.140625" defaultRowHeight="15"/>
  <cols>
    <col min="1" max="1" width="5" style="488" customWidth="1"/>
    <col min="2" max="2" width="4.140625" style="488" customWidth="1"/>
    <col min="3" max="3" width="2" style="488" customWidth="1"/>
    <col min="4" max="4" width="26.85546875" style="488" customWidth="1"/>
    <col min="5" max="5" width="6" style="488" customWidth="1"/>
    <col min="6" max="6" width="3.85546875" style="488" hidden="1" customWidth="1"/>
    <col min="7" max="7" width="19.85546875" style="488" customWidth="1"/>
    <col min="8" max="8" width="0.85546875" style="488" customWidth="1"/>
    <col min="9" max="9" width="13" style="488" customWidth="1"/>
    <col min="10" max="10" width="0.85546875" style="488" customWidth="1"/>
    <col min="11" max="11" width="13" style="488" customWidth="1"/>
    <col min="12" max="12" width="0.85546875" style="488" customWidth="1"/>
    <col min="13" max="13" width="13" style="488" customWidth="1"/>
    <col min="14" max="14" width="0.85546875" style="488" customWidth="1"/>
    <col min="15" max="15" width="14.42578125" style="488" customWidth="1"/>
    <col min="16" max="16" width="0.85546875" style="488" customWidth="1"/>
    <col min="17" max="17" width="1.28515625" style="488" customWidth="1"/>
    <col min="18" max="18" width="6" style="487" bestFit="1" customWidth="1"/>
    <col min="19" max="19" width="16.140625" style="996" bestFit="1" customWidth="1"/>
    <col min="20" max="20" width="14.5703125" style="699" bestFit="1" customWidth="1"/>
    <col min="21" max="21" width="29.28515625" style="488" customWidth="1"/>
    <col min="22" max="22" width="9.140625" style="488" customWidth="1"/>
    <col min="23" max="16384" width="9.140625" style="488"/>
  </cols>
  <sheetData>
    <row r="1" spans="1:21" s="1637" customFormat="1" ht="15.75">
      <c r="B1" s="2664"/>
      <c r="C1" s="2664"/>
      <c r="D1" s="2664"/>
      <c r="E1" s="2664"/>
      <c r="F1" s="2664"/>
      <c r="G1" s="3015" t="str">
        <f>'Contact Information'!$C$5</f>
        <v>SAMPLE STATE COLLEGE</v>
      </c>
      <c r="H1" s="2664"/>
      <c r="I1" s="2664"/>
      <c r="J1" s="2664"/>
      <c r="K1" s="2664"/>
      <c r="L1" s="2664"/>
      <c r="M1" s="2664"/>
      <c r="N1" s="2664"/>
      <c r="O1" s="2664"/>
      <c r="P1" s="2664"/>
      <c r="Q1" s="2664"/>
      <c r="R1" s="1628" t="s">
        <v>3</v>
      </c>
      <c r="S1" s="1636"/>
      <c r="T1" s="1636"/>
      <c r="U1" s="1636"/>
    </row>
    <row r="2" spans="1:21" s="1637" customFormat="1" ht="15.75">
      <c r="B2" s="2665"/>
      <c r="C2" s="2665"/>
      <c r="D2" s="2665"/>
      <c r="E2" s="2665"/>
      <c r="F2" s="2665"/>
      <c r="G2" s="3016" t="s">
        <v>2298</v>
      </c>
      <c r="H2" s="2665"/>
      <c r="I2" s="2665"/>
      <c r="J2" s="2665"/>
      <c r="K2" s="2665"/>
      <c r="L2" s="2665"/>
      <c r="M2" s="2665"/>
      <c r="N2" s="2665"/>
      <c r="O2" s="2665"/>
      <c r="P2" s="2665"/>
      <c r="Q2" s="2665"/>
      <c r="R2" s="1628" t="str">
        <f>'Contact Information'!$C$3</f>
        <v>2021.v01</v>
      </c>
      <c r="S2" s="1636"/>
      <c r="T2" s="1636"/>
      <c r="U2" s="1636"/>
    </row>
    <row r="3" spans="1:21" s="1637" customFormat="1" ht="15.75" customHeight="1">
      <c r="B3" s="2666"/>
      <c r="C3" s="2666"/>
      <c r="D3" s="2666"/>
      <c r="E3" s="2666"/>
      <c r="F3" s="2666"/>
      <c r="G3" s="3017" t="s">
        <v>2744</v>
      </c>
      <c r="H3" s="2666"/>
      <c r="I3" s="2666"/>
      <c r="J3" s="2666"/>
      <c r="K3" s="2666"/>
      <c r="L3" s="2666"/>
      <c r="M3" s="2666"/>
      <c r="N3" s="2666"/>
      <c r="O3" s="2666"/>
      <c r="P3" s="2666"/>
      <c r="Q3" s="2666"/>
      <c r="R3" s="1636"/>
      <c r="S3" s="1636"/>
      <c r="T3" s="1636"/>
      <c r="U3" s="1636"/>
    </row>
    <row r="4" spans="1:21" s="1637" customFormat="1" ht="15.75">
      <c r="B4" s="2673"/>
      <c r="C4" s="2673"/>
      <c r="D4" s="2673"/>
      <c r="E4" s="2673"/>
      <c r="F4" s="2673"/>
      <c r="G4" s="3018" t="str">
        <f>'FCS Notes Sched Inv &amp; Cash'!E4</f>
        <v>For the Fiscal Year Ended June 30, 2021</v>
      </c>
      <c r="H4" s="2673"/>
      <c r="I4" s="2673"/>
      <c r="J4" s="2673"/>
      <c r="K4" s="2673"/>
      <c r="L4" s="2673"/>
      <c r="M4" s="2673"/>
      <c r="N4" s="2673"/>
      <c r="O4" s="2673"/>
      <c r="P4" s="2673"/>
      <c r="Q4" s="2673"/>
      <c r="R4" s="1636"/>
      <c r="S4" s="1636"/>
      <c r="T4" s="1636"/>
      <c r="U4" s="1636"/>
    </row>
    <row r="5" spans="1:21" s="1461" customFormat="1">
      <c r="A5" s="1632"/>
      <c r="B5" s="1633"/>
      <c r="C5" s="1632"/>
      <c r="D5" s="1632"/>
      <c r="E5" s="1632"/>
      <c r="F5" s="1632"/>
      <c r="G5" s="1632"/>
      <c r="H5" s="1632"/>
      <c r="I5" s="1632"/>
      <c r="J5" s="1632"/>
      <c r="K5" s="1632"/>
      <c r="L5" s="1632"/>
      <c r="M5" s="1632"/>
      <c r="N5" s="1632"/>
      <c r="O5" s="1632"/>
      <c r="P5" s="1632"/>
      <c r="Q5" s="1632"/>
      <c r="R5" s="2663" t="str">
        <f>PROPER($G$1)</f>
        <v>Sample State College</v>
      </c>
      <c r="S5" s="2663"/>
      <c r="T5" s="2663"/>
      <c r="U5" s="2663"/>
    </row>
    <row r="6" spans="1:21" s="1630" customFormat="1" ht="15.75">
      <c r="A6" s="1629"/>
      <c r="B6" s="1634" t="s">
        <v>2745</v>
      </c>
      <c r="C6" s="3019" t="s">
        <v>2835</v>
      </c>
      <c r="F6" s="1629"/>
      <c r="G6" s="1629"/>
      <c r="H6" s="1629"/>
      <c r="I6" s="1629"/>
      <c r="J6" s="1629"/>
      <c r="K6" s="1629"/>
      <c r="L6" s="1629"/>
      <c r="M6" s="1629"/>
      <c r="N6" s="1629"/>
      <c r="O6" s="1629"/>
      <c r="P6" s="1629"/>
      <c r="Q6" s="1629"/>
      <c r="R6" s="2659" t="s">
        <v>4063</v>
      </c>
      <c r="S6" s="2659"/>
      <c r="T6" s="2659"/>
      <c r="U6" s="2659"/>
    </row>
    <row r="7" spans="1:21" s="1461" customFormat="1" ht="7.5" customHeight="1">
      <c r="A7" s="1632"/>
      <c r="B7" s="1632"/>
      <c r="C7" s="1632"/>
      <c r="D7" s="1632"/>
      <c r="E7" s="1632"/>
      <c r="F7" s="1632"/>
      <c r="G7" s="1632"/>
      <c r="H7" s="1632"/>
      <c r="I7" s="1632"/>
      <c r="J7" s="1632"/>
      <c r="K7" s="1632"/>
      <c r="L7" s="1632"/>
      <c r="M7" s="1632"/>
      <c r="N7" s="1632"/>
      <c r="O7" s="1632"/>
      <c r="P7" s="1632"/>
      <c r="Q7" s="1632"/>
      <c r="R7" s="1010"/>
      <c r="S7" s="1631"/>
      <c r="T7" s="1631"/>
      <c r="U7" s="1631"/>
    </row>
    <row r="8" spans="1:21" s="1630" customFormat="1">
      <c r="A8" s="1629"/>
      <c r="B8" s="1629"/>
      <c r="C8" s="1635" t="s">
        <v>4062</v>
      </c>
      <c r="D8" s="1629"/>
      <c r="E8" s="1629"/>
      <c r="F8" s="1629"/>
      <c r="G8" s="1629"/>
      <c r="H8" s="1629"/>
      <c r="I8" s="1629"/>
      <c r="J8" s="1629"/>
      <c r="K8" s="1629"/>
      <c r="L8" s="1629"/>
      <c r="M8" s="1629"/>
      <c r="N8" s="1629"/>
      <c r="O8" s="1629"/>
      <c r="P8" s="1629"/>
      <c r="Q8" s="1629"/>
      <c r="R8" s="2659" t="s">
        <v>2836</v>
      </c>
      <c r="S8" s="2659"/>
      <c r="T8" s="2659"/>
      <c r="U8" s="2659"/>
    </row>
    <row r="9" spans="1:21" s="1461" customFormat="1" ht="9.75" customHeight="1">
      <c r="A9" s="1632"/>
      <c r="B9" s="1632"/>
      <c r="C9" s="1631"/>
      <c r="D9" s="1632"/>
      <c r="E9" s="1632"/>
      <c r="F9" s="1632"/>
      <c r="G9" s="1632"/>
      <c r="H9" s="1632"/>
      <c r="I9" s="1632"/>
      <c r="J9" s="1632"/>
      <c r="K9" s="1632"/>
      <c r="L9" s="1632"/>
      <c r="M9" s="1632"/>
      <c r="N9" s="1632"/>
      <c r="O9" s="1632"/>
      <c r="P9" s="1632"/>
      <c r="Q9" s="1632"/>
      <c r="R9" s="1010"/>
      <c r="S9" s="1011"/>
      <c r="T9" s="1009"/>
      <c r="U9" s="1632"/>
    </row>
    <row r="10" spans="1:21" s="96" customFormat="1" ht="12.75">
      <c r="A10" s="1813"/>
      <c r="B10" s="1813"/>
      <c r="C10" s="1811" t="s">
        <v>2748</v>
      </c>
      <c r="D10" s="221"/>
      <c r="E10" s="221"/>
      <c r="F10" s="221"/>
      <c r="G10" s="490" t="s">
        <v>2749</v>
      </c>
      <c r="H10" s="221"/>
      <c r="I10" s="490" t="s">
        <v>2306</v>
      </c>
      <c r="J10" s="221"/>
      <c r="K10" s="490" t="s">
        <v>2750</v>
      </c>
      <c r="L10" s="221"/>
      <c r="M10" s="490" t="s">
        <v>2751</v>
      </c>
      <c r="N10" s="221"/>
      <c r="O10" s="490" t="s">
        <v>2752</v>
      </c>
      <c r="P10" s="1813"/>
      <c r="Q10" s="1813"/>
      <c r="R10" s="3336" t="s">
        <v>2837</v>
      </c>
      <c r="S10" s="3337"/>
      <c r="T10" s="3765"/>
      <c r="U10" s="1810"/>
    </row>
    <row r="11" spans="1:21" s="96" customFormat="1" ht="12.75">
      <c r="A11" s="1813"/>
      <c r="B11" s="1813"/>
      <c r="C11" s="491"/>
      <c r="D11" s="492"/>
      <c r="E11" s="492"/>
      <c r="F11" s="493"/>
      <c r="G11" s="492" t="s">
        <v>2754</v>
      </c>
      <c r="H11" s="493"/>
      <c r="I11" s="494" t="s">
        <v>2838</v>
      </c>
      <c r="J11" s="493"/>
      <c r="K11" s="492"/>
      <c r="L11" s="493"/>
      <c r="M11" s="492"/>
      <c r="N11" s="493"/>
      <c r="O11" s="492" t="s">
        <v>2754</v>
      </c>
      <c r="P11" s="1813"/>
      <c r="Q11" s="1813"/>
      <c r="R11" s="3338" t="s">
        <v>2257</v>
      </c>
      <c r="S11" s="3339" t="s">
        <v>2839</v>
      </c>
      <c r="T11" s="3340" t="s">
        <v>224</v>
      </c>
      <c r="U11" s="1810"/>
    </row>
    <row r="12" spans="1:21" s="96" customFormat="1" ht="13.5" customHeight="1">
      <c r="A12" s="1813"/>
      <c r="B12" s="1813"/>
      <c r="C12" s="1811"/>
      <c r="D12" s="495"/>
      <c r="E12" s="495"/>
      <c r="F12" s="495"/>
      <c r="G12" s="496"/>
      <c r="H12" s="495"/>
      <c r="I12" s="496"/>
      <c r="J12" s="495"/>
      <c r="K12" s="496"/>
      <c r="L12" s="495"/>
      <c r="M12" s="496"/>
      <c r="N12" s="495"/>
      <c r="O12" s="496"/>
      <c r="P12" s="1813"/>
      <c r="Q12" s="1813"/>
      <c r="R12" s="1010"/>
      <c r="S12" s="1011"/>
      <c r="T12" s="1009"/>
      <c r="U12" s="2661" t="s">
        <v>2308</v>
      </c>
    </row>
    <row r="13" spans="1:21" s="96" customFormat="1" ht="15.75" customHeight="1">
      <c r="A13" s="1813"/>
      <c r="B13" s="1813"/>
      <c r="C13" s="1811" t="s">
        <v>2840</v>
      </c>
      <c r="D13" s="495"/>
      <c r="E13" s="495"/>
      <c r="F13" s="495"/>
      <c r="G13" s="496"/>
      <c r="H13" s="495"/>
      <c r="I13" s="496"/>
      <c r="J13" s="495"/>
      <c r="K13" s="496"/>
      <c r="L13" s="495"/>
      <c r="M13" s="496"/>
      <c r="N13" s="495"/>
      <c r="O13" s="496"/>
      <c r="P13" s="1813"/>
      <c r="Q13" s="1813"/>
      <c r="R13" s="1010"/>
      <c r="S13" s="1011"/>
      <c r="T13" s="1009"/>
      <c r="U13" s="2662"/>
    </row>
    <row r="14" spans="1:21" s="96" customFormat="1" ht="12.75">
      <c r="A14" s="1813"/>
      <c r="B14" s="1813"/>
      <c r="C14" s="1811"/>
      <c r="D14" s="1811" t="s">
        <v>454</v>
      </c>
      <c r="E14" s="1811"/>
      <c r="F14" s="497"/>
      <c r="G14" s="998" t="e">
        <f>VLOOKUP($G$1,VLOOKUP!A193:E220,2,FALSE)</f>
        <v>#N/A</v>
      </c>
      <c r="H14" s="999"/>
      <c r="I14" s="109">
        <v>0</v>
      </c>
      <c r="J14" s="1705"/>
      <c r="K14" s="109">
        <v>0</v>
      </c>
      <c r="L14" s="1723"/>
      <c r="M14" s="109">
        <v>0</v>
      </c>
      <c r="N14" s="1000"/>
      <c r="O14" s="999" t="e">
        <f>ROUND(G14,0)+ROUND(I14,0)+ROUND(K14,0)-ROUND(M14,0)</f>
        <v>#N/A</v>
      </c>
      <c r="P14" s="1813"/>
      <c r="Q14" s="1813"/>
      <c r="R14" s="1010">
        <v>19100</v>
      </c>
      <c r="S14" s="1011">
        <f>'Accounts by GL'!O51</f>
        <v>0</v>
      </c>
      <c r="T14" s="1009" t="e">
        <f>O14-S14</f>
        <v>#N/A</v>
      </c>
      <c r="U14" s="1819"/>
    </row>
    <row r="15" spans="1:21" s="96" customFormat="1" ht="12.75">
      <c r="A15" s="1813"/>
      <c r="B15" s="1813"/>
      <c r="C15" s="1811"/>
      <c r="D15" s="1811" t="s">
        <v>457</v>
      </c>
      <c r="E15" s="1811"/>
      <c r="F15" s="497"/>
      <c r="G15" s="998" t="e">
        <f>VLOOKUP($G$1,VLOOKUP!A193:E220,3,FALSE)</f>
        <v>#N/A</v>
      </c>
      <c r="H15" s="1803"/>
      <c r="I15" s="109">
        <v>0</v>
      </c>
      <c r="J15" s="1700"/>
      <c r="K15" s="109">
        <v>0</v>
      </c>
      <c r="L15" s="1724"/>
      <c r="M15" s="109">
        <v>0</v>
      </c>
      <c r="N15" s="498"/>
      <c r="O15" s="1803" t="e">
        <f>ROUND(G15,0)+ROUND(I15,0)+ROUND(K15,0)-ROUND(M15,0)</f>
        <v>#N/A</v>
      </c>
      <c r="P15" s="1813"/>
      <c r="Q15" s="1813"/>
      <c r="R15" s="1010">
        <v>19630</v>
      </c>
      <c r="S15" s="1011">
        <f>'Accounts by GL'!O79</f>
        <v>0</v>
      </c>
      <c r="T15" s="1009" t="e">
        <f>O15-S15</f>
        <v>#N/A</v>
      </c>
      <c r="U15" s="1819"/>
    </row>
    <row r="16" spans="1:21" s="96" customFormat="1" ht="12.75">
      <c r="A16" s="1813"/>
      <c r="B16" s="1813"/>
      <c r="C16" s="1811"/>
      <c r="D16" s="1811" t="s">
        <v>2841</v>
      </c>
      <c r="E16" s="1811"/>
      <c r="F16" s="497"/>
      <c r="G16" s="998" t="e">
        <f>VLOOKUP($G$1,VLOOKUP!A193:E220,4,FALSE)</f>
        <v>#N/A</v>
      </c>
      <c r="H16" s="1803"/>
      <c r="I16" s="109">
        <v>0</v>
      </c>
      <c r="J16" s="1700"/>
      <c r="K16" s="109">
        <v>0</v>
      </c>
      <c r="L16" s="1724"/>
      <c r="M16" s="109">
        <v>0</v>
      </c>
      <c r="N16" s="498"/>
      <c r="O16" s="1803" t="e">
        <f>ROUND(G16,0)+ROUND(I16,0)+ROUND(K16,0)-ROUND(M16,0)</f>
        <v>#N/A</v>
      </c>
      <c r="P16" s="1813"/>
      <c r="Q16" s="1813"/>
      <c r="R16" s="1010"/>
      <c r="S16" s="1011"/>
      <c r="T16" s="1009"/>
      <c r="U16" s="1819"/>
    </row>
    <row r="17" spans="1:21" s="96" customFormat="1" ht="12.75">
      <c r="A17" s="1813"/>
      <c r="B17" s="1813"/>
      <c r="C17" s="1811"/>
      <c r="D17" s="1811" t="s">
        <v>461</v>
      </c>
      <c r="E17" s="1811"/>
      <c r="F17" s="495"/>
      <c r="G17" s="1736" t="e">
        <f>VLOOKUP($G$1,VLOOKUP!A193:E220,5,FALSE)</f>
        <v>#N/A</v>
      </c>
      <c r="H17" s="1803"/>
      <c r="I17" s="110">
        <v>0</v>
      </c>
      <c r="J17" s="1700"/>
      <c r="K17" s="110">
        <v>0</v>
      </c>
      <c r="L17" s="1700"/>
      <c r="M17" s="110">
        <v>0</v>
      </c>
      <c r="N17" s="1803"/>
      <c r="O17" s="275" t="e">
        <f>ROUND(G17,0)+ROUND(I17,0)+ROUND(K17,0)-ROUND(M17,0)</f>
        <v>#N/A</v>
      </c>
      <c r="P17" s="1813"/>
      <c r="Q17" s="1813"/>
      <c r="R17" s="1010">
        <v>19800</v>
      </c>
      <c r="S17" s="1011">
        <f>'Accounts by GL'!O80</f>
        <v>0</v>
      </c>
      <c r="T17" s="1009" t="e">
        <f>O17-S17</f>
        <v>#N/A</v>
      </c>
      <c r="U17" s="1819"/>
    </row>
    <row r="18" spans="1:21" s="96" customFormat="1" ht="12.75">
      <c r="A18" s="1813"/>
      <c r="B18" s="1813"/>
      <c r="C18" s="1813"/>
      <c r="D18" s="495"/>
      <c r="E18" s="495"/>
      <c r="F18" s="495"/>
      <c r="G18" s="496"/>
      <c r="H18" s="495"/>
      <c r="I18" s="496"/>
      <c r="J18" s="495"/>
      <c r="K18" s="496"/>
      <c r="L18" s="495"/>
      <c r="M18" s="496"/>
      <c r="N18" s="495"/>
      <c r="O18" s="499"/>
      <c r="P18" s="1813"/>
      <c r="Q18" s="1813"/>
      <c r="R18" s="1010"/>
      <c r="S18" s="1011"/>
      <c r="T18" s="1009"/>
      <c r="U18" s="1819"/>
    </row>
    <row r="19" spans="1:21" s="96" customFormat="1" ht="13.5" thickBot="1">
      <c r="A19" s="1813"/>
      <c r="B19" s="1813"/>
      <c r="C19" s="219" t="s">
        <v>2842</v>
      </c>
      <c r="D19" s="500"/>
      <c r="E19" s="500"/>
      <c r="F19" s="500"/>
      <c r="G19" s="501" t="e">
        <f t="array" ref="G19">SUM(ROUND(G14:G17,0))</f>
        <v>#N/A</v>
      </c>
      <c r="H19" s="499"/>
      <c r="I19" s="501">
        <f t="array" ref="I19">SUM(ROUND(I14:I17,0))</f>
        <v>0</v>
      </c>
      <c r="J19" s="499"/>
      <c r="K19" s="501">
        <f t="array" ref="K19">SUM(ROUND(K14:K17,0))</f>
        <v>0</v>
      </c>
      <c r="L19" s="497"/>
      <c r="M19" s="501">
        <f t="array" ref="M19">SUM(ROUND(M14:M17,0))</f>
        <v>0</v>
      </c>
      <c r="N19" s="497"/>
      <c r="O19" s="501" t="e">
        <f t="array" ref="O19">SUM(ROUND(O14:O17,0))</f>
        <v>#N/A</v>
      </c>
      <c r="P19" s="1813"/>
      <c r="Q19" s="1813"/>
      <c r="R19" s="1012" t="s">
        <v>178</v>
      </c>
      <c r="S19" s="1011">
        <f>ROUND(SNP!M34,0)</f>
        <v>0</v>
      </c>
      <c r="T19" s="1009" t="e">
        <f>O19-S19</f>
        <v>#N/A</v>
      </c>
      <c r="U19" s="1819"/>
    </row>
    <row r="20" spans="1:21" s="96" customFormat="1" ht="13.5" thickTop="1">
      <c r="A20" s="1813"/>
      <c r="B20" s="1813"/>
      <c r="C20" s="1813"/>
      <c r="D20" s="495"/>
      <c r="E20" s="495"/>
      <c r="F20" s="495"/>
      <c r="G20" s="496"/>
      <c r="H20" s="495"/>
      <c r="I20" s="496"/>
      <c r="J20" s="495"/>
      <c r="K20" s="496"/>
      <c r="L20" s="495"/>
      <c r="M20" s="496"/>
      <c r="N20" s="495"/>
      <c r="O20" s="499"/>
      <c r="P20" s="1813"/>
      <c r="Q20" s="1813"/>
      <c r="R20" s="1010"/>
      <c r="S20" s="1011"/>
      <c r="T20" s="1009"/>
      <c r="U20" s="1819"/>
    </row>
    <row r="21" spans="1:21" s="96" customFormat="1" ht="15.75" customHeight="1">
      <c r="A21" s="1813"/>
      <c r="B21" s="1813"/>
      <c r="C21" s="1811" t="s">
        <v>2843</v>
      </c>
      <c r="D21" s="495"/>
      <c r="E21" s="495"/>
      <c r="F21" s="495"/>
      <c r="G21" s="496"/>
      <c r="H21" s="495"/>
      <c r="I21" s="496"/>
      <c r="J21" s="495"/>
      <c r="K21" s="496"/>
      <c r="L21" s="495"/>
      <c r="M21" s="496"/>
      <c r="N21" s="495"/>
      <c r="O21" s="499"/>
      <c r="P21" s="1813"/>
      <c r="Q21" s="1813"/>
      <c r="R21" s="1010"/>
      <c r="S21" s="1011"/>
      <c r="T21" s="1009"/>
      <c r="U21" s="1819"/>
    </row>
    <row r="22" spans="1:21" s="96" customFormat="1" ht="12.75">
      <c r="A22" s="1813"/>
      <c r="B22" s="1813"/>
      <c r="C22" s="1811"/>
      <c r="D22" s="1811" t="s">
        <v>463</v>
      </c>
      <c r="E22" s="1811"/>
      <c r="F22" s="497"/>
      <c r="G22" s="998" t="e">
        <f>VLOOKUP($G$1,VLOOKUP!A227:G254,2,FALSE)</f>
        <v>#N/A</v>
      </c>
      <c r="H22" s="499"/>
      <c r="I22" s="109">
        <v>0</v>
      </c>
      <c r="J22" s="1725"/>
      <c r="K22" s="109">
        <v>0</v>
      </c>
      <c r="L22" s="1726"/>
      <c r="M22" s="109">
        <v>0</v>
      </c>
      <c r="N22" s="497"/>
      <c r="O22" s="999" t="e">
        <f t="shared" ref="O22:O27" si="0">ROUND(G22,0)+ROUND(I22,0)+ROUND(K22,0)-ROUND(M22,0)</f>
        <v>#N/A</v>
      </c>
      <c r="P22" s="1813"/>
      <c r="Q22" s="1813"/>
      <c r="R22" s="1010">
        <v>19200</v>
      </c>
      <c r="S22" s="1011">
        <f>'Accounts by GL'!O52</f>
        <v>0</v>
      </c>
      <c r="T22" s="1009" t="e">
        <f>O22-S22</f>
        <v>#N/A</v>
      </c>
      <c r="U22" s="1819"/>
    </row>
    <row r="23" spans="1:21" s="96" customFormat="1" ht="12.75">
      <c r="A23" s="1813"/>
      <c r="B23" s="1813"/>
      <c r="C23" s="1811"/>
      <c r="D23" s="1811" t="s">
        <v>465</v>
      </c>
      <c r="E23" s="1811"/>
      <c r="F23" s="495"/>
      <c r="G23" s="998" t="e">
        <f>VLOOKUP($G$1,VLOOKUP!A227:G254,3,FALSE)</f>
        <v>#N/A</v>
      </c>
      <c r="H23" s="502"/>
      <c r="I23" s="109">
        <v>0</v>
      </c>
      <c r="J23" s="1727"/>
      <c r="K23" s="109">
        <v>0</v>
      </c>
      <c r="L23" s="1727"/>
      <c r="M23" s="109">
        <v>0</v>
      </c>
      <c r="N23" s="502"/>
      <c r="O23" s="1803" t="e">
        <f t="shared" si="0"/>
        <v>#N/A</v>
      </c>
      <c r="P23" s="1813"/>
      <c r="Q23" s="1813"/>
      <c r="R23" s="1010">
        <v>19300</v>
      </c>
      <c r="S23" s="1011">
        <f>'Accounts by GL'!O54</f>
        <v>0</v>
      </c>
      <c r="T23" s="1009" t="e">
        <f>O23-S23</f>
        <v>#N/A</v>
      </c>
      <c r="U23" s="1819"/>
    </row>
    <row r="24" spans="1:21" s="96" customFormat="1" ht="12.75">
      <c r="A24" s="1813"/>
      <c r="B24" s="1813"/>
      <c r="C24" s="1811"/>
      <c r="D24" s="1811" t="s">
        <v>467</v>
      </c>
      <c r="E24" s="1811"/>
      <c r="F24" s="495"/>
      <c r="G24" s="998" t="e">
        <f>VLOOKUP($G$1,VLOOKUP!A227:G254,4,FALSE)</f>
        <v>#N/A</v>
      </c>
      <c r="H24" s="502"/>
      <c r="I24" s="109">
        <v>0</v>
      </c>
      <c r="J24" s="1727"/>
      <c r="K24" s="109">
        <v>0</v>
      </c>
      <c r="L24" s="1727"/>
      <c r="M24" s="109">
        <v>0</v>
      </c>
      <c r="N24" s="502"/>
      <c r="O24" s="1803" t="e">
        <f t="shared" si="0"/>
        <v>#N/A</v>
      </c>
      <c r="P24" s="1813"/>
      <c r="Q24" s="1813"/>
      <c r="R24" s="1010" t="s">
        <v>2844</v>
      </c>
      <c r="S24" s="1011">
        <f>'Accounts by GL'!O57+'Accounts by GL'!O59+'Accounts by GL'!O61+'Accounts by GL'!O63+'Accounts by GL'!O65</f>
        <v>0</v>
      </c>
      <c r="T24" s="1009" t="e">
        <f>O24-S24</f>
        <v>#N/A</v>
      </c>
      <c r="U24" s="1819"/>
    </row>
    <row r="25" spans="1:21" s="96" customFormat="1" ht="12.75">
      <c r="A25" s="1813"/>
      <c r="B25" s="1813"/>
      <c r="C25" s="1811"/>
      <c r="D25" s="1811" t="s">
        <v>41</v>
      </c>
      <c r="E25" s="1811"/>
      <c r="F25" s="495"/>
      <c r="G25" s="998" t="e">
        <f>VLOOKUP($G$1,VLOOKUP!A227:G254,5,FALSE)</f>
        <v>#N/A</v>
      </c>
      <c r="H25" s="502"/>
      <c r="I25" s="1864">
        <v>0</v>
      </c>
      <c r="J25" s="1727"/>
      <c r="K25" s="1864">
        <v>0</v>
      </c>
      <c r="L25" s="1727"/>
      <c r="M25" s="1864">
        <v>0</v>
      </c>
      <c r="N25" s="502"/>
      <c r="O25" s="1803" t="e">
        <f t="shared" si="0"/>
        <v>#N/A</v>
      </c>
      <c r="P25" s="1813"/>
      <c r="Q25" s="1813"/>
      <c r="R25" s="1010">
        <v>19010</v>
      </c>
      <c r="S25" s="1011">
        <f>'Accounts by GL'!O49</f>
        <v>0</v>
      </c>
      <c r="T25" s="1009" t="e">
        <f>O25-S25</f>
        <v>#N/A</v>
      </c>
      <c r="U25" s="1819"/>
    </row>
    <row r="26" spans="1:21" s="96" customFormat="1" ht="12.75">
      <c r="A26" s="1813"/>
      <c r="B26" s="1813"/>
      <c r="C26" s="1811"/>
      <c r="D26" s="2660" t="s">
        <v>470</v>
      </c>
      <c r="E26" s="2660"/>
      <c r="F26" s="2660"/>
      <c r="G26" s="998" t="e">
        <f>VLOOKUP($G$1,VLOOKUP!A227:G254,6,FALSE)</f>
        <v>#N/A</v>
      </c>
      <c r="H26" s="502"/>
      <c r="I26" s="1864">
        <v>0</v>
      </c>
      <c r="J26" s="1700"/>
      <c r="K26" s="1864">
        <v>0</v>
      </c>
      <c r="L26" s="1700"/>
      <c r="M26" s="1864">
        <v>0</v>
      </c>
      <c r="N26" s="502"/>
      <c r="O26" s="1803" t="e">
        <f t="shared" si="0"/>
        <v>#N/A</v>
      </c>
      <c r="P26" s="1813"/>
      <c r="Q26" s="1813"/>
      <c r="R26" s="1010">
        <v>19000</v>
      </c>
      <c r="S26" s="1011">
        <f>'Accounts by GL'!O47</f>
        <v>0</v>
      </c>
      <c r="T26" s="1009" t="e">
        <f>O26-S26</f>
        <v>#N/A</v>
      </c>
      <c r="U26" s="1819"/>
    </row>
    <row r="27" spans="1:21" s="96" customFormat="1" ht="12.75">
      <c r="A27" s="1813"/>
      <c r="B27" s="1813"/>
      <c r="C27" s="1811"/>
      <c r="D27" s="1811" t="s">
        <v>2841</v>
      </c>
      <c r="E27" s="1811"/>
      <c r="F27" s="495"/>
      <c r="G27" s="1736" t="e">
        <f>VLOOKUP($G$1,VLOOKUP!A227:G254,7,FALSE)</f>
        <v>#N/A</v>
      </c>
      <c r="H27" s="502"/>
      <c r="I27" s="110">
        <v>0</v>
      </c>
      <c r="J27" s="1700"/>
      <c r="K27" s="110">
        <v>0</v>
      </c>
      <c r="L27" s="1700"/>
      <c r="M27" s="110">
        <v>0</v>
      </c>
      <c r="N27" s="502"/>
      <c r="O27" s="275" t="e">
        <f t="shared" si="0"/>
        <v>#N/A</v>
      </c>
      <c r="P27" s="1813"/>
      <c r="Q27" s="1813"/>
      <c r="R27" s="1010"/>
      <c r="S27" s="1011"/>
      <c r="T27" s="1813"/>
      <c r="U27" s="1819"/>
    </row>
    <row r="28" spans="1:21" s="96" customFormat="1" ht="12.75">
      <c r="A28" s="1813"/>
      <c r="B28" s="1813"/>
      <c r="C28" s="1813"/>
      <c r="D28" s="495"/>
      <c r="E28" s="495"/>
      <c r="F28" s="495"/>
      <c r="G28" s="237"/>
      <c r="H28" s="502"/>
      <c r="I28" s="237"/>
      <c r="J28" s="502"/>
      <c r="K28" s="237"/>
      <c r="L28" s="502"/>
      <c r="M28" s="237"/>
      <c r="N28" s="502"/>
      <c r="O28" s="502"/>
      <c r="P28" s="1813"/>
      <c r="Q28" s="1813"/>
      <c r="R28" s="1010"/>
      <c r="S28" s="1011"/>
      <c r="T28" s="1009"/>
      <c r="U28" s="1819"/>
    </row>
    <row r="29" spans="1:21" s="96" customFormat="1" ht="12.75">
      <c r="A29" s="1813"/>
      <c r="B29" s="1813"/>
      <c r="C29" s="219" t="s">
        <v>2845</v>
      </c>
      <c r="D29" s="500"/>
      <c r="E29" s="500"/>
      <c r="F29" s="221"/>
      <c r="G29" s="275" t="e">
        <f t="array" ref="G29">SUM(ROUND(G22:G27,0))</f>
        <v>#N/A</v>
      </c>
      <c r="H29" s="502"/>
      <c r="I29" s="1953">
        <f t="array" ref="I29">SUM(ROUND(I22:I27,0))</f>
        <v>0</v>
      </c>
      <c r="J29" s="502"/>
      <c r="K29" s="1953">
        <f t="array" ref="K29">SUM(ROUND(K22:K27,0))</f>
        <v>0</v>
      </c>
      <c r="L29" s="502"/>
      <c r="M29" s="1953">
        <f t="array" ref="M29">SUM(ROUND(M22:M27,0))</f>
        <v>0</v>
      </c>
      <c r="N29" s="502"/>
      <c r="O29" s="275" t="e">
        <f t="array" ref="O29">SUM(ROUND(O22:O27,0))</f>
        <v>#N/A</v>
      </c>
      <c r="P29" s="1813"/>
      <c r="Q29" s="1813"/>
      <c r="R29" s="1010"/>
      <c r="S29" s="1011"/>
      <c r="T29" s="1009"/>
      <c r="U29" s="1819"/>
    </row>
    <row r="30" spans="1:21" s="96" customFormat="1" ht="12.75">
      <c r="A30" s="1813"/>
      <c r="B30" s="1813"/>
      <c r="C30" s="1813"/>
      <c r="D30" s="495"/>
      <c r="E30" s="495"/>
      <c r="F30" s="495"/>
      <c r="G30" s="237"/>
      <c r="H30" s="502"/>
      <c r="I30" s="237"/>
      <c r="J30" s="502"/>
      <c r="K30" s="237"/>
      <c r="L30" s="502"/>
      <c r="M30" s="237"/>
      <c r="N30" s="502"/>
      <c r="O30" s="502"/>
      <c r="P30" s="1813"/>
      <c r="Q30" s="1813"/>
      <c r="R30" s="1010"/>
      <c r="S30" s="1011"/>
      <c r="T30" s="1009"/>
      <c r="U30" s="1819"/>
    </row>
    <row r="31" spans="1:21" s="96" customFormat="1" ht="12.75">
      <c r="A31" s="1813"/>
      <c r="B31" s="1813"/>
      <c r="C31" s="1811" t="s">
        <v>2846</v>
      </c>
      <c r="D31" s="495"/>
      <c r="E31" s="495"/>
      <c r="F31" s="495"/>
      <c r="G31" s="237"/>
      <c r="H31" s="502"/>
      <c r="I31" s="237"/>
      <c r="J31" s="502"/>
      <c r="K31" s="237"/>
      <c r="L31" s="502"/>
      <c r="M31" s="237"/>
      <c r="N31" s="502"/>
      <c r="O31" s="502"/>
      <c r="P31" s="1813"/>
      <c r="Q31" s="1813"/>
      <c r="R31" s="1010"/>
      <c r="S31" s="1011"/>
      <c r="T31" s="1009"/>
      <c r="U31" s="1819"/>
    </row>
    <row r="32" spans="1:21" s="96" customFormat="1" ht="12.75">
      <c r="A32" s="1813"/>
      <c r="B32" s="1813"/>
      <c r="C32" s="1811"/>
      <c r="D32" s="1811" t="s">
        <v>463</v>
      </c>
      <c r="E32" s="1811"/>
      <c r="F32" s="497"/>
      <c r="G32" s="998" t="e">
        <f>VLOOKUP($G$1,VLOOKUP!A261:G288,2,FALSE)</f>
        <v>#N/A</v>
      </c>
      <c r="H32" s="502"/>
      <c r="I32" s="109">
        <v>0</v>
      </c>
      <c r="J32" s="1700"/>
      <c r="K32" s="1864">
        <v>0</v>
      </c>
      <c r="L32" s="1700"/>
      <c r="M32" s="109">
        <v>0</v>
      </c>
      <c r="N32" s="502"/>
      <c r="O32" s="1803" t="e">
        <f t="shared" ref="O32:O37" si="1">ROUND(G32,0)+ROUND(I32,0)+ROUND(K32,0)-ROUND(M32,0)</f>
        <v>#N/A</v>
      </c>
      <c r="P32" s="1813"/>
      <c r="Q32" s="1813"/>
      <c r="R32" s="1010">
        <v>19209</v>
      </c>
      <c r="S32" s="1011">
        <f>-'Accounts by GL'!O53</f>
        <v>0</v>
      </c>
      <c r="T32" s="1009" t="e">
        <f>O32-S32</f>
        <v>#N/A</v>
      </c>
      <c r="U32" s="1819"/>
    </row>
    <row r="33" spans="1:21" s="96" customFormat="1" ht="12.75">
      <c r="A33" s="1813"/>
      <c r="B33" s="1813"/>
      <c r="C33" s="1811"/>
      <c r="D33" s="1811" t="s">
        <v>465</v>
      </c>
      <c r="E33" s="1811"/>
      <c r="F33" s="495"/>
      <c r="G33" s="998" t="e">
        <f>VLOOKUP($G$1,VLOOKUP!A261:G288,3,FALSE)</f>
        <v>#N/A</v>
      </c>
      <c r="H33" s="502"/>
      <c r="I33" s="109">
        <v>0</v>
      </c>
      <c r="J33" s="1700"/>
      <c r="K33" s="1864">
        <v>0</v>
      </c>
      <c r="L33" s="1700"/>
      <c r="M33" s="109">
        <v>0</v>
      </c>
      <c r="N33" s="502"/>
      <c r="O33" s="1803" t="e">
        <f t="shared" si="1"/>
        <v>#N/A</v>
      </c>
      <c r="P33" s="1813"/>
      <c r="Q33" s="1813"/>
      <c r="R33" s="1010">
        <v>19309</v>
      </c>
      <c r="S33" s="1011">
        <f>-'Accounts by GL'!O55</f>
        <v>0</v>
      </c>
      <c r="T33" s="1009" t="e">
        <f>O33-S33</f>
        <v>#N/A</v>
      </c>
      <c r="U33" s="1819"/>
    </row>
    <row r="34" spans="1:21" s="96" customFormat="1" ht="12.75">
      <c r="A34" s="1813"/>
      <c r="B34" s="1813"/>
      <c r="C34" s="1811"/>
      <c r="D34" s="1811" t="s">
        <v>467</v>
      </c>
      <c r="E34" s="1811"/>
      <c r="F34" s="495"/>
      <c r="G34" s="998" t="e">
        <f>VLOOKUP($G$1,VLOOKUP!A261:G288,4,FALSE)</f>
        <v>#N/A</v>
      </c>
      <c r="H34" s="502"/>
      <c r="I34" s="109">
        <v>0</v>
      </c>
      <c r="J34" s="1700"/>
      <c r="K34" s="1864">
        <v>0</v>
      </c>
      <c r="L34" s="1700"/>
      <c r="M34" s="109">
        <v>0</v>
      </c>
      <c r="N34" s="502"/>
      <c r="O34" s="1803" t="e">
        <f t="shared" si="1"/>
        <v>#N/A</v>
      </c>
      <c r="P34" s="1813"/>
      <c r="Q34" s="1813"/>
      <c r="R34" s="1010" t="s">
        <v>2847</v>
      </c>
      <c r="S34" s="1011">
        <f>-('Accounts by GL'!O58+'Accounts by GL'!O60+'Accounts by GL'!O62+'Accounts by GL'!O64+'Accounts by GL'!O66)</f>
        <v>0</v>
      </c>
      <c r="T34" s="1009" t="e">
        <f>O34-S34</f>
        <v>#N/A</v>
      </c>
      <c r="U34" s="1819"/>
    </row>
    <row r="35" spans="1:21" s="96" customFormat="1" ht="12.75">
      <c r="A35" s="1813"/>
      <c r="B35" s="1813"/>
      <c r="C35" s="1811"/>
      <c r="D35" s="1811" t="s">
        <v>41</v>
      </c>
      <c r="E35" s="1811"/>
      <c r="F35" s="495"/>
      <c r="G35" s="998" t="e">
        <f>VLOOKUP($G$1,VLOOKUP!A261:G288,5,FALSE)</f>
        <v>#N/A</v>
      </c>
      <c r="H35" s="502"/>
      <c r="I35" s="1864">
        <v>0</v>
      </c>
      <c r="J35" s="1700"/>
      <c r="K35" s="1864">
        <v>0</v>
      </c>
      <c r="L35" s="1700"/>
      <c r="M35" s="1864">
        <v>0</v>
      </c>
      <c r="N35" s="502"/>
      <c r="O35" s="1803" t="e">
        <f t="shared" si="1"/>
        <v>#N/A</v>
      </c>
      <c r="P35" s="1813"/>
      <c r="Q35" s="1813"/>
      <c r="R35" s="1010">
        <v>19019</v>
      </c>
      <c r="S35" s="1011">
        <f>-'Accounts by GL'!O50</f>
        <v>0</v>
      </c>
      <c r="T35" s="1009" t="e">
        <f>O35-S35</f>
        <v>#N/A</v>
      </c>
      <c r="U35" s="1819"/>
    </row>
    <row r="36" spans="1:21" s="96" customFormat="1" ht="12.75">
      <c r="A36" s="1813"/>
      <c r="B36" s="1813"/>
      <c r="C36" s="1811"/>
      <c r="D36" s="2660" t="s">
        <v>470</v>
      </c>
      <c r="E36" s="2660"/>
      <c r="F36" s="2660"/>
      <c r="G36" s="998" t="e">
        <f>VLOOKUP($G$1,VLOOKUP!A261:G288,6,FALSE)</f>
        <v>#N/A</v>
      </c>
      <c r="H36" s="502"/>
      <c r="I36" s="1864">
        <v>0</v>
      </c>
      <c r="J36" s="1700"/>
      <c r="K36" s="1864">
        <v>0</v>
      </c>
      <c r="L36" s="1700"/>
      <c r="M36" s="1864">
        <v>0</v>
      </c>
      <c r="N36" s="502"/>
      <c r="O36" s="1803" t="e">
        <f t="shared" si="1"/>
        <v>#N/A</v>
      </c>
      <c r="P36" s="1813"/>
      <c r="Q36" s="1813"/>
      <c r="R36" s="1010">
        <v>19009</v>
      </c>
      <c r="S36" s="1011">
        <f>-'Accounts by GL'!O48</f>
        <v>0</v>
      </c>
      <c r="T36" s="1009" t="e">
        <f>O36-S36</f>
        <v>#N/A</v>
      </c>
      <c r="U36" s="1819"/>
    </row>
    <row r="37" spans="1:21" s="96" customFormat="1" ht="12.75">
      <c r="A37" s="1813"/>
      <c r="B37" s="1813"/>
      <c r="C37" s="1811"/>
      <c r="D37" s="1811" t="s">
        <v>2841</v>
      </c>
      <c r="E37" s="1811"/>
      <c r="F37" s="495"/>
      <c r="G37" s="1736" t="e">
        <f>VLOOKUP($G$1,VLOOKUP!A261:G288,7,FALSE)</f>
        <v>#N/A</v>
      </c>
      <c r="H37" s="502"/>
      <c r="I37" s="110">
        <v>0</v>
      </c>
      <c r="J37" s="1700"/>
      <c r="K37" s="110">
        <v>0</v>
      </c>
      <c r="L37" s="1700"/>
      <c r="M37" s="110">
        <v>0</v>
      </c>
      <c r="N37" s="502"/>
      <c r="O37" s="275" t="e">
        <f t="shared" si="1"/>
        <v>#N/A</v>
      </c>
      <c r="P37" s="1813"/>
      <c r="Q37" s="1813"/>
      <c r="R37" s="1010"/>
      <c r="S37" s="238"/>
      <c r="T37" s="1813"/>
      <c r="U37" s="1819"/>
    </row>
    <row r="38" spans="1:21" s="96" customFormat="1" ht="12.75">
      <c r="A38" s="1813"/>
      <c r="B38" s="1813"/>
      <c r="C38" s="1811"/>
      <c r="D38" s="1811"/>
      <c r="E38" s="1811"/>
      <c r="F38" s="495"/>
      <c r="G38" s="237"/>
      <c r="H38" s="502"/>
      <c r="I38" s="237"/>
      <c r="J38" s="502"/>
      <c r="K38" s="237"/>
      <c r="L38" s="502"/>
      <c r="M38" s="237"/>
      <c r="N38" s="502"/>
      <c r="O38" s="502"/>
      <c r="P38" s="1813"/>
      <c r="Q38" s="1813"/>
      <c r="R38" s="1010"/>
      <c r="S38" s="1011"/>
      <c r="T38" s="1009"/>
      <c r="U38" s="1819"/>
    </row>
    <row r="39" spans="1:21" s="96" customFormat="1" ht="12.75">
      <c r="A39" s="1813"/>
      <c r="B39" s="1813"/>
      <c r="C39" s="1811"/>
      <c r="D39" s="219" t="s">
        <v>2848</v>
      </c>
      <c r="E39" s="219"/>
      <c r="F39" s="500"/>
      <c r="G39" s="275" t="e">
        <f t="array" ref="G39">SUM(ROUND(G32:G37,0))</f>
        <v>#N/A</v>
      </c>
      <c r="H39" s="1001"/>
      <c r="I39" s="275">
        <f t="array" ref="I39">SUM(ROUND(I32:I37,0))</f>
        <v>0</v>
      </c>
      <c r="J39" s="1001"/>
      <c r="K39" s="275">
        <f t="array" ref="K39">SUM(ROUND(K32:K37,0))</f>
        <v>0</v>
      </c>
      <c r="L39" s="1001"/>
      <c r="M39" s="275">
        <f t="array" ref="M39">SUM(ROUND(M32:M37,0))</f>
        <v>0</v>
      </c>
      <c r="N39" s="1001"/>
      <c r="O39" s="275" t="e">
        <f t="array" ref="O39">SUM(ROUND(O32:O37,0))</f>
        <v>#N/A</v>
      </c>
      <c r="P39" s="1813"/>
      <c r="Q39" s="1813"/>
      <c r="R39" s="1010"/>
      <c r="S39" s="1011"/>
      <c r="T39" s="1009"/>
      <c r="U39" s="1819"/>
    </row>
    <row r="40" spans="1:21" s="96" customFormat="1" ht="12.75">
      <c r="A40" s="1813"/>
      <c r="B40" s="1813"/>
      <c r="C40" s="1813"/>
      <c r="D40" s="495"/>
      <c r="E40" s="495"/>
      <c r="F40" s="495"/>
      <c r="G40" s="496"/>
      <c r="H40" s="495"/>
      <c r="I40" s="496"/>
      <c r="J40" s="495"/>
      <c r="K40" s="496"/>
      <c r="L40" s="495"/>
      <c r="M40" s="496"/>
      <c r="N40" s="495"/>
      <c r="O40" s="499"/>
      <c r="P40" s="1813"/>
      <c r="Q40" s="1813"/>
      <c r="R40" s="1010"/>
      <c r="S40" s="1011"/>
      <c r="T40" s="1009"/>
      <c r="U40" s="1819"/>
    </row>
    <row r="41" spans="1:21" s="96" customFormat="1" ht="13.5" thickBot="1">
      <c r="A41" s="1813"/>
      <c r="B41" s="1813"/>
      <c r="C41" s="219" t="s">
        <v>2849</v>
      </c>
      <c r="D41" s="500"/>
      <c r="E41" s="500"/>
      <c r="F41" s="500"/>
      <c r="G41" s="501" t="e">
        <f>+G29-G39</f>
        <v>#N/A</v>
      </c>
      <c r="H41" s="499"/>
      <c r="I41" s="503">
        <f>+I29-I39</f>
        <v>0</v>
      </c>
      <c r="J41" s="499"/>
      <c r="K41" s="503">
        <f>+K29-K39</f>
        <v>0</v>
      </c>
      <c r="L41" s="499"/>
      <c r="M41" s="503">
        <f>+M29-M39</f>
        <v>0</v>
      </c>
      <c r="N41" s="499"/>
      <c r="O41" s="503" t="e">
        <f>+O29-O39</f>
        <v>#N/A</v>
      </c>
      <c r="P41" s="1813"/>
      <c r="Q41" s="1813"/>
      <c r="R41" s="1012" t="s">
        <v>178</v>
      </c>
      <c r="S41" s="1011">
        <f>ROUND(SNP!M33,0)</f>
        <v>0</v>
      </c>
      <c r="T41" s="1009" t="e">
        <f>O41-S41</f>
        <v>#N/A</v>
      </c>
      <c r="U41" s="1819"/>
    </row>
    <row r="42" spans="1:21" s="96" customFormat="1" ht="9.75" customHeight="1" thickTop="1">
      <c r="A42" s="1813"/>
      <c r="B42" s="1813"/>
      <c r="C42" s="219"/>
      <c r="D42" s="500"/>
      <c r="E42" s="500"/>
      <c r="F42" s="500"/>
      <c r="G42" s="499"/>
      <c r="H42" s="499"/>
      <c r="I42" s="499"/>
      <c r="J42" s="499"/>
      <c r="K42" s="499"/>
      <c r="L42" s="499"/>
      <c r="M42" s="499"/>
      <c r="N42" s="499"/>
      <c r="O42" s="499"/>
      <c r="P42" s="1813"/>
      <c r="Q42" s="1813"/>
      <c r="R42" s="1010"/>
      <c r="S42" s="1011"/>
      <c r="T42" s="1009"/>
      <c r="U42" s="1819"/>
    </row>
    <row r="43" spans="1:21" s="96" customFormat="1" ht="12.75">
      <c r="A43" s="1813"/>
      <c r="B43" s="1813"/>
      <c r="C43" s="1811"/>
      <c r="D43" s="500"/>
      <c r="E43" s="500"/>
      <c r="F43" s="500"/>
      <c r="G43" s="499"/>
      <c r="H43" s="499"/>
      <c r="I43" s="499"/>
      <c r="J43" s="499"/>
      <c r="K43" s="499"/>
      <c r="L43" s="499"/>
      <c r="M43" s="499"/>
      <c r="N43" s="499"/>
      <c r="O43" s="499"/>
      <c r="P43" s="1813"/>
      <c r="Q43" s="1813"/>
      <c r="R43" s="1010"/>
      <c r="S43" s="1011"/>
      <c r="T43" s="1009"/>
      <c r="U43" s="1810"/>
    </row>
    <row r="44" spans="1:21" s="96" customFormat="1" ht="12.75">
      <c r="A44" s="1813"/>
      <c r="B44" s="1813"/>
      <c r="C44" s="1813"/>
      <c r="D44" s="495"/>
      <c r="E44" s="1813"/>
      <c r="F44" s="1813"/>
      <c r="G44" s="1813"/>
      <c r="H44" s="1813"/>
      <c r="I44" s="1813"/>
      <c r="J44" s="1813"/>
      <c r="K44" s="1813"/>
      <c r="L44" s="1813"/>
      <c r="M44" s="1813"/>
      <c r="N44" s="1813"/>
      <c r="O44" s="1813"/>
      <c r="P44" s="1813"/>
      <c r="Q44" s="1813"/>
      <c r="R44" s="1010"/>
      <c r="S44" s="1011"/>
      <c r="T44" s="1009"/>
      <c r="U44" s="1810"/>
    </row>
    <row r="45" spans="1:21" s="96" customFormat="1" ht="12.75">
      <c r="A45" s="1813"/>
      <c r="B45" s="1813"/>
      <c r="C45" s="2660" t="s">
        <v>2850</v>
      </c>
      <c r="D45" s="2847"/>
      <c r="E45" s="2847"/>
      <c r="F45" s="2847"/>
      <c r="G45" s="2847"/>
      <c r="H45" s="2847"/>
      <c r="I45" s="2847"/>
      <c r="J45" s="2847"/>
      <c r="K45" s="2847"/>
      <c r="L45" s="2847"/>
      <c r="M45" s="2847"/>
      <c r="N45" s="2847"/>
      <c r="O45" s="2847"/>
      <c r="P45" s="1065"/>
      <c r="Q45" s="1065"/>
      <c r="R45" s="2848"/>
      <c r="S45" s="1912"/>
      <c r="T45" s="1009"/>
      <c r="U45" s="1810"/>
    </row>
    <row r="46" spans="1:21">
      <c r="T46" s="700"/>
    </row>
    <row r="47" spans="1:21">
      <c r="D47" s="1004" t="s">
        <v>2851</v>
      </c>
      <c r="T47" s="700"/>
    </row>
    <row r="48" spans="1:21">
      <c r="D48" s="1005"/>
      <c r="E48" s="1005"/>
      <c r="F48" s="1005"/>
      <c r="G48" s="1005"/>
      <c r="H48" s="1005"/>
      <c r="I48" s="1005"/>
      <c r="J48" s="1005"/>
      <c r="K48" s="1005"/>
      <c r="L48" s="1005"/>
      <c r="M48" s="1005"/>
      <c r="N48" s="1005"/>
      <c r="O48" s="1005"/>
      <c r="P48" s="1005"/>
      <c r="Q48" s="1005"/>
      <c r="R48" s="1006"/>
      <c r="S48" s="1002"/>
      <c r="T48" s="1819"/>
    </row>
    <row r="49" spans="4:20">
      <c r="D49" s="1005"/>
      <c r="E49" s="1005"/>
      <c r="F49" s="1005"/>
      <c r="G49" s="1005"/>
      <c r="H49" s="1005"/>
      <c r="I49" s="1005"/>
      <c r="J49" s="1005"/>
      <c r="K49" s="1005"/>
      <c r="L49" s="1005"/>
      <c r="M49" s="1005"/>
      <c r="N49" s="1005"/>
      <c r="O49" s="1005"/>
      <c r="P49" s="1005"/>
      <c r="Q49" s="1005"/>
      <c r="R49" s="1006"/>
      <c r="S49" s="1002"/>
      <c r="T49" s="1819"/>
    </row>
    <row r="50" spans="4:20">
      <c r="D50" s="1005"/>
      <c r="E50" s="1005"/>
      <c r="F50" s="1005"/>
      <c r="G50" s="1005"/>
      <c r="H50" s="1005"/>
      <c r="I50" s="1005"/>
      <c r="J50" s="1005"/>
      <c r="K50" s="1005"/>
      <c r="L50" s="1005"/>
      <c r="M50" s="1005"/>
      <c r="N50" s="1005"/>
      <c r="O50" s="1005"/>
      <c r="P50" s="1005"/>
      <c r="Q50" s="1005"/>
      <c r="R50" s="1006"/>
      <c r="S50" s="1002"/>
      <c r="T50" s="1819"/>
    </row>
    <row r="51" spans="4:20">
      <c r="D51" s="1005"/>
      <c r="E51" s="1005"/>
      <c r="F51" s="1005"/>
      <c r="G51" s="1005"/>
      <c r="H51" s="1005"/>
      <c r="I51" s="1005"/>
      <c r="J51" s="1005"/>
      <c r="K51" s="1005"/>
      <c r="L51" s="1005"/>
      <c r="M51" s="1005"/>
      <c r="N51" s="1005"/>
      <c r="O51" s="1005"/>
      <c r="P51" s="1005"/>
      <c r="Q51" s="1005"/>
      <c r="R51" s="1006"/>
      <c r="S51" s="1002"/>
      <c r="T51" s="1819"/>
    </row>
    <row r="52" spans="4:20">
      <c r="D52" s="1005"/>
      <c r="E52" s="1005"/>
      <c r="F52" s="1005"/>
      <c r="G52" s="1005"/>
      <c r="H52" s="1005"/>
      <c r="I52" s="1005"/>
      <c r="J52" s="1005"/>
      <c r="K52" s="1005"/>
      <c r="L52" s="1005"/>
      <c r="M52" s="1005"/>
      <c r="N52" s="1005"/>
      <c r="O52" s="1005"/>
      <c r="P52" s="1005"/>
      <c r="Q52" s="1005"/>
      <c r="R52" s="1006"/>
      <c r="S52" s="1002"/>
      <c r="T52" s="1819"/>
    </row>
    <row r="53" spans="4:20">
      <c r="D53" s="1005"/>
      <c r="E53" s="1005"/>
      <c r="F53" s="1005"/>
      <c r="G53" s="1005"/>
      <c r="H53" s="1005"/>
      <c r="I53" s="1005"/>
      <c r="J53" s="1005"/>
      <c r="K53" s="1005"/>
      <c r="L53" s="1005"/>
      <c r="M53" s="1005"/>
      <c r="N53" s="1005"/>
      <c r="O53" s="1005"/>
      <c r="P53" s="1005"/>
      <c r="Q53" s="1005"/>
      <c r="R53" s="1006"/>
      <c r="S53" s="1002"/>
      <c r="T53" s="1819"/>
    </row>
    <row r="54" spans="4:20">
      <c r="D54" s="1005"/>
      <c r="E54" s="1005"/>
      <c r="F54" s="1005"/>
      <c r="G54" s="1005"/>
      <c r="H54" s="1005"/>
      <c r="I54" s="1005"/>
      <c r="J54" s="1005"/>
      <c r="K54" s="1005"/>
      <c r="L54" s="1005"/>
      <c r="M54" s="1005"/>
      <c r="N54" s="1005"/>
      <c r="O54" s="1005"/>
      <c r="P54" s="1005"/>
      <c r="Q54" s="1005"/>
      <c r="R54" s="1006"/>
      <c r="S54" s="1002"/>
      <c r="T54" s="1819"/>
    </row>
    <row r="55" spans="4:20">
      <c r="D55" s="1005"/>
      <c r="E55" s="1005"/>
      <c r="F55" s="1005"/>
      <c r="G55" s="1005"/>
      <c r="H55" s="1005"/>
      <c r="I55" s="1005"/>
      <c r="J55" s="1005"/>
      <c r="K55" s="1005"/>
      <c r="L55" s="1005"/>
      <c r="M55" s="1005"/>
      <c r="N55" s="1005"/>
      <c r="O55" s="1005"/>
      <c r="P55" s="1005"/>
      <c r="Q55" s="1005"/>
      <c r="R55" s="1006"/>
      <c r="S55" s="1002"/>
      <c r="T55" s="1819"/>
    </row>
    <row r="56" spans="4:20">
      <c r="D56" s="1005"/>
      <c r="E56" s="1005"/>
      <c r="F56" s="1005"/>
      <c r="G56" s="1005"/>
      <c r="H56" s="1005"/>
      <c r="I56" s="1005"/>
      <c r="J56" s="1005"/>
      <c r="K56" s="1005"/>
      <c r="L56" s="1005"/>
      <c r="M56" s="1005"/>
      <c r="N56" s="1005"/>
      <c r="O56" s="1005"/>
      <c r="P56" s="1005"/>
      <c r="Q56" s="1005"/>
      <c r="R56" s="1006"/>
      <c r="S56" s="1002"/>
      <c r="T56" s="1819"/>
    </row>
    <row r="57" spans="4:20">
      <c r="D57" s="1005"/>
      <c r="E57" s="1005"/>
      <c r="F57" s="1005"/>
      <c r="G57" s="1005"/>
      <c r="H57" s="1005"/>
      <c r="I57" s="1005"/>
      <c r="J57" s="1005"/>
      <c r="K57" s="1005"/>
      <c r="L57" s="1005"/>
      <c r="M57" s="1005"/>
      <c r="N57" s="1005"/>
      <c r="O57" s="1005"/>
      <c r="P57" s="1005"/>
      <c r="Q57" s="1005"/>
      <c r="R57" s="1006"/>
      <c r="S57" s="1002"/>
      <c r="T57" s="1819"/>
    </row>
    <row r="58" spans="4:20">
      <c r="D58" s="1005"/>
      <c r="E58" s="1005"/>
      <c r="F58" s="1005"/>
      <c r="G58" s="1005"/>
      <c r="H58" s="1005"/>
      <c r="I58" s="1005"/>
      <c r="J58" s="1005"/>
      <c r="K58" s="1005"/>
      <c r="L58" s="1005"/>
      <c r="M58" s="1005"/>
      <c r="N58" s="1005"/>
      <c r="O58" s="1005"/>
      <c r="P58" s="1005"/>
      <c r="Q58" s="1005"/>
      <c r="R58" s="1006"/>
      <c r="S58" s="1002"/>
      <c r="T58" s="1819"/>
    </row>
    <row r="59" spans="4:20">
      <c r="D59" s="1005"/>
      <c r="E59" s="1005"/>
      <c r="F59" s="1005"/>
      <c r="G59" s="1005"/>
      <c r="H59" s="1005"/>
      <c r="I59" s="1005"/>
      <c r="J59" s="1005"/>
      <c r="K59" s="1005"/>
      <c r="L59" s="1005"/>
      <c r="M59" s="1005"/>
      <c r="N59" s="1005"/>
      <c r="O59" s="1005"/>
      <c r="P59" s="1005"/>
      <c r="Q59" s="1005"/>
      <c r="R59" s="1006"/>
      <c r="S59" s="1002"/>
      <c r="T59" s="1819"/>
    </row>
    <row r="60" spans="4:20">
      <c r="D60" s="1005"/>
      <c r="E60" s="1005"/>
      <c r="F60" s="1005"/>
      <c r="G60" s="1005"/>
      <c r="H60" s="1005"/>
      <c r="I60" s="1005"/>
      <c r="J60" s="1005"/>
      <c r="K60" s="1005"/>
      <c r="L60" s="1005"/>
      <c r="M60" s="1005"/>
      <c r="N60" s="1005"/>
      <c r="O60" s="1005"/>
      <c r="P60" s="1005"/>
      <c r="Q60" s="1005"/>
      <c r="R60" s="1006"/>
      <c r="S60" s="1002"/>
      <c r="T60" s="1819"/>
    </row>
    <row r="65" spans="6:6" ht="15.75">
      <c r="F65" s="1007" t="s">
        <v>470</v>
      </c>
    </row>
    <row r="66" spans="6:6" ht="15.75">
      <c r="F66" s="1008" t="s">
        <v>1058</v>
      </c>
    </row>
    <row r="67" spans="6:6" ht="15.75">
      <c r="F67" s="1008" t="s">
        <v>2852</v>
      </c>
    </row>
  </sheetData>
  <sheetProtection algorithmName="SHA-512" hashValue="MLILtaEkPljwcdoQ2Zb8gaae1D8/Urejslc0fIS4tL2U6q2QQaHn6BpZ9aAjMsPnYogyeyNv0j/i1Az1OMGR7Q==" saltValue="7zJ8F53WMJ3N4xhaRejoNA==" spinCount="100000" sheet="1" formatColumns="0" formatRows="0"/>
  <conditionalFormatting sqref="I32:I37 K32:K37 M32:M37 I14:I17 K14:K17 M14:M17 I22:I27 K22:K27 M22:M27">
    <cfRule type="containsBlanks" dxfId="298" priority="78">
      <formula>LEN(TRIM(I14))=0</formula>
    </cfRule>
    <cfRule type="cellIs" dxfId="297" priority="79" operator="notEqual">
      <formula>0</formula>
    </cfRule>
  </conditionalFormatting>
  <conditionalFormatting sqref="I14">
    <cfRule type="cellIs" dxfId="296" priority="77" operator="notEqual">
      <formula>I$19</formula>
    </cfRule>
  </conditionalFormatting>
  <conditionalFormatting sqref="K14">
    <cfRule type="cellIs" dxfId="295" priority="76" operator="notEqual">
      <formula>K$19</formula>
    </cfRule>
  </conditionalFormatting>
  <conditionalFormatting sqref="M14">
    <cfRule type="cellIs" dxfId="294" priority="75" operator="notEqual">
      <formula>M$19</formula>
    </cfRule>
  </conditionalFormatting>
  <conditionalFormatting sqref="I22">
    <cfRule type="cellIs" dxfId="293" priority="74" operator="notEqual">
      <formula>I$29</formula>
    </cfRule>
  </conditionalFormatting>
  <conditionalFormatting sqref="K22">
    <cfRule type="cellIs" dxfId="292" priority="73" operator="notEqual">
      <formula>K$29</formula>
    </cfRule>
  </conditionalFormatting>
  <conditionalFormatting sqref="M22">
    <cfRule type="cellIs" dxfId="291" priority="72" operator="notEqual">
      <formula>M$29</formula>
    </cfRule>
  </conditionalFormatting>
  <conditionalFormatting sqref="A6">
    <cfRule type="notContainsText" dxfId="290" priority="54" operator="notContains" text="XX.">
      <formula>ISERROR(SEARCH("XX.",A6))</formula>
    </cfRule>
  </conditionalFormatting>
  <conditionalFormatting sqref="T32:T36 T22:T26 T14:T15 T17">
    <cfRule type="cellIs" dxfId="289" priority="44" operator="notBetween">
      <formula>-5</formula>
      <formula>5</formula>
    </cfRule>
    <cfRule type="cellIs" dxfId="288" priority="45" operator="between">
      <formula>-5</formula>
      <formula>5</formula>
    </cfRule>
  </conditionalFormatting>
  <conditionalFormatting sqref="T19 T41">
    <cfRule type="cellIs" dxfId="287" priority="38" operator="notBetween">
      <formula>-0.5</formula>
      <formula>0.5</formula>
    </cfRule>
    <cfRule type="cellIs" dxfId="286" priority="39" operator="between">
      <formula>-0.5</formula>
      <formula>0.5</formula>
    </cfRule>
    <cfRule type="cellIs" dxfId="285" priority="55" operator="notBetween">
      <formula>-0.5</formula>
      <formula>0.5</formula>
    </cfRule>
    <cfRule type="cellIs" dxfId="284" priority="56" operator="between">
      <formula>-0.5</formula>
      <formula>0.5</formula>
    </cfRule>
  </conditionalFormatting>
  <conditionalFormatting sqref="S14:S15 S17 S22:S26 S32:S36">
    <cfRule type="cellIs" dxfId="283" priority="6" operator="notBetween">
      <formula>$O14-5</formula>
      <formula>$O14+5</formula>
    </cfRule>
    <cfRule type="cellIs" dxfId="282" priority="7" operator="between">
      <formula>$O14-5</formula>
      <formula>$O14+5</formula>
    </cfRule>
  </conditionalFormatting>
  <conditionalFormatting sqref="S41 S19">
    <cfRule type="expression" dxfId="281" priority="4">
      <formula>ROUND($S19,0)&lt;&gt;$O19</formula>
    </cfRule>
    <cfRule type="expression" dxfId="280" priority="5">
      <formula>ROUND($S19,0)=$O19</formula>
    </cfRule>
  </conditionalFormatting>
  <dataValidations count="1">
    <dataValidation type="list" allowBlank="1" showInputMessage="1" showErrorMessage="1" sqref="D26:F26 D36:F36">
      <formula1>$F$65:$F$67</formula1>
    </dataValidation>
  </dataValidations>
  <printOptions horizontalCentered="1"/>
  <pageMargins left="0.75" right="0.75" top="0.5" bottom="0.75" header="0.3" footer="0.3"/>
  <pageSetup scale="50" fitToWidth="2" orientation="landscape" r:id="rId1"/>
  <headerFooter>
    <oddHeader>&amp;L&amp;"Arial,Regular"&amp;8&amp;F&amp;R&amp;"Arial,Regular"&amp;8&amp;A</oddHeader>
    <oddFooter>&amp;L&amp;"Arial,Regular"&amp;8&amp;D&amp;R&amp;"Arial,Regular"&amp;8&amp;P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theme="9" tint="-0.249977111117893"/>
  </sheetPr>
  <dimension ref="A1:Y158"/>
  <sheetViews>
    <sheetView zoomScale="115" zoomScaleNormal="115" workbookViewId="0"/>
  </sheetViews>
  <sheetFormatPr defaultColWidth="9.140625" defaultRowHeight="12.75"/>
  <cols>
    <col min="1" max="1" width="2.7109375" style="141" customWidth="1"/>
    <col min="2" max="2" width="0.85546875" style="141" customWidth="1"/>
    <col min="3" max="3" width="2" style="141" customWidth="1"/>
    <col min="4" max="4" width="5.28515625" style="141" customWidth="1"/>
    <col min="5" max="5" width="1.28515625" style="141" customWidth="1"/>
    <col min="6" max="6" width="31.28515625" style="141" customWidth="1"/>
    <col min="7" max="7" width="16" style="141" customWidth="1"/>
    <col min="8" max="8" width="0.85546875" style="141" customWidth="1"/>
    <col min="9" max="9" width="14" style="141" customWidth="1"/>
    <col min="10" max="10" width="0.85546875" style="141" customWidth="1"/>
    <col min="11" max="11" width="15.28515625" style="141" bestFit="1" customWidth="1"/>
    <col min="12" max="12" width="0.85546875" style="141" customWidth="1"/>
    <col min="13" max="13" width="15.140625" style="141" customWidth="1"/>
    <col min="14" max="14" width="0.85546875" style="141" customWidth="1"/>
    <col min="15" max="15" width="12.42578125" style="141" bestFit="1" customWidth="1"/>
    <col min="16" max="16" width="20.7109375" style="1276" bestFit="1" customWidth="1"/>
    <col min="17" max="17" width="17" style="1270" customWidth="1"/>
    <col min="18" max="18" width="9.140625" style="141"/>
    <col min="19" max="19" width="9.28515625" style="120" customWidth="1"/>
    <col min="20" max="21" width="13.7109375" style="1285" customWidth="1"/>
    <col min="22" max="22" width="5.28515625" style="1285" customWidth="1"/>
    <col min="23" max="23" width="9.140625" style="1285" customWidth="1"/>
    <col min="24" max="24" width="9.140625" style="1276" customWidth="1"/>
    <col min="25" max="25" width="9.140625" style="120"/>
    <col min="26" max="16384" width="9.140625" style="141"/>
  </cols>
  <sheetData>
    <row r="1" spans="1:25" s="1640" customFormat="1">
      <c r="B1" s="2674"/>
      <c r="C1" s="2674"/>
      <c r="D1" s="2674"/>
      <c r="E1" s="2674"/>
      <c r="F1" s="2674"/>
      <c r="G1" s="3020" t="str">
        <f>'Contact Information'!$C$5</f>
        <v>SAMPLE STATE COLLEGE</v>
      </c>
      <c r="H1" s="2674"/>
      <c r="I1" s="2674"/>
      <c r="J1" s="2674"/>
      <c r="K1" s="2674"/>
      <c r="L1" s="2674"/>
      <c r="M1" s="2674"/>
      <c r="N1" s="2674"/>
      <c r="O1" s="3144" t="s">
        <v>3</v>
      </c>
      <c r="P1" s="1638"/>
      <c r="Q1" s="1639"/>
      <c r="S1" s="119"/>
      <c r="T1" s="1627"/>
      <c r="U1" s="1627"/>
      <c r="V1" s="1627"/>
      <c r="W1" s="1627"/>
      <c r="X1" s="1641"/>
      <c r="Y1" s="119"/>
    </row>
    <row r="2" spans="1:25" s="1640" customFormat="1">
      <c r="B2" s="2675"/>
      <c r="C2" s="2675"/>
      <c r="D2" s="2675"/>
      <c r="E2" s="2675"/>
      <c r="F2" s="2675"/>
      <c r="G2" s="3021" t="s">
        <v>2853</v>
      </c>
      <c r="H2" s="2675"/>
      <c r="I2" s="2675"/>
      <c r="J2" s="2675"/>
      <c r="K2" s="2675"/>
      <c r="L2" s="2675"/>
      <c r="M2" s="2675"/>
      <c r="N2" s="2675"/>
      <c r="O2" s="3144" t="str">
        <f>'Contact Information'!$C$3</f>
        <v>2021.v01</v>
      </c>
      <c r="P2" s="1638"/>
      <c r="Q2" s="1639"/>
      <c r="S2" s="119"/>
      <c r="T2" s="1627"/>
      <c r="U2" s="1627"/>
      <c r="V2" s="1627"/>
      <c r="W2" s="1627"/>
      <c r="X2" s="1641"/>
      <c r="Y2" s="119"/>
    </row>
    <row r="3" spans="1:25" s="1640" customFormat="1">
      <c r="B3" s="2676"/>
      <c r="C3" s="2676"/>
      <c r="D3" s="2676"/>
      <c r="E3" s="2676"/>
      <c r="F3" s="2676"/>
      <c r="G3" s="3022" t="str">
        <f>'FCS Notes Sched Inv &amp; Cash'!E4</f>
        <v>For the Fiscal Year Ended June 30, 2021</v>
      </c>
      <c r="H3" s="2676"/>
      <c r="I3" s="2676"/>
      <c r="J3" s="2676"/>
      <c r="K3" s="2676"/>
      <c r="L3" s="2676"/>
      <c r="M3" s="2676"/>
      <c r="N3" s="2676"/>
      <c r="O3" s="2676"/>
      <c r="P3" s="1638"/>
      <c r="Q3" s="1639"/>
      <c r="S3" s="119"/>
      <c r="T3" s="1627"/>
      <c r="U3" s="1627"/>
      <c r="V3" s="1641"/>
      <c r="W3" s="119"/>
    </row>
    <row r="4" spans="1:25">
      <c r="A4" s="1875"/>
      <c r="B4" s="394"/>
      <c r="C4" s="1875"/>
      <c r="D4" s="1875"/>
      <c r="E4" s="1875"/>
      <c r="F4" s="1875"/>
      <c r="G4" s="1875"/>
      <c r="H4" s="1875"/>
      <c r="I4" s="1875"/>
      <c r="J4" s="1875"/>
      <c r="K4" s="1875"/>
      <c r="L4" s="1875"/>
      <c r="M4" s="1875"/>
      <c r="N4" s="1875"/>
      <c r="O4" s="1875"/>
      <c r="P4" s="1884"/>
      <c r="R4" s="1867"/>
      <c r="S4" s="1865"/>
      <c r="T4" s="1885"/>
      <c r="U4" s="1885"/>
      <c r="V4" s="1884"/>
      <c r="W4" s="1865"/>
      <c r="X4" s="1867"/>
      <c r="Y4" s="1867"/>
    </row>
    <row r="5" spans="1:25">
      <c r="A5" s="1875"/>
      <c r="B5" s="395"/>
      <c r="C5" s="415" t="s">
        <v>2854</v>
      </c>
      <c r="D5" s="1875"/>
      <c r="E5" s="1875"/>
      <c r="F5" s="1875"/>
      <c r="G5" s="1875"/>
      <c r="H5" s="1875"/>
      <c r="I5" s="1875"/>
      <c r="J5" s="1875"/>
      <c r="K5" s="1875"/>
      <c r="L5" s="1875"/>
      <c r="M5" s="1875"/>
      <c r="N5" s="1875"/>
      <c r="O5" s="1875"/>
      <c r="P5" s="1884"/>
      <c r="R5" s="1867"/>
      <c r="S5" s="1865"/>
      <c r="T5" s="1885"/>
      <c r="U5" s="1885"/>
      <c r="V5" s="1884"/>
      <c r="W5" s="1865"/>
      <c r="X5" s="1867"/>
      <c r="Y5" s="1867"/>
    </row>
    <row r="6" spans="1:25">
      <c r="A6" s="1875"/>
      <c r="B6" s="1875"/>
      <c r="C6" s="2526"/>
      <c r="D6" s="1875"/>
      <c r="E6" s="1875"/>
      <c r="F6" s="1875"/>
      <c r="G6" s="1875"/>
      <c r="H6" s="1875"/>
      <c r="I6" s="1875"/>
      <c r="J6" s="1875"/>
      <c r="K6" s="1875"/>
      <c r="L6" s="1875"/>
      <c r="M6" s="1875"/>
      <c r="N6" s="1875"/>
      <c r="O6" s="1875"/>
      <c r="P6" s="1884"/>
      <c r="R6" s="1867"/>
      <c r="S6" s="1865"/>
      <c r="T6" s="1885"/>
      <c r="U6" s="1885"/>
      <c r="V6" s="1884"/>
      <c r="W6" s="1865"/>
      <c r="X6" s="1867"/>
      <c r="Y6" s="1867"/>
    </row>
    <row r="7" spans="1:25" ht="13.5" thickBot="1">
      <c r="A7" s="1875"/>
      <c r="B7" s="1875"/>
      <c r="C7" s="1872" t="s">
        <v>2748</v>
      </c>
      <c r="D7" s="1873"/>
      <c r="E7" s="1873"/>
      <c r="F7" s="1873"/>
      <c r="G7" s="396" t="s">
        <v>2749</v>
      </c>
      <c r="H7" s="1873"/>
      <c r="I7" s="396" t="s">
        <v>2750</v>
      </c>
      <c r="J7" s="1873"/>
      <c r="K7" s="396" t="s">
        <v>2751</v>
      </c>
      <c r="L7" s="1873"/>
      <c r="M7" s="396" t="s">
        <v>2752</v>
      </c>
      <c r="N7" s="1875"/>
      <c r="O7" s="1875"/>
      <c r="P7" s="1884"/>
      <c r="R7" s="1867"/>
      <c r="S7" s="1865"/>
      <c r="T7" s="1885"/>
      <c r="U7" s="1885"/>
      <c r="V7" s="1884"/>
      <c r="W7" s="1865"/>
      <c r="X7" s="1867"/>
      <c r="Y7" s="1867"/>
    </row>
    <row r="8" spans="1:25" ht="13.5" thickBot="1">
      <c r="A8" s="1875"/>
      <c r="B8" s="1875"/>
      <c r="C8" s="1738"/>
      <c r="D8" s="1739"/>
      <c r="E8" s="1739"/>
      <c r="F8" s="1739"/>
      <c r="G8" s="398" t="s">
        <v>2754</v>
      </c>
      <c r="H8" s="1268"/>
      <c r="I8" s="398"/>
      <c r="J8" s="1268"/>
      <c r="K8" s="398"/>
      <c r="L8" s="1268"/>
      <c r="M8" s="398" t="s">
        <v>2754</v>
      </c>
      <c r="N8" s="1875"/>
      <c r="O8" s="203"/>
      <c r="P8" s="1737" t="s">
        <v>2855</v>
      </c>
      <c r="Q8" s="1271" t="s">
        <v>2856</v>
      </c>
      <c r="R8" s="1867"/>
      <c r="S8" s="1865"/>
      <c r="T8" s="1885"/>
      <c r="U8" s="1885"/>
      <c r="V8" s="1884"/>
      <c r="W8" s="1865"/>
      <c r="X8" s="1867"/>
      <c r="Y8" s="1867"/>
    </row>
    <row r="9" spans="1:25">
      <c r="A9" s="1875"/>
      <c r="B9" s="1875"/>
      <c r="C9" s="1872"/>
      <c r="D9" s="399"/>
      <c r="E9" s="399"/>
      <c r="F9" s="399"/>
      <c r="G9" s="400"/>
      <c r="H9" s="399"/>
      <c r="I9" s="400"/>
      <c r="J9" s="399"/>
      <c r="K9" s="400"/>
      <c r="L9" s="399"/>
      <c r="M9" s="400"/>
      <c r="N9" s="1875"/>
      <c r="O9" s="1875"/>
      <c r="P9" s="1272"/>
      <c r="Q9" s="1272"/>
      <c r="R9" s="1867"/>
      <c r="S9" s="1865"/>
      <c r="T9" s="1885"/>
      <c r="U9" s="1885"/>
      <c r="V9" s="1884"/>
      <c r="W9" s="1865"/>
      <c r="X9" s="1867"/>
      <c r="Y9" s="1867"/>
    </row>
    <row r="10" spans="1:25" ht="13.5" thickBot="1">
      <c r="A10" s="1875"/>
      <c r="B10" s="1875"/>
      <c r="C10" s="1872" t="s">
        <v>2840</v>
      </c>
      <c r="D10" s="399"/>
      <c r="E10" s="399"/>
      <c r="F10" s="399"/>
      <c r="G10" s="400"/>
      <c r="H10" s="399"/>
      <c r="I10" s="400"/>
      <c r="J10" s="399"/>
      <c r="K10" s="400"/>
      <c r="L10" s="399"/>
      <c r="M10" s="400"/>
      <c r="N10" s="1875"/>
      <c r="O10" s="1875"/>
      <c r="P10" s="1277" t="s">
        <v>2857</v>
      </c>
      <c r="Q10" s="1273" t="s">
        <v>2858</v>
      </c>
      <c r="R10" s="1867"/>
      <c r="S10" s="1865"/>
      <c r="T10" s="1885"/>
      <c r="U10" s="1885"/>
      <c r="V10" s="1884"/>
      <c r="W10" s="1865"/>
      <c r="X10" s="1867"/>
      <c r="Y10" s="1867"/>
    </row>
    <row r="11" spans="1:25">
      <c r="A11" s="1875"/>
      <c r="B11" s="1875"/>
      <c r="C11" s="1872"/>
      <c r="D11" s="1872" t="s">
        <v>454</v>
      </c>
      <c r="E11" s="1872"/>
      <c r="F11" s="401"/>
      <c r="G11" s="1891" t="e">
        <f>VLOOKUP($G$1,VLOOKUP!A299:K326,2,FALSE)</f>
        <v>#N/A</v>
      </c>
      <c r="H11" s="410"/>
      <c r="I11" s="736">
        <v>0</v>
      </c>
      <c r="J11" s="409"/>
      <c r="K11" s="736">
        <v>0</v>
      </c>
      <c r="L11" s="409"/>
      <c r="M11" s="410" t="e">
        <f>ROUND(G11,0)+ROUND(I11,0)-ROUND(K11,0)</f>
        <v>#N/A</v>
      </c>
      <c r="N11" s="1875"/>
      <c r="O11" s="1875"/>
      <c r="P11" s="1884"/>
      <c r="R11" s="1867"/>
      <c r="S11" s="1865"/>
      <c r="T11" s="1885"/>
      <c r="U11" s="1885"/>
      <c r="V11" s="1884"/>
      <c r="W11" s="1865"/>
      <c r="X11" s="1867"/>
      <c r="Y11" s="1867"/>
    </row>
    <row r="12" spans="1:25">
      <c r="A12" s="1875"/>
      <c r="B12" s="1875"/>
      <c r="C12" s="1872"/>
      <c r="D12" s="1872" t="s">
        <v>2859</v>
      </c>
      <c r="E12" s="1872"/>
      <c r="F12" s="401"/>
      <c r="G12" s="1604" t="e">
        <f>VLOOKUP($G$1,VLOOKUP!A299:K326,3,FALSE)</f>
        <v>#N/A</v>
      </c>
      <c r="H12" s="410"/>
      <c r="I12" s="109">
        <v>0</v>
      </c>
      <c r="J12" s="409"/>
      <c r="K12" s="109">
        <v>0</v>
      </c>
      <c r="L12" s="409"/>
      <c r="M12" s="411" t="e">
        <f>ROUND(G12,0)+ROUND(I12,0)-ROUND(K12,0)</f>
        <v>#N/A</v>
      </c>
      <c r="N12" s="1875"/>
      <c r="O12" s="1875"/>
      <c r="P12" s="1884"/>
      <c r="R12" s="1867"/>
      <c r="S12" s="1865"/>
      <c r="T12" s="1885"/>
      <c r="U12" s="1885"/>
      <c r="V12" s="1884"/>
      <c r="W12" s="1865"/>
      <c r="X12" s="1867"/>
      <c r="Y12" s="1867"/>
    </row>
    <row r="13" spans="1:25">
      <c r="A13" s="1875"/>
      <c r="B13" s="1875"/>
      <c r="C13" s="1872"/>
      <c r="D13" s="1872" t="s">
        <v>2860</v>
      </c>
      <c r="E13" s="1872"/>
      <c r="F13" s="401"/>
      <c r="G13" s="1604" t="e">
        <f>VLOOKUP($G$1,VLOOKUP!A299:K326,4,FALSE)</f>
        <v>#N/A</v>
      </c>
      <c r="H13" s="411"/>
      <c r="I13" s="109">
        <v>0</v>
      </c>
      <c r="J13" s="211"/>
      <c r="K13" s="109">
        <v>0</v>
      </c>
      <c r="L13" s="211"/>
      <c r="M13" s="411" t="e">
        <f>ROUND(G13,0)+ROUND(I13,0)-ROUND(K13,0)</f>
        <v>#N/A</v>
      </c>
      <c r="N13" s="1875"/>
      <c r="O13" s="1875"/>
      <c r="P13" s="1884"/>
      <c r="R13" s="1867"/>
      <c r="S13" s="1865"/>
      <c r="T13" s="1885"/>
      <c r="U13" s="1885"/>
      <c r="V13" s="1884"/>
      <c r="W13" s="1865"/>
      <c r="X13" s="1867"/>
      <c r="Y13" s="1867"/>
    </row>
    <row r="14" spans="1:25">
      <c r="A14" s="1875"/>
      <c r="B14" s="1875"/>
      <c r="C14" s="1872"/>
      <c r="D14" s="1872" t="s">
        <v>461</v>
      </c>
      <c r="E14" s="1872"/>
      <c r="F14" s="399"/>
      <c r="G14" s="1605" t="e">
        <f>VLOOKUP($G$1,VLOOKUP!A299:K326,5,FALSE)</f>
        <v>#N/A</v>
      </c>
      <c r="H14" s="411"/>
      <c r="I14" s="110">
        <v>0</v>
      </c>
      <c r="J14" s="411"/>
      <c r="K14" s="110">
        <v>0</v>
      </c>
      <c r="L14" s="411"/>
      <c r="M14" s="402" t="e">
        <f>ROUND(G14,0)+ROUND(I14,0)-ROUND(K14,0)</f>
        <v>#N/A</v>
      </c>
      <c r="N14" s="1875"/>
      <c r="O14" s="1875"/>
      <c r="P14" s="1884"/>
      <c r="R14" s="1867"/>
      <c r="S14" s="1865"/>
      <c r="T14" s="1885"/>
      <c r="U14" s="1885"/>
      <c r="V14" s="1884"/>
      <c r="W14" s="1865"/>
      <c r="X14" s="1867"/>
      <c r="Y14" s="1867"/>
    </row>
    <row r="15" spans="1:25">
      <c r="A15" s="1875"/>
      <c r="B15" s="1875"/>
      <c r="C15" s="1875"/>
      <c r="D15" s="399"/>
      <c r="E15" s="399"/>
      <c r="F15" s="399"/>
      <c r="G15" s="400"/>
      <c r="H15" s="399"/>
      <c r="I15" s="400"/>
      <c r="J15" s="399"/>
      <c r="K15" s="400"/>
      <c r="L15" s="399"/>
      <c r="M15" s="408"/>
      <c r="N15" s="1875"/>
      <c r="O15" s="1875"/>
      <c r="P15" s="1884"/>
      <c r="R15" s="1867"/>
      <c r="S15" s="1865"/>
      <c r="T15" s="1885"/>
      <c r="U15" s="1885"/>
      <c r="V15" s="1884"/>
      <c r="W15" s="1865"/>
      <c r="X15" s="1867"/>
      <c r="Y15" s="1867"/>
    </row>
    <row r="16" spans="1:25" ht="13.5" thickBot="1">
      <c r="A16" s="1875"/>
      <c r="B16" s="1875"/>
      <c r="C16" s="403" t="s">
        <v>2842</v>
      </c>
      <c r="D16" s="404"/>
      <c r="E16" s="404"/>
      <c r="F16" s="404"/>
      <c r="G16" s="405" t="e">
        <f t="array" ref="G16">SUM(ROUND(G11:G14,0))</f>
        <v>#N/A</v>
      </c>
      <c r="H16" s="408"/>
      <c r="I16" s="405">
        <f t="array" ref="I16">SUM(ROUND(I11:I14,0))</f>
        <v>0</v>
      </c>
      <c r="J16" s="401"/>
      <c r="K16" s="405">
        <f t="array" ref="K16">SUM(ROUND(K11:K14,0))</f>
        <v>0</v>
      </c>
      <c r="L16" s="401"/>
      <c r="M16" s="405" t="e">
        <f t="array" ref="M16">SUM(ROUND(M11:M14,0))</f>
        <v>#N/A</v>
      </c>
      <c r="N16" s="1875"/>
      <c r="O16" s="1875"/>
      <c r="P16" s="1884"/>
      <c r="Q16" s="1274">
        <f>ROUND(SNP!O34,0)</f>
        <v>0</v>
      </c>
      <c r="R16" s="1867"/>
      <c r="S16" s="1865"/>
      <c r="T16" s="1885"/>
      <c r="U16" s="1885"/>
      <c r="V16" s="1884"/>
      <c r="W16" s="1865"/>
      <c r="X16" s="1867"/>
      <c r="Y16" s="1867"/>
    </row>
    <row r="17" spans="1:25" ht="13.5" thickTop="1">
      <c r="A17" s="1875"/>
      <c r="B17" s="1875"/>
      <c r="C17" s="1875"/>
      <c r="D17" s="399"/>
      <c r="E17" s="399"/>
      <c r="F17" s="399"/>
      <c r="G17" s="400"/>
      <c r="H17" s="399"/>
      <c r="I17" s="400"/>
      <c r="J17" s="399"/>
      <c r="K17" s="400"/>
      <c r="L17" s="399"/>
      <c r="M17" s="408"/>
      <c r="N17" s="1875"/>
      <c r="O17" s="1875"/>
      <c r="P17" s="1884"/>
      <c r="R17" s="1867"/>
      <c r="S17" s="1865"/>
      <c r="T17" s="1885"/>
      <c r="U17" s="1885"/>
      <c r="V17" s="1884"/>
      <c r="W17" s="1865"/>
      <c r="X17" s="1867"/>
      <c r="Y17" s="1867"/>
    </row>
    <row r="18" spans="1:25">
      <c r="A18" s="1875"/>
      <c r="B18" s="1875"/>
      <c r="C18" s="1872" t="s">
        <v>2843</v>
      </c>
      <c r="D18" s="399"/>
      <c r="E18" s="399"/>
      <c r="F18" s="399"/>
      <c r="G18" s="400"/>
      <c r="H18" s="399"/>
      <c r="I18" s="400"/>
      <c r="J18" s="399"/>
      <c r="K18" s="400"/>
      <c r="L18" s="399"/>
      <c r="M18" s="408"/>
      <c r="N18" s="1875"/>
      <c r="O18" s="1875"/>
      <c r="P18" s="1884"/>
      <c r="R18" s="1867"/>
      <c r="S18" s="1865"/>
      <c r="T18" s="1885"/>
      <c r="U18" s="1885"/>
      <c r="V18" s="1884"/>
      <c r="W18" s="1865"/>
      <c r="X18" s="1867"/>
      <c r="Y18" s="1867"/>
    </row>
    <row r="19" spans="1:25">
      <c r="A19" s="1875"/>
      <c r="B19" s="1875"/>
      <c r="C19" s="1872"/>
      <c r="D19" s="1872" t="s">
        <v>463</v>
      </c>
      <c r="E19" s="1872"/>
      <c r="F19" s="401"/>
      <c r="G19" s="1604" t="e">
        <f>VLOOKUP($G$1,VLOOKUP!A299:K326,6,FALSE)</f>
        <v>#N/A</v>
      </c>
      <c r="H19" s="408"/>
      <c r="I19" s="736">
        <v>0</v>
      </c>
      <c r="J19" s="401"/>
      <c r="K19" s="736">
        <v>0</v>
      </c>
      <c r="L19" s="401"/>
      <c r="M19" s="410" t="e">
        <f>ROUND(G19,0)+ROUND(I19,0)-ROUND(K19,0)</f>
        <v>#N/A</v>
      </c>
      <c r="N19" s="1875"/>
      <c r="O19" s="1875"/>
      <c r="P19" s="1884"/>
      <c r="R19" s="1867"/>
      <c r="S19" s="1865"/>
      <c r="T19" s="1885"/>
      <c r="U19" s="1885"/>
      <c r="V19" s="1884"/>
      <c r="W19" s="1865"/>
      <c r="X19" s="1867"/>
      <c r="Y19" s="1867"/>
    </row>
    <row r="20" spans="1:25">
      <c r="A20" s="1875"/>
      <c r="B20" s="1875"/>
      <c r="C20" s="1872"/>
      <c r="D20" s="1872" t="s">
        <v>467</v>
      </c>
      <c r="E20" s="1872"/>
      <c r="F20" s="399"/>
      <c r="G20" s="1604" t="e">
        <f>VLOOKUP($G$1,VLOOKUP!A299:K326,7,FALSE)</f>
        <v>#N/A</v>
      </c>
      <c r="H20" s="1874"/>
      <c r="I20" s="109">
        <v>0</v>
      </c>
      <c r="J20" s="1874"/>
      <c r="K20" s="109">
        <v>0</v>
      </c>
      <c r="L20" s="1874"/>
      <c r="M20" s="411" t="e">
        <f>ROUND(G20,0)+ROUND(I20,0)-ROUND(K20,0)</f>
        <v>#N/A</v>
      </c>
      <c r="N20" s="1875"/>
      <c r="O20" s="1875"/>
      <c r="P20" s="1884"/>
      <c r="R20" s="1867"/>
      <c r="S20" s="1865"/>
      <c r="T20" s="1885"/>
      <c r="U20" s="1885"/>
      <c r="V20" s="1884"/>
      <c r="W20" s="1865"/>
      <c r="X20" s="1867"/>
      <c r="Y20" s="1867"/>
    </row>
    <row r="21" spans="1:25">
      <c r="A21" s="1875"/>
      <c r="B21" s="1875"/>
      <c r="C21" s="1872"/>
      <c r="D21" s="1867" t="s">
        <v>2861</v>
      </c>
      <c r="E21" s="1872"/>
      <c r="F21" s="399"/>
      <c r="G21" s="1605" t="e">
        <f>VLOOKUP($G$1,VLOOKUP!A299:K326,8,FALSE)</f>
        <v>#N/A</v>
      </c>
      <c r="H21" s="1874"/>
      <c r="I21" s="110">
        <v>0</v>
      </c>
      <c r="J21" s="1874"/>
      <c r="K21" s="110">
        <v>0</v>
      </c>
      <c r="L21" s="1874"/>
      <c r="M21" s="402" t="e">
        <f>ROUND(G21,0)+ROUND(I21,0)-ROUND(K21,0)</f>
        <v>#N/A</v>
      </c>
      <c r="N21" s="1875"/>
      <c r="O21" s="1875"/>
      <c r="P21" s="1884"/>
      <c r="R21" s="1867"/>
      <c r="S21" s="1865"/>
      <c r="T21" s="1885"/>
      <c r="U21" s="1885"/>
      <c r="V21" s="1884"/>
      <c r="W21" s="1865"/>
      <c r="X21" s="1867"/>
      <c r="Y21" s="1867"/>
    </row>
    <row r="22" spans="1:25">
      <c r="A22" s="1875"/>
      <c r="B22" s="1875"/>
      <c r="C22" s="1875"/>
      <c r="D22" s="399"/>
      <c r="E22" s="399"/>
      <c r="F22" s="399"/>
      <c r="G22" s="406"/>
      <c r="H22" s="1874"/>
      <c r="I22" s="406"/>
      <c r="J22" s="1874"/>
      <c r="K22" s="406"/>
      <c r="L22" s="1874"/>
      <c r="M22" s="1874"/>
      <c r="N22" s="1875"/>
      <c r="O22" s="1875"/>
      <c r="P22" s="1884"/>
      <c r="R22" s="1867"/>
      <c r="S22" s="1865"/>
      <c r="T22" s="1885"/>
      <c r="U22" s="1885"/>
      <c r="V22" s="1884"/>
      <c r="W22" s="1865"/>
      <c r="X22" s="1867"/>
      <c r="Y22" s="1867"/>
    </row>
    <row r="23" spans="1:25">
      <c r="A23" s="1875"/>
      <c r="B23" s="1875"/>
      <c r="C23" s="403" t="s">
        <v>2845</v>
      </c>
      <c r="D23" s="404"/>
      <c r="E23" s="404"/>
      <c r="F23" s="1873"/>
      <c r="G23" s="407" t="e">
        <f t="array" ref="G23">SUM(ROUND(G19:G21,0))</f>
        <v>#N/A</v>
      </c>
      <c r="H23" s="1874"/>
      <c r="I23" s="407">
        <f t="array" ref="I23">SUM(ROUND(I19:I21,0))</f>
        <v>0</v>
      </c>
      <c r="J23" s="1874"/>
      <c r="K23" s="407">
        <f t="array" ref="K23">SUM(ROUND(K19:K21,0))</f>
        <v>0</v>
      </c>
      <c r="L23" s="1874"/>
      <c r="M23" s="407" t="e">
        <f t="array" ref="M23">SUM(ROUND(M19:M21,0))</f>
        <v>#N/A</v>
      </c>
      <c r="N23" s="1875"/>
      <c r="O23" s="1875"/>
      <c r="P23" s="1884"/>
      <c r="R23" s="1867"/>
      <c r="S23" s="1865"/>
      <c r="T23" s="1885"/>
      <c r="U23" s="1885"/>
      <c r="V23" s="1884"/>
      <c r="W23" s="1865"/>
      <c r="X23" s="1867"/>
      <c r="Y23" s="1867"/>
    </row>
    <row r="24" spans="1:25">
      <c r="A24" s="1875"/>
      <c r="B24" s="1875"/>
      <c r="C24" s="1875"/>
      <c r="D24" s="399"/>
      <c r="E24" s="399"/>
      <c r="F24" s="399"/>
      <c r="G24" s="406"/>
      <c r="H24" s="1874"/>
      <c r="I24" s="406"/>
      <c r="J24" s="1874"/>
      <c r="K24" s="406"/>
      <c r="L24" s="1874"/>
      <c r="M24" s="1874"/>
      <c r="N24" s="1875"/>
      <c r="O24" s="1875"/>
      <c r="P24" s="1884"/>
      <c r="R24" s="1867"/>
      <c r="S24" s="1865"/>
      <c r="T24" s="1885"/>
      <c r="U24" s="1885"/>
      <c r="V24" s="1884"/>
      <c r="W24" s="1865"/>
      <c r="X24" s="1867"/>
      <c r="Y24" s="1867"/>
    </row>
    <row r="25" spans="1:25">
      <c r="A25" s="1875"/>
      <c r="B25" s="1875"/>
      <c r="C25" s="1872" t="s">
        <v>2846</v>
      </c>
      <c r="D25" s="399"/>
      <c r="E25" s="399"/>
      <c r="F25" s="399"/>
      <c r="G25" s="406"/>
      <c r="H25" s="1874"/>
      <c r="I25" s="406"/>
      <c r="J25" s="1874"/>
      <c r="K25" s="406"/>
      <c r="L25" s="1874"/>
      <c r="M25" s="1874"/>
      <c r="N25" s="1875"/>
      <c r="O25" s="1875"/>
      <c r="P25" s="1884"/>
      <c r="R25" s="1867"/>
      <c r="S25" s="1865"/>
      <c r="T25" s="1885"/>
      <c r="U25" s="1885"/>
      <c r="V25" s="1884"/>
      <c r="W25" s="1865"/>
      <c r="X25" s="1867"/>
      <c r="Y25" s="1867"/>
    </row>
    <row r="26" spans="1:25">
      <c r="A26" s="1875"/>
      <c r="B26" s="1875"/>
      <c r="C26" s="1872"/>
      <c r="D26" s="1872" t="s">
        <v>463</v>
      </c>
      <c r="E26" s="1872"/>
      <c r="F26" s="401"/>
      <c r="G26" s="1604" t="e">
        <f>VLOOKUP($G$1,VLOOKUP!A299:K326,9,FALSE)</f>
        <v>#N/A</v>
      </c>
      <c r="H26" s="1874"/>
      <c r="I26" s="3145">
        <v>0</v>
      </c>
      <c r="J26" s="411"/>
      <c r="K26" s="3145">
        <v>0</v>
      </c>
      <c r="L26" s="1874"/>
      <c r="M26" s="1874" t="e">
        <f>+G26+I26-K26</f>
        <v>#N/A</v>
      </c>
      <c r="N26" s="1875"/>
      <c r="O26" s="1875"/>
      <c r="P26" s="1884"/>
      <c r="R26" s="1867"/>
      <c r="S26" s="1865"/>
      <c r="T26" s="1885"/>
      <c r="U26" s="1885"/>
      <c r="V26" s="1884"/>
      <c r="W26" s="1865"/>
      <c r="X26" s="1867"/>
      <c r="Y26" s="1867"/>
    </row>
    <row r="27" spans="1:25">
      <c r="A27" s="1875"/>
      <c r="B27" s="1875"/>
      <c r="C27" s="1872"/>
      <c r="D27" s="1872" t="s">
        <v>467</v>
      </c>
      <c r="E27" s="1872"/>
      <c r="F27" s="399"/>
      <c r="G27" s="1604" t="e">
        <f>VLOOKUP($G$1,VLOOKUP!A299:K326,10,FALSE)</f>
        <v>#N/A</v>
      </c>
      <c r="H27" s="1874"/>
      <c r="I27" s="109">
        <v>0</v>
      </c>
      <c r="J27" s="411"/>
      <c r="K27" s="109">
        <v>0</v>
      </c>
      <c r="L27" s="1874"/>
      <c r="M27" s="1874" t="e">
        <f>+G27+I27-K27</f>
        <v>#N/A</v>
      </c>
      <c r="N27" s="1875"/>
      <c r="O27" s="1875"/>
      <c r="P27" s="1884"/>
      <c r="R27" s="1867"/>
      <c r="S27" s="1865"/>
      <c r="T27" s="1885"/>
      <c r="U27" s="1885"/>
      <c r="V27" s="1884"/>
      <c r="W27" s="1865"/>
      <c r="X27" s="1867"/>
      <c r="Y27" s="1867"/>
    </row>
    <row r="28" spans="1:25">
      <c r="A28" s="1875"/>
      <c r="B28" s="1875"/>
      <c r="C28" s="1872"/>
      <c r="D28" s="1867" t="s">
        <v>2862</v>
      </c>
      <c r="E28" s="1872"/>
      <c r="F28" s="399"/>
      <c r="G28" s="1605" t="e">
        <f>VLOOKUP($G$1,VLOOKUP!A299:K326,11,FALSE)</f>
        <v>#N/A</v>
      </c>
      <c r="H28" s="1874"/>
      <c r="I28" s="110">
        <v>0</v>
      </c>
      <c r="J28" s="411"/>
      <c r="K28" s="110">
        <v>0</v>
      </c>
      <c r="L28" s="1874"/>
      <c r="M28" s="407" t="e">
        <f>+G28+I28-K28</f>
        <v>#N/A</v>
      </c>
      <c r="N28" s="1875"/>
      <c r="O28" s="1875"/>
      <c r="P28" s="1884"/>
      <c r="R28" s="1867"/>
      <c r="S28" s="1865"/>
      <c r="T28" s="1885"/>
      <c r="U28" s="1885"/>
      <c r="V28" s="1884"/>
      <c r="W28" s="1865"/>
      <c r="X28" s="1867"/>
      <c r="Y28" s="1867"/>
    </row>
    <row r="29" spans="1:25">
      <c r="A29" s="1875"/>
      <c r="B29" s="1875"/>
      <c r="C29" s="1872"/>
      <c r="D29" s="1872"/>
      <c r="E29" s="1872"/>
      <c r="F29" s="399"/>
      <c r="G29" s="406"/>
      <c r="H29" s="1874"/>
      <c r="I29" s="406"/>
      <c r="J29" s="1874"/>
      <c r="K29" s="406"/>
      <c r="L29" s="1874"/>
      <c r="M29" s="1874"/>
      <c r="N29" s="1875"/>
      <c r="O29" s="1875"/>
      <c r="P29" s="1884"/>
      <c r="R29" s="1867"/>
      <c r="S29" s="1865"/>
      <c r="T29" s="1885"/>
      <c r="U29" s="1885"/>
      <c r="V29" s="1884"/>
      <c r="W29" s="1865"/>
      <c r="X29" s="1867"/>
      <c r="Y29" s="1867"/>
    </row>
    <row r="30" spans="1:25">
      <c r="A30" s="1875"/>
      <c r="B30" s="1875"/>
      <c r="C30" s="1872"/>
      <c r="D30" s="403" t="s">
        <v>2848</v>
      </c>
      <c r="E30" s="403"/>
      <c r="F30" s="404"/>
      <c r="G30" s="407" t="e">
        <f t="array" ref="G30">SUM(ROUND(G26:G28,0))</f>
        <v>#N/A</v>
      </c>
      <c r="H30" s="412"/>
      <c r="I30" s="407">
        <f t="array" ref="I30">SUM(ROUND(I26:I28,0))</f>
        <v>0</v>
      </c>
      <c r="J30" s="412">
        <f>SUM(J26:J28)</f>
        <v>0</v>
      </c>
      <c r="K30" s="407">
        <f t="array" ref="K30">SUM(ROUND(K26:K28,0))</f>
        <v>0</v>
      </c>
      <c r="L30" s="412"/>
      <c r="M30" s="407" t="e">
        <f t="array" ref="M30">SUM(ROUND(M26:M28,0))</f>
        <v>#N/A</v>
      </c>
      <c r="N30" s="1875"/>
      <c r="O30" s="1875"/>
      <c r="P30" s="1884"/>
      <c r="R30" s="1867"/>
      <c r="S30" s="1865"/>
      <c r="T30" s="1885"/>
      <c r="U30" s="1885"/>
      <c r="V30" s="1884"/>
      <c r="W30" s="1865"/>
      <c r="X30" s="1867"/>
      <c r="Y30" s="1867"/>
    </row>
    <row r="31" spans="1:25">
      <c r="A31" s="1875"/>
      <c r="B31" s="1875"/>
      <c r="C31" s="1875"/>
      <c r="D31" s="399"/>
      <c r="E31" s="399"/>
      <c r="F31" s="399"/>
      <c r="G31" s="400"/>
      <c r="H31" s="399"/>
      <c r="I31" s="400"/>
      <c r="J31" s="399"/>
      <c r="K31" s="400"/>
      <c r="L31" s="399"/>
      <c r="M31" s="408"/>
      <c r="N31" s="1875"/>
      <c r="O31" s="1875"/>
      <c r="P31" s="1884"/>
      <c r="R31" s="1867"/>
      <c r="S31" s="1865"/>
      <c r="T31" s="1885"/>
      <c r="U31" s="1885"/>
      <c r="V31" s="1884"/>
      <c r="W31" s="1865"/>
      <c r="X31" s="1867"/>
      <c r="Y31" s="1867"/>
    </row>
    <row r="32" spans="1:25" ht="13.5" thickBot="1">
      <c r="A32" s="1875"/>
      <c r="B32" s="1875"/>
      <c r="C32" s="403" t="s">
        <v>2849</v>
      </c>
      <c r="D32" s="404"/>
      <c r="E32" s="404"/>
      <c r="F32" s="404"/>
      <c r="G32" s="405" t="e">
        <f>+G23-G30</f>
        <v>#N/A</v>
      </c>
      <c r="H32" s="408"/>
      <c r="I32" s="405">
        <f>+I23-I30</f>
        <v>0</v>
      </c>
      <c r="J32" s="408">
        <f>+J23-J30</f>
        <v>0</v>
      </c>
      <c r="K32" s="405">
        <f>+K23-K30</f>
        <v>0</v>
      </c>
      <c r="L32" s="408"/>
      <c r="M32" s="405" t="e">
        <f>+M23-M30</f>
        <v>#N/A</v>
      </c>
      <c r="N32" s="1875"/>
      <c r="O32" s="1875"/>
      <c r="P32" s="1884"/>
      <c r="Q32" s="1883">
        <f>ROUND(SNP!O33,0)</f>
        <v>0</v>
      </c>
      <c r="R32" s="1867"/>
      <c r="S32" s="1865"/>
      <c r="T32" s="1885"/>
      <c r="U32" s="1885"/>
      <c r="V32" s="1884"/>
      <c r="W32" s="1865"/>
      <c r="X32" s="1867"/>
      <c r="Y32" s="1867"/>
    </row>
    <row r="33" spans="1:25" ht="13.5" thickTop="1">
      <c r="A33" s="1875"/>
      <c r="B33" s="1875"/>
      <c r="C33" s="403"/>
      <c r="D33" s="404"/>
      <c r="E33" s="404"/>
      <c r="F33" s="404"/>
      <c r="G33" s="408"/>
      <c r="H33" s="408"/>
      <c r="I33" s="408"/>
      <c r="J33" s="408"/>
      <c r="K33" s="408"/>
      <c r="L33" s="408"/>
      <c r="M33" s="408"/>
      <c r="N33" s="1875"/>
      <c r="O33" s="1875"/>
      <c r="P33" s="1884"/>
      <c r="R33" s="1867"/>
      <c r="S33" s="1865"/>
      <c r="T33" s="1885"/>
      <c r="U33" s="1885"/>
      <c r="V33" s="1884"/>
      <c r="W33" s="1865"/>
      <c r="X33" s="1867"/>
      <c r="Y33" s="1867"/>
    </row>
    <row r="34" spans="1:25">
      <c r="A34" s="1875"/>
      <c r="B34" s="1875"/>
      <c r="C34" s="1875"/>
      <c r="D34" s="1875"/>
      <c r="E34" s="1875"/>
      <c r="F34" s="1875"/>
      <c r="G34" s="1875"/>
      <c r="H34" s="1875"/>
      <c r="I34" s="1875"/>
      <c r="J34" s="1875"/>
      <c r="K34" s="1875"/>
      <c r="L34" s="1875"/>
      <c r="M34" s="1875"/>
      <c r="N34" s="1875"/>
      <c r="O34" s="1875"/>
      <c r="P34" s="1884"/>
      <c r="R34" s="1867"/>
      <c r="S34" s="1865"/>
      <c r="T34" s="1885"/>
      <c r="U34" s="1885"/>
      <c r="V34" s="1884"/>
      <c r="W34" s="1865"/>
      <c r="X34" s="1867"/>
      <c r="Y34" s="1867"/>
    </row>
    <row r="35" spans="1:25">
      <c r="A35" s="558"/>
      <c r="B35" s="1867"/>
      <c r="C35" s="559" t="s">
        <v>2863</v>
      </c>
      <c r="D35" s="1875"/>
      <c r="E35" s="1875"/>
      <c r="F35" s="1875"/>
      <c r="G35" s="1875"/>
      <c r="H35" s="1875"/>
      <c r="I35" s="1875"/>
      <c r="J35" s="1875"/>
      <c r="K35" s="1875"/>
      <c r="L35" s="1875"/>
      <c r="M35" s="1875"/>
      <c r="N35" s="1875"/>
      <c r="O35" s="1875"/>
      <c r="P35" s="1865"/>
      <c r="R35" s="1867"/>
      <c r="S35" s="1865"/>
      <c r="T35" s="1885"/>
      <c r="U35" s="1885"/>
      <c r="V35" s="1885"/>
      <c r="W35" s="1884"/>
      <c r="X35" s="1865"/>
      <c r="Y35" s="1867"/>
    </row>
    <row r="36" spans="1:25">
      <c r="A36" s="1875"/>
      <c r="B36" s="1875"/>
      <c r="C36" s="1867"/>
      <c r="D36" s="1875"/>
      <c r="E36" s="1875"/>
      <c r="F36" s="1875"/>
      <c r="G36" s="1875"/>
      <c r="H36" s="1875"/>
      <c r="I36" s="1875"/>
      <c r="J36" s="1875"/>
      <c r="K36" s="1875"/>
      <c r="L36" s="1875"/>
      <c r="M36" s="1875"/>
      <c r="N36" s="1875"/>
      <c r="O36" s="1875"/>
      <c r="P36" s="1872"/>
      <c r="R36" s="1867"/>
      <c r="S36" s="1865"/>
      <c r="T36" s="1885"/>
      <c r="U36" s="1885"/>
      <c r="V36" s="1885"/>
      <c r="W36" s="1884"/>
      <c r="X36" s="1865"/>
      <c r="Y36" s="1867"/>
    </row>
    <row r="37" spans="1:25" ht="15" customHeight="1">
      <c r="A37" s="1875"/>
      <c r="B37" s="1875"/>
      <c r="C37" s="1875"/>
      <c r="D37" s="1873" t="s">
        <v>2748</v>
      </c>
      <c r="E37" s="1873"/>
      <c r="F37" s="125"/>
      <c r="G37" s="486" t="s">
        <v>2749</v>
      </c>
      <c r="H37" s="486"/>
      <c r="I37" s="486" t="s">
        <v>2750</v>
      </c>
      <c r="J37" s="486"/>
      <c r="K37" s="486" t="s">
        <v>2751</v>
      </c>
      <c r="L37" s="486"/>
      <c r="M37" s="486" t="s">
        <v>2752</v>
      </c>
      <c r="N37" s="486"/>
      <c r="O37" s="486" t="s">
        <v>2753</v>
      </c>
      <c r="P37" s="1268"/>
      <c r="R37" s="1867"/>
      <c r="S37" s="1865"/>
      <c r="T37" s="1885"/>
      <c r="U37" s="1885"/>
      <c r="V37" s="1885"/>
      <c r="W37" s="1884"/>
      <c r="X37" s="1865"/>
      <c r="Y37" s="1867"/>
    </row>
    <row r="38" spans="1:25" ht="15" customHeight="1">
      <c r="A38" s="1875"/>
      <c r="B38" s="1875"/>
      <c r="C38" s="1875"/>
      <c r="D38" s="413"/>
      <c r="E38" s="413"/>
      <c r="F38" s="125"/>
      <c r="G38" s="398" t="s">
        <v>2754</v>
      </c>
      <c r="H38" s="486"/>
      <c r="I38" s="549"/>
      <c r="J38" s="486"/>
      <c r="K38" s="549"/>
      <c r="L38" s="486"/>
      <c r="M38" s="549" t="s">
        <v>2754</v>
      </c>
      <c r="N38" s="486"/>
      <c r="O38" s="549" t="s">
        <v>2864</v>
      </c>
      <c r="P38" s="486"/>
      <c r="Q38" s="2454" t="s">
        <v>2865</v>
      </c>
      <c r="R38" s="1867"/>
      <c r="S38" s="1865"/>
      <c r="T38" s="1885"/>
      <c r="U38" s="1885"/>
      <c r="V38" s="1885"/>
      <c r="W38" s="1884"/>
      <c r="X38" s="1865"/>
      <c r="Y38" s="1867"/>
    </row>
    <row r="39" spans="1:25" ht="15" customHeight="1">
      <c r="A39" s="1875"/>
      <c r="B39" s="1875"/>
      <c r="C39" s="1875"/>
      <c r="D39" s="1873"/>
      <c r="E39" s="1873"/>
      <c r="F39" s="125"/>
      <c r="G39" s="1268"/>
      <c r="H39" s="486"/>
      <c r="I39" s="486"/>
      <c r="J39" s="486"/>
      <c r="K39" s="486"/>
      <c r="L39" s="486"/>
      <c r="M39" s="486"/>
      <c r="N39" s="486"/>
      <c r="O39" s="486"/>
      <c r="P39" s="486"/>
      <c r="Q39" s="1275"/>
      <c r="R39" s="1867"/>
      <c r="S39" s="1865"/>
      <c r="T39" s="1885"/>
      <c r="U39" s="1885"/>
      <c r="V39" s="1885"/>
      <c r="W39" s="1884"/>
      <c r="X39" s="1865"/>
      <c r="Y39" s="1867"/>
    </row>
    <row r="40" spans="1:25">
      <c r="A40" s="1875"/>
      <c r="B40" s="1875"/>
      <c r="C40" s="1875"/>
      <c r="D40" s="1873" t="s">
        <v>75</v>
      </c>
      <c r="E40" s="1872"/>
      <c r="F40" s="125"/>
      <c r="G40" s="1604" t="e">
        <f>VLOOKUP($G$1,VLOOKUP!A332:K359,2,FALSE)</f>
        <v>#N/A</v>
      </c>
      <c r="H40" s="127"/>
      <c r="I40" s="426">
        <v>0</v>
      </c>
      <c r="J40" s="127"/>
      <c r="K40" s="426">
        <v>0</v>
      </c>
      <c r="L40" s="127"/>
      <c r="M40" s="427" t="e">
        <f t="shared" ref="M40:M45" si="0">ROUND(G40,0)+ROUND(I40,0)-ROUND(K40,0)</f>
        <v>#N/A</v>
      </c>
      <c r="N40" s="127"/>
      <c r="O40" s="427">
        <f>SNP!O65</f>
        <v>0</v>
      </c>
      <c r="P40" s="126"/>
      <c r="Q40" s="1883">
        <f>ROUND(SNP!O65,0)+ROUND(SNP!O87,0)</f>
        <v>0</v>
      </c>
      <c r="R40" s="1867"/>
      <c r="S40" s="1865"/>
      <c r="T40" s="1885"/>
      <c r="U40" s="1885"/>
      <c r="V40" s="1885"/>
      <c r="W40" s="1884"/>
      <c r="X40" s="1865"/>
      <c r="Y40" s="1867"/>
    </row>
    <row r="41" spans="1:25">
      <c r="A41" s="1875"/>
      <c r="B41" s="1875"/>
      <c r="C41" s="1875"/>
      <c r="D41" s="1610" t="s">
        <v>564</v>
      </c>
      <c r="E41" s="1872"/>
      <c r="F41" s="125"/>
      <c r="G41" s="1604" t="e">
        <f>VLOOKUP($G$1,VLOOKUP!A332:K359,3,FALSE)</f>
        <v>#N/A</v>
      </c>
      <c r="H41" s="1866"/>
      <c r="I41" s="109">
        <v>0</v>
      </c>
      <c r="J41" s="1866"/>
      <c r="K41" s="109">
        <v>0</v>
      </c>
      <c r="L41" s="1866"/>
      <c r="M41" s="128" t="e">
        <f t="shared" si="0"/>
        <v>#N/A</v>
      </c>
      <c r="N41" s="1866"/>
      <c r="O41" s="128">
        <f>SNP!O66</f>
        <v>0</v>
      </c>
      <c r="P41" s="128"/>
      <c r="Q41" s="1883">
        <f>ROUND(SNP!O88,0)+ROUND(SNP!O66,0)</f>
        <v>0</v>
      </c>
      <c r="R41" s="1867"/>
      <c r="S41" s="1865"/>
      <c r="T41" s="1885"/>
      <c r="U41" s="1885"/>
      <c r="V41" s="1885"/>
      <c r="W41" s="1884"/>
      <c r="X41" s="1865"/>
      <c r="Y41" s="1867"/>
    </row>
    <row r="42" spans="1:25" ht="12" customHeight="1">
      <c r="A42" s="1875"/>
      <c r="B42" s="1875"/>
      <c r="C42" s="1875"/>
      <c r="D42" s="1868" t="s">
        <v>566</v>
      </c>
      <c r="E42" s="1872"/>
      <c r="F42" s="125"/>
      <c r="G42" s="1604" t="e">
        <f>VLOOKUP($G$1,VLOOKUP!A332:K359,4,FALSE)</f>
        <v>#N/A</v>
      </c>
      <c r="H42" s="1866"/>
      <c r="I42" s="109">
        <v>0</v>
      </c>
      <c r="J42" s="1866"/>
      <c r="K42" s="109">
        <v>0</v>
      </c>
      <c r="L42" s="1866"/>
      <c r="M42" s="128" t="e">
        <f t="shared" si="0"/>
        <v>#N/A</v>
      </c>
      <c r="N42" s="1866"/>
      <c r="O42" s="128">
        <f>SNP!O67</f>
        <v>0</v>
      </c>
      <c r="P42" s="128"/>
      <c r="Q42" s="1883">
        <f>ROUND(SNP!O89,0)+ROUND(SNP!O67,0)</f>
        <v>0</v>
      </c>
      <c r="R42" s="1867"/>
      <c r="S42" s="1865"/>
      <c r="T42" s="1885"/>
      <c r="U42" s="1885"/>
      <c r="V42" s="1885"/>
      <c r="W42" s="1884"/>
      <c r="X42" s="1865"/>
      <c r="Y42" s="1867"/>
    </row>
    <row r="43" spans="1:25">
      <c r="A43" s="1875"/>
      <c r="B43" s="1875"/>
      <c r="C43" s="1875"/>
      <c r="D43" s="1868" t="s">
        <v>568</v>
      </c>
      <c r="E43" s="1872"/>
      <c r="F43" s="125"/>
      <c r="G43" s="1604" t="e">
        <f>VLOOKUP($G$1,VLOOKUP!A332:K359,5,FALSE)</f>
        <v>#N/A</v>
      </c>
      <c r="H43" s="1866"/>
      <c r="I43" s="109">
        <v>0</v>
      </c>
      <c r="J43" s="1866"/>
      <c r="K43" s="109">
        <v>0</v>
      </c>
      <c r="L43" s="1866"/>
      <c r="M43" s="128" t="e">
        <f t="shared" si="0"/>
        <v>#N/A</v>
      </c>
      <c r="N43" s="1866"/>
      <c r="O43" s="128">
        <f>SNP!O68</f>
        <v>0</v>
      </c>
      <c r="P43" s="128"/>
      <c r="Q43" s="1883">
        <f>ROUND(SNP!O90,0)+ROUND(SNP!O68,0)</f>
        <v>0</v>
      </c>
      <c r="R43" s="1867"/>
      <c r="S43" s="1865"/>
      <c r="T43" s="1885"/>
      <c r="U43" s="1885"/>
      <c r="V43" s="1885"/>
      <c r="W43" s="1884"/>
      <c r="X43" s="1865"/>
      <c r="Y43" s="1867"/>
    </row>
    <row r="44" spans="1:25">
      <c r="A44" s="1875"/>
      <c r="B44" s="1875"/>
      <c r="C44" s="1875"/>
      <c r="D44" s="1610" t="s">
        <v>289</v>
      </c>
      <c r="E44" s="1872"/>
      <c r="F44" s="1873"/>
      <c r="G44" s="1604" t="e">
        <f>VLOOKUP($G$1,VLOOKUP!A332:K359,6,FALSE)</f>
        <v>#N/A</v>
      </c>
      <c r="H44" s="1866"/>
      <c r="I44" s="109">
        <v>0</v>
      </c>
      <c r="J44" s="1866"/>
      <c r="K44" s="109">
        <v>0</v>
      </c>
      <c r="L44" s="1866"/>
      <c r="M44" s="128" t="e">
        <f t="shared" si="0"/>
        <v>#N/A</v>
      </c>
      <c r="N44" s="1866"/>
      <c r="O44" s="128">
        <f>SNP!O70</f>
        <v>0</v>
      </c>
      <c r="P44" s="128"/>
      <c r="Q44" s="1883">
        <f>ROUND(SNP!O92,0)+ROUND(SNP!O70,0)</f>
        <v>0</v>
      </c>
      <c r="R44" s="1867"/>
      <c r="S44" s="1865"/>
      <c r="T44" s="1885"/>
      <c r="U44" s="1885"/>
      <c r="V44" s="1885"/>
      <c r="W44" s="1884"/>
      <c r="X44" s="1865"/>
      <c r="Y44" s="1867"/>
    </row>
    <row r="45" spans="1:25" ht="15" customHeight="1">
      <c r="A45" s="1875"/>
      <c r="B45" s="1875"/>
      <c r="C45" s="1875"/>
      <c r="D45" s="1873" t="s">
        <v>291</v>
      </c>
      <c r="E45" s="1872"/>
      <c r="F45" s="1873"/>
      <c r="G45" s="1604" t="e">
        <f>VLOOKUP($G$1,VLOOKUP!A332:K359,7,FALSE)</f>
        <v>#N/A</v>
      </c>
      <c r="H45" s="1866"/>
      <c r="I45" s="109">
        <v>0</v>
      </c>
      <c r="J45" s="1866"/>
      <c r="K45" s="109">
        <v>0</v>
      </c>
      <c r="L45" s="1866"/>
      <c r="M45" s="128" t="e">
        <f t="shared" si="0"/>
        <v>#N/A</v>
      </c>
      <c r="N45" s="1866"/>
      <c r="O45" s="128">
        <f>SNP!O71</f>
        <v>0</v>
      </c>
      <c r="P45" s="128"/>
      <c r="Q45" s="1883">
        <f>ROUND(SNP!O93,0)+ROUND(SNP!O71,0)</f>
        <v>0</v>
      </c>
      <c r="R45" s="1867"/>
      <c r="S45" s="1865"/>
      <c r="T45" s="1885"/>
      <c r="U45" s="1885"/>
      <c r="V45" s="1885"/>
      <c r="W45" s="1884"/>
      <c r="X45" s="1865"/>
      <c r="Y45" s="1867"/>
    </row>
    <row r="46" spans="1:25">
      <c r="A46" s="1875"/>
      <c r="B46" s="1875"/>
      <c r="C46" s="1875"/>
      <c r="D46" s="1868" t="s">
        <v>2756</v>
      </c>
      <c r="E46" s="1872"/>
      <c r="F46" s="1873"/>
      <c r="G46" s="1606"/>
      <c r="H46" s="1866"/>
      <c r="I46" s="128"/>
      <c r="J46" s="1866"/>
      <c r="K46" s="128"/>
      <c r="L46" s="1866"/>
      <c r="M46" s="128"/>
      <c r="N46" s="1866"/>
      <c r="O46" s="128"/>
      <c r="P46" s="128"/>
      <c r="Q46" s="1883"/>
      <c r="R46" s="1867"/>
      <c r="S46" s="1865"/>
      <c r="T46" s="1885"/>
      <c r="U46" s="1885"/>
      <c r="V46" s="1885"/>
      <c r="W46" s="1884"/>
      <c r="X46" s="1865"/>
      <c r="Y46" s="1867"/>
    </row>
    <row r="47" spans="1:25">
      <c r="A47" s="1875"/>
      <c r="B47" s="1875"/>
      <c r="C47" s="1875"/>
      <c r="D47" s="1868" t="s">
        <v>2757</v>
      </c>
      <c r="E47" s="1872"/>
      <c r="F47" s="1873"/>
      <c r="G47" s="1604" t="e">
        <f>VLOOKUP($G$1,VLOOKUP!A332:K359,8,FALSE)</f>
        <v>#N/A</v>
      </c>
      <c r="H47" s="1866"/>
      <c r="I47" s="1864">
        <v>0</v>
      </c>
      <c r="J47" s="1866"/>
      <c r="K47" s="1864">
        <v>0</v>
      </c>
      <c r="L47" s="1866"/>
      <c r="M47" s="128" t="e">
        <f>ROUND(G47,0)+ROUND(I47,0)-ROUND(K47,0)</f>
        <v>#N/A</v>
      </c>
      <c r="N47" s="1866"/>
      <c r="O47" s="128">
        <f>SNP!O96</f>
        <v>0</v>
      </c>
      <c r="P47" s="1874"/>
      <c r="Q47" s="1883">
        <f>ROUND(SNP!O96,0)+ROUND(SNP!O74,0)</f>
        <v>0</v>
      </c>
      <c r="R47" s="1867"/>
      <c r="S47" s="1865"/>
      <c r="T47" s="1885"/>
      <c r="U47" s="1885"/>
      <c r="V47" s="1885"/>
      <c r="W47" s="1884"/>
      <c r="X47" s="1865"/>
      <c r="Y47" s="1867"/>
    </row>
    <row r="48" spans="1:25" s="1867" customFormat="1">
      <c r="A48" s="1875"/>
      <c r="B48" s="1875"/>
      <c r="C48" s="1875"/>
      <c r="D48" s="1868" t="s">
        <v>2325</v>
      </c>
      <c r="E48" s="1872"/>
      <c r="F48" s="1873"/>
      <c r="G48" s="1604" t="e">
        <f>VLOOKUP($G$1,VLOOKUP!A332:K359,9,FALSE)</f>
        <v>#N/A</v>
      </c>
      <c r="H48" s="1866"/>
      <c r="I48" s="1864">
        <v>0</v>
      </c>
      <c r="J48" s="1866"/>
      <c r="K48" s="1864">
        <v>0</v>
      </c>
      <c r="L48" s="1866"/>
      <c r="M48" s="128" t="e">
        <f>ROUND(G48,0)+ROUND(I48,0)-ROUND(K48,0)</f>
        <v>#N/A</v>
      </c>
      <c r="N48" s="1866"/>
      <c r="O48" s="128">
        <f>SNP!O72</f>
        <v>0</v>
      </c>
      <c r="P48" s="1874"/>
      <c r="Q48" s="1883">
        <f>ROUND(SNP!O94,0)+ROUND(SNP!O72,0)</f>
        <v>0</v>
      </c>
      <c r="S48" s="1865"/>
      <c r="T48" s="1885"/>
      <c r="U48" s="1885"/>
      <c r="V48" s="1885"/>
      <c r="W48" s="1884"/>
      <c r="X48" s="1865"/>
    </row>
    <row r="49" spans="1:25" s="1867" customFormat="1">
      <c r="A49" s="1875"/>
      <c r="B49" s="1875"/>
      <c r="C49" s="1875"/>
      <c r="D49" s="1868" t="s">
        <v>2326</v>
      </c>
      <c r="E49" s="1872"/>
      <c r="F49" s="1873"/>
      <c r="G49" s="1604" t="e">
        <f>VLOOKUP($G$1,VLOOKUP!A332:K359,10,FALSE)</f>
        <v>#N/A</v>
      </c>
      <c r="H49" s="1866"/>
      <c r="I49" s="1864">
        <v>0</v>
      </c>
      <c r="J49" s="1866"/>
      <c r="K49" s="1864">
        <v>0</v>
      </c>
      <c r="L49" s="1866"/>
      <c r="M49" s="128" t="e">
        <f>ROUND(G49,0)+ROUND(I49,0)-ROUND(K49,0)</f>
        <v>#N/A</v>
      </c>
      <c r="N49" s="1866"/>
      <c r="O49" s="128">
        <f>SNP!O73</f>
        <v>0</v>
      </c>
      <c r="P49" s="1874"/>
      <c r="Q49" s="1883">
        <f>ROUND(SNP!O95,0)+ROUND(SNP!O73,0)</f>
        <v>0</v>
      </c>
      <c r="S49" s="1865"/>
      <c r="T49" s="1885"/>
      <c r="U49" s="1885"/>
      <c r="V49" s="1885"/>
      <c r="W49" s="1884"/>
      <c r="X49" s="1865"/>
    </row>
    <row r="50" spans="1:25">
      <c r="A50" s="1875"/>
      <c r="B50" s="1875"/>
      <c r="C50" s="1875"/>
      <c r="D50" s="1610" t="s">
        <v>89</v>
      </c>
      <c r="E50" s="1872"/>
      <c r="F50" s="1873"/>
      <c r="G50" s="1605" t="e">
        <f>VLOOKUP($G$1,VLOOKUP!A332:K359,11,FALSE)</f>
        <v>#N/A</v>
      </c>
      <c r="H50" s="1866"/>
      <c r="I50" s="110">
        <v>0</v>
      </c>
      <c r="J50" s="1866"/>
      <c r="K50" s="110">
        <v>0</v>
      </c>
      <c r="L50" s="1866"/>
      <c r="M50" s="199" t="e">
        <f>ROUND(G50,0)+ROUND(I50,0)-ROUND(K50,0)</f>
        <v>#N/A</v>
      </c>
      <c r="N50" s="1866"/>
      <c r="O50" s="199">
        <f>SNP!O75</f>
        <v>0</v>
      </c>
      <c r="P50" s="1874"/>
      <c r="Q50" s="1883">
        <f>ROUND(SNP!O97,0)+ROUND(SNP!O75,0)</f>
        <v>0</v>
      </c>
      <c r="R50" s="1867"/>
      <c r="S50" s="1865"/>
      <c r="T50" s="1885"/>
      <c r="U50" s="1885"/>
      <c r="V50" s="1885"/>
      <c r="W50" s="1884"/>
      <c r="X50" s="1865"/>
      <c r="Y50" s="1867"/>
    </row>
    <row r="51" spans="1:25">
      <c r="A51" s="1875"/>
      <c r="B51" s="1875"/>
      <c r="C51" s="1875"/>
      <c r="D51" s="1873"/>
      <c r="E51" s="1873"/>
      <c r="F51" s="1873"/>
      <c r="G51" s="1874"/>
      <c r="H51" s="125"/>
      <c r="I51" s="1866"/>
      <c r="J51" s="125"/>
      <c r="K51" s="1866"/>
      <c r="L51" s="125"/>
      <c r="M51" s="126"/>
      <c r="N51" s="125"/>
      <c r="O51" s="1866"/>
      <c r="P51" s="1866"/>
      <c r="R51" s="1867"/>
      <c r="S51" s="1865"/>
      <c r="T51" s="1885"/>
      <c r="U51" s="1885"/>
      <c r="V51" s="1885"/>
      <c r="W51" s="1884"/>
      <c r="X51" s="1865"/>
      <c r="Y51" s="1867"/>
    </row>
    <row r="52" spans="1:25" ht="13.5" thickBot="1">
      <c r="A52" s="1875"/>
      <c r="B52" s="1875"/>
      <c r="C52" s="1875"/>
      <c r="D52" s="414" t="s">
        <v>2760</v>
      </c>
      <c r="E52" s="1873"/>
      <c r="F52" s="125"/>
      <c r="G52" s="428" t="e">
        <f t="array" ref="G52">SUM(ROUND(G40:G50,0))</f>
        <v>#N/A</v>
      </c>
      <c r="H52" s="125"/>
      <c r="I52" s="428">
        <f t="array" ref="I52">SUM(ROUND(I40:I50,0))</f>
        <v>0</v>
      </c>
      <c r="J52" s="125"/>
      <c r="K52" s="428">
        <f t="array" ref="K52">SUM(ROUND(K40:K50,0))</f>
        <v>0</v>
      </c>
      <c r="L52" s="125"/>
      <c r="M52" s="428" t="e">
        <f t="array" ref="M52">SUM(ROUND(M40:M50,0))</f>
        <v>#N/A</v>
      </c>
      <c r="N52" s="125"/>
      <c r="O52" s="428">
        <f t="array" ref="O52">SUM(ROUND(O40:O50,0))</f>
        <v>0</v>
      </c>
      <c r="P52" s="416"/>
      <c r="Q52" s="1883">
        <f t="array" ref="Q52">SUM(ROUND(SNP!O87:O97,0))+SUM(ROUND(SNP!O65:O75,0))</f>
        <v>0</v>
      </c>
      <c r="R52" s="1867" t="s">
        <v>2866</v>
      </c>
      <c r="S52" s="1865"/>
      <c r="T52" s="1885"/>
      <c r="U52" s="1885"/>
      <c r="V52" s="1885"/>
      <c r="W52" s="1884"/>
      <c r="X52" s="1865"/>
      <c r="Y52" s="1867"/>
    </row>
    <row r="53" spans="1:25" ht="13.5" thickTop="1">
      <c r="A53" s="1875"/>
      <c r="B53" s="1875"/>
      <c r="C53" s="1875"/>
      <c r="D53" s="1875"/>
      <c r="E53" s="1875"/>
      <c r="F53" s="1875"/>
      <c r="G53" s="1875"/>
      <c r="H53" s="1875"/>
      <c r="I53" s="1875"/>
      <c r="J53" s="1875"/>
      <c r="K53" s="1875"/>
      <c r="L53" s="1875"/>
      <c r="M53" s="1875"/>
      <c r="N53" s="1875"/>
      <c r="O53" s="1875"/>
      <c r="P53" s="1270" t="s">
        <v>2349</v>
      </c>
      <c r="Q53" s="1883">
        <f t="array" ref="Q53">SUM(ROUND(SNP!O65:O75,0))</f>
        <v>0</v>
      </c>
      <c r="R53" s="1867" t="s">
        <v>2762</v>
      </c>
      <c r="S53" s="1865"/>
      <c r="T53" s="1885"/>
      <c r="U53" s="1885"/>
      <c r="V53" s="1885"/>
      <c r="W53" s="1884"/>
      <c r="X53" s="1865"/>
      <c r="Y53" s="1867"/>
    </row>
    <row r="54" spans="1:25">
      <c r="A54" s="1875"/>
      <c r="B54" s="1875"/>
      <c r="C54" s="1875"/>
      <c r="D54" s="1875"/>
      <c r="E54" s="1875"/>
      <c r="F54" s="1875"/>
      <c r="G54" s="1875"/>
      <c r="H54" s="1875"/>
      <c r="I54" s="1875"/>
      <c r="J54" s="1875"/>
      <c r="K54" s="1875"/>
      <c r="L54" s="1875"/>
      <c r="M54" s="1875"/>
      <c r="N54" s="1875"/>
      <c r="O54" s="1875"/>
      <c r="P54" s="860"/>
      <c r="Q54" s="860"/>
      <c r="R54" s="860"/>
      <c r="S54" s="1865"/>
      <c r="T54" s="1885"/>
      <c r="U54" s="1885"/>
      <c r="V54" s="1885"/>
      <c r="W54" s="1884"/>
      <c r="X54" s="1865"/>
      <c r="Y54" s="1867"/>
    </row>
    <row r="55" spans="1:25">
      <c r="A55" s="1867"/>
      <c r="B55" s="1867"/>
      <c r="C55" s="2667"/>
      <c r="D55" s="2667"/>
      <c r="E55" s="2667"/>
      <c r="F55" s="2667"/>
      <c r="G55" s="3023" t="str">
        <f>'Contact Information'!$C$5</f>
        <v>SAMPLE STATE COLLEGE</v>
      </c>
      <c r="H55" s="3023"/>
      <c r="I55" s="2667"/>
      <c r="J55" s="2667"/>
      <c r="K55" s="2667"/>
      <c r="L55" s="2667"/>
      <c r="M55" s="2667"/>
      <c r="N55" s="2667"/>
      <c r="O55" s="2667"/>
      <c r="P55" s="860"/>
      <c r="Q55" s="860"/>
      <c r="R55" s="860"/>
      <c r="S55" s="1865"/>
      <c r="T55" s="1885"/>
      <c r="U55" s="1885"/>
      <c r="V55" s="1885"/>
      <c r="W55" s="1884"/>
      <c r="X55" s="1865"/>
      <c r="Y55" s="1867"/>
    </row>
    <row r="56" spans="1:25">
      <c r="A56" s="1867"/>
      <c r="B56" s="1867"/>
      <c r="C56" s="2668"/>
      <c r="D56" s="2668"/>
      <c r="E56" s="2668"/>
      <c r="F56" s="2668"/>
      <c r="G56" s="3024" t="s">
        <v>2853</v>
      </c>
      <c r="H56" s="3024"/>
      <c r="I56" s="2668"/>
      <c r="J56" s="2668"/>
      <c r="K56" s="2668"/>
      <c r="L56" s="2668"/>
      <c r="M56" s="2668"/>
      <c r="N56" s="2668"/>
      <c r="O56" s="2668"/>
      <c r="P56" s="860"/>
      <c r="Q56" s="860"/>
      <c r="R56" s="860"/>
      <c r="S56" s="1865"/>
      <c r="T56" s="1885"/>
      <c r="U56" s="1885"/>
      <c r="V56" s="1885"/>
      <c r="W56" s="1884"/>
      <c r="X56" s="1865"/>
      <c r="Y56" s="1867"/>
    </row>
    <row r="57" spans="1:25">
      <c r="A57" s="1867"/>
      <c r="B57" s="1867"/>
      <c r="C57" s="2669"/>
      <c r="D57" s="2669"/>
      <c r="E57" s="2669"/>
      <c r="F57" s="2669"/>
      <c r="G57" s="3025" t="s">
        <v>4064</v>
      </c>
      <c r="H57" s="3026"/>
      <c r="I57" s="2669"/>
      <c r="J57" s="2669"/>
      <c r="K57" s="2669"/>
      <c r="L57" s="2669"/>
      <c r="M57" s="2669"/>
      <c r="N57" s="2669"/>
      <c r="O57" s="2669"/>
      <c r="P57" s="860"/>
      <c r="Q57" s="860"/>
      <c r="R57" s="860"/>
      <c r="S57" s="1865"/>
      <c r="T57" s="1885"/>
      <c r="U57" s="1885"/>
      <c r="V57" s="1885"/>
      <c r="W57" s="1884"/>
      <c r="X57" s="1865"/>
      <c r="Y57" s="1867"/>
    </row>
    <row r="58" spans="1:25">
      <c r="A58" s="1875"/>
      <c r="B58" s="1875"/>
      <c r="C58" s="1875"/>
      <c r="D58" s="1875"/>
      <c r="E58" s="1875"/>
      <c r="F58" s="1875"/>
      <c r="G58" s="1875"/>
      <c r="H58" s="1875"/>
      <c r="I58" s="1875"/>
      <c r="J58" s="1875"/>
      <c r="K58" s="1875"/>
      <c r="L58" s="1875"/>
      <c r="M58" s="1875"/>
      <c r="N58" s="1875"/>
      <c r="O58" s="1875"/>
      <c r="P58" s="860"/>
      <c r="Q58" s="860"/>
      <c r="R58" s="860"/>
      <c r="S58" s="1865"/>
      <c r="T58" s="1885"/>
      <c r="U58" s="1885"/>
      <c r="V58" s="1885"/>
      <c r="W58" s="1884"/>
      <c r="X58" s="1865"/>
      <c r="Y58" s="1867"/>
    </row>
    <row r="59" spans="1:25">
      <c r="A59" s="1867"/>
      <c r="B59" s="1875"/>
      <c r="C59" s="1875"/>
      <c r="D59" s="1875"/>
      <c r="E59" s="1875"/>
      <c r="F59" s="1875"/>
      <c r="G59" s="1875"/>
      <c r="H59" s="1875"/>
      <c r="I59" s="1875"/>
      <c r="J59" s="1875"/>
      <c r="K59" s="1875"/>
      <c r="L59" s="1875"/>
      <c r="M59" s="1875"/>
      <c r="N59" s="1875"/>
      <c r="O59" s="1875"/>
      <c r="P59" s="860"/>
      <c r="Q59" s="860"/>
      <c r="R59" s="860"/>
      <c r="S59" s="1865"/>
      <c r="T59" s="1885"/>
      <c r="U59" s="1885"/>
      <c r="V59" s="1885"/>
      <c r="W59" s="1884"/>
      <c r="X59" s="1865"/>
      <c r="Y59" s="1867"/>
    </row>
    <row r="60" spans="1:25">
      <c r="A60" s="415" t="s">
        <v>2867</v>
      </c>
      <c r="B60" s="1875"/>
      <c r="C60" s="1875"/>
      <c r="D60" s="1875"/>
      <c r="E60" s="1875"/>
      <c r="F60" s="1875"/>
      <c r="G60" s="1875"/>
      <c r="H60" s="1875"/>
      <c r="I60" s="1875"/>
      <c r="J60" s="1875"/>
      <c r="K60" s="1875"/>
      <c r="L60" s="1875"/>
      <c r="M60" s="1875"/>
      <c r="N60" s="1875"/>
      <c r="O60" s="1875"/>
      <c r="P60" s="860"/>
      <c r="Q60" s="860"/>
      <c r="R60" s="860"/>
      <c r="S60" s="1865"/>
      <c r="T60" s="1885"/>
      <c r="U60" s="1885"/>
      <c r="V60" s="1885"/>
      <c r="W60" s="1884"/>
      <c r="X60" s="1865"/>
      <c r="Y60" s="1867"/>
    </row>
    <row r="61" spans="1:25" ht="12" customHeight="1">
      <c r="A61" s="415"/>
      <c r="B61" s="1875"/>
      <c r="C61" s="1875"/>
      <c r="D61" s="1875"/>
      <c r="E61" s="1875"/>
      <c r="F61" s="1875"/>
      <c r="G61" s="1875"/>
      <c r="H61" s="1875"/>
      <c r="I61" s="1875"/>
      <c r="J61" s="1875"/>
      <c r="K61" s="1875"/>
      <c r="L61" s="1875"/>
      <c r="M61" s="1875"/>
      <c r="N61" s="1875"/>
      <c r="O61" s="1875"/>
      <c r="P61" s="860"/>
      <c r="Q61" s="860"/>
      <c r="R61" s="860"/>
      <c r="S61" s="1865"/>
      <c r="T61" s="1885"/>
      <c r="U61" s="1885"/>
      <c r="V61" s="1885"/>
      <c r="W61" s="1884"/>
      <c r="X61" s="1865"/>
      <c r="Y61" s="1867"/>
    </row>
    <row r="62" spans="1:25">
      <c r="A62" s="1875"/>
      <c r="B62" s="1875"/>
      <c r="C62" s="1875"/>
      <c r="D62" s="545" t="s">
        <v>2868</v>
      </c>
      <c r="E62" s="1875"/>
      <c r="F62" s="1875"/>
      <c r="G62" s="430"/>
      <c r="H62" s="430"/>
      <c r="I62" s="430"/>
      <c r="J62" s="430"/>
      <c r="K62" s="430"/>
      <c r="L62" s="1875"/>
      <c r="M62" s="1875"/>
      <c r="N62" s="1875"/>
      <c r="O62" s="1875"/>
      <c r="P62" s="860"/>
      <c r="Q62" s="860"/>
      <c r="R62" s="860"/>
      <c r="S62" s="1865"/>
      <c r="T62" s="1885"/>
      <c r="U62" s="1885"/>
      <c r="V62" s="1885"/>
      <c r="W62" s="1884"/>
      <c r="X62" s="1865"/>
      <c r="Y62" s="1867"/>
    </row>
    <row r="63" spans="1:25">
      <c r="A63" s="1875"/>
      <c r="B63" s="1875"/>
      <c r="C63" s="1875"/>
      <c r="D63" s="1268" t="s">
        <v>2869</v>
      </c>
      <c r="E63" s="429"/>
      <c r="F63" s="125"/>
      <c r="G63" s="2670"/>
      <c r="H63" s="2670"/>
      <c r="I63" s="2670"/>
      <c r="J63" s="2670"/>
      <c r="K63" s="2670"/>
      <c r="L63" s="1875"/>
      <c r="M63" s="1875"/>
      <c r="N63" s="1875"/>
      <c r="O63" s="1875"/>
      <c r="P63" s="860"/>
      <c r="Q63" s="860"/>
      <c r="R63" s="860"/>
      <c r="S63" s="1865"/>
      <c r="T63" s="1885"/>
      <c r="U63" s="1885"/>
      <c r="V63" s="1885"/>
      <c r="W63" s="1884"/>
      <c r="X63" s="1865"/>
      <c r="Y63" s="1867"/>
    </row>
    <row r="64" spans="1:25">
      <c r="A64" s="546"/>
      <c r="B64" s="546"/>
      <c r="C64" s="546"/>
      <c r="D64" s="413"/>
      <c r="E64" s="1873"/>
      <c r="F64" s="125"/>
      <c r="G64" s="549" t="s">
        <v>2870</v>
      </c>
      <c r="H64" s="486"/>
      <c r="I64" s="549" t="s">
        <v>2871</v>
      </c>
      <c r="J64" s="486"/>
      <c r="K64" s="549" t="s">
        <v>108</v>
      </c>
      <c r="L64" s="546"/>
      <c r="M64" s="546"/>
      <c r="N64" s="546"/>
      <c r="O64" s="546"/>
      <c r="P64" s="860"/>
      <c r="Q64" s="860"/>
      <c r="R64" s="860"/>
      <c r="S64" s="1865"/>
      <c r="T64" s="1885"/>
      <c r="U64" s="1885"/>
      <c r="V64" s="1885"/>
      <c r="W64" s="1884"/>
      <c r="X64" s="1865"/>
      <c r="Y64" s="1867"/>
    </row>
    <row r="65" spans="1:25">
      <c r="A65" s="1875"/>
      <c r="B65" s="1875"/>
      <c r="C65" s="1875"/>
      <c r="D65" s="1873"/>
      <c r="E65" s="1873"/>
      <c r="F65" s="125"/>
      <c r="G65" s="125"/>
      <c r="H65" s="125"/>
      <c r="I65" s="125"/>
      <c r="J65" s="125"/>
      <c r="K65" s="125"/>
      <c r="L65" s="1875"/>
      <c r="M65" s="1875"/>
      <c r="N65" s="1875"/>
      <c r="O65" s="1875"/>
      <c r="P65" s="860"/>
      <c r="Q65" s="860"/>
      <c r="R65" s="860"/>
      <c r="S65" s="1865"/>
      <c r="T65" s="1885"/>
      <c r="U65" s="1885"/>
      <c r="V65" s="1885"/>
      <c r="W65" s="1884"/>
      <c r="X65" s="1865"/>
      <c r="Y65" s="1867"/>
    </row>
    <row r="66" spans="1:25">
      <c r="A66" s="1875"/>
      <c r="B66" s="1875"/>
      <c r="C66" s="1875"/>
      <c r="D66" s="417">
        <f ca="1">YEAR(TODAY())</f>
        <v>2021</v>
      </c>
      <c r="E66" s="1873"/>
      <c r="F66" s="125"/>
      <c r="G66" s="3154">
        <v>0</v>
      </c>
      <c r="H66" s="3155"/>
      <c r="I66" s="3154">
        <v>0</v>
      </c>
      <c r="J66" s="127"/>
      <c r="K66" s="544">
        <f t="array" ref="K66">SUM(ROUND(G66:I66,0))</f>
        <v>0</v>
      </c>
      <c r="L66" s="1875"/>
      <c r="M66" s="1875"/>
      <c r="N66" s="1875"/>
      <c r="O66" s="1875"/>
      <c r="P66" s="860"/>
      <c r="Q66" s="860"/>
      <c r="R66" s="860"/>
      <c r="S66" s="1865"/>
      <c r="T66" s="1885"/>
      <c r="U66" s="1885"/>
      <c r="V66" s="1885"/>
      <c r="W66" s="1884"/>
      <c r="X66" s="1865"/>
      <c r="Y66" s="1867"/>
    </row>
    <row r="67" spans="1:25">
      <c r="A67" s="1875"/>
      <c r="B67" s="1875"/>
      <c r="C67" s="1875"/>
      <c r="D67" s="417">
        <f ca="1">YEAR(TODAY())+1</f>
        <v>2022</v>
      </c>
      <c r="E67" s="1873"/>
      <c r="F67" s="125"/>
      <c r="G67" s="421">
        <v>0</v>
      </c>
      <c r="H67" s="1866"/>
      <c r="I67" s="421">
        <v>0</v>
      </c>
      <c r="J67" s="1866"/>
      <c r="K67" s="130">
        <f t="array" ref="K67">SUM(ROUND(G67:I67,0))</f>
        <v>0</v>
      </c>
      <c r="L67" s="1875"/>
      <c r="M67" s="1875"/>
      <c r="N67" s="1875"/>
      <c r="O67" s="1875"/>
      <c r="P67" s="860"/>
      <c r="Q67" s="860"/>
      <c r="R67" s="860"/>
      <c r="S67" s="1865"/>
      <c r="T67" s="1885"/>
      <c r="U67" s="1885"/>
      <c r="V67" s="1885"/>
      <c r="W67" s="1884"/>
      <c r="X67" s="1865"/>
      <c r="Y67" s="1867"/>
    </row>
    <row r="68" spans="1:25">
      <c r="A68" s="1875"/>
      <c r="B68" s="1875"/>
      <c r="C68" s="1875"/>
      <c r="D68" s="417">
        <f ca="1">YEAR(TODAY())+2</f>
        <v>2023</v>
      </c>
      <c r="E68" s="1873"/>
      <c r="F68" s="125"/>
      <c r="G68" s="421">
        <v>0</v>
      </c>
      <c r="H68" s="1866"/>
      <c r="I68" s="421">
        <v>0</v>
      </c>
      <c r="J68" s="1866"/>
      <c r="K68" s="130">
        <f t="array" ref="K68">SUM(ROUND(G68:I68,0))</f>
        <v>0</v>
      </c>
      <c r="L68" s="1875"/>
      <c r="M68" s="1875"/>
      <c r="N68" s="1875"/>
      <c r="O68" s="1875"/>
      <c r="P68" s="860"/>
      <c r="Q68" s="860"/>
      <c r="R68" s="860"/>
      <c r="S68" s="1865"/>
      <c r="T68" s="1885"/>
      <c r="U68" s="1885"/>
      <c r="V68" s="1885"/>
      <c r="W68" s="1885"/>
      <c r="X68" s="1884"/>
      <c r="Y68" s="1865"/>
    </row>
    <row r="69" spans="1:25">
      <c r="A69" s="1875"/>
      <c r="B69" s="1875"/>
      <c r="C69" s="1875"/>
      <c r="D69" s="417">
        <f ca="1">YEAR(TODAY())+3</f>
        <v>2024</v>
      </c>
      <c r="E69" s="1873"/>
      <c r="F69" s="125"/>
      <c r="G69" s="421">
        <v>0</v>
      </c>
      <c r="H69" s="1866"/>
      <c r="I69" s="421">
        <v>0</v>
      </c>
      <c r="J69" s="1866"/>
      <c r="K69" s="130">
        <f t="array" ref="K69">SUM(ROUND(G69:I69,0))</f>
        <v>0</v>
      </c>
      <c r="L69" s="1875"/>
      <c r="M69" s="1875"/>
      <c r="N69" s="1875"/>
      <c r="O69" s="1875"/>
      <c r="P69" s="860"/>
      <c r="Q69" s="860"/>
      <c r="R69" s="860"/>
      <c r="S69" s="1865"/>
      <c r="T69" s="1885"/>
      <c r="U69" s="1885"/>
      <c r="V69" s="1885"/>
      <c r="W69" s="1885"/>
      <c r="X69" s="1884"/>
      <c r="Y69" s="1865"/>
    </row>
    <row r="70" spans="1:25">
      <c r="A70" s="1875"/>
      <c r="B70" s="1875"/>
      <c r="C70" s="1875"/>
      <c r="D70" s="417">
        <f ca="1">YEAR(TODAY())+4</f>
        <v>2025</v>
      </c>
      <c r="E70" s="1873"/>
      <c r="F70" s="125"/>
      <c r="G70" s="421">
        <v>0</v>
      </c>
      <c r="H70" s="1866"/>
      <c r="I70" s="421">
        <v>0</v>
      </c>
      <c r="J70" s="1866"/>
      <c r="K70" s="130">
        <f t="array" ref="K70">SUM(ROUND(G70:I70,0))</f>
        <v>0</v>
      </c>
      <c r="L70" s="1875"/>
      <c r="M70" s="1875"/>
      <c r="N70" s="1875"/>
      <c r="O70" s="1875"/>
      <c r="P70" s="860"/>
      <c r="Q70" s="860"/>
      <c r="R70" s="860"/>
      <c r="S70" s="1865"/>
      <c r="T70" s="1885"/>
      <c r="U70" s="1885"/>
      <c r="V70" s="1885"/>
      <c r="W70" s="1885"/>
      <c r="X70" s="1884"/>
      <c r="Y70" s="1865"/>
    </row>
    <row r="71" spans="1:25">
      <c r="A71" s="1875"/>
      <c r="B71" s="1875"/>
      <c r="C71" s="1875"/>
      <c r="D71" s="417">
        <f ca="1">YEAR(TODAY())+5</f>
        <v>2026</v>
      </c>
      <c r="E71" s="417" t="s">
        <v>2872</v>
      </c>
      <c r="F71" s="417">
        <f ca="1">YEAR(TODAY())+9</f>
        <v>2030</v>
      </c>
      <c r="G71" s="421">
        <v>0</v>
      </c>
      <c r="H71" s="1866"/>
      <c r="I71" s="421">
        <v>0</v>
      </c>
      <c r="J71" s="1866"/>
      <c r="K71" s="130">
        <f t="array" ref="K71">SUM(ROUND(G71:I71,0))</f>
        <v>0</v>
      </c>
      <c r="L71" s="1875"/>
      <c r="M71" s="1875"/>
      <c r="N71" s="1875"/>
      <c r="O71" s="1875"/>
      <c r="P71" s="860"/>
      <c r="Q71" s="860"/>
      <c r="R71" s="860"/>
      <c r="S71" s="1865"/>
      <c r="T71" s="1885"/>
      <c r="U71" s="1885"/>
      <c r="V71" s="1885"/>
      <c r="W71" s="1885"/>
      <c r="X71" s="1884"/>
      <c r="Y71" s="1865"/>
    </row>
    <row r="72" spans="1:25">
      <c r="A72" s="1875"/>
      <c r="B72" s="1875"/>
      <c r="C72" s="1875"/>
      <c r="D72" s="417">
        <f ca="1">YEAR(TODAY())+10</f>
        <v>2031</v>
      </c>
      <c r="E72" s="1873" t="s">
        <v>2872</v>
      </c>
      <c r="F72" s="417">
        <f ca="1">YEAR(TODAY())+14</f>
        <v>2035</v>
      </c>
      <c r="G72" s="422">
        <v>0</v>
      </c>
      <c r="H72" s="1866"/>
      <c r="I72" s="422">
        <v>0</v>
      </c>
      <c r="J72" s="1866"/>
      <c r="K72" s="131">
        <f t="array" ref="K72">SUM(ROUND(G72:I72,0))</f>
        <v>0</v>
      </c>
      <c r="L72" s="1875"/>
      <c r="M72" s="1875"/>
      <c r="N72" s="1875"/>
      <c r="O72" s="1875"/>
      <c r="P72" s="860"/>
      <c r="Q72" s="860"/>
      <c r="R72" s="860"/>
      <c r="S72" s="1865"/>
      <c r="T72" s="1885"/>
      <c r="U72" s="1885"/>
      <c r="V72" s="1885"/>
      <c r="W72" s="1885"/>
      <c r="X72" s="1884"/>
      <c r="Y72" s="1865"/>
    </row>
    <row r="73" spans="1:25">
      <c r="A73" s="1875"/>
      <c r="B73" s="1875"/>
      <c r="C73" s="1875"/>
      <c r="D73" s="1873"/>
      <c r="E73" s="1873"/>
      <c r="F73" s="125"/>
      <c r="G73" s="1866"/>
      <c r="H73" s="1866"/>
      <c r="I73" s="1866"/>
      <c r="J73" s="1866"/>
      <c r="K73" s="1866"/>
      <c r="L73" s="1875"/>
      <c r="M73" s="1875"/>
      <c r="N73" s="1875"/>
      <c r="O73" s="1875"/>
      <c r="P73" s="860"/>
      <c r="Q73" s="860"/>
      <c r="R73" s="860"/>
      <c r="S73" s="1865"/>
      <c r="T73" s="1885"/>
      <c r="U73" s="1885"/>
      <c r="V73" s="1885"/>
      <c r="W73" s="1885"/>
      <c r="X73" s="1884"/>
      <c r="Y73" s="1865"/>
    </row>
    <row r="74" spans="1:25" ht="12.75" customHeight="1" thickBot="1">
      <c r="A74" s="1875"/>
      <c r="B74" s="1875"/>
      <c r="C74" s="1875"/>
      <c r="D74" s="414" t="s">
        <v>108</v>
      </c>
      <c r="E74" s="1873"/>
      <c r="F74" s="1873"/>
      <c r="G74" s="419">
        <f t="array" ref="G74">SUM(ROUND(G66:G72,0))</f>
        <v>0</v>
      </c>
      <c r="H74" s="547"/>
      <c r="I74" s="419">
        <f t="array" ref="I74">SUM(ROUND(I66:I72,0))</f>
        <v>0</v>
      </c>
      <c r="J74" s="547"/>
      <c r="K74" s="419">
        <f t="array" ref="K74">SUM(ROUND(K66:K72,0))</f>
        <v>0</v>
      </c>
      <c r="L74" s="1875"/>
      <c r="M74" s="1875"/>
      <c r="N74" s="1875"/>
      <c r="O74" s="1875"/>
      <c r="P74" s="860"/>
      <c r="Q74" s="860"/>
      <c r="R74" s="860"/>
      <c r="S74" s="1865"/>
      <c r="T74" s="1885"/>
      <c r="U74" s="1885"/>
      <c r="V74" s="1885"/>
      <c r="W74" s="1885"/>
      <c r="X74" s="1884"/>
      <c r="Y74" s="1865"/>
    </row>
    <row r="75" spans="1:25" ht="13.5" thickTop="1">
      <c r="A75" s="1875"/>
      <c r="B75" s="1875"/>
      <c r="C75" s="1875"/>
      <c r="D75" s="1875"/>
      <c r="E75" s="1875"/>
      <c r="F75" s="1875"/>
      <c r="G75" s="1875"/>
      <c r="H75" s="1875"/>
      <c r="I75" s="1875"/>
      <c r="J75" s="1875"/>
      <c r="K75" s="1875"/>
      <c r="L75" s="1875"/>
      <c r="M75" s="1875"/>
      <c r="N75" s="1875"/>
      <c r="O75" s="1875"/>
      <c r="P75" s="860"/>
      <c r="Q75" s="860"/>
      <c r="R75" s="860"/>
      <c r="S75" s="1865"/>
      <c r="T75" s="1885"/>
      <c r="U75" s="1885"/>
      <c r="V75" s="1885"/>
      <c r="W75" s="1885"/>
      <c r="X75" s="1884"/>
      <c r="Y75" s="1865"/>
    </row>
    <row r="76" spans="1:25">
      <c r="A76" s="1875"/>
      <c r="B76" s="1875"/>
      <c r="C76" s="1875"/>
      <c r="D76" s="1875"/>
      <c r="E76" s="1875"/>
      <c r="F76" s="477" t="s">
        <v>2873</v>
      </c>
      <c r="G76" s="201">
        <f>ROUND(SNP!O65,0)+ROUND(SNP!O87,0)</f>
        <v>0</v>
      </c>
      <c r="H76" s="1875"/>
      <c r="I76" s="1875"/>
      <c r="J76" s="1875"/>
      <c r="K76" s="1875"/>
      <c r="L76" s="1875"/>
      <c r="M76" s="1875"/>
      <c r="N76" s="1875"/>
      <c r="O76" s="1875"/>
      <c r="P76" s="860"/>
      <c r="Q76" s="860"/>
      <c r="R76" s="860"/>
      <c r="S76" s="1865"/>
      <c r="T76" s="1885"/>
      <c r="U76" s="1885"/>
      <c r="V76" s="1885"/>
      <c r="W76" s="1885"/>
      <c r="X76" s="1884"/>
      <c r="Y76" s="1865"/>
    </row>
    <row r="77" spans="1:25">
      <c r="A77" s="1875"/>
      <c r="B77" s="1875"/>
      <c r="C77" s="1875"/>
      <c r="D77" s="1875"/>
      <c r="E77" s="1875"/>
      <c r="F77" s="1875"/>
      <c r="G77" s="1867"/>
      <c r="H77" s="1875"/>
      <c r="I77" s="1875"/>
      <c r="J77" s="1875"/>
      <c r="K77" s="1875"/>
      <c r="L77" s="1875"/>
      <c r="M77" s="1875"/>
      <c r="N77" s="1875"/>
      <c r="O77" s="1875"/>
      <c r="P77" s="860"/>
      <c r="Q77" s="860"/>
      <c r="R77" s="860"/>
      <c r="S77" s="1865"/>
      <c r="T77" s="1885"/>
      <c r="U77" s="1885"/>
      <c r="V77" s="1885"/>
      <c r="W77" s="1885"/>
      <c r="X77" s="1884"/>
      <c r="Y77" s="1865"/>
    </row>
    <row r="78" spans="1:25">
      <c r="A78" s="1867"/>
      <c r="B78" s="2667"/>
      <c r="C78" s="2667"/>
      <c r="D78" s="2667"/>
      <c r="E78" s="2667"/>
      <c r="F78" s="2667"/>
      <c r="G78" s="3023" t="str">
        <f>'Contact Information'!$C$5</f>
        <v>SAMPLE STATE COLLEGE</v>
      </c>
      <c r="H78" s="2667"/>
      <c r="I78" s="2667"/>
      <c r="J78" s="2667"/>
      <c r="K78" s="2667"/>
      <c r="L78" s="2667"/>
      <c r="M78" s="2667"/>
      <c r="N78" s="2667"/>
      <c r="O78" s="2667"/>
      <c r="P78" s="860"/>
      <c r="Q78" s="860"/>
      <c r="R78" s="860"/>
      <c r="S78" s="1865"/>
      <c r="T78" s="1885"/>
      <c r="U78" s="1885"/>
      <c r="V78" s="1885"/>
      <c r="W78" s="1885"/>
      <c r="X78" s="1884"/>
      <c r="Y78" s="1865"/>
    </row>
    <row r="79" spans="1:25">
      <c r="A79" s="1867"/>
      <c r="B79" s="2668"/>
      <c r="C79" s="2668"/>
      <c r="D79" s="2668"/>
      <c r="E79" s="2668"/>
      <c r="F79" s="2668"/>
      <c r="G79" s="3024" t="s">
        <v>2853</v>
      </c>
      <c r="H79" s="2668"/>
      <c r="I79" s="2668"/>
      <c r="J79" s="2668"/>
      <c r="K79" s="2668"/>
      <c r="L79" s="2668"/>
      <c r="M79" s="2668"/>
      <c r="N79" s="2668"/>
      <c r="O79" s="2668"/>
      <c r="P79" s="860"/>
      <c r="Q79" s="860"/>
      <c r="R79" s="860"/>
      <c r="S79" s="1865"/>
      <c r="T79" s="1885"/>
      <c r="U79" s="1885"/>
      <c r="V79" s="1885"/>
      <c r="W79" s="1885"/>
      <c r="X79" s="1884"/>
      <c r="Y79" s="1865"/>
    </row>
    <row r="80" spans="1:25">
      <c r="A80" s="1867"/>
      <c r="B80" s="2669"/>
      <c r="C80" s="2669"/>
      <c r="D80" s="2669"/>
      <c r="E80" s="2669"/>
      <c r="F80" s="2669"/>
      <c r="G80" s="3025" t="s">
        <v>4064</v>
      </c>
      <c r="H80" s="2669"/>
      <c r="I80" s="2669"/>
      <c r="J80" s="2669"/>
      <c r="K80" s="2669"/>
      <c r="L80" s="2669"/>
      <c r="M80" s="2669"/>
      <c r="N80" s="2669"/>
      <c r="O80" s="2669"/>
      <c r="P80" s="860"/>
      <c r="Q80" s="860"/>
      <c r="R80" s="860"/>
      <c r="S80" s="1865"/>
      <c r="T80" s="1885"/>
      <c r="U80" s="1885"/>
      <c r="V80" s="1885"/>
      <c r="W80" s="1885"/>
      <c r="X80" s="1884"/>
      <c r="Y80" s="1865"/>
    </row>
    <row r="81" spans="1:18" ht="15.75" customHeight="1">
      <c r="A81" s="1875"/>
      <c r="B81" s="1875"/>
      <c r="C81" s="1875"/>
      <c r="D81" s="1875"/>
      <c r="E81" s="1875"/>
      <c r="F81" s="1875"/>
      <c r="G81" s="1875"/>
      <c r="H81" s="1875"/>
      <c r="I81" s="1875"/>
      <c r="J81" s="1875"/>
      <c r="K81" s="1875"/>
      <c r="L81" s="1875"/>
      <c r="M81" s="1875"/>
      <c r="N81" s="1875"/>
      <c r="O81" s="1875"/>
      <c r="P81" s="860"/>
      <c r="Q81" s="860"/>
      <c r="R81" s="860"/>
    </row>
    <row r="82" spans="1:18">
      <c r="A82" s="415" t="s">
        <v>2874</v>
      </c>
      <c r="B82" s="1875"/>
      <c r="C82" s="1875"/>
      <c r="D82" s="1875"/>
      <c r="E82" s="1875"/>
      <c r="F82" s="1875"/>
      <c r="G82" s="1875"/>
      <c r="H82" s="1875"/>
      <c r="I82" s="1875"/>
      <c r="J82" s="1875"/>
      <c r="K82" s="1875"/>
      <c r="L82" s="1875"/>
      <c r="M82" s="1875"/>
      <c r="N82" s="1875"/>
      <c r="O82" s="1875"/>
      <c r="P82" s="860"/>
      <c r="Q82" s="860"/>
      <c r="R82" s="860"/>
    </row>
    <row r="83" spans="1:18">
      <c r="A83" s="560"/>
      <c r="B83" s="1875"/>
      <c r="C83" s="1875"/>
      <c r="D83" s="1875"/>
      <c r="E83" s="1875"/>
      <c r="F83" s="1875"/>
      <c r="G83" s="1875"/>
      <c r="H83" s="1875"/>
      <c r="I83" s="1875"/>
      <c r="J83" s="1875"/>
      <c r="K83" s="1875"/>
      <c r="L83" s="1875"/>
      <c r="M83" s="1875"/>
      <c r="N83" s="1875"/>
      <c r="O83" s="1875"/>
      <c r="P83" s="860"/>
      <c r="Q83" s="860"/>
      <c r="R83" s="860"/>
    </row>
    <row r="84" spans="1:18" ht="15.75" customHeight="1">
      <c r="A84" s="1875"/>
      <c r="B84" s="1875"/>
      <c r="C84" s="1875"/>
      <c r="D84" s="417" t="s">
        <v>2875</v>
      </c>
      <c r="E84" s="429"/>
      <c r="F84" s="1873"/>
      <c r="G84" s="1268" t="s">
        <v>108</v>
      </c>
      <c r="H84" s="430"/>
      <c r="I84" s="1268" t="s">
        <v>2876</v>
      </c>
      <c r="J84" s="430"/>
      <c r="K84" s="1268" t="s">
        <v>2754</v>
      </c>
      <c r="L84" s="1875"/>
      <c r="M84" s="1875"/>
      <c r="N84" s="1875"/>
      <c r="O84" s="1875"/>
      <c r="P84" s="860"/>
      <c r="Q84" s="860"/>
      <c r="R84" s="860"/>
    </row>
    <row r="85" spans="1:18">
      <c r="A85" s="1875"/>
      <c r="B85" s="1875"/>
      <c r="C85" s="1875"/>
      <c r="D85" s="413"/>
      <c r="E85" s="413"/>
      <c r="F85" s="1873"/>
      <c r="G85" s="398" t="s">
        <v>2877</v>
      </c>
      <c r="H85" s="1873"/>
      <c r="I85" s="398" t="s">
        <v>2878</v>
      </c>
      <c r="J85" s="1873"/>
      <c r="K85" s="398" t="s">
        <v>2879</v>
      </c>
      <c r="L85" s="1875"/>
      <c r="M85" s="1875"/>
      <c r="N85" s="1875"/>
      <c r="O85" s="1875"/>
      <c r="P85" s="860"/>
      <c r="Q85" s="860"/>
      <c r="R85" s="860"/>
    </row>
    <row r="86" spans="1:18">
      <c r="A86" s="1875"/>
      <c r="B86" s="1875"/>
      <c r="C86" s="1875"/>
      <c r="D86" s="1873"/>
      <c r="E86" s="1873"/>
      <c r="F86" s="1873"/>
      <c r="G86" s="1873"/>
      <c r="H86" s="1873"/>
      <c r="I86" s="1873"/>
      <c r="J86" s="1873"/>
      <c r="K86" s="1873"/>
      <c r="L86" s="1875"/>
      <c r="M86" s="1875"/>
      <c r="N86" s="1875"/>
      <c r="O86" s="1875"/>
      <c r="P86" s="860"/>
      <c r="Q86" s="860"/>
      <c r="R86" s="860"/>
    </row>
    <row r="87" spans="1:18">
      <c r="A87" s="1875"/>
      <c r="B87" s="1875"/>
      <c r="C87" s="1875"/>
      <c r="D87" s="1201" t="s">
        <v>2880</v>
      </c>
      <c r="E87" s="1873"/>
      <c r="F87" s="1873"/>
      <c r="G87" s="737">
        <v>0</v>
      </c>
      <c r="H87" s="1874"/>
      <c r="I87" s="737">
        <v>0</v>
      </c>
      <c r="J87" s="1874"/>
      <c r="K87" s="431">
        <f t="shared" ref="K87:K92" si="1">ROUND(G87,0)-ROUND(I87,0)</f>
        <v>0</v>
      </c>
      <c r="L87" s="1875"/>
      <c r="M87" s="1875"/>
      <c r="N87" s="1875"/>
      <c r="O87" s="1875"/>
      <c r="P87" s="860"/>
      <c r="Q87" s="860"/>
      <c r="R87" s="860"/>
    </row>
    <row r="88" spans="1:18">
      <c r="A88" s="1875"/>
      <c r="B88" s="1875"/>
      <c r="C88" s="1875"/>
      <c r="D88" s="1201" t="s">
        <v>2881</v>
      </c>
      <c r="E88" s="1873"/>
      <c r="F88" s="1873"/>
      <c r="G88" s="421">
        <v>0</v>
      </c>
      <c r="H88" s="1874"/>
      <c r="I88" s="421">
        <v>0</v>
      </c>
      <c r="J88" s="1874"/>
      <c r="K88" s="432">
        <f t="shared" si="1"/>
        <v>0</v>
      </c>
      <c r="L88" s="1875"/>
      <c r="M88" s="1875"/>
      <c r="N88" s="1875"/>
      <c r="O88" s="1875"/>
      <c r="P88" s="860"/>
      <c r="Q88" s="860"/>
      <c r="R88" s="860"/>
    </row>
    <row r="89" spans="1:18">
      <c r="A89" s="1875"/>
      <c r="B89" s="1875"/>
      <c r="C89" s="1875"/>
      <c r="D89" s="1201"/>
      <c r="E89" s="1873"/>
      <c r="F89" s="1873"/>
      <c r="G89" s="421">
        <v>0</v>
      </c>
      <c r="H89" s="1874"/>
      <c r="I89" s="421">
        <v>0</v>
      </c>
      <c r="J89" s="1874"/>
      <c r="K89" s="432">
        <f t="shared" si="1"/>
        <v>0</v>
      </c>
      <c r="L89" s="1875"/>
      <c r="M89" s="1875"/>
      <c r="N89" s="1875"/>
      <c r="O89" s="1875"/>
      <c r="P89" s="860"/>
      <c r="Q89" s="860"/>
      <c r="R89" s="860"/>
    </row>
    <row r="90" spans="1:18">
      <c r="A90" s="1875"/>
      <c r="B90" s="1875"/>
      <c r="C90" s="1875"/>
      <c r="D90" s="1201"/>
      <c r="E90" s="1873"/>
      <c r="F90" s="1873"/>
      <c r="G90" s="421">
        <v>0</v>
      </c>
      <c r="H90" s="1874"/>
      <c r="I90" s="421">
        <v>0</v>
      </c>
      <c r="J90" s="1874"/>
      <c r="K90" s="432">
        <f t="shared" si="1"/>
        <v>0</v>
      </c>
      <c r="L90" s="1875"/>
      <c r="M90" s="1875"/>
      <c r="N90" s="1875"/>
      <c r="O90" s="1875"/>
      <c r="P90" s="860"/>
      <c r="Q90" s="860"/>
      <c r="R90" s="860"/>
    </row>
    <row r="91" spans="1:18">
      <c r="A91" s="1875"/>
      <c r="B91" s="1875"/>
      <c r="C91" s="1875"/>
      <c r="D91" s="1201"/>
      <c r="E91" s="1873"/>
      <c r="F91" s="1873"/>
      <c r="G91" s="422">
        <v>0</v>
      </c>
      <c r="H91" s="1874"/>
      <c r="I91" s="422">
        <v>0</v>
      </c>
      <c r="J91" s="1874"/>
      <c r="K91" s="433">
        <f t="shared" si="1"/>
        <v>0</v>
      </c>
      <c r="L91" s="1875"/>
      <c r="M91" s="1875"/>
      <c r="N91" s="1875"/>
      <c r="O91" s="1875"/>
      <c r="P91" s="860"/>
      <c r="Q91" s="860"/>
      <c r="R91" s="860"/>
    </row>
    <row r="92" spans="1:18">
      <c r="A92" s="1875"/>
      <c r="B92" s="1875"/>
      <c r="C92" s="1875"/>
      <c r="D92" s="434" t="s">
        <v>2882</v>
      </c>
      <c r="E92" s="1873"/>
      <c r="F92" s="1873"/>
      <c r="G92" s="432">
        <f t="array" ref="G92">SUM(ROUND(G87:G91,0))</f>
        <v>0</v>
      </c>
      <c r="H92" s="1874"/>
      <c r="I92" s="432">
        <f t="array" ref="I92">SUM(ROUND(I87:I91,0))</f>
        <v>0</v>
      </c>
      <c r="J92" s="1874"/>
      <c r="K92" s="432">
        <f t="shared" si="1"/>
        <v>0</v>
      </c>
      <c r="L92" s="1875"/>
      <c r="M92" s="1875"/>
      <c r="N92" s="1875"/>
      <c r="O92" s="1875"/>
      <c r="P92" s="860"/>
      <c r="Q92" s="860"/>
      <c r="R92" s="860"/>
    </row>
    <row r="93" spans="1:18">
      <c r="A93" s="1875"/>
      <c r="B93" s="1875"/>
      <c r="C93" s="1875"/>
      <c r="D93" s="209" t="s">
        <v>2883</v>
      </c>
      <c r="E93" s="1873"/>
      <c r="F93" s="1873"/>
      <c r="G93" s="422">
        <v>0</v>
      </c>
      <c r="H93" s="1874"/>
      <c r="I93" s="422">
        <v>0</v>
      </c>
      <c r="J93" s="1874"/>
      <c r="K93" s="433">
        <f>ROUND(G93,0)-ROUND(I93,0)</f>
        <v>0</v>
      </c>
      <c r="L93" s="1875"/>
      <c r="M93" s="557"/>
      <c r="N93" s="1875"/>
      <c r="O93" s="1875"/>
      <c r="P93" s="860"/>
      <c r="Q93" s="860"/>
      <c r="R93" s="860"/>
    </row>
    <row r="94" spans="1:18">
      <c r="A94" s="1875"/>
      <c r="B94" s="1875"/>
      <c r="C94" s="1875"/>
      <c r="D94" s="1873"/>
      <c r="E94" s="1873"/>
      <c r="F94" s="1873"/>
      <c r="G94" s="418"/>
      <c r="H94" s="418"/>
      <c r="I94" s="418"/>
      <c r="J94" s="418"/>
      <c r="K94" s="418"/>
      <c r="L94" s="1875"/>
      <c r="M94" s="2672"/>
      <c r="N94" s="1868"/>
      <c r="O94" s="1868"/>
      <c r="P94" s="860"/>
      <c r="Q94" s="860"/>
      <c r="R94" s="860"/>
    </row>
    <row r="95" spans="1:18" ht="13.5" thickBot="1">
      <c r="A95" s="1875"/>
      <c r="B95" s="1875"/>
      <c r="C95" s="1875"/>
      <c r="D95" s="414" t="s">
        <v>108</v>
      </c>
      <c r="E95" s="1873"/>
      <c r="F95" s="1873"/>
      <c r="G95" s="419">
        <f t="array" ref="G95">SUM(ROUND(G92:G93,0))</f>
        <v>0</v>
      </c>
      <c r="H95" s="408"/>
      <c r="I95" s="419">
        <f t="array" ref="I95">SUM(ROUND(I92:I93,0))</f>
        <v>0</v>
      </c>
      <c r="J95" s="408"/>
      <c r="K95" s="419">
        <f t="array" ref="K95">SUM(ROUND(K92:K93,0))</f>
        <v>0</v>
      </c>
      <c r="L95" s="1875"/>
      <c r="M95" s="2672"/>
      <c r="N95" s="1868"/>
      <c r="O95" s="1868"/>
      <c r="P95" s="860"/>
      <c r="Q95" s="860"/>
      <c r="R95" s="860"/>
    </row>
    <row r="96" spans="1:18" ht="13.5" thickTop="1">
      <c r="A96" s="1875"/>
      <c r="B96" s="1875"/>
      <c r="C96" s="1875"/>
      <c r="D96" s="1875"/>
      <c r="E96" s="1875"/>
      <c r="F96" s="1875"/>
      <c r="G96" s="1875"/>
      <c r="H96" s="1875"/>
      <c r="I96" s="1875"/>
      <c r="J96" s="1875"/>
      <c r="K96" s="1875"/>
      <c r="L96" s="1875"/>
      <c r="M96" s="1875"/>
      <c r="N96" s="1875"/>
      <c r="O96" s="1875"/>
      <c r="P96" s="860"/>
      <c r="Q96" s="860"/>
      <c r="R96" s="860"/>
    </row>
    <row r="97" spans="1:18">
      <c r="A97" s="1867"/>
      <c r="B97" s="1875"/>
      <c r="C97" s="1875"/>
      <c r="D97" s="1875"/>
      <c r="E97" s="1875"/>
      <c r="F97" s="1875"/>
      <c r="G97" s="1875"/>
      <c r="H97" s="1875"/>
      <c r="I97" s="1875"/>
      <c r="J97" s="1875"/>
      <c r="K97" s="1875"/>
      <c r="L97" s="1875"/>
      <c r="M97" s="1875"/>
      <c r="N97" s="1875"/>
      <c r="O97" s="1875"/>
      <c r="P97" s="860"/>
      <c r="Q97" s="860"/>
      <c r="R97" s="860"/>
    </row>
    <row r="98" spans="1:18">
      <c r="A98" s="415" t="s">
        <v>2884</v>
      </c>
      <c r="B98" s="1875"/>
      <c r="C98" s="1875"/>
      <c r="D98" s="1875"/>
      <c r="E98" s="1875"/>
      <c r="F98" s="1875"/>
      <c r="G98" s="1875"/>
      <c r="H98" s="1875"/>
      <c r="I98" s="1875"/>
      <c r="J98" s="1875"/>
      <c r="K98" s="1875"/>
      <c r="L98" s="1875"/>
      <c r="M98" s="1875"/>
      <c r="N98" s="1875"/>
      <c r="O98" s="1875"/>
      <c r="P98" s="860"/>
      <c r="Q98" s="860"/>
      <c r="R98" s="860"/>
    </row>
    <row r="99" spans="1:18" ht="5.25" customHeight="1">
      <c r="A99" s="415"/>
      <c r="B99" s="1875"/>
      <c r="C99" s="1875"/>
      <c r="D99" s="1875"/>
      <c r="E99" s="1875"/>
      <c r="F99" s="1875"/>
      <c r="G99" s="1875"/>
      <c r="H99" s="1875"/>
      <c r="I99" s="1875"/>
      <c r="J99" s="1875"/>
      <c r="K99" s="1875"/>
      <c r="L99" s="1875"/>
      <c r="M99" s="1875"/>
      <c r="N99" s="1875"/>
      <c r="O99" s="1875"/>
      <c r="P99" s="860"/>
      <c r="Q99" s="860"/>
      <c r="R99" s="860"/>
    </row>
    <row r="100" spans="1:18">
      <c r="A100" s="1875"/>
      <c r="B100" s="1875"/>
      <c r="C100" s="1875"/>
      <c r="D100" s="1875"/>
      <c r="E100" s="2526" t="s">
        <v>4065</v>
      </c>
      <c r="F100" s="2894"/>
      <c r="G100" s="461"/>
      <c r="H100" s="461"/>
      <c r="I100" s="461"/>
      <c r="J100" s="461"/>
      <c r="K100" s="461"/>
      <c r="L100" s="461"/>
      <c r="M100" s="1875"/>
      <c r="N100" s="1875"/>
      <c r="O100" s="1875"/>
      <c r="P100" s="860"/>
      <c r="Q100" s="860"/>
      <c r="R100" s="860"/>
    </row>
    <row r="101" spans="1:18">
      <c r="A101" s="1875"/>
      <c r="B101" s="1875"/>
      <c r="C101" s="1875"/>
      <c r="D101" s="1875"/>
      <c r="E101" s="1875"/>
      <c r="F101" s="1875"/>
      <c r="G101" s="1875"/>
      <c r="H101" s="1875"/>
      <c r="I101" s="1875"/>
      <c r="J101" s="1875"/>
      <c r="K101" s="1875"/>
      <c r="L101" s="1875"/>
      <c r="M101" s="1875"/>
      <c r="N101" s="1875"/>
      <c r="O101" s="1875"/>
      <c r="P101" s="860"/>
      <c r="Q101" s="860"/>
      <c r="R101" s="860"/>
    </row>
    <row r="102" spans="1:18">
      <c r="A102" s="1875"/>
      <c r="B102" s="1875"/>
      <c r="C102" s="1875"/>
      <c r="D102" s="1875"/>
      <c r="E102" s="1875"/>
      <c r="F102" s="2671" t="s">
        <v>2775</v>
      </c>
      <c r="G102" s="2671"/>
      <c r="H102" s="2671"/>
      <c r="I102" s="2671"/>
      <c r="J102" s="1875"/>
      <c r="K102" s="2525" t="s">
        <v>2776</v>
      </c>
      <c r="L102" s="1875"/>
      <c r="M102" s="1875"/>
      <c r="N102" s="1875"/>
      <c r="O102" s="1875"/>
      <c r="P102" s="860"/>
      <c r="Q102" s="860"/>
      <c r="R102" s="860"/>
    </row>
    <row r="103" spans="1:18">
      <c r="A103" s="1875"/>
      <c r="B103" s="1875"/>
      <c r="C103" s="1875"/>
      <c r="D103" s="1875"/>
      <c r="E103" s="1875"/>
      <c r="F103" s="1875"/>
      <c r="G103" s="1875"/>
      <c r="H103" s="1875"/>
      <c r="I103" s="1875"/>
      <c r="J103" s="1875"/>
      <c r="K103" s="1875"/>
      <c r="L103" s="1875"/>
      <c r="M103" s="1875"/>
      <c r="N103" s="1875"/>
      <c r="O103" s="1875"/>
      <c r="P103" s="860"/>
      <c r="Q103" s="860"/>
      <c r="R103" s="860"/>
    </row>
    <row r="104" spans="1:18">
      <c r="A104" s="1875"/>
      <c r="B104" s="1875"/>
      <c r="C104" s="1875"/>
      <c r="D104" s="1875"/>
      <c r="E104" s="1875"/>
      <c r="F104" s="564" t="s">
        <v>621</v>
      </c>
      <c r="G104" s="1875"/>
      <c r="H104" s="1875"/>
      <c r="I104" s="1875"/>
      <c r="J104" s="1875"/>
      <c r="K104" s="738">
        <v>0</v>
      </c>
      <c r="L104" s="1875"/>
      <c r="M104" s="1875"/>
      <c r="N104" s="1875"/>
      <c r="O104" s="1875"/>
      <c r="P104" s="860"/>
      <c r="Q104" s="860"/>
      <c r="R104" s="860"/>
    </row>
    <row r="105" spans="1:18">
      <c r="A105" s="1875"/>
      <c r="B105" s="1875"/>
      <c r="C105" s="1875"/>
      <c r="D105" s="1875"/>
      <c r="E105" s="1875"/>
      <c r="F105" s="564" t="s">
        <v>623</v>
      </c>
      <c r="G105" s="1875"/>
      <c r="H105" s="1875"/>
      <c r="I105" s="1875"/>
      <c r="J105" s="1875"/>
      <c r="K105" s="739">
        <v>0</v>
      </c>
      <c r="L105" s="1875"/>
      <c r="M105" s="1875"/>
      <c r="N105" s="1875"/>
      <c r="O105" s="1875"/>
      <c r="P105" s="860"/>
      <c r="Q105" s="860"/>
      <c r="R105" s="860"/>
    </row>
    <row r="106" spans="1:18">
      <c r="A106" s="1875"/>
      <c r="B106" s="1875"/>
      <c r="C106" s="1875"/>
      <c r="D106" s="1875"/>
      <c r="E106" s="1875"/>
      <c r="F106" s="564" t="s">
        <v>2777</v>
      </c>
      <c r="G106" s="1875"/>
      <c r="H106" s="1875"/>
      <c r="I106" s="1875"/>
      <c r="J106" s="477"/>
      <c r="K106" s="478"/>
      <c r="L106" s="1875"/>
      <c r="M106" s="1875"/>
      <c r="N106" s="1875"/>
      <c r="O106" s="1875"/>
      <c r="P106" s="860"/>
      <c r="Q106" s="860"/>
      <c r="R106" s="860"/>
    </row>
    <row r="107" spans="1:18">
      <c r="A107" s="1875"/>
      <c r="B107" s="1875"/>
      <c r="C107" s="1875"/>
      <c r="D107" s="1875"/>
      <c r="E107" s="1875"/>
      <c r="F107" s="564" t="s">
        <v>2778</v>
      </c>
      <c r="G107" s="1875"/>
      <c r="H107" s="1875"/>
      <c r="I107" s="1875"/>
      <c r="J107" s="477"/>
      <c r="K107" s="739">
        <v>0</v>
      </c>
      <c r="L107" s="1875"/>
      <c r="M107" s="1875"/>
      <c r="N107" s="1875"/>
      <c r="O107" s="1875"/>
      <c r="P107" s="860"/>
      <c r="Q107" s="860"/>
      <c r="R107" s="860"/>
    </row>
    <row r="108" spans="1:18">
      <c r="A108" s="1875"/>
      <c r="B108" s="1875"/>
      <c r="C108" s="1875"/>
      <c r="D108" s="1875"/>
      <c r="E108" s="1875"/>
      <c r="F108" s="564" t="s">
        <v>2779</v>
      </c>
      <c r="G108" s="1875"/>
      <c r="H108" s="1875"/>
      <c r="I108" s="1875"/>
      <c r="J108" s="477"/>
      <c r="K108" s="478"/>
      <c r="L108" s="1875"/>
      <c r="M108" s="1875"/>
      <c r="N108" s="1875"/>
      <c r="O108" s="1875"/>
      <c r="P108" s="860"/>
      <c r="Q108" s="860"/>
      <c r="R108" s="860"/>
    </row>
    <row r="109" spans="1:18">
      <c r="A109" s="1875"/>
      <c r="B109" s="1875"/>
      <c r="C109" s="1875"/>
      <c r="D109" s="1875"/>
      <c r="E109" s="1875"/>
      <c r="F109" s="564" t="s">
        <v>2780</v>
      </c>
      <c r="G109" s="1875"/>
      <c r="H109" s="1875"/>
      <c r="I109" s="1875"/>
      <c r="J109" s="477"/>
      <c r="K109" s="739">
        <v>0</v>
      </c>
      <c r="L109" s="1875"/>
      <c r="M109" s="1875"/>
      <c r="N109" s="1875"/>
      <c r="O109" s="1875"/>
      <c r="P109" s="860"/>
      <c r="Q109" s="860"/>
      <c r="R109" s="860"/>
    </row>
    <row r="110" spans="1:18">
      <c r="A110" s="1875"/>
      <c r="B110" s="1875"/>
      <c r="C110" s="1875"/>
      <c r="D110" s="1875"/>
      <c r="E110" s="1875"/>
      <c r="F110" s="564" t="s">
        <v>2781</v>
      </c>
      <c r="G110" s="1875"/>
      <c r="H110" s="1875"/>
      <c r="I110" s="1875"/>
      <c r="J110" s="477"/>
      <c r="K110" s="479"/>
      <c r="L110" s="1875"/>
      <c r="M110" s="1875"/>
      <c r="N110" s="1875"/>
      <c r="O110" s="1875"/>
      <c r="P110" s="860"/>
      <c r="Q110" s="860"/>
      <c r="R110" s="860"/>
    </row>
    <row r="111" spans="1:18">
      <c r="A111" s="1875"/>
      <c r="B111" s="1875"/>
      <c r="C111" s="1875"/>
      <c r="D111" s="1875"/>
      <c r="E111" s="1875"/>
      <c r="F111" s="564" t="s">
        <v>2782</v>
      </c>
      <c r="G111" s="1875"/>
      <c r="H111" s="1875"/>
      <c r="I111" s="1875"/>
      <c r="J111" s="477"/>
      <c r="K111" s="482">
        <v>0</v>
      </c>
      <c r="L111" s="1875"/>
      <c r="M111" s="1875"/>
      <c r="N111" s="1875"/>
      <c r="O111" s="1875"/>
      <c r="P111" s="860"/>
      <c r="Q111" s="860"/>
      <c r="R111" s="860"/>
    </row>
    <row r="112" spans="1:18">
      <c r="A112" s="1875"/>
      <c r="B112" s="1875"/>
      <c r="C112" s="1875"/>
      <c r="D112" s="1875"/>
      <c r="E112" s="1875"/>
      <c r="F112" s="564" t="s">
        <v>614</v>
      </c>
      <c r="G112" s="1875"/>
      <c r="H112" s="1875"/>
      <c r="I112" s="1875"/>
      <c r="J112" s="1875"/>
      <c r="K112" s="482">
        <v>0</v>
      </c>
      <c r="L112" s="1875"/>
      <c r="M112" s="1875"/>
      <c r="N112" s="1875"/>
      <c r="O112" s="1875"/>
      <c r="P112" s="860"/>
      <c r="Q112" s="860"/>
      <c r="R112" s="860"/>
    </row>
    <row r="113" spans="1:18">
      <c r="A113" s="1875"/>
      <c r="B113" s="1875"/>
      <c r="C113" s="1875"/>
      <c r="D113" s="1875"/>
      <c r="E113" s="1875"/>
      <c r="F113" s="564" t="s">
        <v>635</v>
      </c>
      <c r="G113" s="1875"/>
      <c r="H113" s="1875"/>
      <c r="I113" s="1875"/>
      <c r="J113" s="1875"/>
      <c r="K113" s="482">
        <v>0</v>
      </c>
      <c r="L113" s="1875"/>
      <c r="M113" s="1875"/>
      <c r="N113" s="1875"/>
      <c r="O113" s="1875"/>
      <c r="P113" s="860"/>
      <c r="Q113" s="860"/>
      <c r="R113" s="860"/>
    </row>
    <row r="114" spans="1:18">
      <c r="A114" s="1875"/>
      <c r="B114" s="1875"/>
      <c r="C114" s="1875"/>
      <c r="D114" s="1875"/>
      <c r="E114" s="1875"/>
      <c r="F114" s="564" t="s">
        <v>637</v>
      </c>
      <c r="G114" s="1875"/>
      <c r="H114" s="1875"/>
      <c r="I114" s="1875"/>
      <c r="J114" s="1875"/>
      <c r="K114" s="482">
        <v>0</v>
      </c>
      <c r="L114" s="1875"/>
      <c r="M114" s="1875"/>
      <c r="N114" s="1875"/>
      <c r="O114" s="1875"/>
      <c r="P114" s="860"/>
      <c r="Q114" s="860"/>
      <c r="R114" s="860"/>
    </row>
    <row r="115" spans="1:18">
      <c r="A115" s="1875"/>
      <c r="B115" s="1875"/>
      <c r="C115" s="1875"/>
      <c r="D115" s="1875"/>
      <c r="E115" s="1875"/>
      <c r="F115" s="565" t="s">
        <v>639</v>
      </c>
      <c r="G115" s="1875"/>
      <c r="H115" s="1875"/>
      <c r="I115" s="1875"/>
      <c r="J115" s="548"/>
      <c r="K115" s="482">
        <v>0</v>
      </c>
      <c r="L115" s="1875"/>
      <c r="M115" s="1875"/>
      <c r="N115" s="1875"/>
      <c r="O115" s="1875"/>
      <c r="P115" s="860"/>
      <c r="Q115" s="860"/>
      <c r="R115" s="860"/>
    </row>
    <row r="116" spans="1:18">
      <c r="A116" s="1875"/>
      <c r="B116" s="1875"/>
      <c r="C116" s="1875"/>
      <c r="D116" s="1875"/>
      <c r="E116" s="1875"/>
      <c r="F116" s="565" t="s">
        <v>641</v>
      </c>
      <c r="G116" s="1875"/>
      <c r="H116" s="1875"/>
      <c r="I116" s="1875"/>
      <c r="J116" s="548"/>
      <c r="K116" s="482">
        <v>0</v>
      </c>
      <c r="L116" s="1875"/>
      <c r="M116" s="1875"/>
      <c r="N116" s="1875"/>
      <c r="O116" s="1875"/>
      <c r="P116" s="860"/>
      <c r="Q116" s="860"/>
      <c r="R116" s="860"/>
    </row>
    <row r="117" spans="1:18">
      <c r="A117" s="1875"/>
      <c r="B117" s="1875"/>
      <c r="C117" s="1875"/>
      <c r="D117" s="1875"/>
      <c r="E117" s="1875"/>
      <c r="F117" s="564" t="s">
        <v>625</v>
      </c>
      <c r="G117" s="1875"/>
      <c r="H117" s="1875"/>
      <c r="I117" s="1875"/>
      <c r="J117" s="548"/>
      <c r="K117" s="482">
        <v>0</v>
      </c>
      <c r="L117" s="1875"/>
      <c r="M117" s="1875"/>
      <c r="N117" s="1875"/>
      <c r="O117" s="1875"/>
      <c r="P117" s="860"/>
      <c r="Q117" s="860"/>
      <c r="R117" s="860"/>
    </row>
    <row r="118" spans="1:18">
      <c r="A118" s="1875"/>
      <c r="B118" s="1875"/>
      <c r="C118" s="1875"/>
      <c r="D118" s="1875"/>
      <c r="E118" s="1875"/>
      <c r="F118" s="564" t="s">
        <v>627</v>
      </c>
      <c r="G118" s="1875"/>
      <c r="H118" s="1875"/>
      <c r="I118" s="1875"/>
      <c r="J118" s="548"/>
      <c r="K118" s="482">
        <v>0</v>
      </c>
      <c r="L118" s="1875"/>
      <c r="M118" s="1875"/>
      <c r="N118" s="1875"/>
      <c r="O118" s="1875"/>
      <c r="P118" s="860"/>
      <c r="Q118" s="860"/>
      <c r="R118" s="860"/>
    </row>
    <row r="119" spans="1:18">
      <c r="A119" s="1875"/>
      <c r="B119" s="1875"/>
      <c r="C119" s="1875"/>
      <c r="D119" s="1875"/>
      <c r="E119" s="1875"/>
      <c r="F119" s="564" t="s">
        <v>629</v>
      </c>
      <c r="G119" s="1875"/>
      <c r="H119" s="1875"/>
      <c r="I119" s="1875"/>
      <c r="J119" s="548"/>
      <c r="K119" s="482">
        <v>0</v>
      </c>
      <c r="L119" s="1875"/>
      <c r="M119" s="1875"/>
      <c r="N119" s="1875"/>
      <c r="O119" s="1875"/>
      <c r="P119" s="860"/>
      <c r="Q119" s="860"/>
      <c r="R119" s="860"/>
    </row>
    <row r="120" spans="1:18">
      <c r="A120" s="1875"/>
      <c r="B120" s="1875"/>
      <c r="C120" s="1875"/>
      <c r="D120" s="1875"/>
      <c r="E120" s="1875"/>
      <c r="F120" s="564" t="s">
        <v>631</v>
      </c>
      <c r="G120" s="1875"/>
      <c r="H120" s="1875"/>
      <c r="I120" s="1875"/>
      <c r="J120" s="1875"/>
      <c r="K120" s="482">
        <v>0</v>
      </c>
      <c r="L120" s="1875"/>
      <c r="M120" s="1875"/>
      <c r="N120" s="1875"/>
      <c r="O120" s="1875"/>
      <c r="P120" s="860"/>
      <c r="Q120" s="860"/>
      <c r="R120" s="860"/>
    </row>
    <row r="121" spans="1:18">
      <c r="A121" s="1875"/>
      <c r="B121" s="1875"/>
      <c r="C121" s="1875"/>
      <c r="D121" s="1875"/>
      <c r="E121" s="1875"/>
      <c r="F121" s="564" t="s">
        <v>633</v>
      </c>
      <c r="G121" s="1875"/>
      <c r="H121" s="1875"/>
      <c r="I121" s="1875"/>
      <c r="J121" s="1875"/>
      <c r="K121" s="483">
        <v>0</v>
      </c>
      <c r="L121" s="1875"/>
      <c r="M121" s="1875"/>
      <c r="N121" s="1875"/>
      <c r="O121" s="1875"/>
      <c r="P121" s="860"/>
      <c r="Q121" s="860"/>
      <c r="R121" s="860"/>
    </row>
    <row r="122" spans="1:18">
      <c r="A122" s="1875"/>
      <c r="B122" s="1875"/>
      <c r="C122" s="1875"/>
      <c r="D122" s="1875"/>
      <c r="E122" s="1875"/>
      <c r="F122" s="562"/>
      <c r="G122" s="1875"/>
      <c r="H122" s="1875"/>
      <c r="I122" s="1875"/>
      <c r="J122" s="1875"/>
      <c r="K122" s="480"/>
      <c r="L122" s="1875"/>
      <c r="M122" s="1875"/>
      <c r="N122" s="1875"/>
      <c r="O122" s="1875"/>
      <c r="P122" s="860"/>
      <c r="Q122" s="860"/>
      <c r="R122" s="860"/>
    </row>
    <row r="123" spans="1:18" ht="13.5" thickBot="1">
      <c r="A123" s="1875"/>
      <c r="B123" s="1875"/>
      <c r="C123" s="1875"/>
      <c r="D123" s="1875"/>
      <c r="E123" s="1875"/>
      <c r="F123" s="563" t="s">
        <v>2885</v>
      </c>
      <c r="G123" s="1875"/>
      <c r="H123" s="1875"/>
      <c r="I123" s="1875"/>
      <c r="J123" s="477"/>
      <c r="K123" s="481">
        <f t="array" ref="K123">SUM(ROUND(K104:K121,0))</f>
        <v>0</v>
      </c>
      <c r="L123" s="1875"/>
      <c r="M123" s="1875"/>
      <c r="N123" s="1875"/>
      <c r="O123" s="1875"/>
      <c r="P123" s="860"/>
      <c r="Q123" s="860"/>
      <c r="R123" s="860"/>
    </row>
    <row r="124" spans="1:18" ht="13.5" thickTop="1">
      <c r="A124" s="1875"/>
      <c r="B124" s="1875"/>
      <c r="C124" s="1875"/>
      <c r="D124" s="1875"/>
      <c r="E124" s="1875"/>
      <c r="F124" s="1875"/>
      <c r="G124" s="1875"/>
      <c r="H124" s="1875"/>
      <c r="I124" s="1875"/>
      <c r="J124" s="1875"/>
      <c r="K124" s="1875"/>
      <c r="L124" s="1875"/>
      <c r="M124" s="1875"/>
      <c r="N124" s="1875"/>
      <c r="O124" s="1875"/>
      <c r="P124" s="860"/>
      <c r="Q124" s="860"/>
      <c r="R124" s="860"/>
    </row>
    <row r="125" spans="1:18">
      <c r="A125" s="1875"/>
      <c r="B125" s="1875"/>
      <c r="C125" s="1875"/>
      <c r="D125" s="1875"/>
      <c r="E125" s="1875"/>
      <c r="F125" s="1875"/>
      <c r="G125" s="1875"/>
      <c r="H125" s="1875"/>
      <c r="I125" s="1875"/>
      <c r="J125" s="1875"/>
      <c r="K125" s="1875"/>
      <c r="L125" s="1875"/>
      <c r="M125" s="1875"/>
      <c r="N125" s="1875"/>
      <c r="O125" s="1875"/>
      <c r="P125" s="860"/>
      <c r="Q125" s="860"/>
      <c r="R125" s="860"/>
    </row>
    <row r="126" spans="1:18">
      <c r="A126" s="1875"/>
      <c r="B126" s="1875"/>
      <c r="C126" s="1875"/>
      <c r="D126" s="1875"/>
      <c r="E126" s="1875"/>
      <c r="F126" s="1875"/>
      <c r="G126" s="1875"/>
      <c r="H126" s="1875"/>
      <c r="I126" s="1875"/>
      <c r="J126" s="477" t="s">
        <v>2786</v>
      </c>
      <c r="K126" s="201">
        <f>ROUND(SNP!O14,0)+ROUND(SNP!O15,0)+ROUND(SNP!O29,0)+ROUND(SNP!O30,0)</f>
        <v>0</v>
      </c>
      <c r="L126" s="1875"/>
      <c r="M126" s="1875"/>
      <c r="N126" s="1875"/>
      <c r="O126" s="1875"/>
      <c r="P126" s="860"/>
      <c r="Q126" s="860"/>
      <c r="R126" s="860"/>
    </row>
    <row r="127" spans="1:18" ht="12.75" customHeight="1">
      <c r="A127" s="1875"/>
      <c r="B127" s="1875"/>
      <c r="C127" s="1875"/>
      <c r="D127" s="1875"/>
      <c r="E127" s="1875"/>
      <c r="F127" s="1875"/>
      <c r="G127" s="1875"/>
      <c r="H127" s="1875"/>
      <c r="I127" s="1875"/>
      <c r="J127" s="1875"/>
      <c r="K127" s="1875"/>
      <c r="L127" s="1875"/>
      <c r="M127" s="1284"/>
      <c r="N127" s="1875"/>
      <c r="O127" s="1875"/>
      <c r="P127" s="860"/>
      <c r="Q127" s="860"/>
      <c r="R127" s="860"/>
    </row>
    <row r="128" spans="1:18">
      <c r="A128" s="1875"/>
      <c r="B128" s="1875"/>
      <c r="C128" s="1875"/>
      <c r="D128" s="1875"/>
      <c r="E128" s="1875"/>
      <c r="F128" s="1867"/>
      <c r="G128" s="1875"/>
      <c r="H128" s="1875"/>
      <c r="I128" s="210" t="s">
        <v>2886</v>
      </c>
      <c r="J128" s="1875"/>
      <c r="K128" s="3341"/>
      <c r="L128" s="1875"/>
      <c r="M128" s="1284" t="s">
        <v>2790</v>
      </c>
      <c r="N128" s="1875"/>
      <c r="O128" s="1875"/>
      <c r="P128" s="860"/>
      <c r="Q128" s="860"/>
      <c r="R128" s="860"/>
    </row>
    <row r="129" spans="1:18">
      <c r="A129" s="1875"/>
      <c r="B129" s="1875"/>
      <c r="C129" s="1875"/>
      <c r="D129" s="1875"/>
      <c r="E129" s="1875"/>
      <c r="F129" s="1875"/>
      <c r="G129" s="1875"/>
      <c r="H129" s="1875"/>
      <c r="I129" s="1875"/>
      <c r="J129" s="1875"/>
      <c r="K129" s="1875"/>
      <c r="L129" s="1875"/>
      <c r="M129" s="1284" t="s">
        <v>2791</v>
      </c>
      <c r="N129" s="1875"/>
      <c r="O129" s="1875"/>
      <c r="P129" s="860"/>
      <c r="Q129" s="860"/>
      <c r="R129" s="860"/>
    </row>
    <row r="130" spans="1:18">
      <c r="A130" s="1875"/>
      <c r="B130" s="1875"/>
      <c r="C130" s="1875"/>
      <c r="D130" s="1875"/>
      <c r="E130" s="1875" t="s">
        <v>2887</v>
      </c>
      <c r="F130" s="1875"/>
      <c r="G130" s="1875"/>
      <c r="H130" s="1875"/>
      <c r="I130" s="1875"/>
      <c r="J130" s="1875"/>
      <c r="K130" s="1875"/>
      <c r="L130" s="1875"/>
      <c r="M130" s="1875"/>
      <c r="N130" s="1875"/>
      <c r="O130" s="1875"/>
      <c r="P130" s="860"/>
      <c r="Q130" s="860"/>
      <c r="R130" s="860"/>
    </row>
    <row r="131" spans="1:18" ht="8.25" customHeight="1">
      <c r="A131" s="1875"/>
      <c r="B131" s="1875"/>
      <c r="C131" s="1875"/>
      <c r="D131" s="1875"/>
      <c r="E131" s="1875"/>
      <c r="F131" s="1875"/>
      <c r="G131" s="1875"/>
      <c r="H131" s="1875"/>
      <c r="I131" s="1875"/>
      <c r="J131" s="1875"/>
      <c r="K131" s="1875"/>
      <c r="L131" s="1875"/>
      <c r="M131" s="1875"/>
      <c r="N131" s="1875"/>
      <c r="O131" s="1875"/>
      <c r="P131" s="860"/>
      <c r="Q131" s="860"/>
      <c r="R131" s="860"/>
    </row>
    <row r="132" spans="1:18">
      <c r="A132" s="1875"/>
      <c r="B132" s="1875"/>
      <c r="C132" s="1875"/>
      <c r="D132" s="1875"/>
      <c r="E132" s="1875"/>
      <c r="F132" s="564" t="s">
        <v>15</v>
      </c>
      <c r="G132" s="1875"/>
      <c r="H132" s="1875"/>
      <c r="I132" s="1875"/>
      <c r="J132" s="1875"/>
      <c r="K132" s="738">
        <v>0</v>
      </c>
      <c r="L132" s="1182"/>
      <c r="M132" s="1875"/>
      <c r="N132" s="1875"/>
      <c r="O132" s="1875"/>
      <c r="P132" s="860"/>
      <c r="Q132" s="860"/>
      <c r="R132" s="860"/>
    </row>
    <row r="133" spans="1:18">
      <c r="A133" s="1875"/>
      <c r="B133" s="1875"/>
      <c r="C133" s="1875"/>
      <c r="D133" s="1875"/>
      <c r="E133" s="1875"/>
      <c r="F133" s="564" t="s">
        <v>2825</v>
      </c>
      <c r="G133" s="1875"/>
      <c r="H133" s="1875"/>
      <c r="I133" s="1875"/>
      <c r="J133" s="1875"/>
      <c r="K133" s="739">
        <v>0</v>
      </c>
      <c r="L133" s="1618" t="s">
        <v>2838</v>
      </c>
      <c r="M133" s="1875"/>
      <c r="N133" s="1875"/>
      <c r="O133" s="1875"/>
      <c r="P133" s="860"/>
      <c r="Q133" s="860"/>
      <c r="R133" s="860"/>
    </row>
    <row r="134" spans="1:18">
      <c r="A134" s="1875"/>
      <c r="B134" s="1875"/>
      <c r="C134" s="1875"/>
      <c r="D134" s="1875"/>
      <c r="E134" s="1875"/>
      <c r="F134" s="564" t="s">
        <v>2888</v>
      </c>
      <c r="G134" s="1875"/>
      <c r="H134" s="1875"/>
      <c r="I134" s="1875"/>
      <c r="J134" s="1875"/>
      <c r="K134" s="739">
        <v>0</v>
      </c>
      <c r="L134" s="1875"/>
      <c r="M134" s="1875"/>
      <c r="N134" s="1875"/>
      <c r="O134" s="1875"/>
      <c r="P134" s="860"/>
      <c r="Q134" s="860"/>
      <c r="R134" s="860"/>
    </row>
    <row r="135" spans="1:18">
      <c r="A135" s="1875"/>
      <c r="B135" s="1875"/>
      <c r="C135" s="1875"/>
      <c r="D135" s="1875"/>
      <c r="E135" s="1875"/>
      <c r="F135" s="564" t="s">
        <v>2889</v>
      </c>
      <c r="G135" s="1875"/>
      <c r="H135" s="1875"/>
      <c r="I135" s="1875"/>
      <c r="J135" s="477"/>
      <c r="K135" s="739">
        <v>0</v>
      </c>
      <c r="L135" s="1875"/>
      <c r="M135" s="1875"/>
      <c r="N135" s="1875"/>
      <c r="O135" s="1875"/>
      <c r="P135" s="860"/>
      <c r="Q135" s="860"/>
      <c r="R135" s="860"/>
    </row>
    <row r="136" spans="1:18">
      <c r="A136" s="1875"/>
      <c r="B136" s="1875"/>
      <c r="C136" s="1875"/>
      <c r="D136" s="1875"/>
      <c r="E136" s="1875"/>
      <c r="F136" s="564" t="s">
        <v>627</v>
      </c>
      <c r="G136" s="1875"/>
      <c r="H136" s="1875"/>
      <c r="I136" s="1875"/>
      <c r="J136" s="477"/>
      <c r="K136" s="739">
        <v>0</v>
      </c>
      <c r="L136" s="1875"/>
      <c r="M136" s="1875"/>
      <c r="N136" s="1875"/>
      <c r="O136" s="1875"/>
      <c r="P136" s="860"/>
      <c r="Q136" s="860"/>
      <c r="R136" s="860"/>
    </row>
    <row r="137" spans="1:18">
      <c r="A137" s="1875"/>
      <c r="B137" s="1875"/>
      <c r="C137" s="1875"/>
      <c r="D137" s="1875"/>
      <c r="E137" s="1875"/>
      <c r="F137" s="564" t="s">
        <v>621</v>
      </c>
      <c r="G137" s="1875"/>
      <c r="H137" s="1875"/>
      <c r="I137" s="1875"/>
      <c r="J137" s="477"/>
      <c r="K137" s="482">
        <v>0</v>
      </c>
      <c r="L137" s="1875"/>
      <c r="M137" s="1875"/>
      <c r="N137" s="1875"/>
      <c r="O137" s="1875"/>
      <c r="P137" s="860"/>
      <c r="Q137" s="860"/>
      <c r="R137" s="860"/>
    </row>
    <row r="138" spans="1:18">
      <c r="A138" s="1875"/>
      <c r="B138" s="1875"/>
      <c r="C138" s="1875"/>
      <c r="D138" s="1875"/>
      <c r="E138" s="1875"/>
      <c r="F138" s="564" t="s">
        <v>623</v>
      </c>
      <c r="G138" s="1875"/>
      <c r="H138" s="1875"/>
      <c r="I138" s="1875"/>
      <c r="J138" s="477"/>
      <c r="K138" s="482">
        <v>0</v>
      </c>
      <c r="L138" s="1875"/>
      <c r="M138" s="1875"/>
      <c r="N138" s="1875"/>
      <c r="O138" s="1875"/>
      <c r="P138" s="860"/>
      <c r="Q138" s="860"/>
      <c r="R138" s="860"/>
    </row>
    <row r="139" spans="1:18">
      <c r="A139" s="1875"/>
      <c r="B139" s="1875"/>
      <c r="C139" s="1875"/>
      <c r="D139" s="1875"/>
      <c r="E139" s="1875"/>
      <c r="F139" s="564" t="s">
        <v>345</v>
      </c>
      <c r="G139" s="1875"/>
      <c r="H139" s="1875"/>
      <c r="I139" s="1875"/>
      <c r="J139" s="477"/>
      <c r="K139" s="483">
        <v>0</v>
      </c>
      <c r="L139" s="1875"/>
      <c r="M139" s="1875"/>
      <c r="N139" s="1875"/>
      <c r="O139" s="1875"/>
      <c r="P139" s="860"/>
      <c r="Q139" s="860"/>
      <c r="R139" s="860"/>
    </row>
    <row r="140" spans="1:18">
      <c r="A140" s="1875"/>
      <c r="B140" s="1875"/>
      <c r="C140" s="1875"/>
      <c r="D140" s="1875"/>
      <c r="E140" s="1875"/>
      <c r="F140" s="1867"/>
      <c r="G140" s="1875"/>
      <c r="H140" s="1875"/>
      <c r="I140" s="1875"/>
      <c r="J140" s="477"/>
      <c r="K140" s="480"/>
      <c r="L140" s="1875"/>
      <c r="M140" s="1875"/>
      <c r="N140" s="1875"/>
      <c r="O140" s="1875"/>
      <c r="P140" s="860"/>
      <c r="Q140" s="860"/>
      <c r="R140" s="860"/>
    </row>
    <row r="141" spans="1:18" ht="13.5" thickBot="1">
      <c r="A141" s="1875"/>
      <c r="B141" s="1875"/>
      <c r="C141" s="1875"/>
      <c r="D141" s="1875"/>
      <c r="E141" s="1875"/>
      <c r="F141" s="564"/>
      <c r="G141" s="1875"/>
      <c r="H141" s="1875"/>
      <c r="I141" s="1875"/>
      <c r="J141" s="477"/>
      <c r="K141" s="481">
        <f t="array" ref="K141">SUM(ROUND(K132:K139,0))</f>
        <v>0</v>
      </c>
      <c r="L141" s="1875"/>
      <c r="M141" s="1875"/>
      <c r="N141" s="1875"/>
      <c r="O141" s="1875"/>
      <c r="P141" s="860"/>
      <c r="Q141" s="860"/>
      <c r="R141" s="860"/>
    </row>
    <row r="142" spans="1:18" ht="13.5" thickTop="1">
      <c r="A142" s="1875"/>
      <c r="B142" s="1875"/>
      <c r="C142" s="1875"/>
      <c r="D142" s="1875"/>
      <c r="E142" s="1875"/>
      <c r="F142" s="564"/>
      <c r="G142" s="1875"/>
      <c r="H142" s="1875"/>
      <c r="I142" s="1875"/>
      <c r="J142" s="1875"/>
      <c r="K142" s="1867"/>
      <c r="L142" s="1875"/>
      <c r="M142" s="1875"/>
      <c r="N142" s="1875"/>
      <c r="O142" s="1875"/>
      <c r="P142" s="860"/>
      <c r="Q142" s="860"/>
      <c r="R142" s="860"/>
    </row>
    <row r="143" spans="1:18">
      <c r="A143" s="1875"/>
      <c r="B143" s="1875"/>
      <c r="C143" s="1875"/>
      <c r="D143" s="1875"/>
      <c r="E143" s="1875"/>
      <c r="F143" s="564"/>
      <c r="G143" s="1875"/>
      <c r="H143" s="1875"/>
      <c r="I143" s="1875"/>
      <c r="J143" s="477" t="s">
        <v>2890</v>
      </c>
      <c r="K143" s="557">
        <f>ROUND(SNP!O12,0)+ROUND(SNP!O13,0)+ROUND(SNP!O28,0)</f>
        <v>0</v>
      </c>
      <c r="L143" s="1875"/>
      <c r="M143" s="1875"/>
      <c r="N143" s="1875"/>
      <c r="O143" s="1875"/>
      <c r="P143" s="860"/>
      <c r="Q143" s="860"/>
      <c r="R143" s="860"/>
    </row>
    <row r="144" spans="1:18">
      <c r="A144" s="1875"/>
      <c r="B144" s="1875"/>
      <c r="C144" s="1875"/>
      <c r="D144" s="1875"/>
      <c r="E144" s="1875"/>
      <c r="F144" s="564"/>
      <c r="G144" s="1875"/>
      <c r="H144" s="1875"/>
      <c r="I144" s="1875"/>
      <c r="J144" s="477"/>
      <c r="K144" s="557"/>
      <c r="L144" s="1875"/>
      <c r="M144" s="1875"/>
      <c r="N144" s="1875"/>
      <c r="O144" s="1875"/>
      <c r="P144" s="860"/>
      <c r="Q144" s="860"/>
      <c r="R144" s="860"/>
    </row>
    <row r="145" spans="1:18">
      <c r="A145" s="1875"/>
      <c r="B145" s="1875"/>
      <c r="C145" s="1875"/>
      <c r="D145" s="1875"/>
      <c r="E145" s="1875"/>
      <c r="F145" s="564"/>
      <c r="G145" s="1875"/>
      <c r="H145" s="1875"/>
      <c r="I145" s="1875"/>
      <c r="J145" s="477"/>
      <c r="K145" s="557"/>
      <c r="L145" s="1875"/>
      <c r="M145" s="1875"/>
      <c r="N145" s="1875"/>
      <c r="O145" s="1875"/>
      <c r="P145" s="860"/>
      <c r="Q145" s="860"/>
      <c r="R145" s="860"/>
    </row>
    <row r="146" spans="1:18">
      <c r="A146" s="1875"/>
      <c r="B146" s="1875"/>
      <c r="C146" s="1875"/>
      <c r="D146" s="1875"/>
      <c r="E146" s="1875"/>
      <c r="F146" s="564"/>
      <c r="G146" s="1875"/>
      <c r="H146" s="1875"/>
      <c r="I146" s="477" t="s">
        <v>2891</v>
      </c>
      <c r="J146" s="477"/>
      <c r="K146" s="738">
        <v>0</v>
      </c>
      <c r="L146" s="1875"/>
      <c r="M146" s="1875"/>
      <c r="N146" s="1875"/>
      <c r="O146" s="1875"/>
      <c r="P146" s="860"/>
      <c r="Q146" s="860"/>
      <c r="R146" s="860"/>
    </row>
    <row r="147" spans="1:18">
      <c r="A147" s="1875"/>
      <c r="B147" s="1875"/>
      <c r="C147" s="1875"/>
      <c r="D147" s="1875"/>
      <c r="E147" s="1875"/>
      <c r="F147" s="564"/>
      <c r="G147" s="1875"/>
      <c r="H147" s="1875"/>
      <c r="I147" s="1875"/>
      <c r="J147" s="477"/>
      <c r="K147" s="557"/>
      <c r="L147" s="1875"/>
      <c r="M147" s="1875"/>
      <c r="N147" s="1875"/>
      <c r="O147" s="1875"/>
      <c r="P147" s="860"/>
      <c r="Q147" s="860"/>
      <c r="R147" s="860"/>
    </row>
    <row r="148" spans="1:18">
      <c r="A148" s="461" t="s">
        <v>2892</v>
      </c>
      <c r="B148" s="461"/>
      <c r="C148" s="461"/>
      <c r="D148" s="461"/>
      <c r="E148" s="461"/>
      <c r="F148" s="461"/>
      <c r="G148" s="461"/>
      <c r="H148" s="461"/>
      <c r="I148" s="461"/>
      <c r="J148" s="461"/>
      <c r="K148" s="461"/>
      <c r="L148" s="461"/>
      <c r="M148" s="461"/>
      <c r="N148" s="461"/>
      <c r="O148" s="461"/>
      <c r="P148" s="860"/>
      <c r="Q148" s="860"/>
      <c r="R148" s="860"/>
    </row>
    <row r="149" spans="1:18">
      <c r="A149" s="461" t="s">
        <v>2893</v>
      </c>
      <c r="B149" s="461"/>
      <c r="C149" s="461"/>
      <c r="D149" s="461"/>
      <c r="E149" s="461"/>
      <c r="F149" s="461"/>
      <c r="G149" s="461"/>
      <c r="H149" s="461"/>
      <c r="I149" s="461"/>
      <c r="J149" s="461"/>
      <c r="K149" s="461"/>
      <c r="L149" s="461"/>
      <c r="M149" s="461"/>
      <c r="N149" s="461"/>
      <c r="O149" s="461"/>
      <c r="P149" s="860"/>
      <c r="Q149" s="860"/>
      <c r="R149" s="860"/>
    </row>
    <row r="150" spans="1:18">
      <c r="A150" s="1875"/>
      <c r="B150" s="1875"/>
      <c r="C150" s="1875"/>
      <c r="D150" s="1875"/>
      <c r="E150" s="1875"/>
      <c r="F150" s="564"/>
      <c r="G150" s="1875"/>
      <c r="H150" s="1875"/>
      <c r="I150" s="1875"/>
      <c r="J150" s="477"/>
      <c r="K150" s="557"/>
      <c r="L150" s="1875"/>
      <c r="M150" s="1875"/>
      <c r="N150" s="1875"/>
      <c r="O150" s="1875"/>
      <c r="P150" s="860"/>
      <c r="Q150" s="860"/>
      <c r="R150" s="860"/>
    </row>
    <row r="151" spans="1:18">
      <c r="A151" s="1875"/>
      <c r="B151" s="1875"/>
      <c r="C151" s="1875"/>
      <c r="D151" s="1875"/>
      <c r="E151" s="1875"/>
      <c r="F151" s="564"/>
      <c r="G151" s="1875"/>
      <c r="H151" s="1875"/>
      <c r="I151" s="1875"/>
      <c r="J151" s="477"/>
      <c r="K151" s="477" t="s">
        <v>2830</v>
      </c>
      <c r="L151" s="1875"/>
      <c r="M151" s="738">
        <v>0</v>
      </c>
      <c r="N151" s="1875"/>
      <c r="O151" s="1875"/>
      <c r="P151" s="860"/>
      <c r="Q151" s="860"/>
      <c r="R151" s="860"/>
    </row>
    <row r="152" spans="1:18" ht="15" customHeight="1">
      <c r="A152" s="1875"/>
      <c r="B152" s="1875"/>
      <c r="C152" s="1875"/>
      <c r="D152" s="1875"/>
      <c r="E152" s="1875"/>
      <c r="F152" s="461" t="s">
        <v>2894</v>
      </c>
      <c r="G152" s="461"/>
      <c r="H152" s="461"/>
      <c r="I152" s="461"/>
      <c r="J152" s="461"/>
      <c r="K152" s="461"/>
      <c r="L152" s="1875"/>
      <c r="M152" s="1867"/>
      <c r="N152" s="1875"/>
      <c r="O152" s="1875"/>
      <c r="P152" s="860"/>
      <c r="Q152" s="860"/>
      <c r="R152" s="860"/>
    </row>
    <row r="153" spans="1:18">
      <c r="A153" s="1875"/>
      <c r="B153" s="1875"/>
      <c r="C153" s="1875"/>
      <c r="D153" s="1875"/>
      <c r="E153" s="1875"/>
      <c r="F153" s="461"/>
      <c r="G153" s="461"/>
      <c r="H153" s="461"/>
      <c r="I153" s="461"/>
      <c r="J153" s="461"/>
      <c r="K153" s="461"/>
      <c r="L153" s="1875"/>
      <c r="M153" s="738">
        <v>0</v>
      </c>
      <c r="N153" s="1875"/>
      <c r="O153" s="1875"/>
      <c r="P153" s="860"/>
      <c r="Q153" s="860"/>
      <c r="R153" s="860"/>
    </row>
    <row r="154" spans="1:18" ht="15" customHeight="1">
      <c r="A154" s="1875"/>
      <c r="B154" s="1867"/>
      <c r="C154" s="1183"/>
      <c r="D154" s="1183"/>
      <c r="E154" s="1183"/>
      <c r="F154" s="461" t="s">
        <v>2895</v>
      </c>
      <c r="G154" s="461"/>
      <c r="H154" s="461"/>
      <c r="I154" s="461"/>
      <c r="J154" s="461"/>
      <c r="K154" s="461"/>
      <c r="L154" s="1875"/>
      <c r="M154" s="1867"/>
      <c r="N154" s="1875"/>
      <c r="O154" s="1875"/>
      <c r="P154" s="860"/>
      <c r="Q154" s="860"/>
      <c r="R154" s="860"/>
    </row>
    <row r="155" spans="1:18">
      <c r="A155" s="1875"/>
      <c r="B155" s="1183"/>
      <c r="C155" s="1183"/>
      <c r="D155" s="1183"/>
      <c r="E155" s="1183"/>
      <c r="F155" s="461"/>
      <c r="G155" s="461"/>
      <c r="H155" s="461"/>
      <c r="I155" s="461"/>
      <c r="J155" s="461"/>
      <c r="K155" s="461"/>
      <c r="L155" s="1875"/>
      <c r="M155" s="738">
        <v>0</v>
      </c>
      <c r="N155" s="1875"/>
      <c r="O155" s="1875"/>
      <c r="P155" s="860"/>
      <c r="Q155" s="860"/>
      <c r="R155" s="860"/>
    </row>
    <row r="156" spans="1:18">
      <c r="A156" s="1875"/>
      <c r="B156" s="1875"/>
      <c r="C156" s="1875"/>
      <c r="D156" s="1875"/>
      <c r="E156" s="1875"/>
      <c r="F156" s="1875"/>
      <c r="G156" s="1875"/>
      <c r="H156" s="1875"/>
      <c r="I156" s="1875"/>
      <c r="J156" s="1875"/>
      <c r="K156" s="1875"/>
      <c r="L156" s="1875"/>
      <c r="M156" s="1813"/>
      <c r="N156" s="1875"/>
      <c r="O156" s="1875"/>
      <c r="P156" s="860"/>
      <c r="Q156" s="860"/>
      <c r="R156" s="860"/>
    </row>
    <row r="157" spans="1:18">
      <c r="A157" s="1875"/>
      <c r="B157" s="1875"/>
      <c r="C157" s="1875"/>
      <c r="D157" s="1875"/>
      <c r="E157" s="1875"/>
      <c r="F157" s="1875"/>
      <c r="G157" s="1875"/>
      <c r="H157" s="1875"/>
      <c r="I157" s="1875"/>
      <c r="J157" s="1875"/>
      <c r="K157" s="1875"/>
      <c r="L157" s="1875"/>
      <c r="M157" s="1875"/>
      <c r="N157" s="1875"/>
      <c r="O157" s="1875"/>
      <c r="P157" s="860"/>
      <c r="Q157" s="860"/>
      <c r="R157" s="860"/>
    </row>
    <row r="158" spans="1:18">
      <c r="A158" s="1867"/>
      <c r="B158" s="1867"/>
      <c r="C158" s="1867"/>
      <c r="D158" s="1867"/>
      <c r="E158" s="1867"/>
      <c r="F158" s="1867"/>
      <c r="G158" s="1867"/>
      <c r="H158" s="1867"/>
      <c r="I158" s="1867"/>
      <c r="J158" s="1867"/>
      <c r="K158" s="1867"/>
      <c r="L158" s="1867"/>
      <c r="M158" s="1867"/>
      <c r="N158" s="1867"/>
      <c r="O158" s="1867"/>
      <c r="P158" s="860"/>
      <c r="Q158" s="860"/>
      <c r="R158" s="860"/>
    </row>
  </sheetData>
  <sheetProtection algorithmName="SHA-512" hashValue="8NAtQvmzIO22C6cVbVB2B26UMbhsq1kXs8/BJmaWYwqFqJJ9PY1nCBt+WYdJHzygcUA9H18nbba8EhZMGt9Ing==" saltValue="3kzcz4zsAvblF6xbzzY1bQ==" spinCount="100000" sheet="1" formatColumns="0" formatRows="0"/>
  <conditionalFormatting sqref="I20:I21 K20:K21 K26:K28 I26:I28 K12:K14 I12:I14 G46 I41:I50 K41:K50">
    <cfRule type="containsBlanks" dxfId="279" priority="84">
      <formula>LEN(TRIM(G12))=0</formula>
    </cfRule>
    <cfRule type="cellIs" dxfId="278" priority="85" operator="notEqual">
      <formula>0</formula>
    </cfRule>
  </conditionalFormatting>
  <conditionalFormatting sqref="I26 K26 I19 K19 I11:I12 K11:K12">
    <cfRule type="containsText" dxfId="277" priority="82" operator="containsText" text="$">
      <formula>NOT(ISERROR(SEARCH("$",I11)))</formula>
    </cfRule>
    <cfRule type="cellIs" dxfId="276" priority="83" operator="notEqual">
      <formula>0</formula>
    </cfRule>
  </conditionalFormatting>
  <conditionalFormatting sqref="Q16">
    <cfRule type="cellIs" dxfId="275" priority="80" operator="notEqual">
      <formula>$M$16</formula>
    </cfRule>
    <cfRule type="cellIs" dxfId="274" priority="81" operator="equal">
      <formula>$M$16</formula>
    </cfRule>
  </conditionalFormatting>
  <conditionalFormatting sqref="Q32">
    <cfRule type="cellIs" dxfId="273" priority="17" operator="notEqual">
      <formula>$M32</formula>
    </cfRule>
    <cfRule type="cellIs" dxfId="272" priority="79" operator="equal">
      <formula>$M32</formula>
    </cfRule>
  </conditionalFormatting>
  <conditionalFormatting sqref="P16">
    <cfRule type="cellIs" dxfId="271" priority="76" operator="notEqual">
      <formula>G16</formula>
    </cfRule>
    <cfRule type="cellIs" dxfId="270" priority="77" operator="equal">
      <formula>G16</formula>
    </cfRule>
  </conditionalFormatting>
  <conditionalFormatting sqref="P32">
    <cfRule type="cellIs" dxfId="269" priority="72" operator="notEqual">
      <formula>G32</formula>
    </cfRule>
    <cfRule type="cellIs" dxfId="268" priority="73" operator="equal">
      <formula>G32</formula>
    </cfRule>
  </conditionalFormatting>
  <conditionalFormatting sqref="G76">
    <cfRule type="cellIs" dxfId="267" priority="25" operator="notEqual">
      <formula>$G$74</formula>
    </cfRule>
    <cfRule type="cellIs" dxfId="266" priority="26" operator="equal">
      <formula>$G$74</formula>
    </cfRule>
  </conditionalFormatting>
  <conditionalFormatting sqref="Q40">
    <cfRule type="cellIs" dxfId="265" priority="15" operator="notEqual">
      <formula>$M40</formula>
    </cfRule>
    <cfRule type="cellIs" dxfId="264" priority="16" operator="equal">
      <formula>$M40</formula>
    </cfRule>
  </conditionalFormatting>
  <conditionalFormatting sqref="Q47 Q50">
    <cfRule type="cellIs" dxfId="263" priority="13" operator="equal">
      <formula>$M47</formula>
    </cfRule>
  </conditionalFormatting>
  <conditionalFormatting sqref="Q41:Q45">
    <cfRule type="cellIs" dxfId="262" priority="11" operator="notEqual">
      <formula>$M41</formula>
    </cfRule>
    <cfRule type="cellIs" dxfId="261" priority="12" operator="equal">
      <formula>$M41</formula>
    </cfRule>
  </conditionalFormatting>
  <conditionalFormatting sqref="Q47 Q50">
    <cfRule type="cellIs" dxfId="260" priority="9" operator="notEqual">
      <formula>$M47</formula>
    </cfRule>
    <cfRule type="cellIs" dxfId="259" priority="10" operator="equal">
      <formula>$M47</formula>
    </cfRule>
  </conditionalFormatting>
  <conditionalFormatting sqref="Q52">
    <cfRule type="cellIs" dxfId="258" priority="6" operator="notEqual">
      <formula>$M52</formula>
    </cfRule>
    <cfRule type="cellIs" dxfId="257" priority="7" operator="equal">
      <formula>$M52</formula>
    </cfRule>
  </conditionalFormatting>
  <conditionalFormatting sqref="Q53">
    <cfRule type="cellIs" dxfId="256" priority="3" operator="notEqual">
      <formula>$O52</formula>
    </cfRule>
    <cfRule type="cellIs" dxfId="255" priority="4" operator="equal">
      <formula>$O52</formula>
    </cfRule>
  </conditionalFormatting>
  <conditionalFormatting sqref="Q48:Q49">
    <cfRule type="cellIs" dxfId="254" priority="1" operator="notEqual">
      <formula>$M48</formula>
    </cfRule>
    <cfRule type="cellIs" dxfId="253" priority="2" operator="equal">
      <formula>$M48</formula>
    </cfRule>
  </conditionalFormatting>
  <dataValidations count="1">
    <dataValidation type="list" showInputMessage="1" showErrorMessage="1" sqref="K128">
      <formula1>$M$127:$M$129</formula1>
    </dataValidation>
  </dataValidations>
  <pageMargins left="0.7" right="0.7" top="0.75" bottom="0.75" header="0.3" footer="0.3"/>
  <pageSetup scale="74" fitToHeight="5" orientation="portrait" r:id="rId1"/>
  <headerFooter>
    <oddHeader>&amp;L&amp;"Arial,Regular"&amp;8&amp;F&amp;R&amp;"Arial,Regular"&amp;8&amp;A</oddHeader>
    <oddFooter>&amp;L&amp;"Arial,Regular"&amp;8&amp;D&amp;R&amp;"Arial,Regular"&amp;8&amp;P of &amp;N</oddFooter>
  </headerFooter>
  <rowBreaks count="2" manualBreakCount="2">
    <brk id="53" max="14" man="1"/>
    <brk id="96" max="14"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tint="-0.249977111117893"/>
  </sheetPr>
  <dimension ref="A1:K117"/>
  <sheetViews>
    <sheetView workbookViewId="0"/>
  </sheetViews>
  <sheetFormatPr defaultRowHeight="15"/>
  <cols>
    <col min="1" max="1" width="44.85546875" style="1863" bestFit="1" customWidth="1"/>
    <col min="2" max="2" width="46" style="1863" customWidth="1"/>
    <col min="3" max="3" width="20.85546875" style="1863" customWidth="1"/>
    <col min="4" max="4" width="43.85546875" style="1863" bestFit="1" customWidth="1"/>
    <col min="5" max="10" width="9.140625" style="1863"/>
    <col min="11" max="11" width="50.42578125" style="1863" customWidth="1"/>
    <col min="12" max="256" width="9.140625" style="1863"/>
    <col min="257" max="257" width="44.85546875" style="1863" bestFit="1" customWidth="1"/>
    <col min="258" max="258" width="46" style="1863" customWidth="1"/>
    <col min="259" max="259" width="20.85546875" style="1863" customWidth="1"/>
    <col min="260" max="260" width="43.85546875" style="1863" bestFit="1" customWidth="1"/>
    <col min="261" max="266" width="9.140625" style="1863"/>
    <col min="267" max="267" width="50.42578125" style="1863" customWidth="1"/>
    <col min="268" max="512" width="9.140625" style="1863"/>
    <col min="513" max="513" width="44.85546875" style="1863" bestFit="1" customWidth="1"/>
    <col min="514" max="514" width="46" style="1863" customWidth="1"/>
    <col min="515" max="515" width="20.85546875" style="1863" customWidth="1"/>
    <col min="516" max="516" width="43.85546875" style="1863" bestFit="1" customWidth="1"/>
    <col min="517" max="522" width="9.140625" style="1863"/>
    <col min="523" max="523" width="50.42578125" style="1863" customWidth="1"/>
    <col min="524" max="768" width="9.140625" style="1863"/>
    <col min="769" max="769" width="44.85546875" style="1863" bestFit="1" customWidth="1"/>
    <col min="770" max="770" width="46" style="1863" customWidth="1"/>
    <col min="771" max="771" width="20.85546875" style="1863" customWidth="1"/>
    <col min="772" max="772" width="43.85546875" style="1863" bestFit="1" customWidth="1"/>
    <col min="773" max="778" width="9.140625" style="1863"/>
    <col min="779" max="779" width="50.42578125" style="1863" customWidth="1"/>
    <col min="780" max="1024" width="9.140625" style="1863"/>
    <col min="1025" max="1025" width="44.85546875" style="1863" bestFit="1" customWidth="1"/>
    <col min="1026" max="1026" width="46" style="1863" customWidth="1"/>
    <col min="1027" max="1027" width="20.85546875" style="1863" customWidth="1"/>
    <col min="1028" max="1028" width="43.85546875" style="1863" bestFit="1" customWidth="1"/>
    <col min="1029" max="1034" width="9.140625" style="1863"/>
    <col min="1035" max="1035" width="50.42578125" style="1863" customWidth="1"/>
    <col min="1036" max="1280" width="9.140625" style="1863"/>
    <col min="1281" max="1281" width="44.85546875" style="1863" bestFit="1" customWidth="1"/>
    <col min="1282" max="1282" width="46" style="1863" customWidth="1"/>
    <col min="1283" max="1283" width="20.85546875" style="1863" customWidth="1"/>
    <col min="1284" max="1284" width="43.85546875" style="1863" bestFit="1" customWidth="1"/>
    <col min="1285" max="1290" width="9.140625" style="1863"/>
    <col min="1291" max="1291" width="50.42578125" style="1863" customWidth="1"/>
    <col min="1292" max="1536" width="9.140625" style="1863"/>
    <col min="1537" max="1537" width="44.85546875" style="1863" bestFit="1" customWidth="1"/>
    <col min="1538" max="1538" width="46" style="1863" customWidth="1"/>
    <col min="1539" max="1539" width="20.85546875" style="1863" customWidth="1"/>
    <col min="1540" max="1540" width="43.85546875" style="1863" bestFit="1" customWidth="1"/>
    <col min="1541" max="1546" width="9.140625" style="1863"/>
    <col min="1547" max="1547" width="50.42578125" style="1863" customWidth="1"/>
    <col min="1548" max="1792" width="9.140625" style="1863"/>
    <col min="1793" max="1793" width="44.85546875" style="1863" bestFit="1" customWidth="1"/>
    <col min="1794" max="1794" width="46" style="1863" customWidth="1"/>
    <col min="1795" max="1795" width="20.85546875" style="1863" customWidth="1"/>
    <col min="1796" max="1796" width="43.85546875" style="1863" bestFit="1" customWidth="1"/>
    <col min="1797" max="1802" width="9.140625" style="1863"/>
    <col min="1803" max="1803" width="50.42578125" style="1863" customWidth="1"/>
    <col min="1804" max="2048" width="9.140625" style="1863"/>
    <col min="2049" max="2049" width="44.85546875" style="1863" bestFit="1" customWidth="1"/>
    <col min="2050" max="2050" width="46" style="1863" customWidth="1"/>
    <col min="2051" max="2051" width="20.85546875" style="1863" customWidth="1"/>
    <col min="2052" max="2052" width="43.85546875" style="1863" bestFit="1" customWidth="1"/>
    <col min="2053" max="2058" width="9.140625" style="1863"/>
    <col min="2059" max="2059" width="50.42578125" style="1863" customWidth="1"/>
    <col min="2060" max="2304" width="9.140625" style="1863"/>
    <col min="2305" max="2305" width="44.85546875" style="1863" bestFit="1" customWidth="1"/>
    <col min="2306" max="2306" width="46" style="1863" customWidth="1"/>
    <col min="2307" max="2307" width="20.85546875" style="1863" customWidth="1"/>
    <col min="2308" max="2308" width="43.85546875" style="1863" bestFit="1" customWidth="1"/>
    <col min="2309" max="2314" width="9.140625" style="1863"/>
    <col min="2315" max="2315" width="50.42578125" style="1863" customWidth="1"/>
    <col min="2316" max="2560" width="9.140625" style="1863"/>
    <col min="2561" max="2561" width="44.85546875" style="1863" bestFit="1" customWidth="1"/>
    <col min="2562" max="2562" width="46" style="1863" customWidth="1"/>
    <col min="2563" max="2563" width="20.85546875" style="1863" customWidth="1"/>
    <col min="2564" max="2564" width="43.85546875" style="1863" bestFit="1" customWidth="1"/>
    <col min="2565" max="2570" width="9.140625" style="1863"/>
    <col min="2571" max="2571" width="50.42578125" style="1863" customWidth="1"/>
    <col min="2572" max="2816" width="9.140625" style="1863"/>
    <col min="2817" max="2817" width="44.85546875" style="1863" bestFit="1" customWidth="1"/>
    <col min="2818" max="2818" width="46" style="1863" customWidth="1"/>
    <col min="2819" max="2819" width="20.85546875" style="1863" customWidth="1"/>
    <col min="2820" max="2820" width="43.85546875" style="1863" bestFit="1" customWidth="1"/>
    <col min="2821" max="2826" width="9.140625" style="1863"/>
    <col min="2827" max="2827" width="50.42578125" style="1863" customWidth="1"/>
    <col min="2828" max="3072" width="9.140625" style="1863"/>
    <col min="3073" max="3073" width="44.85546875" style="1863" bestFit="1" customWidth="1"/>
    <col min="3074" max="3074" width="46" style="1863" customWidth="1"/>
    <col min="3075" max="3075" width="20.85546875" style="1863" customWidth="1"/>
    <col min="3076" max="3076" width="43.85546875" style="1863" bestFit="1" customWidth="1"/>
    <col min="3077" max="3082" width="9.140625" style="1863"/>
    <col min="3083" max="3083" width="50.42578125" style="1863" customWidth="1"/>
    <col min="3084" max="3328" width="9.140625" style="1863"/>
    <col min="3329" max="3329" width="44.85546875" style="1863" bestFit="1" customWidth="1"/>
    <col min="3330" max="3330" width="46" style="1863" customWidth="1"/>
    <col min="3331" max="3331" width="20.85546875" style="1863" customWidth="1"/>
    <col min="3332" max="3332" width="43.85546875" style="1863" bestFit="1" customWidth="1"/>
    <col min="3333" max="3338" width="9.140625" style="1863"/>
    <col min="3339" max="3339" width="50.42578125" style="1863" customWidth="1"/>
    <col min="3340" max="3584" width="9.140625" style="1863"/>
    <col min="3585" max="3585" width="44.85546875" style="1863" bestFit="1" customWidth="1"/>
    <col min="3586" max="3586" width="46" style="1863" customWidth="1"/>
    <col min="3587" max="3587" width="20.85546875" style="1863" customWidth="1"/>
    <col min="3588" max="3588" width="43.85546875" style="1863" bestFit="1" customWidth="1"/>
    <col min="3589" max="3594" width="9.140625" style="1863"/>
    <col min="3595" max="3595" width="50.42578125" style="1863" customWidth="1"/>
    <col min="3596" max="3840" width="9.140625" style="1863"/>
    <col min="3841" max="3841" width="44.85546875" style="1863" bestFit="1" customWidth="1"/>
    <col min="3842" max="3842" width="46" style="1863" customWidth="1"/>
    <col min="3843" max="3843" width="20.85546875" style="1863" customWidth="1"/>
    <col min="3844" max="3844" width="43.85546875" style="1863" bestFit="1" customWidth="1"/>
    <col min="3845" max="3850" width="9.140625" style="1863"/>
    <col min="3851" max="3851" width="50.42578125" style="1863" customWidth="1"/>
    <col min="3852" max="4096" width="9.140625" style="1863"/>
    <col min="4097" max="4097" width="44.85546875" style="1863" bestFit="1" customWidth="1"/>
    <col min="4098" max="4098" width="46" style="1863" customWidth="1"/>
    <col min="4099" max="4099" width="20.85546875" style="1863" customWidth="1"/>
    <col min="4100" max="4100" width="43.85546875" style="1863" bestFit="1" customWidth="1"/>
    <col min="4101" max="4106" width="9.140625" style="1863"/>
    <col min="4107" max="4107" width="50.42578125" style="1863" customWidth="1"/>
    <col min="4108" max="4352" width="9.140625" style="1863"/>
    <col min="4353" max="4353" width="44.85546875" style="1863" bestFit="1" customWidth="1"/>
    <col min="4354" max="4354" width="46" style="1863" customWidth="1"/>
    <col min="4355" max="4355" width="20.85546875" style="1863" customWidth="1"/>
    <col min="4356" max="4356" width="43.85546875" style="1863" bestFit="1" customWidth="1"/>
    <col min="4357" max="4362" width="9.140625" style="1863"/>
    <col min="4363" max="4363" width="50.42578125" style="1863" customWidth="1"/>
    <col min="4364" max="4608" width="9.140625" style="1863"/>
    <col min="4609" max="4609" width="44.85546875" style="1863" bestFit="1" customWidth="1"/>
    <col min="4610" max="4610" width="46" style="1863" customWidth="1"/>
    <col min="4611" max="4611" width="20.85546875" style="1863" customWidth="1"/>
    <col min="4612" max="4612" width="43.85546875" style="1863" bestFit="1" customWidth="1"/>
    <col min="4613" max="4618" width="9.140625" style="1863"/>
    <col min="4619" max="4619" width="50.42578125" style="1863" customWidth="1"/>
    <col min="4620" max="4864" width="9.140625" style="1863"/>
    <col min="4865" max="4865" width="44.85546875" style="1863" bestFit="1" customWidth="1"/>
    <col min="4866" max="4866" width="46" style="1863" customWidth="1"/>
    <col min="4867" max="4867" width="20.85546875" style="1863" customWidth="1"/>
    <col min="4868" max="4868" width="43.85546875" style="1863" bestFit="1" customWidth="1"/>
    <col min="4869" max="4874" width="9.140625" style="1863"/>
    <col min="4875" max="4875" width="50.42578125" style="1863" customWidth="1"/>
    <col min="4876" max="5120" width="9.140625" style="1863"/>
    <col min="5121" max="5121" width="44.85546875" style="1863" bestFit="1" customWidth="1"/>
    <col min="5122" max="5122" width="46" style="1863" customWidth="1"/>
    <col min="5123" max="5123" width="20.85546875" style="1863" customWidth="1"/>
    <col min="5124" max="5124" width="43.85546875" style="1863" bestFit="1" customWidth="1"/>
    <col min="5125" max="5130" width="9.140625" style="1863"/>
    <col min="5131" max="5131" width="50.42578125" style="1863" customWidth="1"/>
    <col min="5132" max="5376" width="9.140625" style="1863"/>
    <col min="5377" max="5377" width="44.85546875" style="1863" bestFit="1" customWidth="1"/>
    <col min="5378" max="5378" width="46" style="1863" customWidth="1"/>
    <col min="5379" max="5379" width="20.85546875" style="1863" customWidth="1"/>
    <col min="5380" max="5380" width="43.85546875" style="1863" bestFit="1" customWidth="1"/>
    <col min="5381" max="5386" width="9.140625" style="1863"/>
    <col min="5387" max="5387" width="50.42578125" style="1863" customWidth="1"/>
    <col min="5388" max="5632" width="9.140625" style="1863"/>
    <col min="5633" max="5633" width="44.85546875" style="1863" bestFit="1" customWidth="1"/>
    <col min="5634" max="5634" width="46" style="1863" customWidth="1"/>
    <col min="5635" max="5635" width="20.85546875" style="1863" customWidth="1"/>
    <col min="5636" max="5636" width="43.85546875" style="1863" bestFit="1" customWidth="1"/>
    <col min="5637" max="5642" width="9.140625" style="1863"/>
    <col min="5643" max="5643" width="50.42578125" style="1863" customWidth="1"/>
    <col min="5644" max="5888" width="9.140625" style="1863"/>
    <col min="5889" max="5889" width="44.85546875" style="1863" bestFit="1" customWidth="1"/>
    <col min="5890" max="5890" width="46" style="1863" customWidth="1"/>
    <col min="5891" max="5891" width="20.85546875" style="1863" customWidth="1"/>
    <col min="5892" max="5892" width="43.85546875" style="1863" bestFit="1" customWidth="1"/>
    <col min="5893" max="5898" width="9.140625" style="1863"/>
    <col min="5899" max="5899" width="50.42578125" style="1863" customWidth="1"/>
    <col min="5900" max="6144" width="9.140625" style="1863"/>
    <col min="6145" max="6145" width="44.85546875" style="1863" bestFit="1" customWidth="1"/>
    <col min="6146" max="6146" width="46" style="1863" customWidth="1"/>
    <col min="6147" max="6147" width="20.85546875" style="1863" customWidth="1"/>
    <col min="6148" max="6148" width="43.85546875" style="1863" bestFit="1" customWidth="1"/>
    <col min="6149" max="6154" width="9.140625" style="1863"/>
    <col min="6155" max="6155" width="50.42578125" style="1863" customWidth="1"/>
    <col min="6156" max="6400" width="9.140625" style="1863"/>
    <col min="6401" max="6401" width="44.85546875" style="1863" bestFit="1" customWidth="1"/>
    <col min="6402" max="6402" width="46" style="1863" customWidth="1"/>
    <col min="6403" max="6403" width="20.85546875" style="1863" customWidth="1"/>
    <col min="6404" max="6404" width="43.85546875" style="1863" bestFit="1" customWidth="1"/>
    <col min="6405" max="6410" width="9.140625" style="1863"/>
    <col min="6411" max="6411" width="50.42578125" style="1863" customWidth="1"/>
    <col min="6412" max="6656" width="9.140625" style="1863"/>
    <col min="6657" max="6657" width="44.85546875" style="1863" bestFit="1" customWidth="1"/>
    <col min="6658" max="6658" width="46" style="1863" customWidth="1"/>
    <col min="6659" max="6659" width="20.85546875" style="1863" customWidth="1"/>
    <col min="6660" max="6660" width="43.85546875" style="1863" bestFit="1" customWidth="1"/>
    <col min="6661" max="6666" width="9.140625" style="1863"/>
    <col min="6667" max="6667" width="50.42578125" style="1863" customWidth="1"/>
    <col min="6668" max="6912" width="9.140625" style="1863"/>
    <col min="6913" max="6913" width="44.85546875" style="1863" bestFit="1" customWidth="1"/>
    <col min="6914" max="6914" width="46" style="1863" customWidth="1"/>
    <col min="6915" max="6915" width="20.85546875" style="1863" customWidth="1"/>
    <col min="6916" max="6916" width="43.85546875" style="1863" bestFit="1" customWidth="1"/>
    <col min="6917" max="6922" width="9.140625" style="1863"/>
    <col min="6923" max="6923" width="50.42578125" style="1863" customWidth="1"/>
    <col min="6924" max="7168" width="9.140625" style="1863"/>
    <col min="7169" max="7169" width="44.85546875" style="1863" bestFit="1" customWidth="1"/>
    <col min="7170" max="7170" width="46" style="1863" customWidth="1"/>
    <col min="7171" max="7171" width="20.85546875" style="1863" customWidth="1"/>
    <col min="7172" max="7172" width="43.85546875" style="1863" bestFit="1" customWidth="1"/>
    <col min="7173" max="7178" width="9.140625" style="1863"/>
    <col min="7179" max="7179" width="50.42578125" style="1863" customWidth="1"/>
    <col min="7180" max="7424" width="9.140625" style="1863"/>
    <col min="7425" max="7425" width="44.85546875" style="1863" bestFit="1" customWidth="1"/>
    <col min="7426" max="7426" width="46" style="1863" customWidth="1"/>
    <col min="7427" max="7427" width="20.85546875" style="1863" customWidth="1"/>
    <col min="7428" max="7428" width="43.85546875" style="1863" bestFit="1" customWidth="1"/>
    <col min="7429" max="7434" width="9.140625" style="1863"/>
    <col min="7435" max="7435" width="50.42578125" style="1863" customWidth="1"/>
    <col min="7436" max="7680" width="9.140625" style="1863"/>
    <col min="7681" max="7681" width="44.85546875" style="1863" bestFit="1" customWidth="1"/>
    <col min="7682" max="7682" width="46" style="1863" customWidth="1"/>
    <col min="7683" max="7683" width="20.85546875" style="1863" customWidth="1"/>
    <col min="7684" max="7684" width="43.85546875" style="1863" bestFit="1" customWidth="1"/>
    <col min="7685" max="7690" width="9.140625" style="1863"/>
    <col min="7691" max="7691" width="50.42578125" style="1863" customWidth="1"/>
    <col min="7692" max="7936" width="9.140625" style="1863"/>
    <col min="7937" max="7937" width="44.85546875" style="1863" bestFit="1" customWidth="1"/>
    <col min="7938" max="7938" width="46" style="1863" customWidth="1"/>
    <col min="7939" max="7939" width="20.85546875" style="1863" customWidth="1"/>
    <col min="7940" max="7940" width="43.85546875" style="1863" bestFit="1" customWidth="1"/>
    <col min="7941" max="7946" width="9.140625" style="1863"/>
    <col min="7947" max="7947" width="50.42578125" style="1863" customWidth="1"/>
    <col min="7948" max="8192" width="9.140625" style="1863"/>
    <col min="8193" max="8193" width="44.85546875" style="1863" bestFit="1" customWidth="1"/>
    <col min="8194" max="8194" width="46" style="1863" customWidth="1"/>
    <col min="8195" max="8195" width="20.85546875" style="1863" customWidth="1"/>
    <col min="8196" max="8196" width="43.85546875" style="1863" bestFit="1" customWidth="1"/>
    <col min="8197" max="8202" width="9.140625" style="1863"/>
    <col min="8203" max="8203" width="50.42578125" style="1863" customWidth="1"/>
    <col min="8204" max="8448" width="9.140625" style="1863"/>
    <col min="8449" max="8449" width="44.85546875" style="1863" bestFit="1" customWidth="1"/>
    <col min="8450" max="8450" width="46" style="1863" customWidth="1"/>
    <col min="8451" max="8451" width="20.85546875" style="1863" customWidth="1"/>
    <col min="8452" max="8452" width="43.85546875" style="1863" bestFit="1" customWidth="1"/>
    <col min="8453" max="8458" width="9.140625" style="1863"/>
    <col min="8459" max="8459" width="50.42578125" style="1863" customWidth="1"/>
    <col min="8460" max="8704" width="9.140625" style="1863"/>
    <col min="8705" max="8705" width="44.85546875" style="1863" bestFit="1" customWidth="1"/>
    <col min="8706" max="8706" width="46" style="1863" customWidth="1"/>
    <col min="8707" max="8707" width="20.85546875" style="1863" customWidth="1"/>
    <col min="8708" max="8708" width="43.85546875" style="1863" bestFit="1" customWidth="1"/>
    <col min="8709" max="8714" width="9.140625" style="1863"/>
    <col min="8715" max="8715" width="50.42578125" style="1863" customWidth="1"/>
    <col min="8716" max="8960" width="9.140625" style="1863"/>
    <col min="8961" max="8961" width="44.85546875" style="1863" bestFit="1" customWidth="1"/>
    <col min="8962" max="8962" width="46" style="1863" customWidth="1"/>
    <col min="8963" max="8963" width="20.85546875" style="1863" customWidth="1"/>
    <col min="8964" max="8964" width="43.85546875" style="1863" bestFit="1" customWidth="1"/>
    <col min="8965" max="8970" width="9.140625" style="1863"/>
    <col min="8971" max="8971" width="50.42578125" style="1863" customWidth="1"/>
    <col min="8972" max="9216" width="9.140625" style="1863"/>
    <col min="9217" max="9217" width="44.85546875" style="1863" bestFit="1" customWidth="1"/>
    <col min="9218" max="9218" width="46" style="1863" customWidth="1"/>
    <col min="9219" max="9219" width="20.85546875" style="1863" customWidth="1"/>
    <col min="9220" max="9220" width="43.85546875" style="1863" bestFit="1" customWidth="1"/>
    <col min="9221" max="9226" width="9.140625" style="1863"/>
    <col min="9227" max="9227" width="50.42578125" style="1863" customWidth="1"/>
    <col min="9228" max="9472" width="9.140625" style="1863"/>
    <col min="9473" max="9473" width="44.85546875" style="1863" bestFit="1" customWidth="1"/>
    <col min="9474" max="9474" width="46" style="1863" customWidth="1"/>
    <col min="9475" max="9475" width="20.85546875" style="1863" customWidth="1"/>
    <col min="9476" max="9476" width="43.85546875" style="1863" bestFit="1" customWidth="1"/>
    <col min="9477" max="9482" width="9.140625" style="1863"/>
    <col min="9483" max="9483" width="50.42578125" style="1863" customWidth="1"/>
    <col min="9484" max="9728" width="9.140625" style="1863"/>
    <col min="9729" max="9729" width="44.85546875" style="1863" bestFit="1" customWidth="1"/>
    <col min="9730" max="9730" width="46" style="1863" customWidth="1"/>
    <col min="9731" max="9731" width="20.85546875" style="1863" customWidth="1"/>
    <col min="9732" max="9732" width="43.85546875" style="1863" bestFit="1" customWidth="1"/>
    <col min="9733" max="9738" width="9.140625" style="1863"/>
    <col min="9739" max="9739" width="50.42578125" style="1863" customWidth="1"/>
    <col min="9740" max="9984" width="9.140625" style="1863"/>
    <col min="9985" max="9985" width="44.85546875" style="1863" bestFit="1" customWidth="1"/>
    <col min="9986" max="9986" width="46" style="1863" customWidth="1"/>
    <col min="9987" max="9987" width="20.85546875" style="1863" customWidth="1"/>
    <col min="9988" max="9988" width="43.85546875" style="1863" bestFit="1" customWidth="1"/>
    <col min="9989" max="9994" width="9.140625" style="1863"/>
    <col min="9995" max="9995" width="50.42578125" style="1863" customWidth="1"/>
    <col min="9996" max="10240" width="9.140625" style="1863"/>
    <col min="10241" max="10241" width="44.85546875" style="1863" bestFit="1" customWidth="1"/>
    <col min="10242" max="10242" width="46" style="1863" customWidth="1"/>
    <col min="10243" max="10243" width="20.85546875" style="1863" customWidth="1"/>
    <col min="10244" max="10244" width="43.85546875" style="1863" bestFit="1" customWidth="1"/>
    <col min="10245" max="10250" width="9.140625" style="1863"/>
    <col min="10251" max="10251" width="50.42578125" style="1863" customWidth="1"/>
    <col min="10252" max="10496" width="9.140625" style="1863"/>
    <col min="10497" max="10497" width="44.85546875" style="1863" bestFit="1" customWidth="1"/>
    <col min="10498" max="10498" width="46" style="1863" customWidth="1"/>
    <col min="10499" max="10499" width="20.85546875" style="1863" customWidth="1"/>
    <col min="10500" max="10500" width="43.85546875" style="1863" bestFit="1" customWidth="1"/>
    <col min="10501" max="10506" width="9.140625" style="1863"/>
    <col min="10507" max="10507" width="50.42578125" style="1863" customWidth="1"/>
    <col min="10508" max="10752" width="9.140625" style="1863"/>
    <col min="10753" max="10753" width="44.85546875" style="1863" bestFit="1" customWidth="1"/>
    <col min="10754" max="10754" width="46" style="1863" customWidth="1"/>
    <col min="10755" max="10755" width="20.85546875" style="1863" customWidth="1"/>
    <col min="10756" max="10756" width="43.85546875" style="1863" bestFit="1" customWidth="1"/>
    <col min="10757" max="10762" width="9.140625" style="1863"/>
    <col min="10763" max="10763" width="50.42578125" style="1863" customWidth="1"/>
    <col min="10764" max="11008" width="9.140625" style="1863"/>
    <col min="11009" max="11009" width="44.85546875" style="1863" bestFit="1" customWidth="1"/>
    <col min="11010" max="11010" width="46" style="1863" customWidth="1"/>
    <col min="11011" max="11011" width="20.85546875" style="1863" customWidth="1"/>
    <col min="11012" max="11012" width="43.85546875" style="1863" bestFit="1" customWidth="1"/>
    <col min="11013" max="11018" width="9.140625" style="1863"/>
    <col min="11019" max="11019" width="50.42578125" style="1863" customWidth="1"/>
    <col min="11020" max="11264" width="9.140625" style="1863"/>
    <col min="11265" max="11265" width="44.85546875" style="1863" bestFit="1" customWidth="1"/>
    <col min="11266" max="11266" width="46" style="1863" customWidth="1"/>
    <col min="11267" max="11267" width="20.85546875" style="1863" customWidth="1"/>
    <col min="11268" max="11268" width="43.85546875" style="1863" bestFit="1" customWidth="1"/>
    <col min="11269" max="11274" width="9.140625" style="1863"/>
    <col min="11275" max="11275" width="50.42578125" style="1863" customWidth="1"/>
    <col min="11276" max="11520" width="9.140625" style="1863"/>
    <col min="11521" max="11521" width="44.85546875" style="1863" bestFit="1" customWidth="1"/>
    <col min="11522" max="11522" width="46" style="1863" customWidth="1"/>
    <col min="11523" max="11523" width="20.85546875" style="1863" customWidth="1"/>
    <col min="11524" max="11524" width="43.85546875" style="1863" bestFit="1" customWidth="1"/>
    <col min="11525" max="11530" width="9.140625" style="1863"/>
    <col min="11531" max="11531" width="50.42578125" style="1863" customWidth="1"/>
    <col min="11532" max="11776" width="9.140625" style="1863"/>
    <col min="11777" max="11777" width="44.85546875" style="1863" bestFit="1" customWidth="1"/>
    <col min="11778" max="11778" width="46" style="1863" customWidth="1"/>
    <col min="11779" max="11779" width="20.85546875" style="1863" customWidth="1"/>
    <col min="11780" max="11780" width="43.85546875" style="1863" bestFit="1" customWidth="1"/>
    <col min="11781" max="11786" width="9.140625" style="1863"/>
    <col min="11787" max="11787" width="50.42578125" style="1863" customWidth="1"/>
    <col min="11788" max="12032" width="9.140625" style="1863"/>
    <col min="12033" max="12033" width="44.85546875" style="1863" bestFit="1" customWidth="1"/>
    <col min="12034" max="12034" width="46" style="1863" customWidth="1"/>
    <col min="12035" max="12035" width="20.85546875" style="1863" customWidth="1"/>
    <col min="12036" max="12036" width="43.85546875" style="1863" bestFit="1" customWidth="1"/>
    <col min="12037" max="12042" width="9.140625" style="1863"/>
    <col min="12043" max="12043" width="50.42578125" style="1863" customWidth="1"/>
    <col min="12044" max="12288" width="9.140625" style="1863"/>
    <col min="12289" max="12289" width="44.85546875" style="1863" bestFit="1" customWidth="1"/>
    <col min="12290" max="12290" width="46" style="1863" customWidth="1"/>
    <col min="12291" max="12291" width="20.85546875" style="1863" customWidth="1"/>
    <col min="12292" max="12292" width="43.85546875" style="1863" bestFit="1" customWidth="1"/>
    <col min="12293" max="12298" width="9.140625" style="1863"/>
    <col min="12299" max="12299" width="50.42578125" style="1863" customWidth="1"/>
    <col min="12300" max="12544" width="9.140625" style="1863"/>
    <col min="12545" max="12545" width="44.85546875" style="1863" bestFit="1" customWidth="1"/>
    <col min="12546" max="12546" width="46" style="1863" customWidth="1"/>
    <col min="12547" max="12547" width="20.85546875" style="1863" customWidth="1"/>
    <col min="12548" max="12548" width="43.85546875" style="1863" bestFit="1" customWidth="1"/>
    <col min="12549" max="12554" width="9.140625" style="1863"/>
    <col min="12555" max="12555" width="50.42578125" style="1863" customWidth="1"/>
    <col min="12556" max="12800" width="9.140625" style="1863"/>
    <col min="12801" max="12801" width="44.85546875" style="1863" bestFit="1" customWidth="1"/>
    <col min="12802" max="12802" width="46" style="1863" customWidth="1"/>
    <col min="12803" max="12803" width="20.85546875" style="1863" customWidth="1"/>
    <col min="12804" max="12804" width="43.85546875" style="1863" bestFit="1" customWidth="1"/>
    <col min="12805" max="12810" width="9.140625" style="1863"/>
    <col min="12811" max="12811" width="50.42578125" style="1863" customWidth="1"/>
    <col min="12812" max="13056" width="9.140625" style="1863"/>
    <col min="13057" max="13057" width="44.85546875" style="1863" bestFit="1" customWidth="1"/>
    <col min="13058" max="13058" width="46" style="1863" customWidth="1"/>
    <col min="13059" max="13059" width="20.85546875" style="1863" customWidth="1"/>
    <col min="13060" max="13060" width="43.85546875" style="1863" bestFit="1" customWidth="1"/>
    <col min="13061" max="13066" width="9.140625" style="1863"/>
    <col min="13067" max="13067" width="50.42578125" style="1863" customWidth="1"/>
    <col min="13068" max="13312" width="9.140625" style="1863"/>
    <col min="13313" max="13313" width="44.85546875" style="1863" bestFit="1" customWidth="1"/>
    <col min="13314" max="13314" width="46" style="1863" customWidth="1"/>
    <col min="13315" max="13315" width="20.85546875" style="1863" customWidth="1"/>
    <col min="13316" max="13316" width="43.85546875" style="1863" bestFit="1" customWidth="1"/>
    <col min="13317" max="13322" width="9.140625" style="1863"/>
    <col min="13323" max="13323" width="50.42578125" style="1863" customWidth="1"/>
    <col min="13324" max="13568" width="9.140625" style="1863"/>
    <col min="13569" max="13569" width="44.85546875" style="1863" bestFit="1" customWidth="1"/>
    <col min="13570" max="13570" width="46" style="1863" customWidth="1"/>
    <col min="13571" max="13571" width="20.85546875" style="1863" customWidth="1"/>
    <col min="13572" max="13572" width="43.85546875" style="1863" bestFit="1" customWidth="1"/>
    <col min="13573" max="13578" width="9.140625" style="1863"/>
    <col min="13579" max="13579" width="50.42578125" style="1863" customWidth="1"/>
    <col min="13580" max="13824" width="9.140625" style="1863"/>
    <col min="13825" max="13825" width="44.85546875" style="1863" bestFit="1" customWidth="1"/>
    <col min="13826" max="13826" width="46" style="1863" customWidth="1"/>
    <col min="13827" max="13827" width="20.85546875" style="1863" customWidth="1"/>
    <col min="13828" max="13828" width="43.85546875" style="1863" bestFit="1" customWidth="1"/>
    <col min="13829" max="13834" width="9.140625" style="1863"/>
    <col min="13835" max="13835" width="50.42578125" style="1863" customWidth="1"/>
    <col min="13836" max="14080" width="9.140625" style="1863"/>
    <col min="14081" max="14081" width="44.85546875" style="1863" bestFit="1" customWidth="1"/>
    <col min="14082" max="14082" width="46" style="1863" customWidth="1"/>
    <col min="14083" max="14083" width="20.85546875" style="1863" customWidth="1"/>
    <col min="14084" max="14084" width="43.85546875" style="1863" bestFit="1" customWidth="1"/>
    <col min="14085" max="14090" width="9.140625" style="1863"/>
    <col min="14091" max="14091" width="50.42578125" style="1863" customWidth="1"/>
    <col min="14092" max="14336" width="9.140625" style="1863"/>
    <col min="14337" max="14337" width="44.85546875" style="1863" bestFit="1" customWidth="1"/>
    <col min="14338" max="14338" width="46" style="1863" customWidth="1"/>
    <col min="14339" max="14339" width="20.85546875" style="1863" customWidth="1"/>
    <col min="14340" max="14340" width="43.85546875" style="1863" bestFit="1" customWidth="1"/>
    <col min="14341" max="14346" width="9.140625" style="1863"/>
    <col min="14347" max="14347" width="50.42578125" style="1863" customWidth="1"/>
    <col min="14348" max="14592" width="9.140625" style="1863"/>
    <col min="14593" max="14593" width="44.85546875" style="1863" bestFit="1" customWidth="1"/>
    <col min="14594" max="14594" width="46" style="1863" customWidth="1"/>
    <col min="14595" max="14595" width="20.85546875" style="1863" customWidth="1"/>
    <col min="14596" max="14596" width="43.85546875" style="1863" bestFit="1" customWidth="1"/>
    <col min="14597" max="14602" width="9.140625" style="1863"/>
    <col min="14603" max="14603" width="50.42578125" style="1863" customWidth="1"/>
    <col min="14604" max="14848" width="9.140625" style="1863"/>
    <col min="14849" max="14849" width="44.85546875" style="1863" bestFit="1" customWidth="1"/>
    <col min="14850" max="14850" width="46" style="1863" customWidth="1"/>
    <col min="14851" max="14851" width="20.85546875" style="1863" customWidth="1"/>
    <col min="14852" max="14852" width="43.85546875" style="1863" bestFit="1" customWidth="1"/>
    <col min="14853" max="14858" width="9.140625" style="1863"/>
    <col min="14859" max="14859" width="50.42578125" style="1863" customWidth="1"/>
    <col min="14860" max="15104" width="9.140625" style="1863"/>
    <col min="15105" max="15105" width="44.85546875" style="1863" bestFit="1" customWidth="1"/>
    <col min="15106" max="15106" width="46" style="1863" customWidth="1"/>
    <col min="15107" max="15107" width="20.85546875" style="1863" customWidth="1"/>
    <col min="15108" max="15108" width="43.85546875" style="1863" bestFit="1" customWidth="1"/>
    <col min="15109" max="15114" width="9.140625" style="1863"/>
    <col min="15115" max="15115" width="50.42578125" style="1863" customWidth="1"/>
    <col min="15116" max="15360" width="9.140625" style="1863"/>
    <col min="15361" max="15361" width="44.85546875" style="1863" bestFit="1" customWidth="1"/>
    <col min="15362" max="15362" width="46" style="1863" customWidth="1"/>
    <col min="15363" max="15363" width="20.85546875" style="1863" customWidth="1"/>
    <col min="15364" max="15364" width="43.85546875" style="1863" bestFit="1" customWidth="1"/>
    <col min="15365" max="15370" width="9.140625" style="1863"/>
    <col min="15371" max="15371" width="50.42578125" style="1863" customWidth="1"/>
    <col min="15372" max="15616" width="9.140625" style="1863"/>
    <col min="15617" max="15617" width="44.85546875" style="1863" bestFit="1" customWidth="1"/>
    <col min="15618" max="15618" width="46" style="1863" customWidth="1"/>
    <col min="15619" max="15619" width="20.85546875" style="1863" customWidth="1"/>
    <col min="15620" max="15620" width="43.85546875" style="1863" bestFit="1" customWidth="1"/>
    <col min="15621" max="15626" width="9.140625" style="1863"/>
    <col min="15627" max="15627" width="50.42578125" style="1863" customWidth="1"/>
    <col min="15628" max="15872" width="9.140625" style="1863"/>
    <col min="15873" max="15873" width="44.85546875" style="1863" bestFit="1" customWidth="1"/>
    <col min="15874" max="15874" width="46" style="1863" customWidth="1"/>
    <col min="15875" max="15875" width="20.85546875" style="1863" customWidth="1"/>
    <col min="15876" max="15876" width="43.85546875" style="1863" bestFit="1" customWidth="1"/>
    <col min="15877" max="15882" width="9.140625" style="1863"/>
    <col min="15883" max="15883" width="50.42578125" style="1863" customWidth="1"/>
    <col min="15884" max="16128" width="9.140625" style="1863"/>
    <col min="16129" max="16129" width="44.85546875" style="1863" bestFit="1" customWidth="1"/>
    <col min="16130" max="16130" width="46" style="1863" customWidth="1"/>
    <col min="16131" max="16131" width="20.85546875" style="1863" customWidth="1"/>
    <col min="16132" max="16132" width="43.85546875" style="1863" bestFit="1" customWidth="1"/>
    <col min="16133" max="16138" width="9.140625" style="1863"/>
    <col min="16139" max="16139" width="50.42578125" style="1863" customWidth="1"/>
    <col min="16140" max="16384" width="9.140625" style="1863"/>
  </cols>
  <sheetData>
    <row r="1" spans="1:11">
      <c r="A1" s="1931" t="s">
        <v>2896</v>
      </c>
    </row>
    <row r="2" spans="1:11">
      <c r="A2" s="3342" t="s">
        <v>2897</v>
      </c>
      <c r="B2" s="3343" t="s">
        <v>2898</v>
      </c>
      <c r="C2" s="3343"/>
      <c r="D2" s="3343"/>
      <c r="E2" s="3343"/>
      <c r="F2" s="3343"/>
      <c r="G2" s="3343"/>
      <c r="H2" s="3343"/>
      <c r="I2" s="3343"/>
      <c r="J2" s="3343"/>
      <c r="K2" s="3343"/>
    </row>
    <row r="3" spans="1:11">
      <c r="A3" s="3344" t="s">
        <v>2899</v>
      </c>
      <c r="B3" s="3343" t="s">
        <v>2900</v>
      </c>
      <c r="C3" s="3343"/>
      <c r="D3" s="3343"/>
      <c r="E3" s="3343"/>
      <c r="F3" s="3343"/>
      <c r="G3" s="3343"/>
      <c r="H3" s="3343"/>
      <c r="I3" s="3343"/>
      <c r="J3" s="3343"/>
      <c r="K3" s="3343"/>
    </row>
    <row r="4" spans="1:11">
      <c r="A4" s="3344" t="s">
        <v>2901</v>
      </c>
      <c r="B4" s="3343" t="s">
        <v>2902</v>
      </c>
      <c r="C4" s="3343"/>
      <c r="D4" s="3343"/>
      <c r="E4" s="3343"/>
      <c r="F4" s="3343"/>
      <c r="G4" s="3343"/>
      <c r="H4" s="3343"/>
      <c r="I4" s="3343"/>
      <c r="J4" s="3343"/>
      <c r="K4" s="3343"/>
    </row>
    <row r="5" spans="1:11" ht="30" customHeight="1">
      <c r="A5" s="3344" t="s">
        <v>4067</v>
      </c>
      <c r="B5" s="3344" t="s">
        <v>4068</v>
      </c>
      <c r="C5" s="3343"/>
      <c r="D5" s="3343"/>
      <c r="E5" s="3343"/>
      <c r="F5" s="3343"/>
      <c r="G5" s="3343"/>
      <c r="H5" s="3343"/>
      <c r="I5" s="3343"/>
      <c r="J5" s="3343"/>
      <c r="K5" s="3343"/>
    </row>
    <row r="6" spans="1:11" ht="45" customHeight="1">
      <c r="A6" s="3344" t="s">
        <v>2903</v>
      </c>
      <c r="B6" s="3345" t="s">
        <v>2904</v>
      </c>
      <c r="C6" s="3343"/>
      <c r="D6" s="3343"/>
      <c r="E6" s="3343"/>
      <c r="F6" s="3343"/>
      <c r="G6" s="3343"/>
      <c r="H6" s="3343"/>
      <c r="I6" s="3343"/>
      <c r="J6" s="3343"/>
      <c r="K6" s="3343"/>
    </row>
    <row r="7" spans="1:11" ht="30" customHeight="1">
      <c r="A7" s="3344" t="s">
        <v>2905</v>
      </c>
      <c r="B7" s="3345" t="s">
        <v>2906</v>
      </c>
      <c r="C7" s="3343"/>
      <c r="D7" s="3343"/>
      <c r="E7" s="3343"/>
      <c r="F7" s="3343"/>
      <c r="G7" s="3343"/>
      <c r="H7" s="3343"/>
      <c r="I7" s="3343"/>
      <c r="J7" s="3343"/>
      <c r="K7" s="3343"/>
    </row>
    <row r="8" spans="1:11">
      <c r="A8" s="3342" t="s">
        <v>2907</v>
      </c>
      <c r="B8" s="3343" t="s">
        <v>2908</v>
      </c>
      <c r="C8" s="3343"/>
      <c r="D8" s="3343"/>
      <c r="E8" s="3343"/>
      <c r="F8" s="3343"/>
      <c r="G8" s="3343"/>
      <c r="H8" s="3343"/>
      <c r="I8" s="3343"/>
      <c r="J8" s="3343"/>
      <c r="K8" s="3343"/>
    </row>
    <row r="9" spans="1:11">
      <c r="A9" s="3342" t="s">
        <v>2909</v>
      </c>
      <c r="B9" s="3343" t="s">
        <v>2910</v>
      </c>
      <c r="C9" s="3343"/>
      <c r="D9" s="3343"/>
      <c r="E9" s="3343"/>
      <c r="F9" s="3343"/>
      <c r="G9" s="3343"/>
      <c r="H9" s="3343"/>
      <c r="I9" s="3343"/>
      <c r="J9" s="3343"/>
      <c r="K9" s="3343"/>
    </row>
    <row r="10" spans="1:11">
      <c r="A10" s="3344" t="s">
        <v>2911</v>
      </c>
      <c r="B10" s="3343" t="s">
        <v>2912</v>
      </c>
      <c r="C10" s="3343"/>
      <c r="D10" s="3343"/>
      <c r="E10" s="3343"/>
      <c r="F10" s="3343"/>
      <c r="G10" s="3343"/>
      <c r="H10" s="3343"/>
      <c r="I10" s="3343"/>
      <c r="J10" s="3343"/>
      <c r="K10" s="3343"/>
    </row>
    <row r="11" spans="1:11" ht="45" customHeight="1">
      <c r="A11" s="3344" t="s">
        <v>2913</v>
      </c>
      <c r="B11" s="3345" t="s">
        <v>2914</v>
      </c>
      <c r="C11" s="3345"/>
      <c r="D11" s="3345"/>
      <c r="E11" s="3345"/>
      <c r="F11" s="3345"/>
      <c r="G11" s="3345"/>
      <c r="H11" s="3345"/>
      <c r="I11" s="3345"/>
      <c r="J11" s="3345"/>
      <c r="K11" s="3345"/>
    </row>
    <row r="12" spans="1:11" ht="15" customHeight="1">
      <c r="A12" s="3344" t="s">
        <v>2915</v>
      </c>
      <c r="B12" s="3346" t="s">
        <v>2916</v>
      </c>
      <c r="C12" s="2677"/>
      <c r="D12" s="2677"/>
      <c r="E12" s="2677"/>
      <c r="F12" s="2677"/>
      <c r="G12" s="2677"/>
      <c r="H12" s="2677"/>
      <c r="I12" s="2677"/>
      <c r="J12" s="2677"/>
      <c r="K12" s="3766"/>
    </row>
    <row r="13" spans="1:11" ht="30" customHeight="1">
      <c r="A13" s="3344" t="s">
        <v>2917</v>
      </c>
      <c r="B13" s="3346" t="s">
        <v>2918</v>
      </c>
      <c r="C13" s="2677"/>
      <c r="D13" s="2677"/>
      <c r="E13" s="2677"/>
      <c r="F13" s="2677"/>
      <c r="G13" s="2677"/>
      <c r="H13" s="2677"/>
      <c r="I13" s="2677"/>
      <c r="J13" s="2677"/>
      <c r="K13" s="3766"/>
    </row>
    <row r="14" spans="1:11">
      <c r="A14" s="3342" t="s">
        <v>2919</v>
      </c>
      <c r="B14" s="3343" t="s">
        <v>2920</v>
      </c>
      <c r="C14" s="3343"/>
      <c r="D14" s="3343"/>
      <c r="E14" s="3343"/>
      <c r="F14" s="3343"/>
      <c r="G14" s="3343"/>
      <c r="H14" s="3343"/>
      <c r="I14" s="3343"/>
      <c r="J14" s="3343"/>
      <c r="K14" s="3343"/>
    </row>
    <row r="15" spans="1:11">
      <c r="A15" s="3342" t="s">
        <v>2921</v>
      </c>
      <c r="B15" s="3343" t="s">
        <v>2922</v>
      </c>
      <c r="C15" s="3343"/>
      <c r="D15" s="3343"/>
      <c r="E15" s="3343"/>
      <c r="F15" s="3343"/>
      <c r="G15" s="3343"/>
      <c r="H15" s="3343"/>
      <c r="I15" s="3343"/>
      <c r="J15" s="3343"/>
      <c r="K15" s="3343"/>
    </row>
    <row r="18" spans="1:4" ht="21">
      <c r="A18" s="2496" t="s">
        <v>2923</v>
      </c>
    </row>
    <row r="20" spans="1:4" ht="15.75">
      <c r="A20" s="2497" t="s">
        <v>2924</v>
      </c>
      <c r="B20" s="2497"/>
      <c r="C20" s="2498"/>
    </row>
    <row r="21" spans="1:4">
      <c r="A21" s="3027" t="s">
        <v>4066</v>
      </c>
    </row>
    <row r="23" spans="1:4">
      <c r="A23" s="3347"/>
      <c r="B23" s="2499" t="s">
        <v>2925</v>
      </c>
      <c r="C23" s="2500"/>
      <c r="D23" s="3767" t="s">
        <v>2926</v>
      </c>
    </row>
    <row r="24" spans="1:4">
      <c r="A24" s="2501" t="s">
        <v>2927</v>
      </c>
      <c r="B24" s="3348" t="s">
        <v>2928</v>
      </c>
      <c r="C24" s="3768"/>
      <c r="D24" s="3769" t="s">
        <v>2929</v>
      </c>
    </row>
    <row r="25" spans="1:4">
      <c r="A25" s="2502"/>
      <c r="B25" s="3348" t="s">
        <v>2930</v>
      </c>
      <c r="C25" s="2503"/>
      <c r="D25" s="3769" t="s">
        <v>2931</v>
      </c>
    </row>
    <row r="26" spans="1:4">
      <c r="A26" s="2502"/>
      <c r="B26" s="3348" t="s">
        <v>2932</v>
      </c>
      <c r="C26" s="2503"/>
      <c r="D26" s="3769" t="s">
        <v>2933</v>
      </c>
    </row>
    <row r="27" spans="1:4">
      <c r="A27" s="2502"/>
      <c r="B27" s="3348" t="s">
        <v>2934</v>
      </c>
      <c r="C27" s="2503"/>
      <c r="D27" s="3769" t="s">
        <v>2935</v>
      </c>
    </row>
    <row r="28" spans="1:4">
      <c r="A28" s="2502"/>
      <c r="B28" s="3348" t="s">
        <v>2936</v>
      </c>
      <c r="C28" s="2503"/>
      <c r="D28" s="3769" t="s">
        <v>2937</v>
      </c>
    </row>
    <row r="29" spans="1:4">
      <c r="A29" s="2502"/>
      <c r="B29" s="3348" t="s">
        <v>2938</v>
      </c>
      <c r="C29" s="2503"/>
      <c r="D29" s="3769" t="s">
        <v>2939</v>
      </c>
    </row>
    <row r="30" spans="1:4">
      <c r="A30" s="2502"/>
      <c r="B30" s="3348" t="s">
        <v>2940</v>
      </c>
      <c r="C30" s="2503"/>
      <c r="D30" s="3769" t="s">
        <v>2941</v>
      </c>
    </row>
    <row r="31" spans="1:4">
      <c r="A31" s="2502"/>
      <c r="B31" s="3348" t="s">
        <v>2942</v>
      </c>
      <c r="C31" s="2503"/>
      <c r="D31" s="3769" t="s">
        <v>2943</v>
      </c>
    </row>
    <row r="32" spans="1:4">
      <c r="A32" s="2502"/>
      <c r="B32" s="3348" t="s">
        <v>2944</v>
      </c>
      <c r="C32" s="2503"/>
      <c r="D32" s="3769" t="s">
        <v>2945</v>
      </c>
    </row>
    <row r="33" spans="1:4">
      <c r="A33" s="2502"/>
      <c r="B33" s="3348" t="s">
        <v>2946</v>
      </c>
      <c r="C33" s="2503"/>
      <c r="D33" s="3769" t="s">
        <v>2947</v>
      </c>
    </row>
    <row r="34" spans="1:4">
      <c r="A34" s="2502"/>
      <c r="B34" s="3348" t="s">
        <v>2948</v>
      </c>
      <c r="C34" s="2503"/>
      <c r="D34" s="3769"/>
    </row>
    <row r="35" spans="1:4">
      <c r="A35" s="2502"/>
      <c r="B35" s="3348" t="s">
        <v>2949</v>
      </c>
      <c r="C35" s="2503"/>
      <c r="D35" s="3769"/>
    </row>
    <row r="36" spans="1:4">
      <c r="A36" s="2502"/>
      <c r="B36" s="3348" t="s">
        <v>2950</v>
      </c>
      <c r="C36" s="2503"/>
      <c r="D36" s="3769"/>
    </row>
    <row r="37" spans="1:4">
      <c r="A37" s="2502"/>
      <c r="B37" s="3348" t="s">
        <v>2951</v>
      </c>
      <c r="C37" s="2503"/>
      <c r="D37" s="3769"/>
    </row>
    <row r="38" spans="1:4">
      <c r="A38" s="2502"/>
      <c r="B38" s="3348" t="s">
        <v>2952</v>
      </c>
      <c r="C38" s="2503"/>
      <c r="D38" s="3769"/>
    </row>
    <row r="39" spans="1:4">
      <c r="A39" s="2502"/>
      <c r="B39" s="3348" t="s">
        <v>2953</v>
      </c>
      <c r="C39" s="2503"/>
      <c r="D39" s="3769"/>
    </row>
    <row r="40" spans="1:4">
      <c r="A40" s="2502"/>
      <c r="B40" s="3348" t="s">
        <v>2954</v>
      </c>
      <c r="C40" s="2503"/>
      <c r="D40" s="3769"/>
    </row>
    <row r="41" spans="1:4">
      <c r="A41" s="2502"/>
      <c r="B41" s="3348" t="s">
        <v>2955</v>
      </c>
      <c r="C41" s="2503"/>
      <c r="D41" s="3769"/>
    </row>
    <row r="42" spans="1:4">
      <c r="A42" s="2502"/>
      <c r="B42" s="3348" t="s">
        <v>2956</v>
      </c>
      <c r="C42" s="2503"/>
      <c r="D42" s="3769"/>
    </row>
    <row r="43" spans="1:4">
      <c r="A43" s="2502"/>
      <c r="B43" s="3348" t="s">
        <v>2957</v>
      </c>
      <c r="C43" s="2503"/>
      <c r="D43" s="3769"/>
    </row>
    <row r="44" spans="1:4">
      <c r="A44" s="2502"/>
      <c r="B44" s="3348" t="s">
        <v>2958</v>
      </c>
      <c r="C44" s="2503"/>
      <c r="D44" s="3769"/>
    </row>
    <row r="45" spans="1:4">
      <c r="A45" s="2502"/>
      <c r="B45" s="3348" t="s">
        <v>2959</v>
      </c>
      <c r="C45" s="2503"/>
      <c r="D45" s="3769"/>
    </row>
    <row r="46" spans="1:4">
      <c r="A46" s="2502"/>
      <c r="B46" s="3348" t="s">
        <v>2960</v>
      </c>
      <c r="C46" s="2503"/>
      <c r="D46" s="3769"/>
    </row>
    <row r="47" spans="1:4">
      <c r="A47" s="2502"/>
      <c r="B47" s="3348" t="s">
        <v>2961</v>
      </c>
      <c r="C47" s="2504"/>
      <c r="D47" s="3769"/>
    </row>
    <row r="48" spans="1:4">
      <c r="A48" s="3347"/>
      <c r="B48" s="2499" t="s">
        <v>2962</v>
      </c>
      <c r="C48" s="2500"/>
      <c r="D48" s="3767" t="s">
        <v>2963</v>
      </c>
    </row>
    <row r="49" spans="1:4">
      <c r="A49" s="3770" t="s">
        <v>2964</v>
      </c>
      <c r="B49" s="3349" t="s">
        <v>2965</v>
      </c>
      <c r="C49" s="3771"/>
      <c r="D49" s="3772" t="s">
        <v>2966</v>
      </c>
    </row>
    <row r="50" spans="1:4">
      <c r="A50" s="2502"/>
      <c r="B50" s="3349" t="s">
        <v>2967</v>
      </c>
      <c r="C50" s="2505"/>
      <c r="D50" s="3772" t="s">
        <v>2937</v>
      </c>
    </row>
    <row r="51" spans="1:4">
      <c r="A51" s="2502"/>
      <c r="B51" s="3349" t="s">
        <v>2968</v>
      </c>
      <c r="C51" s="2505"/>
      <c r="D51" s="3772"/>
    </row>
    <row r="52" spans="1:4">
      <c r="A52" s="2502"/>
      <c r="B52" s="3349" t="s">
        <v>2969</v>
      </c>
      <c r="C52" s="2505"/>
      <c r="D52" s="3772"/>
    </row>
    <row r="53" spans="1:4">
      <c r="A53" s="2502"/>
      <c r="B53" s="3349" t="s">
        <v>2970</v>
      </c>
      <c r="C53" s="2505"/>
      <c r="D53" s="3772"/>
    </row>
    <row r="54" spans="1:4">
      <c r="A54" s="2502"/>
      <c r="B54" s="3349" t="s">
        <v>2971</v>
      </c>
      <c r="C54" s="2505"/>
      <c r="D54" s="3772"/>
    </row>
    <row r="55" spans="1:4">
      <c r="A55" s="2502"/>
      <c r="B55" s="3349" t="s">
        <v>2972</v>
      </c>
      <c r="C55" s="2505"/>
      <c r="D55" s="3772"/>
    </row>
    <row r="56" spans="1:4">
      <c r="A56" s="2502"/>
      <c r="B56" s="3349" t="s">
        <v>2973</v>
      </c>
      <c r="C56" s="2505"/>
      <c r="D56" s="3772"/>
    </row>
    <row r="57" spans="1:4">
      <c r="A57" s="2502"/>
      <c r="B57" s="3349" t="s">
        <v>2974</v>
      </c>
      <c r="C57" s="2505"/>
      <c r="D57" s="3772"/>
    </row>
    <row r="58" spans="1:4">
      <c r="A58" s="2502"/>
      <c r="B58" s="3349" t="s">
        <v>2975</v>
      </c>
      <c r="C58" s="2505"/>
      <c r="D58" s="3772"/>
    </row>
    <row r="59" spans="1:4">
      <c r="A59" s="2502"/>
      <c r="B59" s="3349" t="s">
        <v>2976</v>
      </c>
      <c r="C59" s="2505"/>
      <c r="D59" s="3772"/>
    </row>
    <row r="60" spans="1:4">
      <c r="A60" s="2502"/>
      <c r="B60" s="3349" t="s">
        <v>2977</v>
      </c>
      <c r="C60" s="2505"/>
      <c r="D60" s="3772"/>
    </row>
    <row r="61" spans="1:4">
      <c r="A61" s="2502"/>
      <c r="B61" s="3349" t="s">
        <v>2978</v>
      </c>
      <c r="C61" s="2505"/>
      <c r="D61" s="3772"/>
    </row>
    <row r="62" spans="1:4">
      <c r="A62" s="2502"/>
      <c r="B62" s="3349" t="s">
        <v>2979</v>
      </c>
      <c r="C62" s="2505"/>
      <c r="D62" s="3772"/>
    </row>
    <row r="63" spans="1:4">
      <c r="A63" s="2502"/>
      <c r="B63" s="3349" t="s">
        <v>2980</v>
      </c>
      <c r="C63" s="2505"/>
      <c r="D63" s="3772"/>
    </row>
    <row r="64" spans="1:4">
      <c r="A64" s="2502"/>
      <c r="B64" s="3349" t="s">
        <v>2981</v>
      </c>
      <c r="C64" s="2505"/>
      <c r="D64" s="3772"/>
    </row>
    <row r="65" spans="1:4">
      <c r="A65" s="2502"/>
      <c r="B65" s="3349" t="s">
        <v>2982</v>
      </c>
      <c r="C65" s="2505"/>
      <c r="D65" s="3772"/>
    </row>
    <row r="66" spans="1:4">
      <c r="A66" s="2502"/>
      <c r="B66" s="3349" t="s">
        <v>2983</v>
      </c>
      <c r="C66" s="2505"/>
      <c r="D66" s="3772"/>
    </row>
    <row r="67" spans="1:4">
      <c r="A67" s="2502"/>
      <c r="B67" s="3349" t="s">
        <v>2984</v>
      </c>
      <c r="C67" s="2505"/>
      <c r="D67" s="3772"/>
    </row>
    <row r="68" spans="1:4">
      <c r="A68" s="2502"/>
      <c r="B68" s="3349" t="s">
        <v>2985</v>
      </c>
      <c r="C68" s="2505"/>
      <c r="D68" s="3772"/>
    </row>
    <row r="69" spans="1:4">
      <c r="A69" s="2502"/>
      <c r="B69" s="3349" t="s">
        <v>2986</v>
      </c>
      <c r="C69" s="2505"/>
      <c r="D69" s="3772"/>
    </row>
    <row r="70" spans="1:4">
      <c r="A70" s="2502"/>
      <c r="B70" s="3349" t="s">
        <v>2987</v>
      </c>
      <c r="C70" s="2505"/>
      <c r="D70" s="3772"/>
    </row>
    <row r="71" spans="1:4">
      <c r="A71" s="2502"/>
      <c r="B71" s="3349" t="s">
        <v>2988</v>
      </c>
      <c r="C71" s="2505"/>
      <c r="D71" s="3772"/>
    </row>
    <row r="72" spans="1:4">
      <c r="A72" s="2502"/>
      <c r="B72" s="3349" t="s">
        <v>2989</v>
      </c>
      <c r="C72" s="2505"/>
      <c r="D72" s="3772"/>
    </row>
    <row r="73" spans="1:4">
      <c r="A73" s="2502"/>
      <c r="B73" s="3349" t="s">
        <v>2990</v>
      </c>
      <c r="C73" s="2505"/>
      <c r="D73" s="3772"/>
    </row>
    <row r="74" spans="1:4">
      <c r="A74" s="2502"/>
      <c r="B74" s="3349" t="s">
        <v>2991</v>
      </c>
      <c r="C74" s="2505"/>
      <c r="D74" s="3772"/>
    </row>
    <row r="75" spans="1:4">
      <c r="A75" s="2502"/>
      <c r="B75" s="3349" t="s">
        <v>2992</v>
      </c>
      <c r="C75" s="2505"/>
      <c r="D75" s="3772"/>
    </row>
    <row r="76" spans="1:4">
      <c r="A76" s="2502"/>
      <c r="B76" s="3349" t="s">
        <v>2993</v>
      </c>
      <c r="C76" s="2505"/>
      <c r="D76" s="3772"/>
    </row>
    <row r="77" spans="1:4">
      <c r="A77" s="2502"/>
      <c r="B77" s="3349" t="s">
        <v>2994</v>
      </c>
      <c r="C77" s="2505"/>
      <c r="D77" s="3772"/>
    </row>
    <row r="78" spans="1:4">
      <c r="A78" s="2502"/>
      <c r="B78" s="3349" t="s">
        <v>2995</v>
      </c>
      <c r="C78" s="2505"/>
      <c r="D78" s="3772"/>
    </row>
    <row r="79" spans="1:4">
      <c r="A79" s="2502"/>
      <c r="B79" s="3349" t="s">
        <v>2996</v>
      </c>
      <c r="C79" s="2505"/>
      <c r="D79" s="3772"/>
    </row>
    <row r="80" spans="1:4">
      <c r="A80" s="2502"/>
      <c r="B80" s="3349" t="s">
        <v>2997</v>
      </c>
      <c r="C80" s="2505"/>
      <c r="D80" s="3772"/>
    </row>
    <row r="81" spans="1:4">
      <c r="A81" s="2502"/>
      <c r="B81" s="3349" t="s">
        <v>2998</v>
      </c>
      <c r="C81" s="2505"/>
      <c r="D81" s="3772"/>
    </row>
    <row r="82" spans="1:4">
      <c r="A82" s="2502"/>
      <c r="B82" s="3349" t="s">
        <v>2999</v>
      </c>
      <c r="C82" s="2505"/>
      <c r="D82" s="3772"/>
    </row>
    <row r="83" spans="1:4">
      <c r="A83" s="2502"/>
      <c r="B83" s="3349" t="s">
        <v>3000</v>
      </c>
      <c r="C83" s="2505"/>
      <c r="D83" s="3772"/>
    </row>
    <row r="84" spans="1:4">
      <c r="A84" s="2502"/>
      <c r="B84" s="3349" t="s">
        <v>3001</v>
      </c>
      <c r="C84" s="2505"/>
      <c r="D84" s="3772"/>
    </row>
    <row r="85" spans="1:4">
      <c r="A85" s="2502"/>
      <c r="B85" s="3349" t="s">
        <v>3002</v>
      </c>
      <c r="C85" s="2505"/>
      <c r="D85" s="3772"/>
    </row>
    <row r="86" spans="1:4">
      <c r="A86" s="2502"/>
      <c r="B86" s="3349" t="s">
        <v>3003</v>
      </c>
      <c r="C86" s="2505"/>
      <c r="D86" s="3772"/>
    </row>
    <row r="87" spans="1:4">
      <c r="A87" s="2502"/>
      <c r="B87" s="3349" t="s">
        <v>3004</v>
      </c>
      <c r="C87" s="2505"/>
      <c r="D87" s="3772"/>
    </row>
    <row r="88" spans="1:4">
      <c r="A88" s="2502"/>
      <c r="B88" s="3349" t="s">
        <v>3005</v>
      </c>
      <c r="C88" s="2505"/>
      <c r="D88" s="3772"/>
    </row>
    <row r="89" spans="1:4">
      <c r="A89" s="2502"/>
      <c r="B89" s="3349" t="s">
        <v>3006</v>
      </c>
      <c r="C89" s="2505"/>
      <c r="D89" s="3772"/>
    </row>
    <row r="90" spans="1:4">
      <c r="A90" s="2502"/>
      <c r="B90" s="3349" t="s">
        <v>3007</v>
      </c>
      <c r="C90" s="2505"/>
      <c r="D90" s="3772"/>
    </row>
    <row r="91" spans="1:4">
      <c r="A91" s="2502"/>
      <c r="B91" s="3349" t="s">
        <v>3008</v>
      </c>
      <c r="C91" s="2505"/>
      <c r="D91" s="3772"/>
    </row>
    <row r="92" spans="1:4">
      <c r="A92" s="2502"/>
      <c r="B92" s="3349" t="s">
        <v>3009</v>
      </c>
      <c r="C92" s="2505"/>
      <c r="D92" s="3772"/>
    </row>
    <row r="93" spans="1:4">
      <c r="A93" s="2502"/>
      <c r="B93" s="3349" t="s">
        <v>3010</v>
      </c>
      <c r="C93" s="2505"/>
      <c r="D93" s="3772"/>
    </row>
    <row r="94" spans="1:4">
      <c r="A94" s="2502"/>
      <c r="B94" s="3349" t="s">
        <v>3011</v>
      </c>
      <c r="C94" s="2505"/>
      <c r="D94" s="3772"/>
    </row>
    <row r="95" spans="1:4">
      <c r="A95" s="2502"/>
      <c r="B95" s="3349" t="s">
        <v>3012</v>
      </c>
      <c r="C95" s="2505"/>
      <c r="D95" s="3772"/>
    </row>
    <row r="96" spans="1:4">
      <c r="A96" s="2502"/>
      <c r="B96" s="3349" t="s">
        <v>3013</v>
      </c>
      <c r="C96" s="2505"/>
      <c r="D96" s="3772"/>
    </row>
    <row r="97" spans="1:4">
      <c r="A97" s="2502"/>
      <c r="B97" s="3349" t="s">
        <v>3014</v>
      </c>
      <c r="C97" s="2505"/>
      <c r="D97" s="3772"/>
    </row>
    <row r="98" spans="1:4">
      <c r="A98" s="2502"/>
      <c r="B98" s="3349" t="s">
        <v>3015</v>
      </c>
      <c r="C98" s="2505"/>
      <c r="D98" s="3772"/>
    </row>
    <row r="99" spans="1:4">
      <c r="A99" s="2502"/>
      <c r="B99" s="3349" t="s">
        <v>3016</v>
      </c>
      <c r="C99" s="2505"/>
      <c r="D99" s="3772"/>
    </row>
    <row r="100" spans="1:4">
      <c r="A100" s="2502"/>
      <c r="B100" s="3349" t="s">
        <v>3017</v>
      </c>
      <c r="C100" s="2505"/>
      <c r="D100" s="3772"/>
    </row>
    <row r="101" spans="1:4">
      <c r="A101" s="2502"/>
      <c r="B101" s="3349" t="s">
        <v>3018</v>
      </c>
      <c r="C101" s="2505"/>
      <c r="D101" s="3772"/>
    </row>
    <row r="102" spans="1:4">
      <c r="A102" s="2502"/>
      <c r="B102" s="3349" t="s">
        <v>3019</v>
      </c>
      <c r="C102" s="2505"/>
      <c r="D102" s="3772"/>
    </row>
    <row r="103" spans="1:4">
      <c r="A103" s="2502"/>
      <c r="B103" s="3349" t="s">
        <v>2952</v>
      </c>
      <c r="C103" s="2505"/>
      <c r="D103" s="3772"/>
    </row>
    <row r="104" spans="1:4">
      <c r="A104" s="2502"/>
      <c r="B104" s="3349" t="s">
        <v>3020</v>
      </c>
      <c r="C104" s="2505"/>
      <c r="D104" s="3772"/>
    </row>
    <row r="105" spans="1:4">
      <c r="A105" s="2502"/>
      <c r="B105" s="3349" t="s">
        <v>3021</v>
      </c>
      <c r="C105" s="2505"/>
      <c r="D105" s="3772"/>
    </row>
    <row r="106" spans="1:4">
      <c r="A106" s="2502"/>
      <c r="B106" s="3349" t="s">
        <v>3022</v>
      </c>
      <c r="C106" s="2505"/>
      <c r="D106" s="3772"/>
    </row>
    <row r="107" spans="1:4">
      <c r="A107" s="2502"/>
      <c r="B107" s="3349" t="s">
        <v>3023</v>
      </c>
      <c r="C107" s="2505"/>
      <c r="D107" s="3772"/>
    </row>
    <row r="108" spans="1:4">
      <c r="A108" s="2502"/>
      <c r="B108" s="3349" t="s">
        <v>3024</v>
      </c>
      <c r="C108" s="2505"/>
      <c r="D108" s="3772"/>
    </row>
    <row r="109" spans="1:4">
      <c r="A109" s="2502"/>
      <c r="B109" s="3349" t="s">
        <v>3025</v>
      </c>
      <c r="C109" s="2505"/>
      <c r="D109" s="3772"/>
    </row>
    <row r="110" spans="1:4">
      <c r="A110" s="2502"/>
      <c r="B110" s="3349" t="s">
        <v>3026</v>
      </c>
      <c r="C110" s="2505"/>
      <c r="D110" s="3772"/>
    </row>
    <row r="111" spans="1:4">
      <c r="A111" s="2502"/>
      <c r="B111" s="3349" t="s">
        <v>3027</v>
      </c>
      <c r="C111" s="2505"/>
      <c r="D111" s="3772"/>
    </row>
    <row r="112" spans="1:4">
      <c r="A112" s="2502"/>
      <c r="B112" s="3349" t="s">
        <v>3028</v>
      </c>
      <c r="C112" s="2505"/>
      <c r="D112" s="3772"/>
    </row>
    <row r="113" spans="1:4">
      <c r="A113" s="2502"/>
      <c r="B113" s="3349" t="s">
        <v>3029</v>
      </c>
      <c r="C113" s="2505"/>
      <c r="D113" s="3772"/>
    </row>
    <row r="114" spans="1:4">
      <c r="A114" s="2502"/>
      <c r="B114" s="3349" t="s">
        <v>3030</v>
      </c>
      <c r="C114" s="2505"/>
      <c r="D114" s="3772"/>
    </row>
    <row r="115" spans="1:4">
      <c r="A115" s="2502"/>
      <c r="B115" s="3349" t="s">
        <v>2959</v>
      </c>
      <c r="C115" s="2505"/>
      <c r="D115" s="3772"/>
    </row>
    <row r="116" spans="1:4">
      <c r="A116" s="2502"/>
      <c r="B116" s="3349" t="s">
        <v>3031</v>
      </c>
      <c r="C116" s="2505"/>
      <c r="D116" s="3772"/>
    </row>
    <row r="117" spans="1:4">
      <c r="A117" s="2502"/>
      <c r="B117" s="3349" t="s">
        <v>3032</v>
      </c>
      <c r="C117" s="2506"/>
      <c r="D117" s="3772"/>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66FF99"/>
    <pageSetUpPr fitToPage="1"/>
  </sheetPr>
  <dimension ref="A1:P18"/>
  <sheetViews>
    <sheetView workbookViewId="0"/>
  </sheetViews>
  <sheetFormatPr defaultRowHeight="15"/>
  <cols>
    <col min="1" max="1" width="20.5703125" style="1863" customWidth="1"/>
    <col min="2" max="2" width="20.140625" style="1863" customWidth="1"/>
    <col min="3" max="3" width="18.42578125" style="1863" customWidth="1"/>
    <col min="4" max="4" width="21.28515625" style="1863" customWidth="1"/>
    <col min="5" max="5" width="21.140625" style="1863" customWidth="1"/>
    <col min="6" max="6" width="19.7109375" style="1863" customWidth="1"/>
    <col min="7" max="7" width="19.140625" style="1863" bestFit="1" customWidth="1"/>
    <col min="8" max="8" width="25" style="1863" bestFit="1" customWidth="1"/>
    <col min="9" max="9" width="21.140625" style="1863" bestFit="1" customWidth="1"/>
    <col min="10" max="10" width="22.42578125" style="1863" bestFit="1" customWidth="1"/>
    <col min="11" max="11" width="22.140625" style="1863" bestFit="1" customWidth="1"/>
    <col min="12" max="13" width="22.140625" style="1863" customWidth="1"/>
    <col min="14" max="14" width="20.85546875" style="1863" bestFit="1" customWidth="1"/>
    <col min="15" max="15" width="15.140625" style="1863" bestFit="1" customWidth="1"/>
    <col min="16" max="16" width="9.28515625" style="1863" bestFit="1" customWidth="1"/>
    <col min="17" max="256" width="9.140625" style="1863"/>
    <col min="257" max="257" width="9.28515625" style="1863" bestFit="1" customWidth="1"/>
    <col min="258" max="258" width="12" style="1863" bestFit="1" customWidth="1"/>
    <col min="259" max="259" width="12.5703125" style="1863" bestFit="1" customWidth="1"/>
    <col min="260" max="260" width="20.28515625" style="1863" bestFit="1" customWidth="1"/>
    <col min="261" max="261" width="18.28515625" style="1863" bestFit="1" customWidth="1"/>
    <col min="262" max="262" width="18.42578125" style="1863" bestFit="1" customWidth="1"/>
    <col min="263" max="263" width="19.140625" style="1863" bestFit="1" customWidth="1"/>
    <col min="264" max="264" width="25" style="1863" bestFit="1" customWidth="1"/>
    <col min="265" max="265" width="21.140625" style="1863" bestFit="1" customWidth="1"/>
    <col min="266" max="266" width="22.42578125" style="1863" bestFit="1" customWidth="1"/>
    <col min="267" max="267" width="22.140625" style="1863" bestFit="1" customWidth="1"/>
    <col min="268" max="269" width="22.140625" style="1863" customWidth="1"/>
    <col min="270" max="270" width="20.85546875" style="1863" bestFit="1" customWidth="1"/>
    <col min="271" max="271" width="15.140625" style="1863" bestFit="1" customWidth="1"/>
    <col min="272" max="272" width="9.28515625" style="1863" bestFit="1" customWidth="1"/>
    <col min="273" max="512" width="9.140625" style="1863"/>
    <col min="513" max="513" width="9.28515625" style="1863" bestFit="1" customWidth="1"/>
    <col min="514" max="514" width="12" style="1863" bestFit="1" customWidth="1"/>
    <col min="515" max="515" width="12.5703125" style="1863" bestFit="1" customWidth="1"/>
    <col min="516" max="516" width="20.28515625" style="1863" bestFit="1" customWidth="1"/>
    <col min="517" max="517" width="18.28515625" style="1863" bestFit="1" customWidth="1"/>
    <col min="518" max="518" width="18.42578125" style="1863" bestFit="1" customWidth="1"/>
    <col min="519" max="519" width="19.140625" style="1863" bestFit="1" customWidth="1"/>
    <col min="520" max="520" width="25" style="1863" bestFit="1" customWidth="1"/>
    <col min="521" max="521" width="21.140625" style="1863" bestFit="1" customWidth="1"/>
    <col min="522" max="522" width="22.42578125" style="1863" bestFit="1" customWidth="1"/>
    <col min="523" max="523" width="22.140625" style="1863" bestFit="1" customWidth="1"/>
    <col min="524" max="525" width="22.140625" style="1863" customWidth="1"/>
    <col min="526" max="526" width="20.85546875" style="1863" bestFit="1" customWidth="1"/>
    <col min="527" max="527" width="15.140625" style="1863" bestFit="1" customWidth="1"/>
    <col min="528" max="528" width="9.28515625" style="1863" bestFit="1" customWidth="1"/>
    <col min="529" max="768" width="9.140625" style="1863"/>
    <col min="769" max="769" width="9.28515625" style="1863" bestFit="1" customWidth="1"/>
    <col min="770" max="770" width="12" style="1863" bestFit="1" customWidth="1"/>
    <col min="771" max="771" width="12.5703125" style="1863" bestFit="1" customWidth="1"/>
    <col min="772" max="772" width="20.28515625" style="1863" bestFit="1" customWidth="1"/>
    <col min="773" max="773" width="18.28515625" style="1863" bestFit="1" customWidth="1"/>
    <col min="774" max="774" width="18.42578125" style="1863" bestFit="1" customWidth="1"/>
    <col min="775" max="775" width="19.140625" style="1863" bestFit="1" customWidth="1"/>
    <col min="776" max="776" width="25" style="1863" bestFit="1" customWidth="1"/>
    <col min="777" max="777" width="21.140625" style="1863" bestFit="1" customWidth="1"/>
    <col min="778" max="778" width="22.42578125" style="1863" bestFit="1" customWidth="1"/>
    <col min="779" max="779" width="22.140625" style="1863" bestFit="1" customWidth="1"/>
    <col min="780" max="781" width="22.140625" style="1863" customWidth="1"/>
    <col min="782" max="782" width="20.85546875" style="1863" bestFit="1" customWidth="1"/>
    <col min="783" max="783" width="15.140625" style="1863" bestFit="1" customWidth="1"/>
    <col min="784" max="784" width="9.28515625" style="1863" bestFit="1" customWidth="1"/>
    <col min="785" max="1024" width="9.140625" style="1863"/>
    <col min="1025" max="1025" width="9.28515625" style="1863" bestFit="1" customWidth="1"/>
    <col min="1026" max="1026" width="12" style="1863" bestFit="1" customWidth="1"/>
    <col min="1027" max="1027" width="12.5703125" style="1863" bestFit="1" customWidth="1"/>
    <col min="1028" max="1028" width="20.28515625" style="1863" bestFit="1" customWidth="1"/>
    <col min="1029" max="1029" width="18.28515625" style="1863" bestFit="1" customWidth="1"/>
    <col min="1030" max="1030" width="18.42578125" style="1863" bestFit="1" customWidth="1"/>
    <col min="1031" max="1031" width="19.140625" style="1863" bestFit="1" customWidth="1"/>
    <col min="1032" max="1032" width="25" style="1863" bestFit="1" customWidth="1"/>
    <col min="1033" max="1033" width="21.140625" style="1863" bestFit="1" customWidth="1"/>
    <col min="1034" max="1034" width="22.42578125" style="1863" bestFit="1" customWidth="1"/>
    <col min="1035" max="1035" width="22.140625" style="1863" bestFit="1" customWidth="1"/>
    <col min="1036" max="1037" width="22.140625" style="1863" customWidth="1"/>
    <col min="1038" max="1038" width="20.85546875" style="1863" bestFit="1" customWidth="1"/>
    <col min="1039" max="1039" width="15.140625" style="1863" bestFit="1" customWidth="1"/>
    <col min="1040" max="1040" width="9.28515625" style="1863" bestFit="1" customWidth="1"/>
    <col min="1041" max="1280" width="9.140625" style="1863"/>
    <col min="1281" max="1281" width="9.28515625" style="1863" bestFit="1" customWidth="1"/>
    <col min="1282" max="1282" width="12" style="1863" bestFit="1" customWidth="1"/>
    <col min="1283" max="1283" width="12.5703125" style="1863" bestFit="1" customWidth="1"/>
    <col min="1284" max="1284" width="20.28515625" style="1863" bestFit="1" customWidth="1"/>
    <col min="1285" max="1285" width="18.28515625" style="1863" bestFit="1" customWidth="1"/>
    <col min="1286" max="1286" width="18.42578125" style="1863" bestFit="1" customWidth="1"/>
    <col min="1287" max="1287" width="19.140625" style="1863" bestFit="1" customWidth="1"/>
    <col min="1288" max="1288" width="25" style="1863" bestFit="1" customWidth="1"/>
    <col min="1289" max="1289" width="21.140625" style="1863" bestFit="1" customWidth="1"/>
    <col min="1290" max="1290" width="22.42578125" style="1863" bestFit="1" customWidth="1"/>
    <col min="1291" max="1291" width="22.140625" style="1863" bestFit="1" customWidth="1"/>
    <col min="1292" max="1293" width="22.140625" style="1863" customWidth="1"/>
    <col min="1294" max="1294" width="20.85546875" style="1863" bestFit="1" customWidth="1"/>
    <col min="1295" max="1295" width="15.140625" style="1863" bestFit="1" customWidth="1"/>
    <col min="1296" max="1296" width="9.28515625" style="1863" bestFit="1" customWidth="1"/>
    <col min="1297" max="1536" width="9.140625" style="1863"/>
    <col min="1537" max="1537" width="9.28515625" style="1863" bestFit="1" customWidth="1"/>
    <col min="1538" max="1538" width="12" style="1863" bestFit="1" customWidth="1"/>
    <col min="1539" max="1539" width="12.5703125" style="1863" bestFit="1" customWidth="1"/>
    <col min="1540" max="1540" width="20.28515625" style="1863" bestFit="1" customWidth="1"/>
    <col min="1541" max="1541" width="18.28515625" style="1863" bestFit="1" customWidth="1"/>
    <col min="1542" max="1542" width="18.42578125" style="1863" bestFit="1" customWidth="1"/>
    <col min="1543" max="1543" width="19.140625" style="1863" bestFit="1" customWidth="1"/>
    <col min="1544" max="1544" width="25" style="1863" bestFit="1" customWidth="1"/>
    <col min="1545" max="1545" width="21.140625" style="1863" bestFit="1" customWidth="1"/>
    <col min="1546" max="1546" width="22.42578125" style="1863" bestFit="1" customWidth="1"/>
    <col min="1547" max="1547" width="22.140625" style="1863" bestFit="1" customWidth="1"/>
    <col min="1548" max="1549" width="22.140625" style="1863" customWidth="1"/>
    <col min="1550" max="1550" width="20.85546875" style="1863" bestFit="1" customWidth="1"/>
    <col min="1551" max="1551" width="15.140625" style="1863" bestFit="1" customWidth="1"/>
    <col min="1552" max="1552" width="9.28515625" style="1863" bestFit="1" customWidth="1"/>
    <col min="1553" max="1792" width="9.140625" style="1863"/>
    <col min="1793" max="1793" width="9.28515625" style="1863" bestFit="1" customWidth="1"/>
    <col min="1794" max="1794" width="12" style="1863" bestFit="1" customWidth="1"/>
    <col min="1795" max="1795" width="12.5703125" style="1863" bestFit="1" customWidth="1"/>
    <col min="1796" max="1796" width="20.28515625" style="1863" bestFit="1" customWidth="1"/>
    <col min="1797" max="1797" width="18.28515625" style="1863" bestFit="1" customWidth="1"/>
    <col min="1798" max="1798" width="18.42578125" style="1863" bestFit="1" customWidth="1"/>
    <col min="1799" max="1799" width="19.140625" style="1863" bestFit="1" customWidth="1"/>
    <col min="1800" max="1800" width="25" style="1863" bestFit="1" customWidth="1"/>
    <col min="1801" max="1801" width="21.140625" style="1863" bestFit="1" customWidth="1"/>
    <col min="1802" max="1802" width="22.42578125" style="1863" bestFit="1" customWidth="1"/>
    <col min="1803" max="1803" width="22.140625" style="1863" bestFit="1" customWidth="1"/>
    <col min="1804" max="1805" width="22.140625" style="1863" customWidth="1"/>
    <col min="1806" max="1806" width="20.85546875" style="1863" bestFit="1" customWidth="1"/>
    <col min="1807" max="1807" width="15.140625" style="1863" bestFit="1" customWidth="1"/>
    <col min="1808" max="1808" width="9.28515625" style="1863" bestFit="1" customWidth="1"/>
    <col min="1809" max="2048" width="9.140625" style="1863"/>
    <col min="2049" max="2049" width="9.28515625" style="1863" bestFit="1" customWidth="1"/>
    <col min="2050" max="2050" width="12" style="1863" bestFit="1" customWidth="1"/>
    <col min="2051" max="2051" width="12.5703125" style="1863" bestFit="1" customWidth="1"/>
    <col min="2052" max="2052" width="20.28515625" style="1863" bestFit="1" customWidth="1"/>
    <col min="2053" max="2053" width="18.28515625" style="1863" bestFit="1" customWidth="1"/>
    <col min="2054" max="2054" width="18.42578125" style="1863" bestFit="1" customWidth="1"/>
    <col min="2055" max="2055" width="19.140625" style="1863" bestFit="1" customWidth="1"/>
    <col min="2056" max="2056" width="25" style="1863" bestFit="1" customWidth="1"/>
    <col min="2057" max="2057" width="21.140625" style="1863" bestFit="1" customWidth="1"/>
    <col min="2058" max="2058" width="22.42578125" style="1863" bestFit="1" customWidth="1"/>
    <col min="2059" max="2059" width="22.140625" style="1863" bestFit="1" customWidth="1"/>
    <col min="2060" max="2061" width="22.140625" style="1863" customWidth="1"/>
    <col min="2062" max="2062" width="20.85546875" style="1863" bestFit="1" customWidth="1"/>
    <col min="2063" max="2063" width="15.140625" style="1863" bestFit="1" customWidth="1"/>
    <col min="2064" max="2064" width="9.28515625" style="1863" bestFit="1" customWidth="1"/>
    <col min="2065" max="2304" width="9.140625" style="1863"/>
    <col min="2305" max="2305" width="9.28515625" style="1863" bestFit="1" customWidth="1"/>
    <col min="2306" max="2306" width="12" style="1863" bestFit="1" customWidth="1"/>
    <col min="2307" max="2307" width="12.5703125" style="1863" bestFit="1" customWidth="1"/>
    <col min="2308" max="2308" width="20.28515625" style="1863" bestFit="1" customWidth="1"/>
    <col min="2309" max="2309" width="18.28515625" style="1863" bestFit="1" customWidth="1"/>
    <col min="2310" max="2310" width="18.42578125" style="1863" bestFit="1" customWidth="1"/>
    <col min="2311" max="2311" width="19.140625" style="1863" bestFit="1" customWidth="1"/>
    <col min="2312" max="2312" width="25" style="1863" bestFit="1" customWidth="1"/>
    <col min="2313" max="2313" width="21.140625" style="1863" bestFit="1" customWidth="1"/>
    <col min="2314" max="2314" width="22.42578125" style="1863" bestFit="1" customWidth="1"/>
    <col min="2315" max="2315" width="22.140625" style="1863" bestFit="1" customWidth="1"/>
    <col min="2316" max="2317" width="22.140625" style="1863" customWidth="1"/>
    <col min="2318" max="2318" width="20.85546875" style="1863" bestFit="1" customWidth="1"/>
    <col min="2319" max="2319" width="15.140625" style="1863" bestFit="1" customWidth="1"/>
    <col min="2320" max="2320" width="9.28515625" style="1863" bestFit="1" customWidth="1"/>
    <col min="2321" max="2560" width="9.140625" style="1863"/>
    <col min="2561" max="2561" width="9.28515625" style="1863" bestFit="1" customWidth="1"/>
    <col min="2562" max="2562" width="12" style="1863" bestFit="1" customWidth="1"/>
    <col min="2563" max="2563" width="12.5703125" style="1863" bestFit="1" customWidth="1"/>
    <col min="2564" max="2564" width="20.28515625" style="1863" bestFit="1" customWidth="1"/>
    <col min="2565" max="2565" width="18.28515625" style="1863" bestFit="1" customWidth="1"/>
    <col min="2566" max="2566" width="18.42578125" style="1863" bestFit="1" customWidth="1"/>
    <col min="2567" max="2567" width="19.140625" style="1863" bestFit="1" customWidth="1"/>
    <col min="2568" max="2568" width="25" style="1863" bestFit="1" customWidth="1"/>
    <col min="2569" max="2569" width="21.140625" style="1863" bestFit="1" customWidth="1"/>
    <col min="2570" max="2570" width="22.42578125" style="1863" bestFit="1" customWidth="1"/>
    <col min="2571" max="2571" width="22.140625" style="1863" bestFit="1" customWidth="1"/>
    <col min="2572" max="2573" width="22.140625" style="1863" customWidth="1"/>
    <col min="2574" max="2574" width="20.85546875" style="1863" bestFit="1" customWidth="1"/>
    <col min="2575" max="2575" width="15.140625" style="1863" bestFit="1" customWidth="1"/>
    <col min="2576" max="2576" width="9.28515625" style="1863" bestFit="1" customWidth="1"/>
    <col min="2577" max="2816" width="9.140625" style="1863"/>
    <col min="2817" max="2817" width="9.28515625" style="1863" bestFit="1" customWidth="1"/>
    <col min="2818" max="2818" width="12" style="1863" bestFit="1" customWidth="1"/>
    <col min="2819" max="2819" width="12.5703125" style="1863" bestFit="1" customWidth="1"/>
    <col min="2820" max="2820" width="20.28515625" style="1863" bestFit="1" customWidth="1"/>
    <col min="2821" max="2821" width="18.28515625" style="1863" bestFit="1" customWidth="1"/>
    <col min="2822" max="2822" width="18.42578125" style="1863" bestFit="1" customWidth="1"/>
    <col min="2823" max="2823" width="19.140625" style="1863" bestFit="1" customWidth="1"/>
    <col min="2824" max="2824" width="25" style="1863" bestFit="1" customWidth="1"/>
    <col min="2825" max="2825" width="21.140625" style="1863" bestFit="1" customWidth="1"/>
    <col min="2826" max="2826" width="22.42578125" style="1863" bestFit="1" customWidth="1"/>
    <col min="2827" max="2827" width="22.140625" style="1863" bestFit="1" customWidth="1"/>
    <col min="2828" max="2829" width="22.140625" style="1863" customWidth="1"/>
    <col min="2830" max="2830" width="20.85546875" style="1863" bestFit="1" customWidth="1"/>
    <col min="2831" max="2831" width="15.140625" style="1863" bestFit="1" customWidth="1"/>
    <col min="2832" max="2832" width="9.28515625" style="1863" bestFit="1" customWidth="1"/>
    <col min="2833" max="3072" width="9.140625" style="1863"/>
    <col min="3073" max="3073" width="9.28515625" style="1863" bestFit="1" customWidth="1"/>
    <col min="3074" max="3074" width="12" style="1863" bestFit="1" customWidth="1"/>
    <col min="3075" max="3075" width="12.5703125" style="1863" bestFit="1" customWidth="1"/>
    <col min="3076" max="3076" width="20.28515625" style="1863" bestFit="1" customWidth="1"/>
    <col min="3077" max="3077" width="18.28515625" style="1863" bestFit="1" customWidth="1"/>
    <col min="3078" max="3078" width="18.42578125" style="1863" bestFit="1" customWidth="1"/>
    <col min="3079" max="3079" width="19.140625" style="1863" bestFit="1" customWidth="1"/>
    <col min="3080" max="3080" width="25" style="1863" bestFit="1" customWidth="1"/>
    <col min="3081" max="3081" width="21.140625" style="1863" bestFit="1" customWidth="1"/>
    <col min="3082" max="3082" width="22.42578125" style="1863" bestFit="1" customWidth="1"/>
    <col min="3083" max="3083" width="22.140625" style="1863" bestFit="1" customWidth="1"/>
    <col min="3084" max="3085" width="22.140625" style="1863" customWidth="1"/>
    <col min="3086" max="3086" width="20.85546875" style="1863" bestFit="1" customWidth="1"/>
    <col min="3087" max="3087" width="15.140625" style="1863" bestFit="1" customWidth="1"/>
    <col min="3088" max="3088" width="9.28515625" style="1863" bestFit="1" customWidth="1"/>
    <col min="3089" max="3328" width="9.140625" style="1863"/>
    <col min="3329" max="3329" width="9.28515625" style="1863" bestFit="1" customWidth="1"/>
    <col min="3330" max="3330" width="12" style="1863" bestFit="1" customWidth="1"/>
    <col min="3331" max="3331" width="12.5703125" style="1863" bestFit="1" customWidth="1"/>
    <col min="3332" max="3332" width="20.28515625" style="1863" bestFit="1" customWidth="1"/>
    <col min="3333" max="3333" width="18.28515625" style="1863" bestFit="1" customWidth="1"/>
    <col min="3334" max="3334" width="18.42578125" style="1863" bestFit="1" customWidth="1"/>
    <col min="3335" max="3335" width="19.140625" style="1863" bestFit="1" customWidth="1"/>
    <col min="3336" max="3336" width="25" style="1863" bestFit="1" customWidth="1"/>
    <col min="3337" max="3337" width="21.140625" style="1863" bestFit="1" customWidth="1"/>
    <col min="3338" max="3338" width="22.42578125" style="1863" bestFit="1" customWidth="1"/>
    <col min="3339" max="3339" width="22.140625" style="1863" bestFit="1" customWidth="1"/>
    <col min="3340" max="3341" width="22.140625" style="1863" customWidth="1"/>
    <col min="3342" max="3342" width="20.85546875" style="1863" bestFit="1" customWidth="1"/>
    <col min="3343" max="3343" width="15.140625" style="1863" bestFit="1" customWidth="1"/>
    <col min="3344" max="3344" width="9.28515625" style="1863" bestFit="1" customWidth="1"/>
    <col min="3345" max="3584" width="9.140625" style="1863"/>
    <col min="3585" max="3585" width="9.28515625" style="1863" bestFit="1" customWidth="1"/>
    <col min="3586" max="3586" width="12" style="1863" bestFit="1" customWidth="1"/>
    <col min="3587" max="3587" width="12.5703125" style="1863" bestFit="1" customWidth="1"/>
    <col min="3588" max="3588" width="20.28515625" style="1863" bestFit="1" customWidth="1"/>
    <col min="3589" max="3589" width="18.28515625" style="1863" bestFit="1" customWidth="1"/>
    <col min="3590" max="3590" width="18.42578125" style="1863" bestFit="1" customWidth="1"/>
    <col min="3591" max="3591" width="19.140625" style="1863" bestFit="1" customWidth="1"/>
    <col min="3592" max="3592" width="25" style="1863" bestFit="1" customWidth="1"/>
    <col min="3593" max="3593" width="21.140625" style="1863" bestFit="1" customWidth="1"/>
    <col min="3594" max="3594" width="22.42578125" style="1863" bestFit="1" customWidth="1"/>
    <col min="3595" max="3595" width="22.140625" style="1863" bestFit="1" customWidth="1"/>
    <col min="3596" max="3597" width="22.140625" style="1863" customWidth="1"/>
    <col min="3598" max="3598" width="20.85546875" style="1863" bestFit="1" customWidth="1"/>
    <col min="3599" max="3599" width="15.140625" style="1863" bestFit="1" customWidth="1"/>
    <col min="3600" max="3600" width="9.28515625" style="1863" bestFit="1" customWidth="1"/>
    <col min="3601" max="3840" width="9.140625" style="1863"/>
    <col min="3841" max="3841" width="9.28515625" style="1863" bestFit="1" customWidth="1"/>
    <col min="3842" max="3842" width="12" style="1863" bestFit="1" customWidth="1"/>
    <col min="3843" max="3843" width="12.5703125" style="1863" bestFit="1" customWidth="1"/>
    <col min="3844" max="3844" width="20.28515625" style="1863" bestFit="1" customWidth="1"/>
    <col min="3845" max="3845" width="18.28515625" style="1863" bestFit="1" customWidth="1"/>
    <col min="3846" max="3846" width="18.42578125" style="1863" bestFit="1" customWidth="1"/>
    <col min="3847" max="3847" width="19.140625" style="1863" bestFit="1" customWidth="1"/>
    <col min="3848" max="3848" width="25" style="1863" bestFit="1" customWidth="1"/>
    <col min="3849" max="3849" width="21.140625" style="1863" bestFit="1" customWidth="1"/>
    <col min="3850" max="3850" width="22.42578125" style="1863" bestFit="1" customWidth="1"/>
    <col min="3851" max="3851" width="22.140625" style="1863" bestFit="1" customWidth="1"/>
    <col min="3852" max="3853" width="22.140625" style="1863" customWidth="1"/>
    <col min="3854" max="3854" width="20.85546875" style="1863" bestFit="1" customWidth="1"/>
    <col min="3855" max="3855" width="15.140625" style="1863" bestFit="1" customWidth="1"/>
    <col min="3856" max="3856" width="9.28515625" style="1863" bestFit="1" customWidth="1"/>
    <col min="3857" max="4096" width="9.140625" style="1863"/>
    <col min="4097" max="4097" width="9.28515625" style="1863" bestFit="1" customWidth="1"/>
    <col min="4098" max="4098" width="12" style="1863" bestFit="1" customWidth="1"/>
    <col min="4099" max="4099" width="12.5703125" style="1863" bestFit="1" customWidth="1"/>
    <col min="4100" max="4100" width="20.28515625" style="1863" bestFit="1" customWidth="1"/>
    <col min="4101" max="4101" width="18.28515625" style="1863" bestFit="1" customWidth="1"/>
    <col min="4102" max="4102" width="18.42578125" style="1863" bestFit="1" customWidth="1"/>
    <col min="4103" max="4103" width="19.140625" style="1863" bestFit="1" customWidth="1"/>
    <col min="4104" max="4104" width="25" style="1863" bestFit="1" customWidth="1"/>
    <col min="4105" max="4105" width="21.140625" style="1863" bestFit="1" customWidth="1"/>
    <col min="4106" max="4106" width="22.42578125" style="1863" bestFit="1" customWidth="1"/>
    <col min="4107" max="4107" width="22.140625" style="1863" bestFit="1" customWidth="1"/>
    <col min="4108" max="4109" width="22.140625" style="1863" customWidth="1"/>
    <col min="4110" max="4110" width="20.85546875" style="1863" bestFit="1" customWidth="1"/>
    <col min="4111" max="4111" width="15.140625" style="1863" bestFit="1" customWidth="1"/>
    <col min="4112" max="4112" width="9.28515625" style="1863" bestFit="1" customWidth="1"/>
    <col min="4113" max="4352" width="9.140625" style="1863"/>
    <col min="4353" max="4353" width="9.28515625" style="1863" bestFit="1" customWidth="1"/>
    <col min="4354" max="4354" width="12" style="1863" bestFit="1" customWidth="1"/>
    <col min="4355" max="4355" width="12.5703125" style="1863" bestFit="1" customWidth="1"/>
    <col min="4356" max="4356" width="20.28515625" style="1863" bestFit="1" customWidth="1"/>
    <col min="4357" max="4357" width="18.28515625" style="1863" bestFit="1" customWidth="1"/>
    <col min="4358" max="4358" width="18.42578125" style="1863" bestFit="1" customWidth="1"/>
    <col min="4359" max="4359" width="19.140625" style="1863" bestFit="1" customWidth="1"/>
    <col min="4360" max="4360" width="25" style="1863" bestFit="1" customWidth="1"/>
    <col min="4361" max="4361" width="21.140625" style="1863" bestFit="1" customWidth="1"/>
    <col min="4362" max="4362" width="22.42578125" style="1863" bestFit="1" customWidth="1"/>
    <col min="4363" max="4363" width="22.140625" style="1863" bestFit="1" customWidth="1"/>
    <col min="4364" max="4365" width="22.140625" style="1863" customWidth="1"/>
    <col min="4366" max="4366" width="20.85546875" style="1863" bestFit="1" customWidth="1"/>
    <col min="4367" max="4367" width="15.140625" style="1863" bestFit="1" customWidth="1"/>
    <col min="4368" max="4368" width="9.28515625" style="1863" bestFit="1" customWidth="1"/>
    <col min="4369" max="4608" width="9.140625" style="1863"/>
    <col min="4609" max="4609" width="9.28515625" style="1863" bestFit="1" customWidth="1"/>
    <col min="4610" max="4610" width="12" style="1863" bestFit="1" customWidth="1"/>
    <col min="4611" max="4611" width="12.5703125" style="1863" bestFit="1" customWidth="1"/>
    <col min="4612" max="4612" width="20.28515625" style="1863" bestFit="1" customWidth="1"/>
    <col min="4613" max="4613" width="18.28515625" style="1863" bestFit="1" customWidth="1"/>
    <col min="4614" max="4614" width="18.42578125" style="1863" bestFit="1" customWidth="1"/>
    <col min="4615" max="4615" width="19.140625" style="1863" bestFit="1" customWidth="1"/>
    <col min="4616" max="4616" width="25" style="1863" bestFit="1" customWidth="1"/>
    <col min="4617" max="4617" width="21.140625" style="1863" bestFit="1" customWidth="1"/>
    <col min="4618" max="4618" width="22.42578125" style="1863" bestFit="1" customWidth="1"/>
    <col min="4619" max="4619" width="22.140625" style="1863" bestFit="1" customWidth="1"/>
    <col min="4620" max="4621" width="22.140625" style="1863" customWidth="1"/>
    <col min="4622" max="4622" width="20.85546875" style="1863" bestFit="1" customWidth="1"/>
    <col min="4623" max="4623" width="15.140625" style="1863" bestFit="1" customWidth="1"/>
    <col min="4624" max="4624" width="9.28515625" style="1863" bestFit="1" customWidth="1"/>
    <col min="4625" max="4864" width="9.140625" style="1863"/>
    <col min="4865" max="4865" width="9.28515625" style="1863" bestFit="1" customWidth="1"/>
    <col min="4866" max="4866" width="12" style="1863" bestFit="1" customWidth="1"/>
    <col min="4867" max="4867" width="12.5703125" style="1863" bestFit="1" customWidth="1"/>
    <col min="4868" max="4868" width="20.28515625" style="1863" bestFit="1" customWidth="1"/>
    <col min="4869" max="4869" width="18.28515625" style="1863" bestFit="1" customWidth="1"/>
    <col min="4870" max="4870" width="18.42578125" style="1863" bestFit="1" customWidth="1"/>
    <col min="4871" max="4871" width="19.140625" style="1863" bestFit="1" customWidth="1"/>
    <col min="4872" max="4872" width="25" style="1863" bestFit="1" customWidth="1"/>
    <col min="4873" max="4873" width="21.140625" style="1863" bestFit="1" customWidth="1"/>
    <col min="4874" max="4874" width="22.42578125" style="1863" bestFit="1" customWidth="1"/>
    <col min="4875" max="4875" width="22.140625" style="1863" bestFit="1" customWidth="1"/>
    <col min="4876" max="4877" width="22.140625" style="1863" customWidth="1"/>
    <col min="4878" max="4878" width="20.85546875" style="1863" bestFit="1" customWidth="1"/>
    <col min="4879" max="4879" width="15.140625" style="1863" bestFit="1" customWidth="1"/>
    <col min="4880" max="4880" width="9.28515625" style="1863" bestFit="1" customWidth="1"/>
    <col min="4881" max="5120" width="9.140625" style="1863"/>
    <col min="5121" max="5121" width="9.28515625" style="1863" bestFit="1" customWidth="1"/>
    <col min="5122" max="5122" width="12" style="1863" bestFit="1" customWidth="1"/>
    <col min="5123" max="5123" width="12.5703125" style="1863" bestFit="1" customWidth="1"/>
    <col min="5124" max="5124" width="20.28515625" style="1863" bestFit="1" customWidth="1"/>
    <col min="5125" max="5125" width="18.28515625" style="1863" bestFit="1" customWidth="1"/>
    <col min="5126" max="5126" width="18.42578125" style="1863" bestFit="1" customWidth="1"/>
    <col min="5127" max="5127" width="19.140625" style="1863" bestFit="1" customWidth="1"/>
    <col min="5128" max="5128" width="25" style="1863" bestFit="1" customWidth="1"/>
    <col min="5129" max="5129" width="21.140625" style="1863" bestFit="1" customWidth="1"/>
    <col min="5130" max="5130" width="22.42578125" style="1863" bestFit="1" customWidth="1"/>
    <col min="5131" max="5131" width="22.140625" style="1863" bestFit="1" customWidth="1"/>
    <col min="5132" max="5133" width="22.140625" style="1863" customWidth="1"/>
    <col min="5134" max="5134" width="20.85546875" style="1863" bestFit="1" customWidth="1"/>
    <col min="5135" max="5135" width="15.140625" style="1863" bestFit="1" customWidth="1"/>
    <col min="5136" max="5136" width="9.28515625" style="1863" bestFit="1" customWidth="1"/>
    <col min="5137" max="5376" width="9.140625" style="1863"/>
    <col min="5377" max="5377" width="9.28515625" style="1863" bestFit="1" customWidth="1"/>
    <col min="5378" max="5378" width="12" style="1863" bestFit="1" customWidth="1"/>
    <col min="5379" max="5379" width="12.5703125" style="1863" bestFit="1" customWidth="1"/>
    <col min="5380" max="5380" width="20.28515625" style="1863" bestFit="1" customWidth="1"/>
    <col min="5381" max="5381" width="18.28515625" style="1863" bestFit="1" customWidth="1"/>
    <col min="5382" max="5382" width="18.42578125" style="1863" bestFit="1" customWidth="1"/>
    <col min="5383" max="5383" width="19.140625" style="1863" bestFit="1" customWidth="1"/>
    <col min="5384" max="5384" width="25" style="1863" bestFit="1" customWidth="1"/>
    <col min="5385" max="5385" width="21.140625" style="1863" bestFit="1" customWidth="1"/>
    <col min="5386" max="5386" width="22.42578125" style="1863" bestFit="1" customWidth="1"/>
    <col min="5387" max="5387" width="22.140625" style="1863" bestFit="1" customWidth="1"/>
    <col min="5388" max="5389" width="22.140625" style="1863" customWidth="1"/>
    <col min="5390" max="5390" width="20.85546875" style="1863" bestFit="1" customWidth="1"/>
    <col min="5391" max="5391" width="15.140625" style="1863" bestFit="1" customWidth="1"/>
    <col min="5392" max="5392" width="9.28515625" style="1863" bestFit="1" customWidth="1"/>
    <col min="5393" max="5632" width="9.140625" style="1863"/>
    <col min="5633" max="5633" width="9.28515625" style="1863" bestFit="1" customWidth="1"/>
    <col min="5634" max="5634" width="12" style="1863" bestFit="1" customWidth="1"/>
    <col min="5635" max="5635" width="12.5703125" style="1863" bestFit="1" customWidth="1"/>
    <col min="5636" max="5636" width="20.28515625" style="1863" bestFit="1" customWidth="1"/>
    <col min="5637" max="5637" width="18.28515625" style="1863" bestFit="1" customWidth="1"/>
    <col min="5638" max="5638" width="18.42578125" style="1863" bestFit="1" customWidth="1"/>
    <col min="5639" max="5639" width="19.140625" style="1863" bestFit="1" customWidth="1"/>
    <col min="5640" max="5640" width="25" style="1863" bestFit="1" customWidth="1"/>
    <col min="5641" max="5641" width="21.140625" style="1863" bestFit="1" customWidth="1"/>
    <col min="5642" max="5642" width="22.42578125" style="1863" bestFit="1" customWidth="1"/>
    <col min="5643" max="5643" width="22.140625" style="1863" bestFit="1" customWidth="1"/>
    <col min="5644" max="5645" width="22.140625" style="1863" customWidth="1"/>
    <col min="5646" max="5646" width="20.85546875" style="1863" bestFit="1" customWidth="1"/>
    <col min="5647" max="5647" width="15.140625" style="1863" bestFit="1" customWidth="1"/>
    <col min="5648" max="5648" width="9.28515625" style="1863" bestFit="1" customWidth="1"/>
    <col min="5649" max="5888" width="9.140625" style="1863"/>
    <col min="5889" max="5889" width="9.28515625" style="1863" bestFit="1" customWidth="1"/>
    <col min="5890" max="5890" width="12" style="1863" bestFit="1" customWidth="1"/>
    <col min="5891" max="5891" width="12.5703125" style="1863" bestFit="1" customWidth="1"/>
    <col min="5892" max="5892" width="20.28515625" style="1863" bestFit="1" customWidth="1"/>
    <col min="5893" max="5893" width="18.28515625" style="1863" bestFit="1" customWidth="1"/>
    <col min="5894" max="5894" width="18.42578125" style="1863" bestFit="1" customWidth="1"/>
    <col min="5895" max="5895" width="19.140625" style="1863" bestFit="1" customWidth="1"/>
    <col min="5896" max="5896" width="25" style="1863" bestFit="1" customWidth="1"/>
    <col min="5897" max="5897" width="21.140625" style="1863" bestFit="1" customWidth="1"/>
    <col min="5898" max="5898" width="22.42578125" style="1863" bestFit="1" customWidth="1"/>
    <col min="5899" max="5899" width="22.140625" style="1863" bestFit="1" customWidth="1"/>
    <col min="5900" max="5901" width="22.140625" style="1863" customWidth="1"/>
    <col min="5902" max="5902" width="20.85546875" style="1863" bestFit="1" customWidth="1"/>
    <col min="5903" max="5903" width="15.140625" style="1863" bestFit="1" customWidth="1"/>
    <col min="5904" max="5904" width="9.28515625" style="1863" bestFit="1" customWidth="1"/>
    <col min="5905" max="6144" width="9.140625" style="1863"/>
    <col min="6145" max="6145" width="9.28515625" style="1863" bestFit="1" customWidth="1"/>
    <col min="6146" max="6146" width="12" style="1863" bestFit="1" customWidth="1"/>
    <col min="6147" max="6147" width="12.5703125" style="1863" bestFit="1" customWidth="1"/>
    <col min="6148" max="6148" width="20.28515625" style="1863" bestFit="1" customWidth="1"/>
    <col min="6149" max="6149" width="18.28515625" style="1863" bestFit="1" customWidth="1"/>
    <col min="6150" max="6150" width="18.42578125" style="1863" bestFit="1" customWidth="1"/>
    <col min="6151" max="6151" width="19.140625" style="1863" bestFit="1" customWidth="1"/>
    <col min="6152" max="6152" width="25" style="1863" bestFit="1" customWidth="1"/>
    <col min="6153" max="6153" width="21.140625" style="1863" bestFit="1" customWidth="1"/>
    <col min="6154" max="6154" width="22.42578125" style="1863" bestFit="1" customWidth="1"/>
    <col min="6155" max="6155" width="22.140625" style="1863" bestFit="1" customWidth="1"/>
    <col min="6156" max="6157" width="22.140625" style="1863" customWidth="1"/>
    <col min="6158" max="6158" width="20.85546875" style="1863" bestFit="1" customWidth="1"/>
    <col min="6159" max="6159" width="15.140625" style="1863" bestFit="1" customWidth="1"/>
    <col min="6160" max="6160" width="9.28515625" style="1863" bestFit="1" customWidth="1"/>
    <col min="6161" max="6400" width="9.140625" style="1863"/>
    <col min="6401" max="6401" width="9.28515625" style="1863" bestFit="1" customWidth="1"/>
    <col min="6402" max="6402" width="12" style="1863" bestFit="1" customWidth="1"/>
    <col min="6403" max="6403" width="12.5703125" style="1863" bestFit="1" customWidth="1"/>
    <col min="6404" max="6404" width="20.28515625" style="1863" bestFit="1" customWidth="1"/>
    <col min="6405" max="6405" width="18.28515625" style="1863" bestFit="1" customWidth="1"/>
    <col min="6406" max="6406" width="18.42578125" style="1863" bestFit="1" customWidth="1"/>
    <col min="6407" max="6407" width="19.140625" style="1863" bestFit="1" customWidth="1"/>
    <col min="6408" max="6408" width="25" style="1863" bestFit="1" customWidth="1"/>
    <col min="6409" max="6409" width="21.140625" style="1863" bestFit="1" customWidth="1"/>
    <col min="6410" max="6410" width="22.42578125" style="1863" bestFit="1" customWidth="1"/>
    <col min="6411" max="6411" width="22.140625" style="1863" bestFit="1" customWidth="1"/>
    <col min="6412" max="6413" width="22.140625" style="1863" customWidth="1"/>
    <col min="6414" max="6414" width="20.85546875" style="1863" bestFit="1" customWidth="1"/>
    <col min="6415" max="6415" width="15.140625" style="1863" bestFit="1" customWidth="1"/>
    <col min="6416" max="6416" width="9.28515625" style="1863" bestFit="1" customWidth="1"/>
    <col min="6417" max="6656" width="9.140625" style="1863"/>
    <col min="6657" max="6657" width="9.28515625" style="1863" bestFit="1" customWidth="1"/>
    <col min="6658" max="6658" width="12" style="1863" bestFit="1" customWidth="1"/>
    <col min="6659" max="6659" width="12.5703125" style="1863" bestFit="1" customWidth="1"/>
    <col min="6660" max="6660" width="20.28515625" style="1863" bestFit="1" customWidth="1"/>
    <col min="6661" max="6661" width="18.28515625" style="1863" bestFit="1" customWidth="1"/>
    <col min="6662" max="6662" width="18.42578125" style="1863" bestFit="1" customWidth="1"/>
    <col min="6663" max="6663" width="19.140625" style="1863" bestFit="1" customWidth="1"/>
    <col min="6664" max="6664" width="25" style="1863" bestFit="1" customWidth="1"/>
    <col min="6665" max="6665" width="21.140625" style="1863" bestFit="1" customWidth="1"/>
    <col min="6666" max="6666" width="22.42578125" style="1863" bestFit="1" customWidth="1"/>
    <col min="6667" max="6667" width="22.140625" style="1863" bestFit="1" customWidth="1"/>
    <col min="6668" max="6669" width="22.140625" style="1863" customWidth="1"/>
    <col min="6670" max="6670" width="20.85546875" style="1863" bestFit="1" customWidth="1"/>
    <col min="6671" max="6671" width="15.140625" style="1863" bestFit="1" customWidth="1"/>
    <col min="6672" max="6672" width="9.28515625" style="1863" bestFit="1" customWidth="1"/>
    <col min="6673" max="6912" width="9.140625" style="1863"/>
    <col min="6913" max="6913" width="9.28515625" style="1863" bestFit="1" customWidth="1"/>
    <col min="6914" max="6914" width="12" style="1863" bestFit="1" customWidth="1"/>
    <col min="6915" max="6915" width="12.5703125" style="1863" bestFit="1" customWidth="1"/>
    <col min="6916" max="6916" width="20.28515625" style="1863" bestFit="1" customWidth="1"/>
    <col min="6917" max="6917" width="18.28515625" style="1863" bestFit="1" customWidth="1"/>
    <col min="6918" max="6918" width="18.42578125" style="1863" bestFit="1" customWidth="1"/>
    <col min="6919" max="6919" width="19.140625" style="1863" bestFit="1" customWidth="1"/>
    <col min="6920" max="6920" width="25" style="1863" bestFit="1" customWidth="1"/>
    <col min="6921" max="6921" width="21.140625" style="1863" bestFit="1" customWidth="1"/>
    <col min="6922" max="6922" width="22.42578125" style="1863" bestFit="1" customWidth="1"/>
    <col min="6923" max="6923" width="22.140625" style="1863" bestFit="1" customWidth="1"/>
    <col min="6924" max="6925" width="22.140625" style="1863" customWidth="1"/>
    <col min="6926" max="6926" width="20.85546875" style="1863" bestFit="1" customWidth="1"/>
    <col min="6927" max="6927" width="15.140625" style="1863" bestFit="1" customWidth="1"/>
    <col min="6928" max="6928" width="9.28515625" style="1863" bestFit="1" customWidth="1"/>
    <col min="6929" max="7168" width="9.140625" style="1863"/>
    <col min="7169" max="7169" width="9.28515625" style="1863" bestFit="1" customWidth="1"/>
    <col min="7170" max="7170" width="12" style="1863" bestFit="1" customWidth="1"/>
    <col min="7171" max="7171" width="12.5703125" style="1863" bestFit="1" customWidth="1"/>
    <col min="7172" max="7172" width="20.28515625" style="1863" bestFit="1" customWidth="1"/>
    <col min="7173" max="7173" width="18.28515625" style="1863" bestFit="1" customWidth="1"/>
    <col min="7174" max="7174" width="18.42578125" style="1863" bestFit="1" customWidth="1"/>
    <col min="7175" max="7175" width="19.140625" style="1863" bestFit="1" customWidth="1"/>
    <col min="7176" max="7176" width="25" style="1863" bestFit="1" customWidth="1"/>
    <col min="7177" max="7177" width="21.140625" style="1863" bestFit="1" customWidth="1"/>
    <col min="7178" max="7178" width="22.42578125" style="1863" bestFit="1" customWidth="1"/>
    <col min="7179" max="7179" width="22.140625" style="1863" bestFit="1" customWidth="1"/>
    <col min="7180" max="7181" width="22.140625" style="1863" customWidth="1"/>
    <col min="7182" max="7182" width="20.85546875" style="1863" bestFit="1" customWidth="1"/>
    <col min="7183" max="7183" width="15.140625" style="1863" bestFit="1" customWidth="1"/>
    <col min="7184" max="7184" width="9.28515625" style="1863" bestFit="1" customWidth="1"/>
    <col min="7185" max="7424" width="9.140625" style="1863"/>
    <col min="7425" max="7425" width="9.28515625" style="1863" bestFit="1" customWidth="1"/>
    <col min="7426" max="7426" width="12" style="1863" bestFit="1" customWidth="1"/>
    <col min="7427" max="7427" width="12.5703125" style="1863" bestFit="1" customWidth="1"/>
    <col min="7428" max="7428" width="20.28515625" style="1863" bestFit="1" customWidth="1"/>
    <col min="7429" max="7429" width="18.28515625" style="1863" bestFit="1" customWidth="1"/>
    <col min="7430" max="7430" width="18.42578125" style="1863" bestFit="1" customWidth="1"/>
    <col min="7431" max="7431" width="19.140625" style="1863" bestFit="1" customWidth="1"/>
    <col min="7432" max="7432" width="25" style="1863" bestFit="1" customWidth="1"/>
    <col min="7433" max="7433" width="21.140625" style="1863" bestFit="1" customWidth="1"/>
    <col min="7434" max="7434" width="22.42578125" style="1863" bestFit="1" customWidth="1"/>
    <col min="7435" max="7435" width="22.140625" style="1863" bestFit="1" customWidth="1"/>
    <col min="7436" max="7437" width="22.140625" style="1863" customWidth="1"/>
    <col min="7438" max="7438" width="20.85546875" style="1863" bestFit="1" customWidth="1"/>
    <col min="7439" max="7439" width="15.140625" style="1863" bestFit="1" customWidth="1"/>
    <col min="7440" max="7440" width="9.28515625" style="1863" bestFit="1" customWidth="1"/>
    <col min="7441" max="7680" width="9.140625" style="1863"/>
    <col min="7681" max="7681" width="9.28515625" style="1863" bestFit="1" customWidth="1"/>
    <col min="7682" max="7682" width="12" style="1863" bestFit="1" customWidth="1"/>
    <col min="7683" max="7683" width="12.5703125" style="1863" bestFit="1" customWidth="1"/>
    <col min="7684" max="7684" width="20.28515625" style="1863" bestFit="1" customWidth="1"/>
    <col min="7685" max="7685" width="18.28515625" style="1863" bestFit="1" customWidth="1"/>
    <col min="7686" max="7686" width="18.42578125" style="1863" bestFit="1" customWidth="1"/>
    <col min="7687" max="7687" width="19.140625" style="1863" bestFit="1" customWidth="1"/>
    <col min="7688" max="7688" width="25" style="1863" bestFit="1" customWidth="1"/>
    <col min="7689" max="7689" width="21.140625" style="1863" bestFit="1" customWidth="1"/>
    <col min="7690" max="7690" width="22.42578125" style="1863" bestFit="1" customWidth="1"/>
    <col min="7691" max="7691" width="22.140625" style="1863" bestFit="1" customWidth="1"/>
    <col min="7692" max="7693" width="22.140625" style="1863" customWidth="1"/>
    <col min="7694" max="7694" width="20.85546875" style="1863" bestFit="1" customWidth="1"/>
    <col min="7695" max="7695" width="15.140625" style="1863" bestFit="1" customWidth="1"/>
    <col min="7696" max="7696" width="9.28515625" style="1863" bestFit="1" customWidth="1"/>
    <col min="7697" max="7936" width="9.140625" style="1863"/>
    <col min="7937" max="7937" width="9.28515625" style="1863" bestFit="1" customWidth="1"/>
    <col min="7938" max="7938" width="12" style="1863" bestFit="1" customWidth="1"/>
    <col min="7939" max="7939" width="12.5703125" style="1863" bestFit="1" customWidth="1"/>
    <col min="7940" max="7940" width="20.28515625" style="1863" bestFit="1" customWidth="1"/>
    <col min="7941" max="7941" width="18.28515625" style="1863" bestFit="1" customWidth="1"/>
    <col min="7942" max="7942" width="18.42578125" style="1863" bestFit="1" customWidth="1"/>
    <col min="7943" max="7943" width="19.140625" style="1863" bestFit="1" customWidth="1"/>
    <col min="7944" max="7944" width="25" style="1863" bestFit="1" customWidth="1"/>
    <col min="7945" max="7945" width="21.140625" style="1863" bestFit="1" customWidth="1"/>
    <col min="7946" max="7946" width="22.42578125" style="1863" bestFit="1" customWidth="1"/>
    <col min="7947" max="7947" width="22.140625" style="1863" bestFit="1" customWidth="1"/>
    <col min="7948" max="7949" width="22.140625" style="1863" customWidth="1"/>
    <col min="7950" max="7950" width="20.85546875" style="1863" bestFit="1" customWidth="1"/>
    <col min="7951" max="7951" width="15.140625" style="1863" bestFit="1" customWidth="1"/>
    <col min="7952" max="7952" width="9.28515625" style="1863" bestFit="1" customWidth="1"/>
    <col min="7953" max="8192" width="9.140625" style="1863"/>
    <col min="8193" max="8193" width="9.28515625" style="1863" bestFit="1" customWidth="1"/>
    <col min="8194" max="8194" width="12" style="1863" bestFit="1" customWidth="1"/>
    <col min="8195" max="8195" width="12.5703125" style="1863" bestFit="1" customWidth="1"/>
    <col min="8196" max="8196" width="20.28515625" style="1863" bestFit="1" customWidth="1"/>
    <col min="8197" max="8197" width="18.28515625" style="1863" bestFit="1" customWidth="1"/>
    <col min="8198" max="8198" width="18.42578125" style="1863" bestFit="1" customWidth="1"/>
    <col min="8199" max="8199" width="19.140625" style="1863" bestFit="1" customWidth="1"/>
    <col min="8200" max="8200" width="25" style="1863" bestFit="1" customWidth="1"/>
    <col min="8201" max="8201" width="21.140625" style="1863" bestFit="1" customWidth="1"/>
    <col min="8202" max="8202" width="22.42578125" style="1863" bestFit="1" customWidth="1"/>
    <col min="8203" max="8203" width="22.140625" style="1863" bestFit="1" customWidth="1"/>
    <col min="8204" max="8205" width="22.140625" style="1863" customWidth="1"/>
    <col min="8206" max="8206" width="20.85546875" style="1863" bestFit="1" customWidth="1"/>
    <col min="8207" max="8207" width="15.140625" style="1863" bestFit="1" customWidth="1"/>
    <col min="8208" max="8208" width="9.28515625" style="1863" bestFit="1" customWidth="1"/>
    <col min="8209" max="8448" width="9.140625" style="1863"/>
    <col min="8449" max="8449" width="9.28515625" style="1863" bestFit="1" customWidth="1"/>
    <col min="8450" max="8450" width="12" style="1863" bestFit="1" customWidth="1"/>
    <col min="8451" max="8451" width="12.5703125" style="1863" bestFit="1" customWidth="1"/>
    <col min="8452" max="8452" width="20.28515625" style="1863" bestFit="1" customWidth="1"/>
    <col min="8453" max="8453" width="18.28515625" style="1863" bestFit="1" customWidth="1"/>
    <col min="8454" max="8454" width="18.42578125" style="1863" bestFit="1" customWidth="1"/>
    <col min="8455" max="8455" width="19.140625" style="1863" bestFit="1" customWidth="1"/>
    <col min="8456" max="8456" width="25" style="1863" bestFit="1" customWidth="1"/>
    <col min="8457" max="8457" width="21.140625" style="1863" bestFit="1" customWidth="1"/>
    <col min="8458" max="8458" width="22.42578125" style="1863" bestFit="1" customWidth="1"/>
    <col min="8459" max="8459" width="22.140625" style="1863" bestFit="1" customWidth="1"/>
    <col min="8460" max="8461" width="22.140625" style="1863" customWidth="1"/>
    <col min="8462" max="8462" width="20.85546875" style="1863" bestFit="1" customWidth="1"/>
    <col min="8463" max="8463" width="15.140625" style="1863" bestFit="1" customWidth="1"/>
    <col min="8464" max="8464" width="9.28515625" style="1863" bestFit="1" customWidth="1"/>
    <col min="8465" max="8704" width="9.140625" style="1863"/>
    <col min="8705" max="8705" width="9.28515625" style="1863" bestFit="1" customWidth="1"/>
    <col min="8706" max="8706" width="12" style="1863" bestFit="1" customWidth="1"/>
    <col min="8707" max="8707" width="12.5703125" style="1863" bestFit="1" customWidth="1"/>
    <col min="8708" max="8708" width="20.28515625" style="1863" bestFit="1" customWidth="1"/>
    <col min="8709" max="8709" width="18.28515625" style="1863" bestFit="1" customWidth="1"/>
    <col min="8710" max="8710" width="18.42578125" style="1863" bestFit="1" customWidth="1"/>
    <col min="8711" max="8711" width="19.140625" style="1863" bestFit="1" customWidth="1"/>
    <col min="8712" max="8712" width="25" style="1863" bestFit="1" customWidth="1"/>
    <col min="8713" max="8713" width="21.140625" style="1863" bestFit="1" customWidth="1"/>
    <col min="8714" max="8714" width="22.42578125" style="1863" bestFit="1" customWidth="1"/>
    <col min="8715" max="8715" width="22.140625" style="1863" bestFit="1" customWidth="1"/>
    <col min="8716" max="8717" width="22.140625" style="1863" customWidth="1"/>
    <col min="8718" max="8718" width="20.85546875" style="1863" bestFit="1" customWidth="1"/>
    <col min="8719" max="8719" width="15.140625" style="1863" bestFit="1" customWidth="1"/>
    <col min="8720" max="8720" width="9.28515625" style="1863" bestFit="1" customWidth="1"/>
    <col min="8721" max="8960" width="9.140625" style="1863"/>
    <col min="8961" max="8961" width="9.28515625" style="1863" bestFit="1" customWidth="1"/>
    <col min="8962" max="8962" width="12" style="1863" bestFit="1" customWidth="1"/>
    <col min="8963" max="8963" width="12.5703125" style="1863" bestFit="1" customWidth="1"/>
    <col min="8964" max="8964" width="20.28515625" style="1863" bestFit="1" customWidth="1"/>
    <col min="8965" max="8965" width="18.28515625" style="1863" bestFit="1" customWidth="1"/>
    <col min="8966" max="8966" width="18.42578125" style="1863" bestFit="1" customWidth="1"/>
    <col min="8967" max="8967" width="19.140625" style="1863" bestFit="1" customWidth="1"/>
    <col min="8968" max="8968" width="25" style="1863" bestFit="1" customWidth="1"/>
    <col min="8969" max="8969" width="21.140625" style="1863" bestFit="1" customWidth="1"/>
    <col min="8970" max="8970" width="22.42578125" style="1863" bestFit="1" customWidth="1"/>
    <col min="8971" max="8971" width="22.140625" style="1863" bestFit="1" customWidth="1"/>
    <col min="8972" max="8973" width="22.140625" style="1863" customWidth="1"/>
    <col min="8974" max="8974" width="20.85546875" style="1863" bestFit="1" customWidth="1"/>
    <col min="8975" max="8975" width="15.140625" style="1863" bestFit="1" customWidth="1"/>
    <col min="8976" max="8976" width="9.28515625" style="1863" bestFit="1" customWidth="1"/>
    <col min="8977" max="9216" width="9.140625" style="1863"/>
    <col min="9217" max="9217" width="9.28515625" style="1863" bestFit="1" customWidth="1"/>
    <col min="9218" max="9218" width="12" style="1863" bestFit="1" customWidth="1"/>
    <col min="9219" max="9219" width="12.5703125" style="1863" bestFit="1" customWidth="1"/>
    <col min="9220" max="9220" width="20.28515625" style="1863" bestFit="1" customWidth="1"/>
    <col min="9221" max="9221" width="18.28515625" style="1863" bestFit="1" customWidth="1"/>
    <col min="9222" max="9222" width="18.42578125" style="1863" bestFit="1" customWidth="1"/>
    <col min="9223" max="9223" width="19.140625" style="1863" bestFit="1" customWidth="1"/>
    <col min="9224" max="9224" width="25" style="1863" bestFit="1" customWidth="1"/>
    <col min="9225" max="9225" width="21.140625" style="1863" bestFit="1" customWidth="1"/>
    <col min="9226" max="9226" width="22.42578125" style="1863" bestFit="1" customWidth="1"/>
    <col min="9227" max="9227" width="22.140625" style="1863" bestFit="1" customWidth="1"/>
    <col min="9228" max="9229" width="22.140625" style="1863" customWidth="1"/>
    <col min="9230" max="9230" width="20.85546875" style="1863" bestFit="1" customWidth="1"/>
    <col min="9231" max="9231" width="15.140625" style="1863" bestFit="1" customWidth="1"/>
    <col min="9232" max="9232" width="9.28515625" style="1863" bestFit="1" customWidth="1"/>
    <col min="9233" max="9472" width="9.140625" style="1863"/>
    <col min="9473" max="9473" width="9.28515625" style="1863" bestFit="1" customWidth="1"/>
    <col min="9474" max="9474" width="12" style="1863" bestFit="1" customWidth="1"/>
    <col min="9475" max="9475" width="12.5703125" style="1863" bestFit="1" customWidth="1"/>
    <col min="9476" max="9476" width="20.28515625" style="1863" bestFit="1" customWidth="1"/>
    <col min="9477" max="9477" width="18.28515625" style="1863" bestFit="1" customWidth="1"/>
    <col min="9478" max="9478" width="18.42578125" style="1863" bestFit="1" customWidth="1"/>
    <col min="9479" max="9479" width="19.140625" style="1863" bestFit="1" customWidth="1"/>
    <col min="9480" max="9480" width="25" style="1863" bestFit="1" customWidth="1"/>
    <col min="9481" max="9481" width="21.140625" style="1863" bestFit="1" customWidth="1"/>
    <col min="9482" max="9482" width="22.42578125" style="1863" bestFit="1" customWidth="1"/>
    <col min="9483" max="9483" width="22.140625" style="1863" bestFit="1" customWidth="1"/>
    <col min="9484" max="9485" width="22.140625" style="1863" customWidth="1"/>
    <col min="9486" max="9486" width="20.85546875" style="1863" bestFit="1" customWidth="1"/>
    <col min="9487" max="9487" width="15.140625" style="1863" bestFit="1" customWidth="1"/>
    <col min="9488" max="9488" width="9.28515625" style="1863" bestFit="1" customWidth="1"/>
    <col min="9489" max="9728" width="9.140625" style="1863"/>
    <col min="9729" max="9729" width="9.28515625" style="1863" bestFit="1" customWidth="1"/>
    <col min="9730" max="9730" width="12" style="1863" bestFit="1" customWidth="1"/>
    <col min="9731" max="9731" width="12.5703125" style="1863" bestFit="1" customWidth="1"/>
    <col min="9732" max="9732" width="20.28515625" style="1863" bestFit="1" customWidth="1"/>
    <col min="9733" max="9733" width="18.28515625" style="1863" bestFit="1" customWidth="1"/>
    <col min="9734" max="9734" width="18.42578125" style="1863" bestFit="1" customWidth="1"/>
    <col min="9735" max="9735" width="19.140625" style="1863" bestFit="1" customWidth="1"/>
    <col min="9736" max="9736" width="25" style="1863" bestFit="1" customWidth="1"/>
    <col min="9737" max="9737" width="21.140625" style="1863" bestFit="1" customWidth="1"/>
    <col min="9738" max="9738" width="22.42578125" style="1863" bestFit="1" customWidth="1"/>
    <col min="9739" max="9739" width="22.140625" style="1863" bestFit="1" customWidth="1"/>
    <col min="9740" max="9741" width="22.140625" style="1863" customWidth="1"/>
    <col min="9742" max="9742" width="20.85546875" style="1863" bestFit="1" customWidth="1"/>
    <col min="9743" max="9743" width="15.140625" style="1863" bestFit="1" customWidth="1"/>
    <col min="9744" max="9744" width="9.28515625" style="1863" bestFit="1" customWidth="1"/>
    <col min="9745" max="9984" width="9.140625" style="1863"/>
    <col min="9985" max="9985" width="9.28515625" style="1863" bestFit="1" customWidth="1"/>
    <col min="9986" max="9986" width="12" style="1863" bestFit="1" customWidth="1"/>
    <col min="9987" max="9987" width="12.5703125" style="1863" bestFit="1" customWidth="1"/>
    <col min="9988" max="9988" width="20.28515625" style="1863" bestFit="1" customWidth="1"/>
    <col min="9989" max="9989" width="18.28515625" style="1863" bestFit="1" customWidth="1"/>
    <col min="9990" max="9990" width="18.42578125" style="1863" bestFit="1" customWidth="1"/>
    <col min="9991" max="9991" width="19.140625" style="1863" bestFit="1" customWidth="1"/>
    <col min="9992" max="9992" width="25" style="1863" bestFit="1" customWidth="1"/>
    <col min="9993" max="9993" width="21.140625" style="1863" bestFit="1" customWidth="1"/>
    <col min="9994" max="9994" width="22.42578125" style="1863" bestFit="1" customWidth="1"/>
    <col min="9995" max="9995" width="22.140625" style="1863" bestFit="1" customWidth="1"/>
    <col min="9996" max="9997" width="22.140625" style="1863" customWidth="1"/>
    <col min="9998" max="9998" width="20.85546875" style="1863" bestFit="1" customWidth="1"/>
    <col min="9999" max="9999" width="15.140625" style="1863" bestFit="1" customWidth="1"/>
    <col min="10000" max="10000" width="9.28515625" style="1863" bestFit="1" customWidth="1"/>
    <col min="10001" max="10240" width="9.140625" style="1863"/>
    <col min="10241" max="10241" width="9.28515625" style="1863" bestFit="1" customWidth="1"/>
    <col min="10242" max="10242" width="12" style="1863" bestFit="1" customWidth="1"/>
    <col min="10243" max="10243" width="12.5703125" style="1863" bestFit="1" customWidth="1"/>
    <col min="10244" max="10244" width="20.28515625" style="1863" bestFit="1" customWidth="1"/>
    <col min="10245" max="10245" width="18.28515625" style="1863" bestFit="1" customWidth="1"/>
    <col min="10246" max="10246" width="18.42578125" style="1863" bestFit="1" customWidth="1"/>
    <col min="10247" max="10247" width="19.140625" style="1863" bestFit="1" customWidth="1"/>
    <col min="10248" max="10248" width="25" style="1863" bestFit="1" customWidth="1"/>
    <col min="10249" max="10249" width="21.140625" style="1863" bestFit="1" customWidth="1"/>
    <col min="10250" max="10250" width="22.42578125" style="1863" bestFit="1" customWidth="1"/>
    <col min="10251" max="10251" width="22.140625" style="1863" bestFit="1" customWidth="1"/>
    <col min="10252" max="10253" width="22.140625" style="1863" customWidth="1"/>
    <col min="10254" max="10254" width="20.85546875" style="1863" bestFit="1" customWidth="1"/>
    <col min="10255" max="10255" width="15.140625" style="1863" bestFit="1" customWidth="1"/>
    <col min="10256" max="10256" width="9.28515625" style="1863" bestFit="1" customWidth="1"/>
    <col min="10257" max="10496" width="9.140625" style="1863"/>
    <col min="10497" max="10497" width="9.28515625" style="1863" bestFit="1" customWidth="1"/>
    <col min="10498" max="10498" width="12" style="1863" bestFit="1" customWidth="1"/>
    <col min="10499" max="10499" width="12.5703125" style="1863" bestFit="1" customWidth="1"/>
    <col min="10500" max="10500" width="20.28515625" style="1863" bestFit="1" customWidth="1"/>
    <col min="10501" max="10501" width="18.28515625" style="1863" bestFit="1" customWidth="1"/>
    <col min="10502" max="10502" width="18.42578125" style="1863" bestFit="1" customWidth="1"/>
    <col min="10503" max="10503" width="19.140625" style="1863" bestFit="1" customWidth="1"/>
    <col min="10504" max="10504" width="25" style="1863" bestFit="1" customWidth="1"/>
    <col min="10505" max="10505" width="21.140625" style="1863" bestFit="1" customWidth="1"/>
    <col min="10506" max="10506" width="22.42578125" style="1863" bestFit="1" customWidth="1"/>
    <col min="10507" max="10507" width="22.140625" style="1863" bestFit="1" customWidth="1"/>
    <col min="10508" max="10509" width="22.140625" style="1863" customWidth="1"/>
    <col min="10510" max="10510" width="20.85546875" style="1863" bestFit="1" customWidth="1"/>
    <col min="10511" max="10511" width="15.140625" style="1863" bestFit="1" customWidth="1"/>
    <col min="10512" max="10512" width="9.28515625" style="1863" bestFit="1" customWidth="1"/>
    <col min="10513" max="10752" width="9.140625" style="1863"/>
    <col min="10753" max="10753" width="9.28515625" style="1863" bestFit="1" customWidth="1"/>
    <col min="10754" max="10754" width="12" style="1863" bestFit="1" customWidth="1"/>
    <col min="10755" max="10755" width="12.5703125" style="1863" bestFit="1" customWidth="1"/>
    <col min="10756" max="10756" width="20.28515625" style="1863" bestFit="1" customWidth="1"/>
    <col min="10757" max="10757" width="18.28515625" style="1863" bestFit="1" customWidth="1"/>
    <col min="10758" max="10758" width="18.42578125" style="1863" bestFit="1" customWidth="1"/>
    <col min="10759" max="10759" width="19.140625" style="1863" bestFit="1" customWidth="1"/>
    <col min="10760" max="10760" width="25" style="1863" bestFit="1" customWidth="1"/>
    <col min="10761" max="10761" width="21.140625" style="1863" bestFit="1" customWidth="1"/>
    <col min="10762" max="10762" width="22.42578125" style="1863" bestFit="1" customWidth="1"/>
    <col min="10763" max="10763" width="22.140625" style="1863" bestFit="1" customWidth="1"/>
    <col min="10764" max="10765" width="22.140625" style="1863" customWidth="1"/>
    <col min="10766" max="10766" width="20.85546875" style="1863" bestFit="1" customWidth="1"/>
    <col min="10767" max="10767" width="15.140625" style="1863" bestFit="1" customWidth="1"/>
    <col min="10768" max="10768" width="9.28515625" style="1863" bestFit="1" customWidth="1"/>
    <col min="10769" max="11008" width="9.140625" style="1863"/>
    <col min="11009" max="11009" width="9.28515625" style="1863" bestFit="1" customWidth="1"/>
    <col min="11010" max="11010" width="12" style="1863" bestFit="1" customWidth="1"/>
    <col min="11011" max="11011" width="12.5703125" style="1863" bestFit="1" customWidth="1"/>
    <col min="11012" max="11012" width="20.28515625" style="1863" bestFit="1" customWidth="1"/>
    <col min="11013" max="11013" width="18.28515625" style="1863" bestFit="1" customWidth="1"/>
    <col min="11014" max="11014" width="18.42578125" style="1863" bestFit="1" customWidth="1"/>
    <col min="11015" max="11015" width="19.140625" style="1863" bestFit="1" customWidth="1"/>
    <col min="11016" max="11016" width="25" style="1863" bestFit="1" customWidth="1"/>
    <col min="11017" max="11017" width="21.140625" style="1863" bestFit="1" customWidth="1"/>
    <col min="11018" max="11018" width="22.42578125" style="1863" bestFit="1" customWidth="1"/>
    <col min="11019" max="11019" width="22.140625" style="1863" bestFit="1" customWidth="1"/>
    <col min="11020" max="11021" width="22.140625" style="1863" customWidth="1"/>
    <col min="11022" max="11022" width="20.85546875" style="1863" bestFit="1" customWidth="1"/>
    <col min="11023" max="11023" width="15.140625" style="1863" bestFit="1" customWidth="1"/>
    <col min="11024" max="11024" width="9.28515625" style="1863" bestFit="1" customWidth="1"/>
    <col min="11025" max="11264" width="9.140625" style="1863"/>
    <col min="11265" max="11265" width="9.28515625" style="1863" bestFit="1" customWidth="1"/>
    <col min="11266" max="11266" width="12" style="1863" bestFit="1" customWidth="1"/>
    <col min="11267" max="11267" width="12.5703125" style="1863" bestFit="1" customWidth="1"/>
    <col min="11268" max="11268" width="20.28515625" style="1863" bestFit="1" customWidth="1"/>
    <col min="11269" max="11269" width="18.28515625" style="1863" bestFit="1" customWidth="1"/>
    <col min="11270" max="11270" width="18.42578125" style="1863" bestFit="1" customWidth="1"/>
    <col min="11271" max="11271" width="19.140625" style="1863" bestFit="1" customWidth="1"/>
    <col min="11272" max="11272" width="25" style="1863" bestFit="1" customWidth="1"/>
    <col min="11273" max="11273" width="21.140625" style="1863" bestFit="1" customWidth="1"/>
    <col min="11274" max="11274" width="22.42578125" style="1863" bestFit="1" customWidth="1"/>
    <col min="11275" max="11275" width="22.140625" style="1863" bestFit="1" customWidth="1"/>
    <col min="11276" max="11277" width="22.140625" style="1863" customWidth="1"/>
    <col min="11278" max="11278" width="20.85546875" style="1863" bestFit="1" customWidth="1"/>
    <col min="11279" max="11279" width="15.140625" style="1863" bestFit="1" customWidth="1"/>
    <col min="11280" max="11280" width="9.28515625" style="1863" bestFit="1" customWidth="1"/>
    <col min="11281" max="11520" width="9.140625" style="1863"/>
    <col min="11521" max="11521" width="9.28515625" style="1863" bestFit="1" customWidth="1"/>
    <col min="11522" max="11522" width="12" style="1863" bestFit="1" customWidth="1"/>
    <col min="11523" max="11523" width="12.5703125" style="1863" bestFit="1" customWidth="1"/>
    <col min="11524" max="11524" width="20.28515625" style="1863" bestFit="1" customWidth="1"/>
    <col min="11525" max="11525" width="18.28515625" style="1863" bestFit="1" customWidth="1"/>
    <col min="11526" max="11526" width="18.42578125" style="1863" bestFit="1" customWidth="1"/>
    <col min="11527" max="11527" width="19.140625" style="1863" bestFit="1" customWidth="1"/>
    <col min="11528" max="11528" width="25" style="1863" bestFit="1" customWidth="1"/>
    <col min="11529" max="11529" width="21.140625" style="1863" bestFit="1" customWidth="1"/>
    <col min="11530" max="11530" width="22.42578125" style="1863" bestFit="1" customWidth="1"/>
    <col min="11531" max="11531" width="22.140625" style="1863" bestFit="1" customWidth="1"/>
    <col min="11532" max="11533" width="22.140625" style="1863" customWidth="1"/>
    <col min="11534" max="11534" width="20.85546875" style="1863" bestFit="1" customWidth="1"/>
    <col min="11535" max="11535" width="15.140625" style="1863" bestFit="1" customWidth="1"/>
    <col min="11536" max="11536" width="9.28515625" style="1863" bestFit="1" customWidth="1"/>
    <col min="11537" max="11776" width="9.140625" style="1863"/>
    <col min="11777" max="11777" width="9.28515625" style="1863" bestFit="1" customWidth="1"/>
    <col min="11778" max="11778" width="12" style="1863" bestFit="1" customWidth="1"/>
    <col min="11779" max="11779" width="12.5703125" style="1863" bestFit="1" customWidth="1"/>
    <col min="11780" max="11780" width="20.28515625" style="1863" bestFit="1" customWidth="1"/>
    <col min="11781" max="11781" width="18.28515625" style="1863" bestFit="1" customWidth="1"/>
    <col min="11782" max="11782" width="18.42578125" style="1863" bestFit="1" customWidth="1"/>
    <col min="11783" max="11783" width="19.140625" style="1863" bestFit="1" customWidth="1"/>
    <col min="11784" max="11784" width="25" style="1863" bestFit="1" customWidth="1"/>
    <col min="11785" max="11785" width="21.140625" style="1863" bestFit="1" customWidth="1"/>
    <col min="11786" max="11786" width="22.42578125" style="1863" bestFit="1" customWidth="1"/>
    <col min="11787" max="11787" width="22.140625" style="1863" bestFit="1" customWidth="1"/>
    <col min="11788" max="11789" width="22.140625" style="1863" customWidth="1"/>
    <col min="11790" max="11790" width="20.85546875" style="1863" bestFit="1" customWidth="1"/>
    <col min="11791" max="11791" width="15.140625" style="1863" bestFit="1" customWidth="1"/>
    <col min="11792" max="11792" width="9.28515625" style="1863" bestFit="1" customWidth="1"/>
    <col min="11793" max="12032" width="9.140625" style="1863"/>
    <col min="12033" max="12033" width="9.28515625" style="1863" bestFit="1" customWidth="1"/>
    <col min="12034" max="12034" width="12" style="1863" bestFit="1" customWidth="1"/>
    <col min="12035" max="12035" width="12.5703125" style="1863" bestFit="1" customWidth="1"/>
    <col min="12036" max="12036" width="20.28515625" style="1863" bestFit="1" customWidth="1"/>
    <col min="12037" max="12037" width="18.28515625" style="1863" bestFit="1" customWidth="1"/>
    <col min="12038" max="12038" width="18.42578125" style="1863" bestFit="1" customWidth="1"/>
    <col min="12039" max="12039" width="19.140625" style="1863" bestFit="1" customWidth="1"/>
    <col min="12040" max="12040" width="25" style="1863" bestFit="1" customWidth="1"/>
    <col min="12041" max="12041" width="21.140625" style="1863" bestFit="1" customWidth="1"/>
    <col min="12042" max="12042" width="22.42578125" style="1863" bestFit="1" customWidth="1"/>
    <col min="12043" max="12043" width="22.140625" style="1863" bestFit="1" customWidth="1"/>
    <col min="12044" max="12045" width="22.140625" style="1863" customWidth="1"/>
    <col min="12046" max="12046" width="20.85546875" style="1863" bestFit="1" customWidth="1"/>
    <col min="12047" max="12047" width="15.140625" style="1863" bestFit="1" customWidth="1"/>
    <col min="12048" max="12048" width="9.28515625" style="1863" bestFit="1" customWidth="1"/>
    <col min="12049" max="12288" width="9.140625" style="1863"/>
    <col min="12289" max="12289" width="9.28515625" style="1863" bestFit="1" customWidth="1"/>
    <col min="12290" max="12290" width="12" style="1863" bestFit="1" customWidth="1"/>
    <col min="12291" max="12291" width="12.5703125" style="1863" bestFit="1" customWidth="1"/>
    <col min="12292" max="12292" width="20.28515625" style="1863" bestFit="1" customWidth="1"/>
    <col min="12293" max="12293" width="18.28515625" style="1863" bestFit="1" customWidth="1"/>
    <col min="12294" max="12294" width="18.42578125" style="1863" bestFit="1" customWidth="1"/>
    <col min="12295" max="12295" width="19.140625" style="1863" bestFit="1" customWidth="1"/>
    <col min="12296" max="12296" width="25" style="1863" bestFit="1" customWidth="1"/>
    <col min="12297" max="12297" width="21.140625" style="1863" bestFit="1" customWidth="1"/>
    <col min="12298" max="12298" width="22.42578125" style="1863" bestFit="1" customWidth="1"/>
    <col min="12299" max="12299" width="22.140625" style="1863" bestFit="1" customWidth="1"/>
    <col min="12300" max="12301" width="22.140625" style="1863" customWidth="1"/>
    <col min="12302" max="12302" width="20.85546875" style="1863" bestFit="1" customWidth="1"/>
    <col min="12303" max="12303" width="15.140625" style="1863" bestFit="1" customWidth="1"/>
    <col min="12304" max="12304" width="9.28515625" style="1863" bestFit="1" customWidth="1"/>
    <col min="12305" max="12544" width="9.140625" style="1863"/>
    <col min="12545" max="12545" width="9.28515625" style="1863" bestFit="1" customWidth="1"/>
    <col min="12546" max="12546" width="12" style="1863" bestFit="1" customWidth="1"/>
    <col min="12547" max="12547" width="12.5703125" style="1863" bestFit="1" customWidth="1"/>
    <col min="12548" max="12548" width="20.28515625" style="1863" bestFit="1" customWidth="1"/>
    <col min="12549" max="12549" width="18.28515625" style="1863" bestFit="1" customWidth="1"/>
    <col min="12550" max="12550" width="18.42578125" style="1863" bestFit="1" customWidth="1"/>
    <col min="12551" max="12551" width="19.140625" style="1863" bestFit="1" customWidth="1"/>
    <col min="12552" max="12552" width="25" style="1863" bestFit="1" customWidth="1"/>
    <col min="12553" max="12553" width="21.140625" style="1863" bestFit="1" customWidth="1"/>
    <col min="12554" max="12554" width="22.42578125" style="1863" bestFit="1" customWidth="1"/>
    <col min="12555" max="12555" width="22.140625" style="1863" bestFit="1" customWidth="1"/>
    <col min="12556" max="12557" width="22.140625" style="1863" customWidth="1"/>
    <col min="12558" max="12558" width="20.85546875" style="1863" bestFit="1" customWidth="1"/>
    <col min="12559" max="12559" width="15.140625" style="1863" bestFit="1" customWidth="1"/>
    <col min="12560" max="12560" width="9.28515625" style="1863" bestFit="1" customWidth="1"/>
    <col min="12561" max="12800" width="9.140625" style="1863"/>
    <col min="12801" max="12801" width="9.28515625" style="1863" bestFit="1" customWidth="1"/>
    <col min="12802" max="12802" width="12" style="1863" bestFit="1" customWidth="1"/>
    <col min="12803" max="12803" width="12.5703125" style="1863" bestFit="1" customWidth="1"/>
    <col min="12804" max="12804" width="20.28515625" style="1863" bestFit="1" customWidth="1"/>
    <col min="12805" max="12805" width="18.28515625" style="1863" bestFit="1" customWidth="1"/>
    <col min="12806" max="12806" width="18.42578125" style="1863" bestFit="1" customWidth="1"/>
    <col min="12807" max="12807" width="19.140625" style="1863" bestFit="1" customWidth="1"/>
    <col min="12808" max="12808" width="25" style="1863" bestFit="1" customWidth="1"/>
    <col min="12809" max="12809" width="21.140625" style="1863" bestFit="1" customWidth="1"/>
    <col min="12810" max="12810" width="22.42578125" style="1863" bestFit="1" customWidth="1"/>
    <col min="12811" max="12811" width="22.140625" style="1863" bestFit="1" customWidth="1"/>
    <col min="12812" max="12813" width="22.140625" style="1863" customWidth="1"/>
    <col min="12814" max="12814" width="20.85546875" style="1863" bestFit="1" customWidth="1"/>
    <col min="12815" max="12815" width="15.140625" style="1863" bestFit="1" customWidth="1"/>
    <col min="12816" max="12816" width="9.28515625" style="1863" bestFit="1" customWidth="1"/>
    <col min="12817" max="13056" width="9.140625" style="1863"/>
    <col min="13057" max="13057" width="9.28515625" style="1863" bestFit="1" customWidth="1"/>
    <col min="13058" max="13058" width="12" style="1863" bestFit="1" customWidth="1"/>
    <col min="13059" max="13059" width="12.5703125" style="1863" bestFit="1" customWidth="1"/>
    <col min="13060" max="13060" width="20.28515625" style="1863" bestFit="1" customWidth="1"/>
    <col min="13061" max="13061" width="18.28515625" style="1863" bestFit="1" customWidth="1"/>
    <col min="13062" max="13062" width="18.42578125" style="1863" bestFit="1" customWidth="1"/>
    <col min="13063" max="13063" width="19.140625" style="1863" bestFit="1" customWidth="1"/>
    <col min="13064" max="13064" width="25" style="1863" bestFit="1" customWidth="1"/>
    <col min="13065" max="13065" width="21.140625" style="1863" bestFit="1" customWidth="1"/>
    <col min="13066" max="13066" width="22.42578125" style="1863" bestFit="1" customWidth="1"/>
    <col min="13067" max="13067" width="22.140625" style="1863" bestFit="1" customWidth="1"/>
    <col min="13068" max="13069" width="22.140625" style="1863" customWidth="1"/>
    <col min="13070" max="13070" width="20.85546875" style="1863" bestFit="1" customWidth="1"/>
    <col min="13071" max="13071" width="15.140625" style="1863" bestFit="1" customWidth="1"/>
    <col min="13072" max="13072" width="9.28515625" style="1863" bestFit="1" customWidth="1"/>
    <col min="13073" max="13312" width="9.140625" style="1863"/>
    <col min="13313" max="13313" width="9.28515625" style="1863" bestFit="1" customWidth="1"/>
    <col min="13314" max="13314" width="12" style="1863" bestFit="1" customWidth="1"/>
    <col min="13315" max="13315" width="12.5703125" style="1863" bestFit="1" customWidth="1"/>
    <col min="13316" max="13316" width="20.28515625" style="1863" bestFit="1" customWidth="1"/>
    <col min="13317" max="13317" width="18.28515625" style="1863" bestFit="1" customWidth="1"/>
    <col min="13318" max="13318" width="18.42578125" style="1863" bestFit="1" customWidth="1"/>
    <col min="13319" max="13319" width="19.140625" style="1863" bestFit="1" customWidth="1"/>
    <col min="13320" max="13320" width="25" style="1863" bestFit="1" customWidth="1"/>
    <col min="13321" max="13321" width="21.140625" style="1863" bestFit="1" customWidth="1"/>
    <col min="13322" max="13322" width="22.42578125" style="1863" bestFit="1" customWidth="1"/>
    <col min="13323" max="13323" width="22.140625" style="1863" bestFit="1" customWidth="1"/>
    <col min="13324" max="13325" width="22.140625" style="1863" customWidth="1"/>
    <col min="13326" max="13326" width="20.85546875" style="1863" bestFit="1" customWidth="1"/>
    <col min="13327" max="13327" width="15.140625" style="1863" bestFit="1" customWidth="1"/>
    <col min="13328" max="13328" width="9.28515625" style="1863" bestFit="1" customWidth="1"/>
    <col min="13329" max="13568" width="9.140625" style="1863"/>
    <col min="13569" max="13569" width="9.28515625" style="1863" bestFit="1" customWidth="1"/>
    <col min="13570" max="13570" width="12" style="1863" bestFit="1" customWidth="1"/>
    <col min="13571" max="13571" width="12.5703125" style="1863" bestFit="1" customWidth="1"/>
    <col min="13572" max="13572" width="20.28515625" style="1863" bestFit="1" customWidth="1"/>
    <col min="13573" max="13573" width="18.28515625" style="1863" bestFit="1" customWidth="1"/>
    <col min="13574" max="13574" width="18.42578125" style="1863" bestFit="1" customWidth="1"/>
    <col min="13575" max="13575" width="19.140625" style="1863" bestFit="1" customWidth="1"/>
    <col min="13576" max="13576" width="25" style="1863" bestFit="1" customWidth="1"/>
    <col min="13577" max="13577" width="21.140625" style="1863" bestFit="1" customWidth="1"/>
    <col min="13578" max="13578" width="22.42578125" style="1863" bestFit="1" customWidth="1"/>
    <col min="13579" max="13579" width="22.140625" style="1863" bestFit="1" customWidth="1"/>
    <col min="13580" max="13581" width="22.140625" style="1863" customWidth="1"/>
    <col min="13582" max="13582" width="20.85546875" style="1863" bestFit="1" customWidth="1"/>
    <col min="13583" max="13583" width="15.140625" style="1863" bestFit="1" customWidth="1"/>
    <col min="13584" max="13584" width="9.28515625" style="1863" bestFit="1" customWidth="1"/>
    <col min="13585" max="13824" width="9.140625" style="1863"/>
    <col min="13825" max="13825" width="9.28515625" style="1863" bestFit="1" customWidth="1"/>
    <col min="13826" max="13826" width="12" style="1863" bestFit="1" customWidth="1"/>
    <col min="13827" max="13827" width="12.5703125" style="1863" bestFit="1" customWidth="1"/>
    <col min="13828" max="13828" width="20.28515625" style="1863" bestFit="1" customWidth="1"/>
    <col min="13829" max="13829" width="18.28515625" style="1863" bestFit="1" customWidth="1"/>
    <col min="13830" max="13830" width="18.42578125" style="1863" bestFit="1" customWidth="1"/>
    <col min="13831" max="13831" width="19.140625" style="1863" bestFit="1" customWidth="1"/>
    <col min="13832" max="13832" width="25" style="1863" bestFit="1" customWidth="1"/>
    <col min="13833" max="13833" width="21.140625" style="1863" bestFit="1" customWidth="1"/>
    <col min="13834" max="13834" width="22.42578125" style="1863" bestFit="1" customWidth="1"/>
    <col min="13835" max="13835" width="22.140625" style="1863" bestFit="1" customWidth="1"/>
    <col min="13836" max="13837" width="22.140625" style="1863" customWidth="1"/>
    <col min="13838" max="13838" width="20.85546875" style="1863" bestFit="1" customWidth="1"/>
    <col min="13839" max="13839" width="15.140625" style="1863" bestFit="1" customWidth="1"/>
    <col min="13840" max="13840" width="9.28515625" style="1863" bestFit="1" customWidth="1"/>
    <col min="13841" max="14080" width="9.140625" style="1863"/>
    <col min="14081" max="14081" width="9.28515625" style="1863" bestFit="1" customWidth="1"/>
    <col min="14082" max="14082" width="12" style="1863" bestFit="1" customWidth="1"/>
    <col min="14083" max="14083" width="12.5703125" style="1863" bestFit="1" customWidth="1"/>
    <col min="14084" max="14084" width="20.28515625" style="1863" bestFit="1" customWidth="1"/>
    <col min="14085" max="14085" width="18.28515625" style="1863" bestFit="1" customWidth="1"/>
    <col min="14086" max="14086" width="18.42578125" style="1863" bestFit="1" customWidth="1"/>
    <col min="14087" max="14087" width="19.140625" style="1863" bestFit="1" customWidth="1"/>
    <col min="14088" max="14088" width="25" style="1863" bestFit="1" customWidth="1"/>
    <col min="14089" max="14089" width="21.140625" style="1863" bestFit="1" customWidth="1"/>
    <col min="14090" max="14090" width="22.42578125" style="1863" bestFit="1" customWidth="1"/>
    <col min="14091" max="14091" width="22.140625" style="1863" bestFit="1" customWidth="1"/>
    <col min="14092" max="14093" width="22.140625" style="1863" customWidth="1"/>
    <col min="14094" max="14094" width="20.85546875" style="1863" bestFit="1" customWidth="1"/>
    <col min="14095" max="14095" width="15.140625" style="1863" bestFit="1" customWidth="1"/>
    <col min="14096" max="14096" width="9.28515625" style="1863" bestFit="1" customWidth="1"/>
    <col min="14097" max="14336" width="9.140625" style="1863"/>
    <col min="14337" max="14337" width="9.28515625" style="1863" bestFit="1" customWidth="1"/>
    <col min="14338" max="14338" width="12" style="1863" bestFit="1" customWidth="1"/>
    <col min="14339" max="14339" width="12.5703125" style="1863" bestFit="1" customWidth="1"/>
    <col min="14340" max="14340" width="20.28515625" style="1863" bestFit="1" customWidth="1"/>
    <col min="14341" max="14341" width="18.28515625" style="1863" bestFit="1" customWidth="1"/>
    <col min="14342" max="14342" width="18.42578125" style="1863" bestFit="1" customWidth="1"/>
    <col min="14343" max="14343" width="19.140625" style="1863" bestFit="1" customWidth="1"/>
    <col min="14344" max="14344" width="25" style="1863" bestFit="1" customWidth="1"/>
    <col min="14345" max="14345" width="21.140625" style="1863" bestFit="1" customWidth="1"/>
    <col min="14346" max="14346" width="22.42578125" style="1863" bestFit="1" customWidth="1"/>
    <col min="14347" max="14347" width="22.140625" style="1863" bestFit="1" customWidth="1"/>
    <col min="14348" max="14349" width="22.140625" style="1863" customWidth="1"/>
    <col min="14350" max="14350" width="20.85546875" style="1863" bestFit="1" customWidth="1"/>
    <col min="14351" max="14351" width="15.140625" style="1863" bestFit="1" customWidth="1"/>
    <col min="14352" max="14352" width="9.28515625" style="1863" bestFit="1" customWidth="1"/>
    <col min="14353" max="14592" width="9.140625" style="1863"/>
    <col min="14593" max="14593" width="9.28515625" style="1863" bestFit="1" customWidth="1"/>
    <col min="14594" max="14594" width="12" style="1863" bestFit="1" customWidth="1"/>
    <col min="14595" max="14595" width="12.5703125" style="1863" bestFit="1" customWidth="1"/>
    <col min="14596" max="14596" width="20.28515625" style="1863" bestFit="1" customWidth="1"/>
    <col min="14597" max="14597" width="18.28515625" style="1863" bestFit="1" customWidth="1"/>
    <col min="14598" max="14598" width="18.42578125" style="1863" bestFit="1" customWidth="1"/>
    <col min="14599" max="14599" width="19.140625" style="1863" bestFit="1" customWidth="1"/>
    <col min="14600" max="14600" width="25" style="1863" bestFit="1" customWidth="1"/>
    <col min="14601" max="14601" width="21.140625" style="1863" bestFit="1" customWidth="1"/>
    <col min="14602" max="14602" width="22.42578125" style="1863" bestFit="1" customWidth="1"/>
    <col min="14603" max="14603" width="22.140625" style="1863" bestFit="1" customWidth="1"/>
    <col min="14604" max="14605" width="22.140625" style="1863" customWidth="1"/>
    <col min="14606" max="14606" width="20.85546875" style="1863" bestFit="1" customWidth="1"/>
    <col min="14607" max="14607" width="15.140625" style="1863" bestFit="1" customWidth="1"/>
    <col min="14608" max="14608" width="9.28515625" style="1863" bestFit="1" customWidth="1"/>
    <col min="14609" max="14848" width="9.140625" style="1863"/>
    <col min="14849" max="14849" width="9.28515625" style="1863" bestFit="1" customWidth="1"/>
    <col min="14850" max="14850" width="12" style="1863" bestFit="1" customWidth="1"/>
    <col min="14851" max="14851" width="12.5703125" style="1863" bestFit="1" customWidth="1"/>
    <col min="14852" max="14852" width="20.28515625" style="1863" bestFit="1" customWidth="1"/>
    <col min="14853" max="14853" width="18.28515625" style="1863" bestFit="1" customWidth="1"/>
    <col min="14854" max="14854" width="18.42578125" style="1863" bestFit="1" customWidth="1"/>
    <col min="14855" max="14855" width="19.140625" style="1863" bestFit="1" customWidth="1"/>
    <col min="14856" max="14856" width="25" style="1863" bestFit="1" customWidth="1"/>
    <col min="14857" max="14857" width="21.140625" style="1863" bestFit="1" customWidth="1"/>
    <col min="14858" max="14858" width="22.42578125" style="1863" bestFit="1" customWidth="1"/>
    <col min="14859" max="14859" width="22.140625" style="1863" bestFit="1" customWidth="1"/>
    <col min="14860" max="14861" width="22.140625" style="1863" customWidth="1"/>
    <col min="14862" max="14862" width="20.85546875" style="1863" bestFit="1" customWidth="1"/>
    <col min="14863" max="14863" width="15.140625" style="1863" bestFit="1" customWidth="1"/>
    <col min="14864" max="14864" width="9.28515625" style="1863" bestFit="1" customWidth="1"/>
    <col min="14865" max="15104" width="9.140625" style="1863"/>
    <col min="15105" max="15105" width="9.28515625" style="1863" bestFit="1" customWidth="1"/>
    <col min="15106" max="15106" width="12" style="1863" bestFit="1" customWidth="1"/>
    <col min="15107" max="15107" width="12.5703125" style="1863" bestFit="1" customWidth="1"/>
    <col min="15108" max="15108" width="20.28515625" style="1863" bestFit="1" customWidth="1"/>
    <col min="15109" max="15109" width="18.28515625" style="1863" bestFit="1" customWidth="1"/>
    <col min="15110" max="15110" width="18.42578125" style="1863" bestFit="1" customWidth="1"/>
    <col min="15111" max="15111" width="19.140625" style="1863" bestFit="1" customWidth="1"/>
    <col min="15112" max="15112" width="25" style="1863" bestFit="1" customWidth="1"/>
    <col min="15113" max="15113" width="21.140625" style="1863" bestFit="1" customWidth="1"/>
    <col min="15114" max="15114" width="22.42578125" style="1863" bestFit="1" customWidth="1"/>
    <col min="15115" max="15115" width="22.140625" style="1863" bestFit="1" customWidth="1"/>
    <col min="15116" max="15117" width="22.140625" style="1863" customWidth="1"/>
    <col min="15118" max="15118" width="20.85546875" style="1863" bestFit="1" customWidth="1"/>
    <col min="15119" max="15119" width="15.140625" style="1863" bestFit="1" customWidth="1"/>
    <col min="15120" max="15120" width="9.28515625" style="1863" bestFit="1" customWidth="1"/>
    <col min="15121" max="15360" width="9.140625" style="1863"/>
    <col min="15361" max="15361" width="9.28515625" style="1863" bestFit="1" customWidth="1"/>
    <col min="15362" max="15362" width="12" style="1863" bestFit="1" customWidth="1"/>
    <col min="15363" max="15363" width="12.5703125" style="1863" bestFit="1" customWidth="1"/>
    <col min="15364" max="15364" width="20.28515625" style="1863" bestFit="1" customWidth="1"/>
    <col min="15365" max="15365" width="18.28515625" style="1863" bestFit="1" customWidth="1"/>
    <col min="15366" max="15366" width="18.42578125" style="1863" bestFit="1" customWidth="1"/>
    <col min="15367" max="15367" width="19.140625" style="1863" bestFit="1" customWidth="1"/>
    <col min="15368" max="15368" width="25" style="1863" bestFit="1" customWidth="1"/>
    <col min="15369" max="15369" width="21.140625" style="1863" bestFit="1" customWidth="1"/>
    <col min="15370" max="15370" width="22.42578125" style="1863" bestFit="1" customWidth="1"/>
    <col min="15371" max="15371" width="22.140625" style="1863" bestFit="1" customWidth="1"/>
    <col min="15372" max="15373" width="22.140625" style="1863" customWidth="1"/>
    <col min="15374" max="15374" width="20.85546875" style="1863" bestFit="1" customWidth="1"/>
    <col min="15375" max="15375" width="15.140625" style="1863" bestFit="1" customWidth="1"/>
    <col min="15376" max="15376" width="9.28515625" style="1863" bestFit="1" customWidth="1"/>
    <col min="15377" max="15616" width="9.140625" style="1863"/>
    <col min="15617" max="15617" width="9.28515625" style="1863" bestFit="1" customWidth="1"/>
    <col min="15618" max="15618" width="12" style="1863" bestFit="1" customWidth="1"/>
    <col min="15619" max="15619" width="12.5703125" style="1863" bestFit="1" customWidth="1"/>
    <col min="15620" max="15620" width="20.28515625" style="1863" bestFit="1" customWidth="1"/>
    <col min="15621" max="15621" width="18.28515625" style="1863" bestFit="1" customWidth="1"/>
    <col min="15622" max="15622" width="18.42578125" style="1863" bestFit="1" customWidth="1"/>
    <col min="15623" max="15623" width="19.140625" style="1863" bestFit="1" customWidth="1"/>
    <col min="15624" max="15624" width="25" style="1863" bestFit="1" customWidth="1"/>
    <col min="15625" max="15625" width="21.140625" style="1863" bestFit="1" customWidth="1"/>
    <col min="15626" max="15626" width="22.42578125" style="1863" bestFit="1" customWidth="1"/>
    <col min="15627" max="15627" width="22.140625" style="1863" bestFit="1" customWidth="1"/>
    <col min="15628" max="15629" width="22.140625" style="1863" customWidth="1"/>
    <col min="15630" max="15630" width="20.85546875" style="1863" bestFit="1" customWidth="1"/>
    <col min="15631" max="15631" width="15.140625" style="1863" bestFit="1" customWidth="1"/>
    <col min="15632" max="15632" width="9.28515625" style="1863" bestFit="1" customWidth="1"/>
    <col min="15633" max="15872" width="9.140625" style="1863"/>
    <col min="15873" max="15873" width="9.28515625" style="1863" bestFit="1" customWidth="1"/>
    <col min="15874" max="15874" width="12" style="1863" bestFit="1" customWidth="1"/>
    <col min="15875" max="15875" width="12.5703125" style="1863" bestFit="1" customWidth="1"/>
    <col min="15876" max="15876" width="20.28515625" style="1863" bestFit="1" customWidth="1"/>
    <col min="15877" max="15877" width="18.28515625" style="1863" bestFit="1" customWidth="1"/>
    <col min="15878" max="15878" width="18.42578125" style="1863" bestFit="1" customWidth="1"/>
    <col min="15879" max="15879" width="19.140625" style="1863" bestFit="1" customWidth="1"/>
    <col min="15880" max="15880" width="25" style="1863" bestFit="1" customWidth="1"/>
    <col min="15881" max="15881" width="21.140625" style="1863" bestFit="1" customWidth="1"/>
    <col min="15882" max="15882" width="22.42578125" style="1863" bestFit="1" customWidth="1"/>
    <col min="15883" max="15883" width="22.140625" style="1863" bestFit="1" customWidth="1"/>
    <col min="15884" max="15885" width="22.140625" style="1863" customWidth="1"/>
    <col min="15886" max="15886" width="20.85546875" style="1863" bestFit="1" customWidth="1"/>
    <col min="15887" max="15887" width="15.140625" style="1863" bestFit="1" customWidth="1"/>
    <col min="15888" max="15888" width="9.28515625" style="1863" bestFit="1" customWidth="1"/>
    <col min="15889" max="16128" width="9.140625" style="1863"/>
    <col min="16129" max="16129" width="9.28515625" style="1863" bestFit="1" customWidth="1"/>
    <col min="16130" max="16130" width="12" style="1863" bestFit="1" customWidth="1"/>
    <col min="16131" max="16131" width="12.5703125" style="1863" bestFit="1" customWidth="1"/>
    <col min="16132" max="16132" width="20.28515625" style="1863" bestFit="1" customWidth="1"/>
    <col min="16133" max="16133" width="18.28515625" style="1863" bestFit="1" customWidth="1"/>
    <col min="16134" max="16134" width="18.42578125" style="1863" bestFit="1" customWidth="1"/>
    <col min="16135" max="16135" width="19.140625" style="1863" bestFit="1" customWidth="1"/>
    <col min="16136" max="16136" width="25" style="1863" bestFit="1" customWidth="1"/>
    <col min="16137" max="16137" width="21.140625" style="1863" bestFit="1" customWidth="1"/>
    <col min="16138" max="16138" width="22.42578125" style="1863" bestFit="1" customWidth="1"/>
    <col min="16139" max="16139" width="22.140625" style="1863" bestFit="1" customWidth="1"/>
    <col min="16140" max="16141" width="22.140625" style="1863" customWidth="1"/>
    <col min="16142" max="16142" width="20.85546875" style="1863" bestFit="1" customWidth="1"/>
    <col min="16143" max="16143" width="15.140625" style="1863" bestFit="1" customWidth="1"/>
    <col min="16144" max="16144" width="9.28515625" style="1863" bestFit="1" customWidth="1"/>
    <col min="16145" max="16384" width="9.140625" style="1863"/>
  </cols>
  <sheetData>
    <row r="1" spans="1:16" ht="15.75">
      <c r="A1" s="2678" t="s">
        <v>4069</v>
      </c>
      <c r="B1" s="2678"/>
      <c r="C1" s="2678"/>
      <c r="D1" s="2678"/>
      <c r="E1" s="2678"/>
      <c r="F1" s="2678"/>
    </row>
    <row r="3" spans="1:16">
      <c r="A3" s="1751"/>
      <c r="B3" s="1751"/>
      <c r="C3" s="2517" t="s">
        <v>3033</v>
      </c>
      <c r="D3" s="2517"/>
      <c r="E3" s="2517"/>
      <c r="F3" s="2517"/>
      <c r="G3" s="2517"/>
      <c r="H3" s="1751"/>
    </row>
    <row r="4" spans="1:16">
      <c r="A4" s="1751"/>
      <c r="B4" s="1751"/>
      <c r="C4" s="2517" t="s">
        <v>3034</v>
      </c>
      <c r="D4" s="2517"/>
      <c r="E4" s="2517"/>
      <c r="F4" s="2517"/>
      <c r="G4" s="2517"/>
      <c r="H4" s="1751"/>
    </row>
    <row r="5" spans="1:16">
      <c r="A5" s="1789"/>
      <c r="B5" s="2507"/>
      <c r="C5" s="2507"/>
      <c r="D5" s="2507"/>
      <c r="E5" s="2507"/>
      <c r="F5" s="2507"/>
    </row>
    <row r="6" spans="1:16" ht="45">
      <c r="A6" s="2508" t="s">
        <v>7</v>
      </c>
      <c r="B6" s="2509" t="s">
        <v>3035</v>
      </c>
      <c r="C6" s="2509" t="s">
        <v>3036</v>
      </c>
      <c r="D6" s="2509" t="s">
        <v>4070</v>
      </c>
      <c r="E6" s="2509" t="s">
        <v>3037</v>
      </c>
      <c r="F6" s="2509" t="s">
        <v>4071</v>
      </c>
      <c r="G6" s="2509" t="s">
        <v>3038</v>
      </c>
      <c r="H6" s="2509" t="s">
        <v>3039</v>
      </c>
      <c r="I6" s="2509" t="s">
        <v>3040</v>
      </c>
      <c r="J6" s="2509" t="s">
        <v>3041</v>
      </c>
      <c r="K6" s="2509" t="s">
        <v>3042</v>
      </c>
      <c r="L6" s="2510" t="s">
        <v>3043</v>
      </c>
      <c r="M6" s="2510" t="s">
        <v>3044</v>
      </c>
      <c r="N6" s="2510" t="s">
        <v>3045</v>
      </c>
      <c r="O6" s="2511" t="s">
        <v>3046</v>
      </c>
    </row>
    <row r="7" spans="1:16" ht="45">
      <c r="A7" s="3773">
        <v>430000</v>
      </c>
      <c r="B7" s="3774" t="s">
        <v>2311</v>
      </c>
      <c r="C7" s="3774" t="s">
        <v>3047</v>
      </c>
      <c r="D7" s="3775" t="s">
        <v>2790</v>
      </c>
      <c r="E7" s="3775" t="s">
        <v>3048</v>
      </c>
      <c r="F7" s="3776">
        <v>500000</v>
      </c>
      <c r="G7" s="3775" t="s">
        <v>3049</v>
      </c>
      <c r="H7" s="3775" t="s">
        <v>3050</v>
      </c>
      <c r="I7" s="3775" t="s">
        <v>3051</v>
      </c>
      <c r="J7" s="3775" t="s">
        <v>3052</v>
      </c>
      <c r="K7" s="3775" t="s">
        <v>3053</v>
      </c>
      <c r="L7" s="3777" t="s">
        <v>2791</v>
      </c>
      <c r="M7" s="3777" t="s">
        <v>3054</v>
      </c>
      <c r="N7" s="3778">
        <v>0</v>
      </c>
      <c r="O7" s="3779" t="s">
        <v>3054</v>
      </c>
      <c r="P7" s="2512" t="s">
        <v>3055</v>
      </c>
    </row>
    <row r="8" spans="1:16">
      <c r="A8" s="3350"/>
      <c r="B8" s="3350"/>
      <c r="C8" s="3350"/>
      <c r="D8" s="3351"/>
      <c r="E8" s="3351"/>
      <c r="F8" s="3352"/>
      <c r="G8" s="3351"/>
      <c r="H8" s="3351"/>
      <c r="I8" s="3351"/>
      <c r="J8" s="3351"/>
      <c r="K8" s="3351"/>
      <c r="L8" s="3351"/>
      <c r="M8" s="3351"/>
      <c r="N8" s="3352"/>
      <c r="O8" s="3350"/>
      <c r="P8" s="3351"/>
    </row>
    <row r="9" spans="1:16">
      <c r="A9" s="3350"/>
      <c r="B9" s="3350"/>
      <c r="C9" s="3350"/>
      <c r="D9" s="3351"/>
      <c r="E9" s="3351"/>
      <c r="F9" s="3352"/>
      <c r="G9" s="3351"/>
      <c r="H9" s="3351"/>
      <c r="I9" s="3351"/>
      <c r="J9" s="3351"/>
      <c r="K9" s="3351"/>
      <c r="L9" s="3351"/>
      <c r="M9" s="3351"/>
      <c r="N9" s="3352"/>
      <c r="O9" s="3350"/>
      <c r="P9" s="3351"/>
    </row>
    <row r="10" spans="1:16">
      <c r="A10" s="3350"/>
      <c r="B10" s="3350"/>
      <c r="C10" s="3350"/>
      <c r="D10" s="3351"/>
      <c r="E10" s="3351"/>
      <c r="F10" s="3352"/>
      <c r="G10" s="3351"/>
      <c r="H10" s="3351"/>
      <c r="I10" s="3351"/>
      <c r="J10" s="3351"/>
      <c r="K10" s="3351"/>
      <c r="L10" s="3351"/>
      <c r="M10" s="3351"/>
      <c r="N10" s="3352"/>
      <c r="O10" s="3350"/>
      <c r="P10" s="3351"/>
    </row>
    <row r="11" spans="1:16">
      <c r="A11" s="3350"/>
      <c r="B11" s="3350"/>
      <c r="C11" s="3350"/>
      <c r="D11" s="3351"/>
      <c r="E11" s="3351"/>
      <c r="F11" s="3352"/>
      <c r="G11" s="3351"/>
      <c r="H11" s="3351"/>
      <c r="I11" s="3351"/>
      <c r="J11" s="3351"/>
      <c r="K11" s="3351"/>
      <c r="L11" s="3351"/>
      <c r="M11" s="3351"/>
      <c r="N11" s="3352"/>
      <c r="O11" s="3350"/>
      <c r="P11" s="3351"/>
    </row>
    <row r="12" spans="1:16">
      <c r="A12" s="3350"/>
      <c r="B12" s="3350"/>
      <c r="C12" s="3350"/>
      <c r="D12" s="3351"/>
      <c r="E12" s="3351"/>
      <c r="F12" s="3352"/>
      <c r="G12" s="3351"/>
      <c r="H12" s="3351"/>
      <c r="I12" s="3351"/>
      <c r="J12" s="3351"/>
      <c r="K12" s="3351"/>
      <c r="L12" s="3351"/>
      <c r="M12" s="3351"/>
      <c r="N12" s="3352"/>
      <c r="O12" s="3350"/>
      <c r="P12" s="3351"/>
    </row>
    <row r="13" spans="1:16">
      <c r="A13" s="3350"/>
      <c r="B13" s="3350"/>
      <c r="C13" s="3350"/>
      <c r="D13" s="3351"/>
      <c r="E13" s="3351"/>
      <c r="F13" s="3352"/>
      <c r="G13" s="3351"/>
      <c r="H13" s="3351"/>
      <c r="I13" s="3351"/>
      <c r="J13" s="3351"/>
      <c r="K13" s="3351"/>
      <c r="L13" s="3351"/>
      <c r="M13" s="3351"/>
      <c r="N13" s="3352"/>
      <c r="O13" s="3350"/>
      <c r="P13" s="3351"/>
    </row>
    <row r="14" spans="1:16">
      <c r="A14" s="3350"/>
      <c r="B14" s="3350"/>
      <c r="C14" s="3350"/>
      <c r="D14" s="3351"/>
      <c r="E14" s="3351"/>
      <c r="F14" s="3352"/>
      <c r="G14" s="3351"/>
      <c r="H14" s="3351"/>
      <c r="I14" s="3351"/>
      <c r="J14" s="3351"/>
      <c r="K14" s="3351"/>
      <c r="L14" s="3351"/>
      <c r="M14" s="3351"/>
      <c r="N14" s="3352"/>
      <c r="O14" s="3350"/>
      <c r="P14" s="3351"/>
    </row>
    <row r="15" spans="1:16">
      <c r="A15" s="3350"/>
      <c r="B15" s="3350"/>
      <c r="C15" s="3350"/>
      <c r="D15" s="3351"/>
      <c r="E15" s="3351"/>
      <c r="F15" s="3352"/>
      <c r="G15" s="3351"/>
      <c r="H15" s="3351"/>
      <c r="I15" s="3351"/>
      <c r="J15" s="3351"/>
      <c r="K15" s="3351"/>
      <c r="L15" s="3351"/>
      <c r="M15" s="3351"/>
      <c r="N15" s="3352"/>
      <c r="O15" s="3350"/>
      <c r="P15" s="3351"/>
    </row>
    <row r="16" spans="1:16">
      <c r="A16" s="3350"/>
      <c r="B16" s="3350"/>
      <c r="C16" s="3350"/>
      <c r="D16" s="3351"/>
      <c r="E16" s="3351"/>
      <c r="F16" s="3352"/>
      <c r="G16" s="3351"/>
      <c r="H16" s="3351"/>
      <c r="I16" s="3351"/>
      <c r="J16" s="3351"/>
      <c r="K16" s="3351"/>
      <c r="L16" s="3351"/>
      <c r="M16" s="3351"/>
      <c r="N16" s="3352"/>
      <c r="O16" s="3350"/>
      <c r="P16" s="3351"/>
    </row>
    <row r="18" spans="1:3">
      <c r="A18" s="3353" t="s">
        <v>3056</v>
      </c>
      <c r="B18" s="3780"/>
      <c r="C18" s="3256"/>
    </row>
  </sheetData>
  <sheetProtection algorithmName="SHA-512" hashValue="bgVKiB5AHvDzayrLn0QcoQjbygMFZvgHX5WIF/M4aUaz9I2XhCNoMQLpHoKCrPVf3+Gf0mo6fEjH/8DtYyAltw==" saltValue="Msy7zS/8at+W9SFDBetVfw==" spinCount="100000" sheet="1" objects="1" scenarios="1"/>
  <conditionalFormatting sqref="C18">
    <cfRule type="cellIs" dxfId="252" priority="1" operator="equal">
      <formula>0</formula>
    </cfRule>
  </conditionalFormatting>
  <pageMargins left="0.7" right="0.7" top="0.75" bottom="0.75" header="0.3" footer="0.3"/>
  <pageSetup scale="41" fitToHeight="0" orientation="landscape"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FF00"/>
  </sheetPr>
  <dimension ref="A1"/>
  <sheetViews>
    <sheetView workbookViewId="0"/>
  </sheetViews>
  <sheetFormatPr defaultRowHeight="15"/>
  <sheetData/>
  <sheetProtection algorithmName="SHA-512" hashValue="Ysg784Au0BDBk81vT1ZfO9WDVo7kYSxXhs7Io3JGdEljxg1Y8SQQiZZyYn1n+jXZZAllA1d9sOmV/vTmHmKjtA==" saltValue="UTz3lV8F+eTGpm3f8vX7nQ==" spinCount="100000" sheet="1" objects="1" scenarios="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FF00"/>
    <pageSetUpPr fitToPage="1"/>
  </sheetPr>
  <dimension ref="A1:AY52"/>
  <sheetViews>
    <sheetView showGridLines="0" zoomScaleNormal="100" workbookViewId="0"/>
  </sheetViews>
  <sheetFormatPr defaultColWidth="9.140625" defaultRowHeight="15"/>
  <cols>
    <col min="1" max="1" width="8.5703125" style="1863" customWidth="1"/>
    <col min="2" max="2" width="21.28515625" style="1863" customWidth="1"/>
    <col min="3" max="3" width="16.28515625" style="1863" customWidth="1"/>
    <col min="4" max="4" width="17.140625" style="1863" customWidth="1"/>
    <col min="5" max="5" width="15.85546875" style="1863" customWidth="1"/>
    <col min="6" max="6" width="10.85546875" style="1863" customWidth="1"/>
    <col min="7" max="7" width="12.42578125" style="1863" customWidth="1"/>
    <col min="8" max="8" width="12.5703125" style="1863" customWidth="1"/>
    <col min="9" max="9" width="8.85546875" style="1863" bestFit="1" customWidth="1"/>
    <col min="10" max="10" width="21" style="1863" customWidth="1"/>
    <col min="11" max="11" width="13.42578125" style="1863" customWidth="1"/>
    <col min="12" max="12" width="17.28515625" style="1863" bestFit="1" customWidth="1"/>
    <col min="13" max="13" width="24.42578125" style="1863" bestFit="1" customWidth="1"/>
    <col min="14" max="14" width="20" style="1863" bestFit="1" customWidth="1"/>
    <col min="15" max="15" width="12.5703125" style="1863" bestFit="1" customWidth="1"/>
    <col min="16" max="16" width="24.42578125" style="1863" bestFit="1" customWidth="1"/>
    <col min="17" max="17" width="23" style="1863" bestFit="1" customWidth="1"/>
    <col min="18" max="16384" width="9.140625" style="1863"/>
  </cols>
  <sheetData>
    <row r="1" spans="1:51" ht="18">
      <c r="E1" s="3089" t="s">
        <v>3057</v>
      </c>
      <c r="F1" s="2479"/>
      <c r="G1" s="2478"/>
      <c r="H1" s="2478"/>
      <c r="I1" s="393"/>
      <c r="J1" s="393"/>
      <c r="K1" s="393"/>
      <c r="L1" s="393"/>
      <c r="M1" s="393"/>
      <c r="N1" s="393"/>
      <c r="O1" s="393"/>
      <c r="P1" s="393"/>
      <c r="Q1" s="393"/>
      <c r="R1" s="393"/>
      <c r="S1" s="393"/>
      <c r="T1" s="393"/>
      <c r="U1" s="393"/>
      <c r="V1" s="393"/>
      <c r="W1" s="393"/>
      <c r="X1" s="393"/>
      <c r="Y1" s="393"/>
      <c r="Z1" s="393"/>
      <c r="AA1" s="393"/>
      <c r="AB1" s="393"/>
      <c r="AC1" s="393"/>
      <c r="AD1" s="393"/>
      <c r="AE1" s="393"/>
      <c r="AF1" s="393"/>
      <c r="AG1" s="393"/>
      <c r="AH1" s="393"/>
      <c r="AI1" s="393"/>
      <c r="AJ1" s="393"/>
      <c r="AK1" s="393"/>
      <c r="AL1" s="393"/>
      <c r="AM1" s="393"/>
      <c r="AN1" s="393"/>
      <c r="AO1" s="393"/>
      <c r="AP1" s="393"/>
      <c r="AQ1" s="393"/>
      <c r="AR1" s="393"/>
      <c r="AS1" s="393"/>
      <c r="AT1" s="393"/>
      <c r="AU1" s="393"/>
      <c r="AV1" s="393"/>
      <c r="AW1" s="393"/>
      <c r="AX1" s="393"/>
      <c r="AY1" s="393"/>
    </row>
    <row r="2" spans="1:51" ht="18">
      <c r="E2" s="3089" t="s">
        <v>3058</v>
      </c>
      <c r="F2" s="2479"/>
      <c r="G2" s="2478"/>
      <c r="H2" s="2478"/>
      <c r="I2" s="393"/>
      <c r="J2" s="393"/>
      <c r="K2" s="393"/>
      <c r="L2" s="393"/>
      <c r="M2" s="393"/>
      <c r="N2" s="393"/>
      <c r="O2" s="393"/>
      <c r="P2" s="393"/>
      <c r="Q2" s="393"/>
      <c r="R2" s="393"/>
      <c r="S2" s="393"/>
      <c r="T2" s="393"/>
      <c r="U2" s="393"/>
      <c r="V2" s="393"/>
      <c r="W2" s="393"/>
      <c r="X2" s="393"/>
      <c r="Y2" s="393"/>
      <c r="Z2" s="393"/>
      <c r="AA2" s="393"/>
      <c r="AB2" s="393"/>
      <c r="AC2" s="393"/>
      <c r="AD2" s="393"/>
      <c r="AE2" s="393"/>
      <c r="AF2" s="393"/>
      <c r="AG2" s="393"/>
      <c r="AH2" s="393"/>
      <c r="AI2" s="393"/>
      <c r="AJ2" s="393"/>
      <c r="AK2" s="393"/>
      <c r="AL2" s="393"/>
      <c r="AM2" s="393"/>
      <c r="AN2" s="393"/>
      <c r="AO2" s="393"/>
      <c r="AP2" s="393"/>
      <c r="AQ2" s="393"/>
      <c r="AR2" s="393"/>
      <c r="AS2" s="393"/>
      <c r="AT2" s="393"/>
      <c r="AU2" s="393"/>
      <c r="AV2" s="393"/>
      <c r="AW2" s="393"/>
      <c r="AX2" s="393"/>
      <c r="AY2" s="393"/>
    </row>
    <row r="3" spans="1:51" ht="18">
      <c r="E3" s="3089" t="s">
        <v>3059</v>
      </c>
      <c r="F3" s="2479"/>
      <c r="G3" s="2478"/>
      <c r="H3" s="2478"/>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3"/>
      <c r="AK3" s="393"/>
      <c r="AL3" s="393"/>
      <c r="AM3" s="393"/>
      <c r="AN3" s="393"/>
      <c r="AO3" s="393"/>
      <c r="AP3" s="393"/>
      <c r="AQ3" s="393"/>
      <c r="AR3" s="393"/>
      <c r="AS3" s="393"/>
      <c r="AT3" s="393"/>
      <c r="AU3" s="393"/>
      <c r="AV3" s="393"/>
      <c r="AW3" s="393"/>
      <c r="AX3" s="393"/>
      <c r="AY3" s="393"/>
    </row>
    <row r="4" spans="1:51" ht="18">
      <c r="E4" s="3090">
        <v>44012</v>
      </c>
      <c r="F4" s="2736"/>
      <c r="G4" s="2736"/>
      <c r="H4" s="2736"/>
      <c r="I4" s="393"/>
      <c r="J4" s="393"/>
      <c r="K4" s="393"/>
      <c r="L4" s="393"/>
      <c r="M4" s="393"/>
      <c r="N4" s="393"/>
      <c r="O4" s="393"/>
      <c r="P4" s="393"/>
      <c r="Q4" s="393"/>
      <c r="R4" s="393"/>
      <c r="S4" s="393"/>
      <c r="T4" s="393"/>
      <c r="U4" s="393"/>
      <c r="V4" s="393"/>
      <c r="W4" s="393"/>
      <c r="X4" s="393"/>
      <c r="Y4" s="393"/>
      <c r="Z4" s="393"/>
      <c r="AA4" s="393"/>
      <c r="AB4" s="393"/>
      <c r="AC4" s="393"/>
      <c r="AD4" s="393"/>
      <c r="AE4" s="393"/>
      <c r="AF4" s="393"/>
      <c r="AG4" s="393"/>
      <c r="AH4" s="393"/>
      <c r="AI4" s="393"/>
      <c r="AJ4" s="393"/>
      <c r="AK4" s="393"/>
      <c r="AL4" s="393"/>
      <c r="AM4" s="393"/>
      <c r="AN4" s="393"/>
      <c r="AO4" s="393"/>
      <c r="AP4" s="393"/>
      <c r="AQ4" s="393"/>
      <c r="AR4" s="393"/>
      <c r="AS4" s="393"/>
      <c r="AT4" s="393"/>
      <c r="AU4" s="393"/>
      <c r="AV4" s="393"/>
      <c r="AW4" s="393"/>
      <c r="AX4" s="393"/>
      <c r="AY4" s="393"/>
    </row>
    <row r="5" spans="1:51" ht="18">
      <c r="A5" s="2545"/>
      <c r="B5" s="2545"/>
      <c r="C5" s="2545"/>
      <c r="E5" s="2546"/>
      <c r="F5" s="2546"/>
      <c r="G5" s="2546"/>
      <c r="H5" s="2546"/>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393"/>
      <c r="AU5" s="393"/>
      <c r="AV5" s="393"/>
      <c r="AW5" s="393"/>
      <c r="AX5" s="393"/>
      <c r="AY5" s="393"/>
    </row>
    <row r="6" spans="1:51">
      <c r="A6" s="3091"/>
      <c r="B6" s="3092"/>
      <c r="C6" s="1751"/>
      <c r="D6" s="1751"/>
      <c r="E6" s="3093" t="s">
        <v>3033</v>
      </c>
      <c r="F6" s="3092"/>
      <c r="G6" s="3092"/>
      <c r="H6" s="3095"/>
      <c r="I6" s="3097"/>
      <c r="J6" s="3097"/>
      <c r="K6" s="3096"/>
      <c r="L6" s="393"/>
      <c r="M6" s="393"/>
      <c r="N6" s="393"/>
      <c r="O6" s="393"/>
      <c r="P6" s="393"/>
      <c r="Q6" s="393"/>
      <c r="R6" s="393"/>
      <c r="S6" s="393"/>
      <c r="T6" s="393"/>
      <c r="U6" s="393"/>
      <c r="V6" s="393"/>
      <c r="W6" s="393"/>
      <c r="X6" s="393"/>
      <c r="Y6" s="393"/>
      <c r="Z6" s="393"/>
      <c r="AA6" s="393"/>
      <c r="AB6" s="393"/>
      <c r="AC6" s="393"/>
      <c r="AD6" s="393"/>
      <c r="AE6" s="393"/>
      <c r="AF6" s="393"/>
      <c r="AG6" s="393"/>
      <c r="AH6" s="393"/>
      <c r="AI6" s="393"/>
      <c r="AJ6" s="393"/>
      <c r="AK6" s="393"/>
      <c r="AL6" s="393"/>
      <c r="AM6" s="393"/>
      <c r="AN6" s="393"/>
      <c r="AO6" s="393"/>
      <c r="AP6" s="393"/>
      <c r="AQ6" s="393"/>
      <c r="AR6" s="393"/>
      <c r="AS6" s="393"/>
      <c r="AT6" s="393"/>
      <c r="AU6" s="393"/>
      <c r="AV6" s="393"/>
      <c r="AW6" s="393"/>
      <c r="AX6" s="393"/>
      <c r="AY6" s="393"/>
    </row>
    <row r="7" spans="1:51">
      <c r="A7" s="3091"/>
      <c r="B7" s="3092"/>
      <c r="C7" s="1751"/>
      <c r="D7" s="1751"/>
      <c r="E7" s="3093" t="s">
        <v>3034</v>
      </c>
      <c r="F7" s="3092"/>
      <c r="G7" s="3092"/>
      <c r="H7" s="3095"/>
      <c r="I7" s="3097"/>
      <c r="J7" s="3097"/>
      <c r="K7" s="3096"/>
      <c r="L7" s="393"/>
      <c r="M7" s="393"/>
      <c r="N7" s="393"/>
      <c r="O7" s="393"/>
      <c r="P7" s="393"/>
      <c r="Q7" s="393"/>
      <c r="R7" s="393"/>
      <c r="S7" s="393"/>
      <c r="T7" s="393"/>
      <c r="U7" s="393"/>
      <c r="V7" s="393"/>
      <c r="W7" s="393"/>
      <c r="X7" s="393"/>
      <c r="Y7" s="393"/>
      <c r="Z7" s="393"/>
      <c r="AA7" s="393"/>
      <c r="AB7" s="393"/>
      <c r="AC7" s="393"/>
      <c r="AD7" s="393"/>
      <c r="AE7" s="393"/>
      <c r="AF7" s="393"/>
      <c r="AG7" s="393"/>
      <c r="AH7" s="393"/>
      <c r="AI7" s="393"/>
      <c r="AJ7" s="393"/>
      <c r="AK7" s="393"/>
      <c r="AL7" s="393"/>
      <c r="AM7" s="393"/>
      <c r="AN7" s="393"/>
      <c r="AO7" s="393"/>
      <c r="AP7" s="393"/>
      <c r="AQ7" s="393"/>
      <c r="AR7" s="393"/>
      <c r="AS7" s="393"/>
      <c r="AT7" s="393"/>
      <c r="AU7" s="393"/>
      <c r="AV7" s="393"/>
      <c r="AW7" s="393"/>
      <c r="AX7" s="393"/>
      <c r="AY7" s="393"/>
    </row>
    <row r="8" spans="1:51" ht="15.75" thickBot="1"/>
    <row r="9" spans="1:51" s="2899" customFormat="1" ht="45.75" thickBot="1">
      <c r="A9" s="2895" t="s">
        <v>7</v>
      </c>
      <c r="B9" s="2896" t="s">
        <v>3035</v>
      </c>
      <c r="C9" s="2896" t="s">
        <v>3060</v>
      </c>
      <c r="D9" s="2896" t="s">
        <v>3061</v>
      </c>
      <c r="E9" s="2896" t="s">
        <v>3062</v>
      </c>
      <c r="F9" s="2896" t="s">
        <v>3063</v>
      </c>
      <c r="G9" s="2896" t="s">
        <v>3064</v>
      </c>
      <c r="H9" s="2896" t="s">
        <v>3065</v>
      </c>
      <c r="I9" s="2896" t="s">
        <v>3066</v>
      </c>
      <c r="J9" s="2896" t="s">
        <v>3067</v>
      </c>
      <c r="K9" s="2896" t="s">
        <v>3068</v>
      </c>
      <c r="L9" s="2896" t="s">
        <v>3069</v>
      </c>
      <c r="M9" s="2896" t="s">
        <v>3070</v>
      </c>
      <c r="N9" s="2897" t="s">
        <v>3071</v>
      </c>
      <c r="O9" s="2897" t="s">
        <v>3072</v>
      </c>
      <c r="P9" s="2897" t="s">
        <v>3073</v>
      </c>
      <c r="Q9" s="2898" t="s">
        <v>3074</v>
      </c>
    </row>
    <row r="10" spans="1:51">
      <c r="A10" s="3255"/>
      <c r="B10" s="3255"/>
      <c r="C10" s="3255"/>
      <c r="D10" s="3255"/>
      <c r="E10" s="3255"/>
      <c r="F10" s="3255"/>
      <c r="G10" s="3255"/>
      <c r="H10" s="3255"/>
      <c r="I10" s="3255"/>
      <c r="J10" s="3255"/>
      <c r="K10" s="3255"/>
      <c r="L10" s="3255"/>
      <c r="M10" s="3255"/>
      <c r="N10" s="3255"/>
      <c r="O10" s="3255"/>
      <c r="P10" s="3255"/>
      <c r="Q10" s="3255"/>
    </row>
    <row r="11" spans="1:51">
      <c r="A11" s="3256"/>
      <c r="B11" s="3256"/>
      <c r="C11" s="3256"/>
      <c r="D11" s="3256"/>
      <c r="E11" s="3256"/>
      <c r="F11" s="3256"/>
      <c r="G11" s="3256"/>
      <c r="H11" s="3256"/>
      <c r="I11" s="3256"/>
      <c r="J11" s="3256"/>
      <c r="K11" s="3256"/>
      <c r="L11" s="3256"/>
      <c r="M11" s="3256"/>
      <c r="N11" s="3256"/>
      <c r="O11" s="3256"/>
      <c r="P11" s="3256"/>
      <c r="Q11" s="3256"/>
    </row>
    <row r="12" spans="1:51">
      <c r="A12" s="3256"/>
      <c r="B12" s="3256"/>
      <c r="C12" s="3256"/>
      <c r="D12" s="3256"/>
      <c r="E12" s="3256"/>
      <c r="F12" s="3256"/>
      <c r="G12" s="3256"/>
      <c r="H12" s="3256"/>
      <c r="I12" s="3256"/>
      <c r="J12" s="3256"/>
      <c r="K12" s="3256"/>
      <c r="L12" s="3256"/>
      <c r="M12" s="3256"/>
      <c r="N12" s="3256"/>
      <c r="O12" s="3256"/>
      <c r="P12" s="3256"/>
      <c r="Q12" s="3256"/>
    </row>
    <row r="13" spans="1:51">
      <c r="A13" s="3256"/>
      <c r="B13" s="3256"/>
      <c r="C13" s="3256"/>
      <c r="D13" s="3256"/>
      <c r="E13" s="3256"/>
      <c r="F13" s="3256"/>
      <c r="G13" s="3256"/>
      <c r="H13" s="3256"/>
      <c r="I13" s="3256"/>
      <c r="J13" s="3256"/>
      <c r="K13" s="3256"/>
      <c r="L13" s="3256"/>
      <c r="M13" s="3256"/>
      <c r="N13" s="3256"/>
      <c r="O13" s="3256"/>
      <c r="P13" s="3256"/>
      <c r="Q13" s="3256"/>
    </row>
    <row r="14" spans="1:51">
      <c r="A14" s="3256"/>
      <c r="B14" s="3256"/>
      <c r="C14" s="3256"/>
      <c r="D14" s="3256"/>
      <c r="E14" s="3256"/>
      <c r="F14" s="3256"/>
      <c r="G14" s="3256"/>
      <c r="H14" s="3256"/>
      <c r="I14" s="3256"/>
      <c r="J14" s="3256"/>
      <c r="K14" s="3256"/>
      <c r="L14" s="3256"/>
      <c r="M14" s="3256"/>
      <c r="N14" s="3256"/>
      <c r="O14" s="3256"/>
      <c r="P14" s="3256"/>
      <c r="Q14" s="3256"/>
    </row>
    <row r="15" spans="1:51">
      <c r="A15" s="3256"/>
      <c r="B15" s="3256"/>
      <c r="C15" s="3256"/>
      <c r="D15" s="3256"/>
      <c r="E15" s="3256"/>
      <c r="F15" s="3256"/>
      <c r="G15" s="3256"/>
      <c r="H15" s="3256"/>
      <c r="I15" s="3256"/>
      <c r="J15" s="3256"/>
      <c r="K15" s="3256"/>
      <c r="L15" s="3256"/>
      <c r="M15" s="3256"/>
      <c r="N15" s="3256"/>
      <c r="O15" s="3256"/>
      <c r="P15" s="3256"/>
      <c r="Q15" s="3256"/>
    </row>
    <row r="16" spans="1:51">
      <c r="A16" s="3256"/>
      <c r="B16" s="3256"/>
      <c r="C16" s="3256"/>
      <c r="D16" s="3256"/>
      <c r="E16" s="3256"/>
      <c r="F16" s="3256"/>
      <c r="G16" s="3256"/>
      <c r="H16" s="3256"/>
      <c r="I16" s="3256"/>
      <c r="J16" s="3256"/>
      <c r="K16" s="3256"/>
      <c r="L16" s="3256"/>
      <c r="M16" s="3256"/>
      <c r="N16" s="3256"/>
      <c r="O16" s="3256"/>
      <c r="P16" s="3256"/>
      <c r="Q16" s="3256"/>
    </row>
    <row r="17" spans="1:17">
      <c r="A17" s="3256"/>
      <c r="B17" s="3256"/>
      <c r="C17" s="3256"/>
      <c r="D17" s="3256"/>
      <c r="E17" s="3256"/>
      <c r="F17" s="3256"/>
      <c r="G17" s="3256"/>
      <c r="H17" s="3256"/>
      <c r="I17" s="3256"/>
      <c r="J17" s="3256"/>
      <c r="K17" s="3256"/>
      <c r="L17" s="3256"/>
      <c r="M17" s="3256"/>
      <c r="N17" s="3256"/>
      <c r="O17" s="3256"/>
      <c r="P17" s="3256"/>
      <c r="Q17" s="3256"/>
    </row>
    <row r="18" spans="1:17">
      <c r="A18" s="3256"/>
      <c r="B18" s="3256"/>
      <c r="C18" s="3256"/>
      <c r="D18" s="3256"/>
      <c r="E18" s="3256"/>
      <c r="F18" s="3256"/>
      <c r="G18" s="3256"/>
      <c r="H18" s="3256"/>
      <c r="I18" s="3256"/>
      <c r="J18" s="3256"/>
      <c r="K18" s="3256"/>
      <c r="L18" s="3256"/>
      <c r="M18" s="3256"/>
      <c r="N18" s="3256"/>
      <c r="O18" s="3256"/>
      <c r="P18" s="3256"/>
      <c r="Q18" s="3256"/>
    </row>
    <row r="19" spans="1:17">
      <c r="A19" s="3256"/>
      <c r="B19" s="3256"/>
      <c r="C19" s="3256"/>
      <c r="D19" s="3256"/>
      <c r="E19" s="3256"/>
      <c r="F19" s="3256"/>
      <c r="G19" s="3256"/>
      <c r="H19" s="3256"/>
      <c r="I19" s="3256"/>
      <c r="J19" s="3256"/>
      <c r="K19" s="3256"/>
      <c r="L19" s="3256"/>
      <c r="M19" s="3256"/>
      <c r="N19" s="3256"/>
      <c r="O19" s="3256"/>
      <c r="P19" s="3256"/>
      <c r="Q19" s="3256"/>
    </row>
    <row r="20" spans="1:17">
      <c r="A20" s="3256"/>
      <c r="B20" s="3256"/>
      <c r="C20" s="3256"/>
      <c r="D20" s="3256"/>
      <c r="E20" s="3256"/>
      <c r="F20" s="3256"/>
      <c r="G20" s="3256"/>
      <c r="H20" s="3256"/>
      <c r="I20" s="3256"/>
      <c r="J20" s="3256"/>
      <c r="K20" s="3256"/>
      <c r="L20" s="3256"/>
      <c r="M20" s="3256"/>
      <c r="N20" s="3256"/>
      <c r="O20" s="3256"/>
      <c r="P20" s="3256"/>
      <c r="Q20" s="3256"/>
    </row>
    <row r="21" spans="1:17">
      <c r="A21" s="3256"/>
      <c r="B21" s="3256"/>
      <c r="C21" s="3256"/>
      <c r="D21" s="3256"/>
      <c r="E21" s="3256"/>
      <c r="F21" s="3256"/>
      <c r="G21" s="3256"/>
      <c r="H21" s="3256"/>
      <c r="I21" s="3256"/>
      <c r="J21" s="3256"/>
      <c r="K21" s="3256"/>
      <c r="L21" s="3256"/>
      <c r="M21" s="3256"/>
      <c r="N21" s="3256"/>
      <c r="O21" s="3256"/>
      <c r="P21" s="3256"/>
      <c r="Q21" s="3256"/>
    </row>
    <row r="22" spans="1:17">
      <c r="A22" s="3256"/>
      <c r="B22" s="3256"/>
      <c r="C22" s="3256"/>
      <c r="D22" s="3256"/>
      <c r="E22" s="3256"/>
      <c r="F22" s="3256"/>
      <c r="G22" s="3256"/>
      <c r="H22" s="3256"/>
      <c r="I22" s="3256"/>
      <c r="J22" s="3256"/>
      <c r="K22" s="3256"/>
      <c r="L22" s="3256"/>
      <c r="M22" s="3256"/>
      <c r="N22" s="3256"/>
      <c r="O22" s="3256"/>
      <c r="P22" s="3256"/>
      <c r="Q22" s="3256"/>
    </row>
    <row r="23" spans="1:17">
      <c r="A23" s="3256"/>
      <c r="B23" s="3256"/>
      <c r="C23" s="3256"/>
      <c r="D23" s="3256"/>
      <c r="E23" s="3256"/>
      <c r="F23" s="3256"/>
      <c r="G23" s="3256"/>
      <c r="H23" s="3256"/>
      <c r="I23" s="3256"/>
      <c r="J23" s="3256"/>
      <c r="K23" s="3256"/>
      <c r="L23" s="3256"/>
      <c r="M23" s="3256"/>
      <c r="N23" s="3256"/>
      <c r="O23" s="3256"/>
      <c r="P23" s="3256"/>
      <c r="Q23" s="3256"/>
    </row>
    <row r="24" spans="1:17">
      <c r="A24" s="3256"/>
      <c r="B24" s="3256"/>
      <c r="C24" s="3256"/>
      <c r="D24" s="3256"/>
      <c r="E24" s="3256"/>
      <c r="F24" s="3256"/>
      <c r="G24" s="3256"/>
      <c r="H24" s="3256"/>
      <c r="I24" s="3256"/>
      <c r="J24" s="3256"/>
      <c r="K24" s="3256"/>
      <c r="L24" s="3256"/>
      <c r="M24" s="3256"/>
      <c r="N24" s="3256"/>
      <c r="O24" s="3256"/>
      <c r="P24" s="3256"/>
      <c r="Q24" s="3256"/>
    </row>
    <row r="25" spans="1:17">
      <c r="A25" s="3256"/>
      <c r="B25" s="3256"/>
      <c r="C25" s="3256"/>
      <c r="D25" s="3256"/>
      <c r="E25" s="3256"/>
      <c r="F25" s="3256"/>
      <c r="G25" s="3256"/>
      <c r="H25" s="3256"/>
      <c r="I25" s="3256"/>
      <c r="J25" s="3256"/>
      <c r="K25" s="3256"/>
      <c r="L25" s="3256"/>
      <c r="M25" s="3256"/>
      <c r="N25" s="3256"/>
      <c r="O25" s="3256"/>
      <c r="P25" s="3256"/>
      <c r="Q25" s="3256"/>
    </row>
    <row r="27" spans="1:17">
      <c r="A27" s="1863" t="s">
        <v>3075</v>
      </c>
    </row>
    <row r="28" spans="1:17">
      <c r="A28" s="3105"/>
    </row>
    <row r="29" spans="1:17">
      <c r="A29" s="3105"/>
    </row>
    <row r="30" spans="1:17">
      <c r="A30" s="1931" t="s">
        <v>3076</v>
      </c>
    </row>
    <row r="32" spans="1:17">
      <c r="A32" s="2902">
        <v>1</v>
      </c>
      <c r="B32" s="1863" t="s">
        <v>3077</v>
      </c>
    </row>
    <row r="33" spans="1:17">
      <c r="A33" s="2902">
        <v>2</v>
      </c>
      <c r="B33" s="1863" t="s">
        <v>3078</v>
      </c>
    </row>
    <row r="34" spans="1:17">
      <c r="A34" s="2902">
        <v>3</v>
      </c>
      <c r="B34" s="1863" t="s">
        <v>3079</v>
      </c>
    </row>
    <row r="35" spans="1:17">
      <c r="A35" s="2902">
        <v>4</v>
      </c>
      <c r="B35" s="1863" t="s">
        <v>3080</v>
      </c>
    </row>
    <row r="36" spans="1:17">
      <c r="A36" s="2902">
        <v>5</v>
      </c>
      <c r="B36" s="2905" t="s">
        <v>3081</v>
      </c>
      <c r="C36" s="2903"/>
      <c r="D36" s="2903"/>
      <c r="E36" s="2903"/>
    </row>
    <row r="37" spans="1:17">
      <c r="A37" s="2902"/>
      <c r="B37" s="2905" t="s">
        <v>3082</v>
      </c>
      <c r="C37" s="2903"/>
      <c r="D37" s="2903"/>
      <c r="E37" s="2903"/>
      <c r="G37" s="2900"/>
      <c r="H37" s="2900"/>
      <c r="I37" s="2900"/>
      <c r="J37" s="2900"/>
      <c r="K37" s="2900"/>
      <c r="L37" s="2900"/>
      <c r="M37" s="2900"/>
      <c r="N37" s="2900"/>
      <c r="O37" s="2900"/>
      <c r="P37" s="2901"/>
      <c r="Q37" s="2901"/>
    </row>
    <row r="38" spans="1:17">
      <c r="A38" s="2902">
        <v>6</v>
      </c>
      <c r="B38" s="1863" t="s">
        <v>3083</v>
      </c>
      <c r="G38" s="2900"/>
      <c r="H38" s="2900"/>
      <c r="I38" s="2900"/>
      <c r="J38" s="2900"/>
      <c r="K38" s="2900"/>
      <c r="L38" s="2900"/>
      <c r="M38" s="2900"/>
      <c r="N38" s="2900"/>
      <c r="O38" s="2900"/>
      <c r="P38" s="2901"/>
      <c r="Q38" s="2901"/>
    </row>
    <row r="39" spans="1:17">
      <c r="A39" s="2902">
        <v>7</v>
      </c>
      <c r="B39" s="1863" t="s">
        <v>3084</v>
      </c>
    </row>
    <row r="40" spans="1:17">
      <c r="A40" s="2902">
        <v>8</v>
      </c>
      <c r="B40" s="1863" t="s">
        <v>3085</v>
      </c>
    </row>
    <row r="41" spans="1:17">
      <c r="A41" s="2902">
        <v>9</v>
      </c>
      <c r="B41" s="1863" t="s">
        <v>3086</v>
      </c>
    </row>
    <row r="42" spans="1:17">
      <c r="A42" s="2902">
        <v>10</v>
      </c>
      <c r="B42" s="1863" t="s">
        <v>3087</v>
      </c>
    </row>
    <row r="43" spans="1:17">
      <c r="A43" s="2902">
        <v>11</v>
      </c>
      <c r="B43" s="1863" t="s">
        <v>3088</v>
      </c>
    </row>
    <row r="44" spans="1:17">
      <c r="A44" s="2902">
        <v>12</v>
      </c>
      <c r="B44" s="1863" t="s">
        <v>3089</v>
      </c>
    </row>
    <row r="45" spans="1:17">
      <c r="A45" s="2902">
        <v>13</v>
      </c>
      <c r="B45" s="1863" t="s">
        <v>3090</v>
      </c>
    </row>
    <row r="46" spans="1:17">
      <c r="A46" s="2902">
        <v>14</v>
      </c>
      <c r="B46" s="1863" t="s">
        <v>3091</v>
      </c>
    </row>
    <row r="47" spans="1:17">
      <c r="A47" s="2902">
        <v>15</v>
      </c>
      <c r="B47" s="1863" t="s">
        <v>3092</v>
      </c>
    </row>
    <row r="48" spans="1:17">
      <c r="A48" s="2902">
        <v>16</v>
      </c>
      <c r="B48" s="1863" t="s">
        <v>3093</v>
      </c>
    </row>
    <row r="49" spans="1:5">
      <c r="A49" s="2902">
        <v>17</v>
      </c>
      <c r="B49" s="3094" t="s">
        <v>3094</v>
      </c>
      <c r="C49" s="2904"/>
      <c r="D49" s="2904"/>
      <c r="E49" s="2904"/>
    </row>
    <row r="50" spans="1:5">
      <c r="A50" s="2902"/>
      <c r="B50" s="3094" t="s">
        <v>3095</v>
      </c>
      <c r="C50" s="2904"/>
      <c r="D50" s="2904"/>
      <c r="E50" s="2904"/>
    </row>
    <row r="51" spans="1:5">
      <c r="A51" s="2902"/>
      <c r="B51" s="3094" t="s">
        <v>3096</v>
      </c>
      <c r="C51" s="2904"/>
      <c r="D51" s="2904"/>
      <c r="E51" s="2904"/>
    </row>
    <row r="52" spans="1:5">
      <c r="A52" s="2902">
        <v>18</v>
      </c>
      <c r="B52" s="1863" t="s">
        <v>3097</v>
      </c>
    </row>
  </sheetData>
  <sheetProtection password="E1DA" sheet="1" objects="1" scenarios="1"/>
  <printOptions horizontalCentered="1"/>
  <pageMargins left="0.7" right="0.7" top="0.75" bottom="0.75" header="0.3" footer="0.3"/>
  <pageSetup scale="43" fitToHeight="0" orientation="landscape"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66FF99"/>
    <pageSetUpPr fitToPage="1"/>
  </sheetPr>
  <dimension ref="A1:AV75"/>
  <sheetViews>
    <sheetView zoomScaleNormal="100" workbookViewId="0"/>
  </sheetViews>
  <sheetFormatPr defaultColWidth="9.140625" defaultRowHeight="12.75"/>
  <cols>
    <col min="1" max="1" width="3.140625" style="1469" bestFit="1" customWidth="1"/>
    <col min="2" max="2" width="7" style="1469" customWidth="1"/>
    <col min="3" max="3" width="9.140625" style="1469"/>
    <col min="4" max="4" width="10.85546875" style="1469" customWidth="1"/>
    <col min="5" max="5" width="12.28515625" style="1469" bestFit="1" customWidth="1"/>
    <col min="6" max="6" width="28.28515625" style="1469" customWidth="1"/>
    <col min="7" max="7" width="23.85546875" style="1469" customWidth="1"/>
    <col min="8" max="8" width="4.5703125" style="1469" customWidth="1"/>
    <col min="9" max="9" width="3.28515625" style="1469" customWidth="1"/>
    <col min="10" max="10" width="23" style="1469" customWidth="1"/>
    <col min="11" max="11" width="2.85546875" style="1469" customWidth="1"/>
    <col min="12" max="12" width="11.140625" style="1469" customWidth="1"/>
    <col min="13" max="16384" width="9.140625" style="1469"/>
  </cols>
  <sheetData>
    <row r="1" spans="1:48" ht="15.75">
      <c r="B1" s="2531"/>
      <c r="C1" s="2531"/>
      <c r="D1" s="2531"/>
      <c r="E1" s="2531"/>
      <c r="F1" s="3028" t="s">
        <v>3098</v>
      </c>
      <c r="G1" s="2531"/>
      <c r="H1" s="2531"/>
      <c r="I1" s="2531"/>
      <c r="J1" s="2531"/>
      <c r="K1" s="2531"/>
      <c r="L1" s="2531"/>
      <c r="M1" s="1468"/>
    </row>
    <row r="2" spans="1:48" ht="15.75">
      <c r="B2" s="2531"/>
      <c r="C2" s="2531"/>
      <c r="D2" s="2531"/>
      <c r="E2" s="2531"/>
      <c r="F2" s="3029" t="s">
        <v>3099</v>
      </c>
      <c r="G2" s="2531"/>
      <c r="H2" s="2531"/>
      <c r="I2" s="2531"/>
      <c r="J2" s="2531"/>
      <c r="K2" s="2531"/>
      <c r="L2" s="2531"/>
      <c r="M2" s="1468"/>
    </row>
    <row r="3" spans="1:48" ht="15.75">
      <c r="B3" s="2531"/>
      <c r="C3" s="2531"/>
      <c r="D3" s="2531"/>
      <c r="E3" s="2531"/>
      <c r="F3" s="3028" t="s">
        <v>3100</v>
      </c>
      <c r="G3" s="2531"/>
      <c r="H3" s="2531"/>
      <c r="I3" s="2531"/>
      <c r="J3" s="2531"/>
      <c r="K3" s="2531"/>
      <c r="L3" s="2531"/>
      <c r="M3" s="1468"/>
    </row>
    <row r="4" spans="1:48" ht="15.75">
      <c r="B4" s="2977"/>
      <c r="C4" s="2978"/>
      <c r="D4" s="2531"/>
      <c r="F4" s="3018" t="str">
        <f>'FCS Notes Sched Inv &amp; Cash'!E4</f>
        <v>For the Fiscal Year Ended June 30, 2021</v>
      </c>
      <c r="G4" s="2979"/>
      <c r="H4" s="2531"/>
      <c r="I4" s="2531"/>
      <c r="K4" s="2531"/>
      <c r="L4" s="2531"/>
      <c r="M4" s="2533"/>
    </row>
    <row r="5" spans="1:48" ht="15.75">
      <c r="B5" s="2532"/>
      <c r="C5" s="2531"/>
      <c r="D5" s="2531"/>
      <c r="E5" s="2531"/>
      <c r="F5" s="2531"/>
      <c r="G5" s="2531"/>
      <c r="H5" s="2531"/>
      <c r="I5" s="2531"/>
      <c r="J5" s="2531"/>
      <c r="K5" s="2531"/>
      <c r="L5" s="1470"/>
      <c r="M5" s="2533"/>
    </row>
    <row r="6" spans="1:48" ht="15" customHeight="1">
      <c r="C6" s="1468"/>
      <c r="D6" s="1468"/>
      <c r="E6" s="1468"/>
      <c r="F6" s="1468"/>
      <c r="G6" s="1468"/>
      <c r="H6" s="1468"/>
      <c r="I6" s="1468"/>
      <c r="J6" s="1468"/>
      <c r="K6" s="1468"/>
      <c r="L6" s="1468"/>
      <c r="M6" s="1468"/>
    </row>
    <row r="7" spans="1:48" ht="15.75">
      <c r="B7" s="1471" t="s">
        <v>3101</v>
      </c>
      <c r="C7" s="1472"/>
      <c r="D7" s="1473"/>
      <c r="E7" s="1474"/>
      <c r="F7" s="2689" t="str">
        <f>'Contact Information'!C5</f>
        <v>SAMPLE STATE COLLEGE</v>
      </c>
      <c r="G7" s="1475"/>
      <c r="H7" s="1475"/>
      <c r="I7" s="1476"/>
      <c r="J7" s="1476"/>
      <c r="K7" s="1477"/>
      <c r="L7" s="1478"/>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479"/>
      <c r="AU7" s="1479"/>
      <c r="AV7" s="1479"/>
    </row>
    <row r="8" spans="1:48" ht="5.25" customHeight="1">
      <c r="B8" s="1472"/>
      <c r="C8" s="1472"/>
      <c r="D8" s="1472"/>
      <c r="E8" s="1472"/>
      <c r="F8" s="1472"/>
      <c r="G8" s="1472"/>
      <c r="H8" s="1472"/>
      <c r="I8" s="1472"/>
      <c r="J8" s="1472"/>
      <c r="K8" s="1472"/>
    </row>
    <row r="9" spans="1:48" ht="15">
      <c r="B9" s="1471" t="s">
        <v>3102</v>
      </c>
      <c r="C9" s="1472"/>
      <c r="D9" s="1472"/>
      <c r="E9" s="1472"/>
      <c r="F9" s="2323" t="e">
        <f>'Adjustment Form'!B9</f>
        <v>#N/A</v>
      </c>
      <c r="G9" s="1480"/>
      <c r="H9" s="1480"/>
      <c r="I9" s="1481"/>
      <c r="J9" s="1481"/>
      <c r="K9" s="1481"/>
    </row>
    <row r="10" spans="1:48" ht="15" customHeight="1"/>
    <row r="11" spans="1:48">
      <c r="B11" s="1482" t="s">
        <v>3103</v>
      </c>
    </row>
    <row r="12" spans="1:48" ht="15" customHeight="1"/>
    <row r="13" spans="1:48" ht="12.75" customHeight="1">
      <c r="A13" s="1481" t="s">
        <v>816</v>
      </c>
      <c r="B13" s="2684" t="s">
        <v>3104</v>
      </c>
      <c r="C13" s="2685"/>
      <c r="D13" s="2685"/>
      <c r="E13" s="2685"/>
      <c r="F13" s="2685"/>
      <c r="G13" s="2685"/>
      <c r="H13" s="2685"/>
      <c r="I13" s="2685"/>
      <c r="J13" s="2685"/>
      <c r="K13" s="2685"/>
      <c r="L13" s="2685"/>
    </row>
    <row r="14" spans="1:48" ht="12.75" customHeight="1">
      <c r="B14" s="2685" t="s">
        <v>3105</v>
      </c>
      <c r="C14" s="2685"/>
      <c r="D14" s="2685"/>
      <c r="E14" s="2685"/>
      <c r="F14" s="2685"/>
      <c r="G14" s="2685"/>
      <c r="H14" s="2685"/>
      <c r="I14" s="2685"/>
      <c r="J14" s="2685"/>
      <c r="K14" s="2685"/>
      <c r="L14" s="2685"/>
    </row>
    <row r="15" spans="1:48" ht="5.25" customHeight="1">
      <c r="B15" s="1484"/>
      <c r="C15" s="1484"/>
      <c r="D15" s="1484"/>
      <c r="E15" s="1484"/>
      <c r="F15" s="1484"/>
      <c r="G15" s="1484"/>
      <c r="H15" s="1484"/>
      <c r="I15" s="1484"/>
      <c r="J15" s="1484"/>
      <c r="K15" s="1484"/>
      <c r="L15" s="1484"/>
    </row>
    <row r="16" spans="1:48" ht="13.5" thickBot="1">
      <c r="F16" s="1481"/>
      <c r="G16" s="2529" t="s">
        <v>3106</v>
      </c>
      <c r="H16" s="1509"/>
      <c r="I16" s="1509"/>
      <c r="J16" s="2686" t="s">
        <v>3107</v>
      </c>
      <c r="K16" s="1557"/>
      <c r="L16" s="1560"/>
    </row>
    <row r="17" spans="1:12" ht="5.25" customHeight="1">
      <c r="H17" s="1508"/>
      <c r="I17" s="1508"/>
      <c r="J17" s="168"/>
      <c r="K17" s="168"/>
      <c r="L17" s="1479"/>
    </row>
    <row r="18" spans="1:12" ht="15.75" customHeight="1" thickBot="1">
      <c r="F18" s="1494" t="s">
        <v>3108</v>
      </c>
      <c r="G18" s="2853">
        <f>'FCS Notes Sched Inv &amp; Cash'!F92+'CU Notes Sched'!K133</f>
        <v>0</v>
      </c>
      <c r="H18" s="2854"/>
      <c r="I18" s="2854"/>
      <c r="J18" s="2687"/>
      <c r="K18" s="3271"/>
      <c r="L18" s="3271"/>
    </row>
    <row r="19" spans="1:12" ht="13.5" thickTop="1">
      <c r="C19" s="1481"/>
      <c r="J19" s="1486"/>
      <c r="K19" s="1486"/>
      <c r="L19" s="1486"/>
    </row>
    <row r="20" spans="1:12" s="2850" customFormat="1">
      <c r="B20" s="2849" t="s">
        <v>2838</v>
      </c>
      <c r="C20" s="2851" t="s">
        <v>3109</v>
      </c>
    </row>
    <row r="21" spans="1:12" s="2850" customFormat="1">
      <c r="B21" s="2849"/>
      <c r="C21" s="2851" t="s">
        <v>3110</v>
      </c>
    </row>
    <row r="22" spans="1:12" s="2850" customFormat="1">
      <c r="B22" s="2849"/>
      <c r="C22" s="2851" t="s">
        <v>3111</v>
      </c>
    </row>
    <row r="23" spans="1:12" s="2850" customFormat="1">
      <c r="B23" s="2849"/>
      <c r="C23" s="2851"/>
    </row>
    <row r="24" spans="1:12">
      <c r="B24" s="2852" t="s">
        <v>3112</v>
      </c>
      <c r="C24" s="1573" t="s">
        <v>3113</v>
      </c>
      <c r="D24" s="2533"/>
      <c r="E24" s="2533"/>
      <c r="F24" s="2533"/>
      <c r="J24" s="1486"/>
      <c r="K24" s="1486"/>
      <c r="L24" s="1486"/>
    </row>
    <row r="25" spans="1:12">
      <c r="C25" s="1481"/>
      <c r="J25" s="1486"/>
      <c r="K25" s="1486"/>
      <c r="L25" s="1486"/>
    </row>
    <row r="26" spans="1:12" ht="12.75" customHeight="1">
      <c r="A26" s="1481" t="s">
        <v>820</v>
      </c>
      <c r="B26" s="2542" t="s">
        <v>3114</v>
      </c>
      <c r="C26" s="2542"/>
      <c r="D26" s="2542"/>
      <c r="E26" s="2542"/>
      <c r="F26" s="2542"/>
      <c r="G26" s="2542"/>
      <c r="H26" s="2542"/>
      <c r="I26" s="2542"/>
      <c r="J26" s="2542"/>
      <c r="K26" s="2542"/>
      <c r="L26" s="2542"/>
    </row>
    <row r="27" spans="1:12" ht="12.75" customHeight="1">
      <c r="A27" s="1481"/>
      <c r="B27" s="1487" t="s">
        <v>3115</v>
      </c>
      <c r="C27" s="2542"/>
      <c r="D27" s="2542"/>
      <c r="E27" s="2542"/>
      <c r="F27" s="2542"/>
      <c r="G27" s="2542"/>
      <c r="H27" s="2542"/>
      <c r="I27" s="2542"/>
      <c r="J27" s="2542"/>
      <c r="K27" s="2542"/>
      <c r="L27" s="2542"/>
    </row>
    <row r="28" spans="1:12" ht="12.75" customHeight="1" thickBot="1">
      <c r="A28" s="1481"/>
      <c r="B28" s="1487"/>
      <c r="C28" s="2542"/>
      <c r="D28" s="2542"/>
      <c r="E28" s="2542"/>
      <c r="F28" s="2542"/>
      <c r="G28" s="2542"/>
      <c r="H28" s="2542"/>
      <c r="I28" s="2542"/>
      <c r="J28" s="2542"/>
      <c r="K28" s="2542"/>
      <c r="L28" s="2542"/>
    </row>
    <row r="29" spans="1:12" ht="13.5" thickBot="1">
      <c r="C29" s="3601"/>
      <c r="D29" s="1469" t="s">
        <v>2790</v>
      </c>
      <c r="E29" s="3601"/>
      <c r="F29" s="1469" t="s">
        <v>2791</v>
      </c>
      <c r="L29" s="1488"/>
    </row>
    <row r="30" spans="1:12" ht="13.5" customHeight="1"/>
    <row r="31" spans="1:12" ht="12.75" customHeight="1">
      <c r="A31" s="1481" t="s">
        <v>824</v>
      </c>
      <c r="B31" s="1568" t="s">
        <v>2892</v>
      </c>
      <c r="C31" s="2531"/>
      <c r="D31" s="2531"/>
      <c r="E31" s="2531"/>
      <c r="F31" s="2531"/>
      <c r="G31" s="2531"/>
      <c r="H31" s="2531"/>
      <c r="I31" s="2531"/>
      <c r="J31" s="2531"/>
      <c r="K31" s="2531"/>
      <c r="L31" s="2531"/>
    </row>
    <row r="32" spans="1:12">
      <c r="B32" s="2531" t="s">
        <v>3116</v>
      </c>
      <c r="C32" s="2531"/>
      <c r="D32" s="2531"/>
      <c r="E32" s="2531"/>
      <c r="F32" s="2531"/>
      <c r="G32" s="2531"/>
      <c r="H32" s="2531"/>
      <c r="I32" s="2531"/>
      <c r="J32" s="2531"/>
      <c r="K32" s="2531"/>
      <c r="L32" s="2531"/>
    </row>
    <row r="33" spans="2:13" ht="6" customHeight="1">
      <c r="M33" s="1481"/>
    </row>
    <row r="34" spans="2:13" ht="13.5" customHeight="1">
      <c r="B34" s="1490">
        <v>1</v>
      </c>
      <c r="C34" s="2530" t="s">
        <v>3117</v>
      </c>
      <c r="D34" s="2530"/>
      <c r="E34" s="2530"/>
      <c r="F34" s="2530"/>
      <c r="G34" s="2530"/>
      <c r="H34" s="2530"/>
      <c r="I34" s="2530"/>
      <c r="J34" s="2530"/>
      <c r="K34" s="2530"/>
      <c r="L34" s="2530"/>
    </row>
    <row r="35" spans="2:13" ht="14.25" customHeight="1">
      <c r="B35" s="1490">
        <v>2</v>
      </c>
      <c r="C35" s="2530" t="s">
        <v>3118</v>
      </c>
      <c r="D35" s="2530"/>
      <c r="E35" s="2530"/>
      <c r="F35" s="2530"/>
      <c r="G35" s="2530"/>
      <c r="H35" s="2530"/>
      <c r="I35" s="2530"/>
      <c r="J35" s="2530"/>
      <c r="K35" s="2530"/>
      <c r="L35" s="2530"/>
      <c r="M35" s="1481"/>
    </row>
    <row r="36" spans="2:13" ht="27" customHeight="1">
      <c r="B36" s="1491" t="s">
        <v>3119</v>
      </c>
      <c r="C36" s="2688" t="s">
        <v>3120</v>
      </c>
      <c r="D36" s="2688"/>
      <c r="E36" s="2688"/>
      <c r="F36" s="2688"/>
      <c r="G36" s="2688"/>
      <c r="H36" s="2688"/>
      <c r="I36" s="2688"/>
      <c r="J36" s="2688"/>
      <c r="K36" s="2688"/>
      <c r="L36" s="2688"/>
      <c r="M36" s="1481"/>
    </row>
    <row r="37" spans="2:13" ht="5.25" customHeight="1">
      <c r="B37" s="1491"/>
      <c r="C37" s="1492"/>
      <c r="D37" s="1492"/>
      <c r="E37" s="1492"/>
      <c r="F37" s="1492"/>
      <c r="G37" s="1492"/>
      <c r="H37" s="1492"/>
      <c r="I37" s="1492"/>
      <c r="J37" s="1492"/>
      <c r="K37" s="1492"/>
      <c r="L37" s="1492"/>
      <c r="M37" s="1481"/>
    </row>
    <row r="38" spans="2:13" ht="15.75" customHeight="1" thickBot="1">
      <c r="F38" s="1481"/>
      <c r="G38" s="2529" t="s">
        <v>2823</v>
      </c>
      <c r="H38" s="1560"/>
      <c r="I38" s="1560"/>
      <c r="J38" s="1560"/>
      <c r="K38" s="1560"/>
      <c r="L38" s="1560"/>
    </row>
    <row r="39" spans="2:13" ht="5.25" customHeight="1">
      <c r="F39" s="1481"/>
      <c r="G39" s="1493"/>
      <c r="H39" s="2855"/>
      <c r="I39" s="2855"/>
      <c r="J39" s="2855"/>
      <c r="K39" s="2856"/>
      <c r="L39" s="2856"/>
    </row>
    <row r="40" spans="2:13" ht="15" customHeight="1">
      <c r="F40" s="2863">
        <v>1</v>
      </c>
      <c r="G40" s="3354"/>
      <c r="H40" s="2859"/>
      <c r="I40" s="2859"/>
      <c r="J40" s="2859"/>
      <c r="K40" s="2859"/>
      <c r="L40" s="2859"/>
    </row>
    <row r="41" spans="2:13" ht="10.5" customHeight="1">
      <c r="F41" s="1494"/>
      <c r="G41" s="2418"/>
      <c r="H41" s="2857"/>
      <c r="I41" s="2857"/>
      <c r="J41" s="2857"/>
      <c r="K41" s="2858"/>
      <c r="L41" s="2858"/>
    </row>
    <row r="42" spans="2:13" ht="14.25" customHeight="1">
      <c r="F42" s="2863">
        <v>2</v>
      </c>
      <c r="G42" s="3354"/>
      <c r="H42" s="2859"/>
      <c r="I42" s="2859"/>
      <c r="J42" s="2859"/>
      <c r="K42" s="2859"/>
      <c r="L42" s="2859"/>
    </row>
    <row r="43" spans="2:13" ht="8.25" customHeight="1">
      <c r="F43" s="1494"/>
      <c r="G43" s="2418"/>
      <c r="H43" s="2857"/>
      <c r="I43" s="2857"/>
      <c r="J43" s="2857"/>
      <c r="K43" s="2858"/>
      <c r="L43" s="2858"/>
    </row>
    <row r="44" spans="2:13" ht="16.5" customHeight="1">
      <c r="F44" s="2863">
        <v>3</v>
      </c>
      <c r="G44" s="3354"/>
      <c r="H44" s="2859"/>
      <c r="I44" s="2859"/>
      <c r="J44" s="2859"/>
      <c r="K44" s="2859"/>
      <c r="L44" s="2859"/>
    </row>
    <row r="45" spans="2:13" ht="11.25" customHeight="1">
      <c r="F45" s="1575"/>
      <c r="G45" s="1742"/>
      <c r="H45" s="2860"/>
      <c r="I45" s="2860"/>
      <c r="J45" s="2860"/>
      <c r="K45" s="2861"/>
      <c r="L45" s="2861"/>
    </row>
    <row r="46" spans="2:13" ht="15" customHeight="1" thickBot="1">
      <c r="C46" s="1481"/>
      <c r="F46" s="1494" t="s">
        <v>3121</v>
      </c>
      <c r="G46" s="2683">
        <f>G40+G42+G44</f>
        <v>0</v>
      </c>
      <c r="H46" s="2862"/>
      <c r="I46" s="2862"/>
      <c r="J46" s="2862"/>
      <c r="K46" s="2862"/>
      <c r="L46" s="2862"/>
    </row>
    <row r="47" spans="2:13" s="1489" customFormat="1" ht="15" customHeight="1" thickTop="1">
      <c r="C47" s="1496"/>
      <c r="H47" s="1497"/>
      <c r="I47" s="1496"/>
      <c r="J47" s="1495"/>
      <c r="K47" s="1495"/>
      <c r="L47" s="1495"/>
    </row>
    <row r="48" spans="2:13" ht="12.75" customHeight="1">
      <c r="B48" s="2542" t="s">
        <v>3122</v>
      </c>
      <c r="C48" s="2531"/>
      <c r="D48" s="2531"/>
      <c r="E48" s="2531"/>
      <c r="F48" s="2531"/>
      <c r="G48" s="2531"/>
      <c r="H48" s="2531"/>
      <c r="I48" s="2531"/>
      <c r="J48" s="2531"/>
      <c r="K48" s="2531"/>
      <c r="L48" s="2531"/>
    </row>
    <row r="49" spans="1:12" ht="15" customHeight="1">
      <c r="B49" s="2531" t="s">
        <v>3123</v>
      </c>
      <c r="C49" s="2531"/>
      <c r="D49" s="2531"/>
      <c r="E49" s="2531"/>
      <c r="F49" s="2531"/>
      <c r="G49" s="2531"/>
      <c r="H49" s="2531"/>
      <c r="I49" s="2531"/>
      <c r="J49" s="2531"/>
      <c r="K49" s="2531"/>
      <c r="L49" s="2531"/>
    </row>
    <row r="50" spans="1:12">
      <c r="C50" s="1481"/>
      <c r="J50" s="1486"/>
      <c r="K50" s="1486"/>
      <c r="L50" s="1486"/>
    </row>
    <row r="51" spans="1:12" ht="18" customHeight="1">
      <c r="C51" s="1481" t="s">
        <v>3124</v>
      </c>
      <c r="E51" s="4101"/>
      <c r="F51" s="2679"/>
      <c r="G51" s="2679"/>
      <c r="H51" s="2679"/>
      <c r="I51" s="2679"/>
      <c r="J51" s="2679"/>
      <c r="K51" s="2679"/>
      <c r="L51" s="2679"/>
    </row>
    <row r="52" spans="1:12" ht="5.25" customHeight="1">
      <c r="B52" s="1479"/>
      <c r="C52" s="175"/>
      <c r="D52" s="1479"/>
      <c r="E52" s="4102"/>
      <c r="F52" s="2419"/>
      <c r="G52" s="2419"/>
      <c r="H52" s="2419"/>
      <c r="I52" s="2419"/>
      <c r="J52" s="2420"/>
      <c r="K52" s="2420"/>
      <c r="L52" s="2420"/>
    </row>
    <row r="53" spans="1:12" ht="18" customHeight="1">
      <c r="C53" s="1498"/>
      <c r="D53" s="1498"/>
      <c r="E53" s="4101"/>
      <c r="F53" s="2679"/>
      <c r="G53" s="2679"/>
      <c r="H53" s="2679"/>
      <c r="I53" s="2679"/>
      <c r="J53" s="2679"/>
      <c r="K53" s="2679"/>
      <c r="L53" s="2679"/>
    </row>
    <row r="54" spans="1:12" ht="5.25" customHeight="1">
      <c r="C54" s="1498"/>
      <c r="D54" s="1498"/>
      <c r="E54" s="4103"/>
      <c r="F54" s="3781"/>
      <c r="G54" s="3781"/>
      <c r="H54" s="3781"/>
      <c r="I54" s="3781"/>
      <c r="J54" s="3781"/>
      <c r="K54" s="3781"/>
      <c r="L54" s="3781"/>
    </row>
    <row r="55" spans="1:12" ht="18" customHeight="1">
      <c r="B55" s="1499"/>
      <c r="E55" s="4101"/>
      <c r="F55" s="2679"/>
      <c r="G55" s="2679"/>
      <c r="H55" s="2679"/>
      <c r="I55" s="2679"/>
      <c r="J55" s="2679"/>
      <c r="K55" s="2679"/>
      <c r="L55" s="2679"/>
    </row>
    <row r="56" spans="1:12" ht="15" customHeight="1">
      <c r="B56" s="1500"/>
      <c r="C56" s="1489"/>
      <c r="D56" s="1489"/>
      <c r="E56" s="3781"/>
      <c r="F56" s="3781"/>
      <c r="G56" s="3781"/>
      <c r="H56" s="3781"/>
      <c r="I56" s="3781"/>
      <c r="J56" s="3781"/>
      <c r="K56" s="3781"/>
      <c r="L56" s="3781"/>
    </row>
    <row r="57" spans="1:12" ht="12.75" customHeight="1">
      <c r="A57" s="1469" t="s">
        <v>828</v>
      </c>
      <c r="B57" s="2542" t="s">
        <v>3125</v>
      </c>
      <c r="C57" s="2531"/>
      <c r="D57" s="2531"/>
      <c r="E57" s="2531"/>
      <c r="F57" s="2531"/>
      <c r="G57" s="2531"/>
      <c r="H57" s="2531"/>
      <c r="I57" s="2531"/>
      <c r="J57" s="2531"/>
      <c r="K57" s="2531"/>
      <c r="L57" s="2531"/>
    </row>
    <row r="58" spans="1:12">
      <c r="B58" s="2531" t="s">
        <v>3126</v>
      </c>
      <c r="C58" s="2531"/>
      <c r="D58" s="2531"/>
      <c r="E58" s="2531"/>
      <c r="F58" s="2531"/>
      <c r="G58" s="2531"/>
      <c r="H58" s="2531"/>
      <c r="I58" s="2531"/>
      <c r="J58" s="2531"/>
      <c r="K58" s="2531"/>
      <c r="L58" s="2531"/>
    </row>
    <row r="59" spans="1:12" ht="5.25" customHeight="1"/>
    <row r="60" spans="1:12" ht="13.5" thickBot="1">
      <c r="E60" s="2529" t="s">
        <v>3127</v>
      </c>
      <c r="F60" s="2529"/>
      <c r="G60" s="2529"/>
      <c r="J60" s="2529" t="s">
        <v>3128</v>
      </c>
      <c r="K60" s="2528"/>
      <c r="L60" s="2528"/>
    </row>
    <row r="61" spans="1:12" ht="5.25" customHeight="1">
      <c r="E61" s="1485"/>
      <c r="J61" s="1485"/>
      <c r="K61" s="1485"/>
      <c r="L61" s="1485"/>
    </row>
    <row r="62" spans="1:12" ht="18" customHeight="1">
      <c r="E62" s="4104"/>
      <c r="F62" s="3355"/>
      <c r="G62" s="3355"/>
      <c r="H62" s="2421"/>
      <c r="I62" s="2421"/>
      <c r="J62" s="2680"/>
      <c r="K62" s="2680"/>
      <c r="L62" s="2680"/>
    </row>
    <row r="63" spans="1:12" ht="5.25" customHeight="1">
      <c r="E63" s="4105"/>
      <c r="F63" s="2421"/>
      <c r="G63" s="2421"/>
      <c r="H63" s="2421"/>
      <c r="I63" s="2421"/>
      <c r="J63" s="2422"/>
      <c r="K63" s="2422"/>
      <c r="L63" s="2422"/>
    </row>
    <row r="64" spans="1:12" ht="18" customHeight="1">
      <c r="E64" s="4104"/>
      <c r="F64" s="3355"/>
      <c r="G64" s="3355"/>
      <c r="H64" s="2421"/>
      <c r="I64" s="2421"/>
      <c r="J64" s="2680"/>
      <c r="K64" s="2680"/>
      <c r="L64" s="2680"/>
    </row>
    <row r="65" spans="3:12" ht="4.5" customHeight="1">
      <c r="E65" s="4105"/>
      <c r="F65" s="2421"/>
      <c r="G65" s="2421"/>
      <c r="H65" s="2421"/>
      <c r="I65" s="2421"/>
      <c r="J65" s="2422"/>
      <c r="K65" s="2422"/>
      <c r="L65" s="2422"/>
    </row>
    <row r="66" spans="3:12" ht="18" customHeight="1">
      <c r="E66" s="4104"/>
      <c r="F66" s="3355"/>
      <c r="G66" s="3355"/>
      <c r="H66" s="2421"/>
      <c r="I66" s="2421"/>
      <c r="J66" s="2680"/>
      <c r="K66" s="2680"/>
      <c r="L66" s="2680"/>
    </row>
    <row r="67" spans="3:12" ht="5.25" customHeight="1">
      <c r="E67" s="1485"/>
      <c r="J67" s="1501"/>
      <c r="K67" s="1501"/>
      <c r="L67" s="1501"/>
    </row>
    <row r="68" spans="3:12" ht="18" customHeight="1" thickBot="1">
      <c r="E68" s="2681"/>
      <c r="F68" s="2681"/>
      <c r="G68" s="2681"/>
      <c r="H68" s="1481" t="s">
        <v>3121</v>
      </c>
      <c r="I68" s="1481"/>
      <c r="J68" s="2682">
        <f>J62+J64+J66</f>
        <v>0</v>
      </c>
      <c r="K68" s="2682"/>
      <c r="L68" s="2682"/>
    </row>
    <row r="69" spans="3:12" ht="13.5" thickTop="1"/>
    <row r="71" spans="3:12" ht="18" customHeight="1">
      <c r="C71" s="1481" t="s">
        <v>3124</v>
      </c>
      <c r="E71" s="4101"/>
      <c r="F71" s="2679"/>
      <c r="G71" s="2679"/>
      <c r="H71" s="2679"/>
      <c r="I71" s="2679"/>
      <c r="J71" s="2679"/>
      <c r="K71" s="2679"/>
      <c r="L71" s="2679"/>
    </row>
    <row r="72" spans="3:12" ht="5.25" customHeight="1">
      <c r="C72" s="175"/>
      <c r="D72" s="1479"/>
      <c r="E72" s="4102"/>
      <c r="F72" s="2419"/>
      <c r="G72" s="2419"/>
      <c r="H72" s="2419"/>
      <c r="I72" s="2419"/>
      <c r="J72" s="2420"/>
      <c r="K72" s="2420"/>
      <c r="L72" s="2420"/>
    </row>
    <row r="73" spans="3:12" ht="18" customHeight="1">
      <c r="C73" s="1498"/>
      <c r="D73" s="1498"/>
      <c r="E73" s="4101"/>
      <c r="F73" s="2679"/>
      <c r="G73" s="2679"/>
      <c r="H73" s="2679"/>
      <c r="I73" s="2679"/>
      <c r="J73" s="2679"/>
      <c r="K73" s="2679"/>
      <c r="L73" s="2679"/>
    </row>
    <row r="74" spans="3:12" ht="5.25" customHeight="1">
      <c r="C74" s="1498"/>
      <c r="D74" s="1498"/>
      <c r="E74" s="4103"/>
      <c r="F74" s="3781"/>
      <c r="G74" s="3781"/>
      <c r="H74" s="3781"/>
      <c r="I74" s="3781"/>
      <c r="J74" s="3781"/>
      <c r="K74" s="3781"/>
      <c r="L74" s="3781"/>
    </row>
    <row r="75" spans="3:12" ht="18" customHeight="1">
      <c r="E75" s="4101"/>
      <c r="F75" s="2679"/>
      <c r="G75" s="2679"/>
      <c r="H75" s="2679"/>
      <c r="I75" s="2679"/>
      <c r="J75" s="2679"/>
      <c r="K75" s="2679"/>
      <c r="L75" s="2679"/>
    </row>
  </sheetData>
  <sheetProtection algorithmName="SHA-512" hashValue="P+QEScbLPiZQjegTn2nd7c8cU9o/gHOjz1VXd4IctdFJ+IEE+6St9kAUBv6PvHegvwLsVDdLx1DLq1fb7WDzig==" saltValue="mkzqesev+HZc7mJ1Xc3D4w==" spinCount="100000" sheet="1" objects="1" scenarios="1"/>
  <printOptions horizontalCentered="1" verticalCentered="1"/>
  <pageMargins left="0.17" right="0.16" top="0" bottom="0.25" header="0.5" footer="0.17"/>
  <pageSetup scale="76" orientation="portrait" horizontalDpi="300" verticalDpi="300" r:id="rId1"/>
  <headerFooter alignWithMargins="0">
    <oddFooter>&amp;LDFS-A1-1888</oddFooter>
  </headerFooter>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66FF99"/>
    <pageSetUpPr fitToPage="1"/>
  </sheetPr>
  <dimension ref="A1:V195"/>
  <sheetViews>
    <sheetView workbookViewId="0">
      <selection activeCell="I36" sqref="I36"/>
    </sheetView>
  </sheetViews>
  <sheetFormatPr defaultColWidth="9.140625" defaultRowHeight="12.75"/>
  <cols>
    <col min="1" max="1" width="5.85546875" style="1469" customWidth="1"/>
    <col min="2" max="2" width="4.140625" style="1469" customWidth="1"/>
    <col min="3" max="3" width="30.7109375" style="1469" customWidth="1"/>
    <col min="4" max="5" width="16.7109375" style="1469" customWidth="1"/>
    <col min="6" max="6" width="1.7109375" style="1469" customWidth="1"/>
    <col min="7" max="7" width="15.85546875" style="1469" customWidth="1"/>
    <col min="8" max="8" width="1.7109375" style="1469" customWidth="1"/>
    <col min="9" max="9" width="15.7109375" style="1469" customWidth="1"/>
    <col min="10" max="10" width="1.7109375" style="1469" customWidth="1"/>
    <col min="11" max="11" width="15.7109375" style="1469" customWidth="1"/>
    <col min="12" max="12" width="1.7109375" style="1469" customWidth="1"/>
    <col min="13" max="13" width="15.85546875" style="1469" customWidth="1"/>
    <col min="14" max="14" width="1.7109375" style="1469" customWidth="1"/>
    <col min="15" max="15" width="15.85546875" style="1469" customWidth="1"/>
    <col min="16" max="16" width="1.140625" style="1469" customWidth="1"/>
    <col min="17" max="17" width="19.42578125" style="1469" customWidth="1"/>
    <col min="18" max="18" width="15.7109375" style="1469" customWidth="1"/>
    <col min="19" max="19" width="13.5703125" style="1469" customWidth="1"/>
    <col min="20" max="16384" width="9.140625" style="1469"/>
  </cols>
  <sheetData>
    <row r="1" spans="1:17" ht="15.75">
      <c r="A1" s="4387" t="s">
        <v>3098</v>
      </c>
      <c r="B1" s="4387"/>
      <c r="C1" s="4387"/>
      <c r="D1" s="4387"/>
      <c r="E1" s="4387"/>
      <c r="F1" s="4387"/>
      <c r="G1" s="4387"/>
      <c r="H1" s="4387"/>
      <c r="I1" s="4387"/>
      <c r="J1" s="4387"/>
      <c r="K1" s="4387"/>
      <c r="L1" s="4387"/>
      <c r="M1" s="4387"/>
      <c r="N1" s="4387"/>
      <c r="O1" s="4387"/>
      <c r="P1" s="4387"/>
      <c r="Q1" s="4387"/>
    </row>
    <row r="2" spans="1:17" ht="15.75">
      <c r="A2" s="4387" t="s">
        <v>3129</v>
      </c>
      <c r="B2" s="4387"/>
      <c r="C2" s="4387"/>
      <c r="D2" s="4387"/>
      <c r="E2" s="4387"/>
      <c r="F2" s="4387"/>
      <c r="G2" s="4387"/>
      <c r="H2" s="4387"/>
      <c r="I2" s="4387"/>
      <c r="J2" s="4387"/>
      <c r="K2" s="4387"/>
      <c r="L2" s="4387"/>
      <c r="M2" s="4387"/>
      <c r="N2" s="4387"/>
      <c r="O2" s="4387"/>
      <c r="P2" s="4387"/>
      <c r="Q2" s="4387"/>
    </row>
    <row r="3" spans="1:17" ht="15.75">
      <c r="A3" s="4387" t="s">
        <v>3130</v>
      </c>
      <c r="B3" s="4387"/>
      <c r="C3" s="4387"/>
      <c r="D3" s="4387"/>
      <c r="E3" s="4387"/>
      <c r="F3" s="4387"/>
      <c r="G3" s="4387"/>
      <c r="H3" s="4387"/>
      <c r="I3" s="4387"/>
      <c r="J3" s="4387"/>
      <c r="K3" s="4387"/>
      <c r="L3" s="4387"/>
      <c r="M3" s="4387"/>
      <c r="N3" s="4387"/>
      <c r="O3" s="4387"/>
      <c r="P3" s="4387"/>
      <c r="Q3" s="4387"/>
    </row>
    <row r="4" spans="1:17" ht="15.75">
      <c r="A4" s="4388" t="s">
        <v>3131</v>
      </c>
      <c r="B4" s="4388"/>
      <c r="C4" s="4388"/>
      <c r="D4" s="4388"/>
      <c r="E4" s="4388"/>
      <c r="F4" s="4388"/>
      <c r="G4" s="4388"/>
      <c r="H4" s="4388"/>
      <c r="I4" s="3691">
        <f ca="1">YEAR(TODAY())</f>
        <v>2021</v>
      </c>
      <c r="J4" s="2238"/>
      <c r="K4" s="2238"/>
      <c r="L4" s="2238"/>
      <c r="M4" s="2238"/>
      <c r="N4" s="2238"/>
      <c r="O4" s="2238"/>
      <c r="P4" s="2238"/>
      <c r="Q4" s="2238"/>
    </row>
    <row r="5" spans="1:17" ht="6.75" customHeight="1">
      <c r="A5" s="3690"/>
      <c r="B5" s="3690"/>
      <c r="C5" s="3690"/>
      <c r="D5" s="3690"/>
      <c r="E5" s="3690"/>
      <c r="F5" s="3690"/>
      <c r="G5" s="2239"/>
      <c r="H5" s="2239"/>
      <c r="I5" s="2239"/>
      <c r="J5" s="2239"/>
      <c r="K5" s="2239"/>
      <c r="L5" s="2239"/>
      <c r="M5" s="2239"/>
      <c r="N5" s="2239"/>
      <c r="O5" s="2239"/>
      <c r="P5" s="2239"/>
      <c r="Q5" s="2239"/>
    </row>
    <row r="6" spans="1:17" ht="15">
      <c r="A6" s="4389" t="s">
        <v>3101</v>
      </c>
      <c r="B6" s="4380"/>
      <c r="C6" s="4380"/>
      <c r="D6" s="4390" t="str">
        <f>'CU1-Deposits'!F7</f>
        <v>SAMPLE STATE COLLEGE</v>
      </c>
      <c r="E6" s="4390"/>
      <c r="F6" s="4390"/>
      <c r="G6" s="4390"/>
      <c r="H6" s="4390"/>
      <c r="I6" s="4390"/>
      <c r="J6" s="4390"/>
      <c r="K6" s="4390"/>
      <c r="L6" s="2240"/>
      <c r="M6" s="2240"/>
      <c r="N6" s="2240"/>
      <c r="O6" s="2240"/>
      <c r="P6" s="3689"/>
      <c r="Q6" s="3689"/>
    </row>
    <row r="7" spans="1:17" ht="4.5" customHeight="1">
      <c r="A7" s="2241"/>
      <c r="B7" s="2239"/>
      <c r="C7" s="2239"/>
      <c r="D7" s="2239"/>
      <c r="E7" s="2239"/>
      <c r="F7" s="2239"/>
      <c r="G7" s="2239"/>
      <c r="H7" s="2239"/>
      <c r="I7" s="2239"/>
      <c r="J7" s="2239"/>
      <c r="K7" s="2239"/>
      <c r="L7" s="2239"/>
      <c r="M7" s="2239"/>
      <c r="N7" s="2239"/>
      <c r="O7" s="2239"/>
      <c r="P7" s="2239"/>
      <c r="Q7" s="2239"/>
    </row>
    <row r="8" spans="1:17" ht="15">
      <c r="A8" s="4379" t="s">
        <v>3102</v>
      </c>
      <c r="B8" s="4380"/>
      <c r="C8" s="4380"/>
      <c r="D8" s="4381" t="e">
        <f>'CU1-Deposits'!F9</f>
        <v>#N/A</v>
      </c>
      <c r="E8" s="4381"/>
      <c r="F8" s="4381"/>
      <c r="G8" s="4381"/>
      <c r="H8" s="4381"/>
      <c r="I8" s="4381"/>
      <c r="J8" s="4381"/>
      <c r="K8" s="4381"/>
      <c r="L8" s="2242"/>
      <c r="M8" s="2242"/>
      <c r="N8" s="2242"/>
      <c r="O8" s="2242"/>
      <c r="P8" s="2242"/>
      <c r="Q8" s="2242"/>
    </row>
    <row r="9" spans="1:17" ht="6.75" customHeight="1">
      <c r="A9" s="2239"/>
      <c r="B9" s="2239"/>
      <c r="C9" s="2239"/>
      <c r="D9" s="2239"/>
      <c r="E9" s="2239"/>
      <c r="F9" s="2239"/>
      <c r="G9" s="2239"/>
      <c r="H9" s="2239"/>
      <c r="I9" s="2239"/>
      <c r="J9" s="2239"/>
      <c r="K9" s="2239"/>
      <c r="L9" s="2239"/>
      <c r="M9" s="2239"/>
      <c r="N9" s="2239"/>
      <c r="O9" s="2239"/>
      <c r="P9" s="2239"/>
      <c r="Q9" s="2239"/>
    </row>
    <row r="10" spans="1:17" s="1483" customFormat="1">
      <c r="A10" s="2243" t="s">
        <v>3132</v>
      </c>
      <c r="B10" s="2244"/>
      <c r="C10" s="2244"/>
      <c r="D10" s="2244"/>
      <c r="E10" s="2244"/>
      <c r="F10" s="2244"/>
      <c r="G10" s="2244"/>
      <c r="H10" s="2244"/>
      <c r="I10" s="2244"/>
      <c r="J10" s="2244"/>
      <c r="K10" s="2244"/>
      <c r="L10" s="2244"/>
      <c r="M10" s="2244"/>
      <c r="N10" s="2244"/>
      <c r="O10" s="2244"/>
      <c r="P10" s="2244"/>
      <c r="Q10" s="2244"/>
    </row>
    <row r="11" spans="1:17" s="1483" customFormat="1" ht="16.5" customHeight="1">
      <c r="A11" s="4382" t="s">
        <v>3133</v>
      </c>
      <c r="B11" s="4383"/>
      <c r="C11" s="4383"/>
      <c r="D11" s="4383"/>
      <c r="E11" s="4383"/>
      <c r="F11" s="4383"/>
      <c r="G11" s="4383"/>
      <c r="H11" s="4383"/>
      <c r="I11" s="4383"/>
      <c r="J11" s="4383"/>
      <c r="K11" s="4383"/>
      <c r="L11" s="4383"/>
      <c r="M11" s="4383"/>
      <c r="N11" s="2244"/>
      <c r="O11" s="2244"/>
      <c r="P11" s="2244"/>
      <c r="Q11" s="2244"/>
    </row>
    <row r="12" spans="1:17" s="1483" customFormat="1">
      <c r="A12" s="4383"/>
      <c r="B12" s="4383"/>
      <c r="C12" s="4383"/>
      <c r="D12" s="4383"/>
      <c r="E12" s="4383"/>
      <c r="F12" s="4383"/>
      <c r="G12" s="4383"/>
      <c r="H12" s="4383"/>
      <c r="I12" s="4383"/>
      <c r="J12" s="4383"/>
      <c r="K12" s="4383"/>
      <c r="L12" s="4383"/>
      <c r="M12" s="4383"/>
      <c r="N12" s="2244"/>
      <c r="O12" s="2244"/>
      <c r="P12" s="2244"/>
      <c r="Q12" s="2244"/>
    </row>
    <row r="13" spans="1:17" s="1483" customFormat="1" ht="6.75" customHeight="1">
      <c r="A13" s="2244"/>
      <c r="B13" s="2245"/>
      <c r="C13" s="2245"/>
      <c r="D13" s="2245"/>
      <c r="E13" s="2245"/>
      <c r="F13" s="2244"/>
      <c r="G13" s="2244"/>
      <c r="H13" s="2244"/>
      <c r="I13" s="2244"/>
      <c r="J13" s="2244"/>
      <c r="K13" s="2244"/>
      <c r="L13" s="2244"/>
      <c r="M13" s="2244"/>
      <c r="N13" s="2244"/>
      <c r="O13" s="2244"/>
      <c r="P13" s="2244"/>
      <c r="Q13" s="2244"/>
    </row>
    <row r="14" spans="1:17">
      <c r="A14" s="4384" t="s">
        <v>3134</v>
      </c>
      <c r="B14" s="4385"/>
      <c r="C14" s="4385"/>
      <c r="D14" s="4385"/>
      <c r="E14" s="4385"/>
      <c r="F14" s="4385"/>
      <c r="G14" s="4385"/>
      <c r="H14" s="4385"/>
      <c r="I14" s="4385"/>
      <c r="J14" s="4385"/>
      <c r="K14" s="4385"/>
      <c r="L14" s="4385"/>
      <c r="M14" s="4385"/>
      <c r="N14" s="2239"/>
      <c r="O14" s="2239"/>
      <c r="P14" s="2239"/>
      <c r="Q14" s="2239"/>
    </row>
    <row r="15" spans="1:17">
      <c r="A15" s="4385"/>
      <c r="B15" s="4385"/>
      <c r="C15" s="4385"/>
      <c r="D15" s="4385"/>
      <c r="E15" s="4385"/>
      <c r="F15" s="4385"/>
      <c r="G15" s="4385"/>
      <c r="H15" s="4385"/>
      <c r="I15" s="4385"/>
      <c r="J15" s="4385"/>
      <c r="K15" s="4385"/>
      <c r="L15" s="4385"/>
      <c r="M15" s="4385"/>
      <c r="N15" s="2239"/>
      <c r="O15" s="2239"/>
      <c r="P15" s="2239"/>
      <c r="Q15" s="2239"/>
    </row>
    <row r="16" spans="1:17" ht="9.75" customHeight="1">
      <c r="A16" s="2239"/>
      <c r="B16" s="2239"/>
      <c r="C16" s="2241"/>
      <c r="D16" s="2239"/>
      <c r="E16" s="2239"/>
      <c r="F16" s="2239"/>
      <c r="G16" s="2239"/>
      <c r="H16" s="2239"/>
      <c r="I16" s="2239"/>
      <c r="J16" s="2239"/>
      <c r="K16" s="2239"/>
      <c r="L16" s="2239"/>
      <c r="M16" s="2239"/>
      <c r="N16" s="2239"/>
      <c r="O16" s="2239"/>
      <c r="P16" s="2239"/>
      <c r="Q16" s="2239"/>
    </row>
    <row r="17" spans="1:17" ht="15.75">
      <c r="A17" s="2246" t="s">
        <v>3135</v>
      </c>
      <c r="B17" s="2239"/>
      <c r="C17" s="2239"/>
      <c r="D17" s="2239"/>
      <c r="E17" s="3673"/>
      <c r="F17" s="2247"/>
      <c r="G17" s="2247"/>
      <c r="H17" s="4386"/>
      <c r="I17" s="4386"/>
      <c r="J17" s="3673"/>
      <c r="K17" s="2239"/>
      <c r="L17" s="3688"/>
      <c r="M17" s="2239"/>
      <c r="N17" s="2239"/>
      <c r="O17" s="2239"/>
      <c r="P17" s="2239"/>
      <c r="Q17" s="2239"/>
    </row>
    <row r="18" spans="1:17" ht="12.75" customHeight="1">
      <c r="A18" s="2239"/>
      <c r="B18" s="2239"/>
      <c r="C18" s="2244"/>
      <c r="D18" s="3782" t="s">
        <v>3136</v>
      </c>
      <c r="E18" s="3782" t="s">
        <v>3137</v>
      </c>
      <c r="F18" s="2239"/>
      <c r="G18" s="2239"/>
      <c r="H18" s="4386"/>
      <c r="I18" s="4386"/>
      <c r="J18" s="3673"/>
      <c r="K18" s="2239"/>
      <c r="L18" s="3688"/>
      <c r="M18" s="2239"/>
      <c r="N18" s="2239"/>
      <c r="O18" s="2239"/>
      <c r="P18" s="2239"/>
      <c r="Q18" s="2239"/>
    </row>
    <row r="19" spans="1:17" ht="12.75" customHeight="1">
      <c r="A19" s="2239"/>
      <c r="B19" s="2239"/>
      <c r="C19" s="2241" t="s">
        <v>3138</v>
      </c>
      <c r="D19" s="2248" t="s">
        <v>3139</v>
      </c>
      <c r="E19" s="2248" t="s">
        <v>3139</v>
      </c>
      <c r="F19" s="2239"/>
      <c r="G19" s="2239"/>
      <c r="H19" s="4376" t="s">
        <v>1792</v>
      </c>
      <c r="I19" s="4376"/>
      <c r="J19" s="3678"/>
      <c r="K19" s="2239"/>
      <c r="L19" s="2249"/>
      <c r="M19" s="2239"/>
      <c r="N19" s="2239"/>
      <c r="O19" s="2239"/>
      <c r="P19" s="2239"/>
      <c r="Q19" s="2239"/>
    </row>
    <row r="20" spans="1:17" ht="15.75" customHeight="1">
      <c r="A20" s="2239"/>
      <c r="B20" s="2239"/>
      <c r="C20" s="3783" t="s">
        <v>3140</v>
      </c>
      <c r="D20" s="3784"/>
      <c r="E20" s="3356"/>
      <c r="F20" s="2239"/>
      <c r="G20" s="2239"/>
      <c r="H20" s="4377"/>
      <c r="I20" s="4377"/>
      <c r="J20" s="3679"/>
      <c r="K20" s="2239"/>
      <c r="L20" s="2249"/>
      <c r="M20" s="2239"/>
      <c r="N20" s="2239"/>
      <c r="O20" s="2239"/>
      <c r="P20" s="2239"/>
      <c r="Q20" s="2239"/>
    </row>
    <row r="21" spans="1:17" ht="15.75" customHeight="1">
      <c r="A21" s="2239"/>
      <c r="B21" s="2239"/>
      <c r="C21" s="3783" t="s">
        <v>3141</v>
      </c>
      <c r="D21" s="3784"/>
      <c r="E21" s="3784"/>
      <c r="F21" s="2239"/>
      <c r="G21" s="2239"/>
      <c r="H21" s="3679"/>
      <c r="I21" s="3679"/>
      <c r="J21" s="3679"/>
      <c r="K21" s="2239"/>
      <c r="L21" s="2249"/>
      <c r="M21" s="2239"/>
      <c r="N21" s="2239"/>
      <c r="O21" s="2239"/>
      <c r="P21" s="2239"/>
      <c r="Q21" s="2239"/>
    </row>
    <row r="22" spans="1:17" ht="15.75" customHeight="1">
      <c r="A22" s="2239"/>
      <c r="B22" s="2239"/>
      <c r="C22" s="3357" t="s">
        <v>3142</v>
      </c>
      <c r="D22" s="3784"/>
      <c r="E22" s="3784"/>
      <c r="F22" s="2239"/>
      <c r="G22" s="2239"/>
      <c r="H22" s="3679"/>
      <c r="I22" s="3679"/>
      <c r="J22" s="3679"/>
      <c r="K22" s="2239"/>
      <c r="L22" s="2249"/>
      <c r="M22" s="2239"/>
      <c r="N22" s="2239"/>
      <c r="O22" s="2239"/>
      <c r="P22" s="2239"/>
      <c r="Q22" s="2239"/>
    </row>
    <row r="23" spans="1:17" ht="15.75" customHeight="1">
      <c r="A23" s="2239"/>
      <c r="B23" s="2239"/>
      <c r="C23" s="3783" t="s">
        <v>3143</v>
      </c>
      <c r="D23" s="3784"/>
      <c r="E23" s="3784"/>
      <c r="F23" s="2239"/>
      <c r="G23" s="2239"/>
      <c r="H23" s="3679"/>
      <c r="I23" s="3679"/>
      <c r="J23" s="3679"/>
      <c r="K23" s="2239"/>
      <c r="L23" s="2249"/>
      <c r="M23" s="2239"/>
      <c r="N23" s="2239"/>
      <c r="O23" s="2239"/>
      <c r="P23" s="2239"/>
      <c r="Q23" s="2239"/>
    </row>
    <row r="24" spans="1:17" ht="15.75" customHeight="1">
      <c r="A24" s="2239"/>
      <c r="B24" s="2239"/>
      <c r="C24" s="3358" t="s">
        <v>3144</v>
      </c>
      <c r="D24" s="3784"/>
      <c r="E24" s="3784"/>
      <c r="F24" s="2239"/>
      <c r="G24" s="2239"/>
      <c r="H24" s="4377"/>
      <c r="I24" s="4377"/>
      <c r="J24" s="3679"/>
      <c r="K24" s="2239"/>
      <c r="L24" s="2249"/>
      <c r="M24" s="2239"/>
      <c r="N24" s="2239"/>
      <c r="O24" s="2239"/>
      <c r="P24" s="2239"/>
      <c r="Q24" s="2239"/>
    </row>
    <row r="25" spans="1:17" ht="15.75" customHeight="1">
      <c r="A25" s="2239"/>
      <c r="B25" s="2239"/>
      <c r="C25" s="2250" t="s">
        <v>3145</v>
      </c>
      <c r="D25" s="3784"/>
      <c r="E25" s="3356"/>
      <c r="F25" s="2239"/>
      <c r="G25" s="2239"/>
      <c r="H25" s="4377"/>
      <c r="I25" s="4377"/>
      <c r="J25" s="3679"/>
      <c r="K25" s="2239"/>
      <c r="L25" s="2249"/>
      <c r="M25" s="2239"/>
      <c r="N25" s="2239"/>
      <c r="O25" s="2239"/>
      <c r="P25" s="2239"/>
      <c r="Q25" s="2239"/>
    </row>
    <row r="26" spans="1:17" ht="15.75" customHeight="1">
      <c r="A26" s="2239"/>
      <c r="B26" s="2239"/>
      <c r="C26" s="3357" t="s">
        <v>3146</v>
      </c>
      <c r="D26" s="3784"/>
      <c r="E26" s="3356"/>
      <c r="F26" s="2239"/>
      <c r="G26" s="2239"/>
      <c r="H26" s="4365"/>
      <c r="I26" s="4378"/>
      <c r="J26" s="2251"/>
      <c r="K26" s="2239"/>
      <c r="L26" s="2242"/>
      <c r="M26" s="2239"/>
      <c r="N26" s="2239"/>
      <c r="O26" s="2239"/>
      <c r="P26" s="2239"/>
      <c r="Q26" s="2239"/>
    </row>
    <row r="27" spans="1:17" ht="15.75" customHeight="1">
      <c r="A27" s="2239"/>
      <c r="B27" s="2239"/>
      <c r="C27" s="3357" t="s">
        <v>3147</v>
      </c>
      <c r="D27" s="3784"/>
      <c r="E27" s="3356"/>
      <c r="F27" s="2239"/>
      <c r="G27" s="2239"/>
      <c r="H27" s="2252"/>
      <c r="I27" s="2253"/>
      <c r="J27" s="2253"/>
      <c r="K27" s="2239"/>
      <c r="L27" s="3680"/>
      <c r="M27" s="2239"/>
      <c r="N27" s="2239"/>
      <c r="O27" s="2239"/>
      <c r="P27" s="2239"/>
      <c r="Q27" s="2239"/>
    </row>
    <row r="28" spans="1:17" ht="15.75" customHeight="1">
      <c r="A28" s="2239"/>
      <c r="B28" s="2239"/>
      <c r="C28" s="3357" t="s">
        <v>3148</v>
      </c>
      <c r="D28" s="3784"/>
      <c r="E28" s="3356"/>
      <c r="F28" s="2239"/>
      <c r="G28" s="2239"/>
      <c r="H28" s="4378"/>
      <c r="I28" s="4378"/>
      <c r="J28" s="3681"/>
      <c r="K28" s="2239"/>
      <c r="L28" s="2242"/>
      <c r="M28" s="2239"/>
      <c r="N28" s="2239"/>
      <c r="O28" s="2239"/>
      <c r="P28" s="2239"/>
      <c r="Q28" s="2239"/>
    </row>
    <row r="29" spans="1:17" ht="15.75" customHeight="1">
      <c r="A29" s="2239"/>
      <c r="B29" s="2239"/>
      <c r="C29" s="3357" t="s">
        <v>3149</v>
      </c>
      <c r="D29" s="3356"/>
      <c r="E29" s="3359"/>
      <c r="F29" s="2239"/>
      <c r="G29" s="2239"/>
      <c r="H29" s="3681"/>
      <c r="I29" s="3681"/>
      <c r="J29" s="3681"/>
      <c r="K29" s="2239"/>
      <c r="L29" s="2242"/>
      <c r="M29" s="2239"/>
      <c r="N29" s="2239"/>
      <c r="O29" s="2239"/>
      <c r="P29" s="2239"/>
      <c r="Q29" s="2239"/>
    </row>
    <row r="30" spans="1:17" ht="15.75" customHeight="1">
      <c r="A30" s="2239"/>
      <c r="B30" s="2239"/>
      <c r="C30" s="3357" t="s">
        <v>3150</v>
      </c>
      <c r="D30" s="3356"/>
      <c r="E30" s="3359"/>
      <c r="F30" s="2239"/>
      <c r="G30" s="2239"/>
      <c r="H30" s="3681"/>
      <c r="I30" s="3681"/>
      <c r="J30" s="3681"/>
      <c r="K30" s="2239"/>
      <c r="L30" s="2242"/>
      <c r="M30" s="2239"/>
      <c r="N30" s="2239"/>
      <c r="O30" s="2239"/>
      <c r="P30" s="2239"/>
      <c r="Q30" s="2239"/>
    </row>
    <row r="31" spans="1:17" ht="15.75" customHeight="1">
      <c r="A31" s="2239"/>
      <c r="B31" s="2239"/>
      <c r="C31" s="3357" t="s">
        <v>3151</v>
      </c>
      <c r="D31" s="3356"/>
      <c r="E31" s="3359"/>
      <c r="F31" s="2239"/>
      <c r="G31" s="2239"/>
      <c r="H31" s="3681"/>
      <c r="I31" s="3681"/>
      <c r="J31" s="3681"/>
      <c r="K31" s="2239"/>
      <c r="L31" s="2242"/>
      <c r="M31" s="2239"/>
      <c r="N31" s="2239"/>
      <c r="O31" s="2239"/>
      <c r="P31" s="2239"/>
      <c r="Q31" s="2239"/>
    </row>
    <row r="32" spans="1:17" ht="15.75" customHeight="1">
      <c r="A32" s="2239"/>
      <c r="B32" s="2239"/>
      <c r="C32" s="3357" t="s">
        <v>3152</v>
      </c>
      <c r="D32" s="3356"/>
      <c r="E32" s="3359"/>
      <c r="F32" s="2239"/>
      <c r="G32" s="2239"/>
      <c r="H32" s="3681"/>
      <c r="I32" s="3681"/>
      <c r="J32" s="3681"/>
      <c r="K32" s="2239"/>
      <c r="L32" s="2242"/>
      <c r="M32" s="2239"/>
      <c r="N32" s="2239"/>
      <c r="O32" s="2239"/>
      <c r="P32" s="2239"/>
      <c r="Q32" s="2239"/>
    </row>
    <row r="33" spans="1:22" ht="15.75" customHeight="1">
      <c r="A33" s="2239"/>
      <c r="B33" s="3688"/>
      <c r="C33" s="3360" t="s">
        <v>3153</v>
      </c>
      <c r="D33" s="3361">
        <f>SUM(D20:D32)</f>
        <v>0</v>
      </c>
      <c r="E33" s="3361">
        <f>SUM(E20:E32)</f>
        <v>0</v>
      </c>
      <c r="F33" s="2252"/>
      <c r="G33" s="2239"/>
      <c r="H33" s="2239"/>
      <c r="I33" s="2239"/>
      <c r="J33" s="2239"/>
      <c r="K33" s="2239"/>
      <c r="L33" s="2239"/>
      <c r="M33" s="2239"/>
      <c r="N33" s="2239"/>
      <c r="O33" s="2239"/>
      <c r="P33" s="2239"/>
      <c r="Q33" s="2239"/>
    </row>
    <row r="34" spans="1:22" ht="9.75" customHeight="1">
      <c r="A34" s="2239"/>
      <c r="B34" s="3688"/>
      <c r="C34" s="2252"/>
      <c r="D34" s="2247"/>
      <c r="E34" s="2252"/>
      <c r="F34" s="2254"/>
      <c r="G34" s="2239"/>
      <c r="H34" s="2239"/>
      <c r="I34" s="2239"/>
      <c r="J34" s="2239"/>
      <c r="K34" s="2239"/>
      <c r="L34" s="2239"/>
      <c r="M34" s="2239"/>
      <c r="N34" s="2239"/>
      <c r="O34" s="2239"/>
      <c r="P34" s="2239"/>
      <c r="Q34" s="2239"/>
    </row>
    <row r="35" spans="1:22" s="1483" customFormat="1" ht="12.75" customHeight="1">
      <c r="A35" s="2244"/>
      <c r="B35" s="2255" t="s">
        <v>3154</v>
      </c>
      <c r="C35" s="2244"/>
      <c r="D35" s="2244"/>
      <c r="E35" s="2244"/>
      <c r="F35" s="2244"/>
      <c r="G35" s="2244"/>
      <c r="H35" s="2244"/>
      <c r="I35" s="2244"/>
      <c r="J35" s="2244"/>
      <c r="K35" s="2244"/>
      <c r="L35" s="2244"/>
      <c r="M35" s="2244"/>
      <c r="N35" s="2244"/>
      <c r="O35" s="2244"/>
      <c r="P35" s="2244"/>
      <c r="Q35" s="2244"/>
    </row>
    <row r="36" spans="1:22" s="1483" customFormat="1" ht="12.75" customHeight="1">
      <c r="A36" s="2244"/>
      <c r="B36" s="2255" t="s">
        <v>3155</v>
      </c>
      <c r="C36" s="2244"/>
      <c r="D36" s="2244"/>
      <c r="E36" s="2244"/>
      <c r="F36" s="2244"/>
      <c r="G36" s="2244"/>
      <c r="H36" s="2244"/>
      <c r="I36" s="2256">
        <f>'Adjustment Form'!G18+'Adjustment Form'!G32</f>
        <v>0</v>
      </c>
      <c r="J36" s="2244"/>
      <c r="K36" s="2244"/>
      <c r="L36" s="2244"/>
      <c r="M36" s="2244"/>
      <c r="N36" s="2244"/>
      <c r="O36" s="2244"/>
      <c r="P36" s="2244"/>
      <c r="Q36" s="2244"/>
    </row>
    <row r="37" spans="1:22" ht="15" hidden="1" customHeight="1">
      <c r="A37" s="2239"/>
      <c r="B37" s="2239"/>
      <c r="C37" s="2241"/>
      <c r="D37" s="2239"/>
      <c r="E37" s="2239"/>
      <c r="F37" s="2239"/>
      <c r="G37" s="2239"/>
      <c r="H37" s="2239"/>
      <c r="I37" s="2239"/>
      <c r="J37" s="2239"/>
      <c r="K37" s="2239"/>
      <c r="L37" s="2239"/>
      <c r="M37" s="2239"/>
      <c r="N37" s="2239"/>
      <c r="O37" s="2239"/>
      <c r="P37" s="2239"/>
      <c r="Q37" s="2239"/>
    </row>
    <row r="38" spans="1:22" ht="6.75" hidden="1" customHeight="1">
      <c r="A38" s="2241"/>
      <c r="B38" s="2239"/>
      <c r="C38" s="3688"/>
      <c r="D38" s="2252"/>
      <c r="E38" s="2249"/>
      <c r="F38" s="2249"/>
      <c r="G38" s="2249"/>
      <c r="H38" s="2249"/>
      <c r="I38" s="2239"/>
      <c r="J38" s="2239"/>
      <c r="K38" s="2239"/>
      <c r="L38" s="2239"/>
      <c r="M38" s="2239"/>
      <c r="N38" s="2239"/>
      <c r="O38" s="2247"/>
      <c r="P38" s="2247"/>
      <c r="Q38" s="3680"/>
    </row>
    <row r="39" spans="1:22" ht="12.75" hidden="1" customHeight="1">
      <c r="A39" s="2239"/>
      <c r="B39" s="2239"/>
      <c r="C39" s="2257" t="s">
        <v>3156</v>
      </c>
      <c r="D39" s="2252"/>
      <c r="E39" s="2252"/>
      <c r="F39" s="2252"/>
      <c r="G39" s="2252"/>
      <c r="H39" s="2252"/>
      <c r="I39" s="2249"/>
      <c r="J39" s="2249"/>
      <c r="K39" s="2249"/>
      <c r="L39" s="2249"/>
      <c r="M39" s="2249"/>
      <c r="N39" s="2249"/>
      <c r="O39" s="2258"/>
      <c r="P39" s="2258"/>
      <c r="Q39" s="2258"/>
    </row>
    <row r="40" spans="1:22" ht="15.75" hidden="1" customHeight="1">
      <c r="A40" s="2241" t="s">
        <v>3157</v>
      </c>
      <c r="B40" s="2241"/>
      <c r="C40" s="2244" t="s">
        <v>3158</v>
      </c>
      <c r="D40" s="2239"/>
      <c r="E40" s="2239"/>
      <c r="F40" s="2239"/>
      <c r="G40" s="2239"/>
      <c r="H40" s="2239"/>
      <c r="I40" s="2239"/>
      <c r="J40" s="2239"/>
      <c r="K40" s="2239"/>
      <c r="L40" s="2239"/>
      <c r="M40" s="2239"/>
      <c r="N40" s="2239"/>
      <c r="O40" s="2239"/>
      <c r="P40" s="2239"/>
      <c r="Q40" s="2239"/>
    </row>
    <row r="41" spans="1:22" ht="15.75" hidden="1" customHeight="1">
      <c r="A41" s="2241"/>
      <c r="B41" s="2241"/>
      <c r="C41" s="2244" t="s">
        <v>3159</v>
      </c>
      <c r="D41" s="2239"/>
      <c r="E41" s="2239"/>
      <c r="F41" s="2239"/>
      <c r="G41" s="2239"/>
      <c r="H41" s="2239"/>
      <c r="I41" s="2239"/>
      <c r="J41" s="2239"/>
      <c r="K41" s="2239"/>
      <c r="L41" s="2239"/>
      <c r="M41" s="2239"/>
      <c r="N41" s="2239"/>
      <c r="O41" s="2239"/>
      <c r="P41" s="2239"/>
      <c r="Q41" s="2239"/>
    </row>
    <row r="42" spans="1:22" ht="15.75" hidden="1" customHeight="1">
      <c r="A42" s="2259"/>
      <c r="B42" s="2259"/>
      <c r="C42" s="2260" t="s">
        <v>3160</v>
      </c>
      <c r="D42" s="2261"/>
      <c r="E42" s="2261"/>
      <c r="F42" s="2261"/>
      <c r="G42" s="2261"/>
      <c r="H42" s="2261"/>
      <c r="I42" s="2261"/>
      <c r="J42" s="2261"/>
      <c r="K42" s="2261"/>
      <c r="L42" s="2261"/>
      <c r="M42" s="2261"/>
      <c r="N42" s="2261"/>
      <c r="O42" s="2261"/>
      <c r="P42" s="2261"/>
      <c r="Q42" s="2261"/>
      <c r="R42" s="2530"/>
      <c r="S42" s="2530"/>
      <c r="T42" s="2530"/>
      <c r="U42" s="2530"/>
      <c r="V42" s="2530"/>
    </row>
    <row r="43" spans="1:22" ht="15.75" hidden="1" customHeight="1">
      <c r="A43" s="2259"/>
      <c r="B43" s="2259"/>
      <c r="C43" s="2260" t="s">
        <v>3161</v>
      </c>
      <c r="D43" s="2261"/>
      <c r="E43" s="2261"/>
      <c r="F43" s="2261"/>
      <c r="G43" s="2261"/>
      <c r="H43" s="2261"/>
      <c r="I43" s="2261"/>
      <c r="J43" s="2261"/>
      <c r="K43" s="2261"/>
      <c r="L43" s="2261"/>
      <c r="M43" s="2261"/>
      <c r="N43" s="2261"/>
      <c r="O43" s="2261"/>
      <c r="P43" s="2261"/>
      <c r="Q43" s="2261"/>
      <c r="R43" s="2530"/>
      <c r="S43" s="2530"/>
      <c r="T43" s="2530"/>
      <c r="U43" s="2530"/>
      <c r="V43" s="2530"/>
    </row>
    <row r="44" spans="1:22" ht="4.5" hidden="1" customHeight="1">
      <c r="A44" s="2259"/>
      <c r="B44" s="2259"/>
      <c r="C44" s="2262"/>
      <c r="D44" s="2262"/>
      <c r="E44" s="2262"/>
      <c r="F44" s="2262"/>
      <c r="G44" s="2262"/>
      <c r="H44" s="2262"/>
      <c r="I44" s="2262"/>
      <c r="J44" s="2262"/>
      <c r="K44" s="2262"/>
      <c r="L44" s="2262"/>
      <c r="M44" s="2262"/>
      <c r="N44" s="2262"/>
      <c r="O44" s="2262"/>
      <c r="P44" s="2262"/>
      <c r="Q44" s="2262"/>
      <c r="R44" s="1505"/>
      <c r="S44" s="1505"/>
      <c r="T44" s="1505"/>
      <c r="U44" s="1506"/>
      <c r="V44" s="1506"/>
    </row>
    <row r="45" spans="1:22" ht="15.75" hidden="1" customHeight="1" thickBot="1">
      <c r="A45" s="2239"/>
      <c r="B45" s="2239"/>
      <c r="C45" s="2241"/>
      <c r="D45" s="4351" t="s">
        <v>2775</v>
      </c>
      <c r="E45" s="4351"/>
      <c r="F45" s="3673"/>
      <c r="G45" s="4351" t="s">
        <v>3162</v>
      </c>
      <c r="H45" s="4351"/>
      <c r="I45" s="4351"/>
      <c r="J45" s="4351"/>
      <c r="K45" s="4351"/>
      <c r="L45" s="2239"/>
      <c r="M45" s="4351" t="s">
        <v>3163</v>
      </c>
      <c r="N45" s="4351"/>
      <c r="O45" s="4351"/>
      <c r="P45" s="3673"/>
      <c r="Q45" s="3688"/>
    </row>
    <row r="46" spans="1:22" ht="5.0999999999999996" hidden="1" customHeight="1">
      <c r="A46" s="2239"/>
      <c r="B46" s="2239"/>
      <c r="C46" s="2241"/>
      <c r="D46" s="2263"/>
      <c r="E46" s="2264"/>
      <c r="F46" s="2264"/>
      <c r="G46" s="3673"/>
      <c r="H46" s="3673"/>
      <c r="I46" s="3673"/>
      <c r="J46" s="3673"/>
      <c r="K46" s="3673"/>
      <c r="L46" s="2239"/>
      <c r="M46" s="2263"/>
      <c r="N46" s="2265"/>
      <c r="O46" s="2239"/>
      <c r="P46" s="2239"/>
      <c r="Q46" s="2266"/>
    </row>
    <row r="47" spans="1:22" ht="15.75" hidden="1" customHeight="1">
      <c r="A47" s="2239"/>
      <c r="B47" s="2239"/>
      <c r="C47" s="2267"/>
      <c r="D47" s="4345"/>
      <c r="E47" s="4345"/>
      <c r="F47" s="3689"/>
      <c r="G47" s="4347"/>
      <c r="H47" s="4347"/>
      <c r="I47" s="4347"/>
      <c r="J47" s="4347"/>
      <c r="K47" s="4347"/>
      <c r="L47" s="2244"/>
      <c r="M47" s="4348"/>
      <c r="N47" s="4348"/>
      <c r="O47" s="4348"/>
      <c r="P47" s="2268"/>
      <c r="Q47" s="3688"/>
    </row>
    <row r="48" spans="1:22" ht="5.0999999999999996" hidden="1" customHeight="1">
      <c r="A48" s="2239"/>
      <c r="B48" s="2239"/>
      <c r="C48" s="3692"/>
      <c r="D48" s="2269"/>
      <c r="E48" s="2270"/>
      <c r="F48" s="2271"/>
      <c r="G48" s="2269"/>
      <c r="H48" s="2272"/>
      <c r="I48" s="2272"/>
      <c r="J48" s="2272"/>
      <c r="K48" s="2273"/>
      <c r="L48" s="2244"/>
      <c r="M48" s="2274"/>
      <c r="N48" s="2275"/>
      <c r="O48" s="2276"/>
      <c r="P48" s="2277"/>
      <c r="Q48" s="2266"/>
    </row>
    <row r="49" spans="1:22" ht="15.75" hidden="1" customHeight="1">
      <c r="A49" s="2239"/>
      <c r="B49" s="2239"/>
      <c r="C49" s="2267"/>
      <c r="D49" s="4345"/>
      <c r="E49" s="4345"/>
      <c r="F49" s="3689"/>
      <c r="G49" s="4347"/>
      <c r="H49" s="4347"/>
      <c r="I49" s="4347"/>
      <c r="J49" s="4347"/>
      <c r="K49" s="4347"/>
      <c r="L49" s="2244"/>
      <c r="M49" s="4348"/>
      <c r="N49" s="4348"/>
      <c r="O49" s="4348"/>
      <c r="P49" s="2268"/>
      <c r="Q49" s="3688"/>
    </row>
    <row r="50" spans="1:22" s="1489" customFormat="1" ht="5.0999999999999996" hidden="1" customHeight="1">
      <c r="A50" s="2278"/>
      <c r="B50" s="2278"/>
      <c r="C50" s="2279"/>
      <c r="D50" s="2266"/>
      <c r="E50" s="2265"/>
      <c r="F50" s="2265"/>
      <c r="G50" s="3688"/>
      <c r="H50" s="3688"/>
      <c r="I50" s="3688"/>
      <c r="J50" s="3688"/>
      <c r="K50" s="2265"/>
      <c r="L50" s="2278"/>
      <c r="M50" s="4375"/>
      <c r="N50" s="4375"/>
      <c r="O50" s="4375"/>
      <c r="P50" s="2280"/>
      <c r="Q50" s="2266"/>
    </row>
    <row r="51" spans="1:22" ht="5.0999999999999996" hidden="1" customHeight="1">
      <c r="A51" s="2239"/>
      <c r="B51" s="2239"/>
      <c r="C51" s="2239"/>
      <c r="D51" s="2281"/>
      <c r="E51" s="2239"/>
      <c r="F51" s="2278"/>
      <c r="G51" s="2278"/>
      <c r="H51" s="2281"/>
      <c r="I51" s="2242"/>
      <c r="J51" s="2242"/>
      <c r="K51" s="2242"/>
      <c r="L51" s="2242"/>
      <c r="M51" s="2282"/>
      <c r="N51" s="2283"/>
      <c r="O51" s="2282"/>
      <c r="P51" s="2277"/>
      <c r="Q51" s="2266"/>
    </row>
    <row r="52" spans="1:22" ht="13.5" hidden="1" customHeight="1" thickBot="1">
      <c r="A52" s="2239"/>
      <c r="B52" s="2239"/>
      <c r="C52" s="2241" t="s">
        <v>3108</v>
      </c>
      <c r="D52" s="3682"/>
      <c r="E52" s="2242"/>
      <c r="F52" s="3682"/>
      <c r="G52" s="3682"/>
      <c r="H52" s="4367"/>
      <c r="I52" s="4367"/>
      <c r="J52" s="4367"/>
      <c r="K52" s="4367"/>
      <c r="L52" s="4367"/>
      <c r="M52" s="4342">
        <f>SUM(M47:O50)</f>
        <v>0</v>
      </c>
      <c r="N52" s="4342"/>
      <c r="O52" s="4342"/>
      <c r="P52" s="3680"/>
      <c r="Q52" s="3688"/>
    </row>
    <row r="53" spans="1:22" ht="12" hidden="1" customHeight="1" thickTop="1">
      <c r="A53" s="2239"/>
      <c r="B53" s="2239"/>
      <c r="C53" s="2241"/>
      <c r="D53" s="2239"/>
      <c r="E53" s="2239"/>
      <c r="F53" s="2239"/>
      <c r="G53" s="2239"/>
      <c r="H53" s="2239"/>
      <c r="I53" s="2239"/>
      <c r="J53" s="2239"/>
      <c r="K53" s="2239"/>
      <c r="L53" s="2239"/>
      <c r="M53" s="2239"/>
      <c r="N53" s="2239"/>
      <c r="O53" s="2281"/>
      <c r="P53" s="2281"/>
      <c r="Q53" s="2281"/>
      <c r="R53" s="1486"/>
      <c r="S53" s="1486"/>
      <c r="T53" s="1486"/>
      <c r="U53" s="1486"/>
      <c r="V53" s="1486"/>
    </row>
    <row r="54" spans="1:22" ht="15.75" hidden="1" customHeight="1">
      <c r="A54" s="2241" t="s">
        <v>3164</v>
      </c>
      <c r="B54" s="2239"/>
      <c r="C54" s="2239" t="s">
        <v>3165</v>
      </c>
      <c r="D54" s="2239"/>
      <c r="E54" s="2239"/>
      <c r="F54" s="2239"/>
      <c r="G54" s="2239"/>
      <c r="H54" s="2239"/>
      <c r="I54" s="2239"/>
      <c r="J54" s="2239"/>
      <c r="K54" s="2239"/>
      <c r="L54" s="2239"/>
      <c r="M54" s="2239"/>
      <c r="N54" s="2239"/>
      <c r="O54" s="2281"/>
      <c r="P54" s="2281"/>
      <c r="Q54" s="2281"/>
      <c r="R54" s="1486"/>
      <c r="S54" s="1486"/>
      <c r="T54" s="1486"/>
      <c r="U54" s="1486"/>
      <c r="V54" s="1486"/>
    </row>
    <row r="55" spans="1:22" ht="15.75" hidden="1" customHeight="1">
      <c r="A55" s="2239"/>
      <c r="B55" s="2239"/>
      <c r="C55" s="2239" t="s">
        <v>3166</v>
      </c>
      <c r="D55" s="2239"/>
      <c r="E55" s="2239"/>
      <c r="F55" s="2239"/>
      <c r="G55" s="2239"/>
      <c r="H55" s="2239"/>
      <c r="I55" s="2239"/>
      <c r="J55" s="2239"/>
      <c r="K55" s="2239"/>
      <c r="L55" s="2239"/>
      <c r="M55" s="2239"/>
      <c r="N55" s="2239"/>
      <c r="O55" s="2281"/>
      <c r="P55" s="2281"/>
      <c r="Q55" s="2281"/>
      <c r="R55" s="1486"/>
      <c r="S55" s="1486"/>
      <c r="T55" s="1486"/>
      <c r="U55" s="1486"/>
      <c r="V55" s="1486"/>
    </row>
    <row r="56" spans="1:22" ht="4.5" hidden="1" customHeight="1">
      <c r="A56" s="2239"/>
      <c r="B56" s="2239"/>
      <c r="C56" s="2239"/>
      <c r="D56" s="2239"/>
      <c r="E56" s="2239"/>
      <c r="F56" s="2239"/>
      <c r="G56" s="2239"/>
      <c r="H56" s="2239"/>
      <c r="I56" s="2239"/>
      <c r="J56" s="2239"/>
      <c r="K56" s="2239"/>
      <c r="L56" s="2239"/>
      <c r="M56" s="2239"/>
      <c r="N56" s="2239"/>
      <c r="O56" s="2281"/>
      <c r="P56" s="2281"/>
      <c r="Q56" s="2281"/>
      <c r="R56" s="1486"/>
      <c r="S56" s="1486"/>
      <c r="T56" s="1486"/>
      <c r="U56" s="1486"/>
      <c r="V56" s="1486"/>
    </row>
    <row r="57" spans="1:22" hidden="1">
      <c r="A57" s="2239"/>
      <c r="B57" s="2239"/>
      <c r="C57" s="2241" t="s">
        <v>3124</v>
      </c>
      <c r="D57" s="4343"/>
      <c r="E57" s="4343"/>
      <c r="F57" s="4343"/>
      <c r="G57" s="4343"/>
      <c r="H57" s="4343"/>
      <c r="I57" s="4343"/>
      <c r="J57" s="4343"/>
      <c r="K57" s="4343"/>
      <c r="L57" s="4343"/>
      <c r="M57" s="4343"/>
      <c r="N57" s="4343"/>
      <c r="O57" s="4343"/>
      <c r="P57" s="4343"/>
      <c r="Q57" s="4343"/>
      <c r="R57" s="175"/>
      <c r="S57" s="175"/>
      <c r="T57" s="175"/>
      <c r="U57" s="175"/>
      <c r="V57" s="175"/>
    </row>
    <row r="58" spans="1:22" ht="5.0999999999999996" hidden="1" customHeight="1">
      <c r="A58" s="2242"/>
      <c r="B58" s="2242"/>
      <c r="C58" s="2266"/>
      <c r="D58" s="2284"/>
      <c r="E58" s="2284"/>
      <c r="F58" s="2284"/>
      <c r="G58" s="2284"/>
      <c r="H58" s="2284"/>
      <c r="I58" s="2284"/>
      <c r="J58" s="2284"/>
      <c r="K58" s="2284"/>
      <c r="L58" s="2284"/>
      <c r="M58" s="2284"/>
      <c r="N58" s="2284"/>
      <c r="O58" s="2284"/>
      <c r="P58" s="2284"/>
      <c r="Q58" s="2284"/>
      <c r="R58" s="175"/>
      <c r="S58" s="175"/>
      <c r="T58" s="175"/>
      <c r="U58" s="175"/>
      <c r="V58" s="175"/>
    </row>
    <row r="59" spans="1:22" hidden="1">
      <c r="A59" s="2239"/>
      <c r="B59" s="2239"/>
      <c r="C59" s="2247"/>
      <c r="D59" s="4343"/>
      <c r="E59" s="4343"/>
      <c r="F59" s="4343"/>
      <c r="G59" s="4343"/>
      <c r="H59" s="4343"/>
      <c r="I59" s="4343"/>
      <c r="J59" s="4343"/>
      <c r="K59" s="4343"/>
      <c r="L59" s="4343"/>
      <c r="M59" s="4343"/>
      <c r="N59" s="4343"/>
      <c r="O59" s="4343"/>
      <c r="P59" s="4343"/>
      <c r="Q59" s="4343"/>
      <c r="R59" s="1479"/>
      <c r="S59" s="1479"/>
      <c r="T59" s="1479"/>
      <c r="U59" s="1479"/>
      <c r="V59" s="1479"/>
    </row>
    <row r="60" spans="1:22" ht="5.0999999999999996" hidden="1" customHeight="1">
      <c r="A60" s="2239"/>
      <c r="B60" s="2239"/>
      <c r="C60" s="2247"/>
      <c r="D60" s="2285"/>
      <c r="E60" s="2284"/>
      <c r="F60" s="2284"/>
      <c r="G60" s="2284"/>
      <c r="H60" s="2284"/>
      <c r="I60" s="2284"/>
      <c r="J60" s="2284"/>
      <c r="K60" s="2284"/>
      <c r="L60" s="2284"/>
      <c r="M60" s="2284"/>
      <c r="N60" s="2284"/>
      <c r="O60" s="2284"/>
      <c r="P60" s="2284"/>
      <c r="Q60" s="2284"/>
      <c r="R60" s="1479"/>
      <c r="S60" s="1479"/>
      <c r="T60" s="1479"/>
      <c r="U60" s="1479"/>
      <c r="V60" s="1479"/>
    </row>
    <row r="61" spans="1:22" hidden="1">
      <c r="A61" s="2286"/>
      <c r="B61" s="2286"/>
      <c r="C61" s="2239"/>
      <c r="D61" s="4343"/>
      <c r="E61" s="4343"/>
      <c r="F61" s="4343"/>
      <c r="G61" s="4343"/>
      <c r="H61" s="4343"/>
      <c r="I61" s="4343"/>
      <c r="J61" s="4343"/>
      <c r="K61" s="4343"/>
      <c r="L61" s="4343"/>
      <c r="M61" s="4343"/>
      <c r="N61" s="4343"/>
      <c r="O61" s="4343"/>
      <c r="P61" s="4343"/>
      <c r="Q61" s="4343"/>
      <c r="R61" s="1479"/>
      <c r="S61" s="1479"/>
      <c r="T61" s="1479"/>
      <c r="U61" s="1479"/>
      <c r="V61" s="1479"/>
    </row>
    <row r="62" spans="1:22" ht="12.75" hidden="1" customHeight="1">
      <c r="A62" s="2286"/>
      <c r="B62" s="2286"/>
      <c r="C62" s="2239"/>
      <c r="D62" s="2242"/>
      <c r="E62" s="2242"/>
      <c r="F62" s="2242"/>
      <c r="G62" s="2242"/>
      <c r="H62" s="2242"/>
      <c r="I62" s="2242"/>
      <c r="J62" s="2242"/>
      <c r="K62" s="2242"/>
      <c r="L62" s="2242"/>
      <c r="M62" s="2242"/>
      <c r="N62" s="2242"/>
      <c r="O62" s="2242"/>
      <c r="P62" s="2242"/>
      <c r="Q62" s="2242"/>
      <c r="R62" s="1479"/>
      <c r="S62" s="1479"/>
      <c r="T62" s="1479"/>
      <c r="U62" s="1479"/>
      <c r="V62" s="1479"/>
    </row>
    <row r="63" spans="1:22" hidden="1">
      <c r="A63" s="2239"/>
      <c r="B63" s="2239"/>
      <c r="C63" s="2257" t="s">
        <v>3167</v>
      </c>
      <c r="D63" s="2252"/>
      <c r="E63" s="2252"/>
      <c r="F63" s="2252"/>
      <c r="G63" s="2252"/>
      <c r="H63" s="2252"/>
      <c r="I63" s="2249"/>
      <c r="J63" s="2249"/>
      <c r="K63" s="2249"/>
      <c r="L63" s="2249"/>
      <c r="M63" s="2249"/>
      <c r="N63" s="2249"/>
      <c r="O63" s="2258"/>
      <c r="P63" s="2258"/>
      <c r="Q63" s="2258"/>
    </row>
    <row r="64" spans="1:22" ht="15.75" hidden="1" customHeight="1">
      <c r="A64" s="2241" t="s">
        <v>3168</v>
      </c>
      <c r="B64" s="2241"/>
      <c r="C64" s="2278" t="s">
        <v>3169</v>
      </c>
      <c r="D64" s="2278"/>
      <c r="E64" s="2278"/>
      <c r="F64" s="2278"/>
      <c r="G64" s="2278"/>
      <c r="H64" s="2278"/>
      <c r="I64" s="2278"/>
      <c r="J64" s="2278"/>
      <c r="K64" s="2278"/>
      <c r="L64" s="2278"/>
      <c r="M64" s="2278"/>
      <c r="N64" s="2278"/>
      <c r="O64" s="2278"/>
      <c r="P64" s="2278"/>
      <c r="Q64" s="2278"/>
    </row>
    <row r="65" spans="1:22" ht="15.75" hidden="1" customHeight="1">
      <c r="A65" s="2239"/>
      <c r="B65" s="2239"/>
      <c r="C65" s="2278" t="s">
        <v>3170</v>
      </c>
      <c r="D65" s="2278"/>
      <c r="E65" s="2278"/>
      <c r="F65" s="2278"/>
      <c r="G65" s="2278"/>
      <c r="H65" s="2278"/>
      <c r="I65" s="2278"/>
      <c r="J65" s="2278"/>
      <c r="K65" s="2278"/>
      <c r="L65" s="2278"/>
      <c r="M65" s="2278"/>
      <c r="N65" s="2278"/>
      <c r="O65" s="2278"/>
      <c r="P65" s="2278"/>
      <c r="Q65" s="2278"/>
    </row>
    <row r="66" spans="1:22" ht="4.5" hidden="1" customHeight="1">
      <c r="A66" s="2259"/>
      <c r="B66" s="2259"/>
      <c r="C66" s="2262"/>
      <c r="D66" s="2262"/>
      <c r="E66" s="2262"/>
      <c r="F66" s="2262"/>
      <c r="G66" s="2262"/>
      <c r="H66" s="2262"/>
      <c r="I66" s="2262"/>
      <c r="J66" s="2262"/>
      <c r="K66" s="2262"/>
      <c r="L66" s="2262"/>
      <c r="M66" s="2262"/>
      <c r="N66" s="2262"/>
      <c r="O66" s="2262"/>
      <c r="P66" s="2262"/>
      <c r="Q66" s="2262"/>
      <c r="R66" s="1505"/>
      <c r="S66" s="1505"/>
      <c r="T66" s="1505"/>
      <c r="U66" s="1506"/>
      <c r="V66" s="1506"/>
    </row>
    <row r="67" spans="1:22" ht="15.75" hidden="1" customHeight="1" thickBot="1">
      <c r="A67" s="2239"/>
      <c r="B67" s="2239"/>
      <c r="C67" s="2241"/>
      <c r="D67" s="4351" t="s">
        <v>3171</v>
      </c>
      <c r="E67" s="4351"/>
      <c r="F67" s="3675"/>
      <c r="G67" s="3688"/>
      <c r="H67" s="4351" t="s">
        <v>3163</v>
      </c>
      <c r="I67" s="4351"/>
      <c r="J67" s="4351"/>
      <c r="K67" s="4351"/>
      <c r="L67" s="4351"/>
      <c r="M67" s="3673"/>
      <c r="N67" s="3673"/>
      <c r="O67" s="2239"/>
      <c r="P67" s="2239"/>
      <c r="Q67" s="2239"/>
    </row>
    <row r="68" spans="1:22" ht="5.0999999999999996" hidden="1" customHeight="1">
      <c r="A68" s="2239"/>
      <c r="B68" s="2239"/>
      <c r="C68" s="2241"/>
      <c r="D68" s="2263"/>
      <c r="E68" s="2264"/>
      <c r="F68" s="2264"/>
      <c r="G68" s="2265"/>
      <c r="H68" s="4374"/>
      <c r="I68" s="4374"/>
      <c r="J68" s="4374"/>
      <c r="K68" s="4374"/>
      <c r="L68" s="2287"/>
      <c r="M68" s="2264"/>
      <c r="N68" s="2264"/>
      <c r="O68" s="2239"/>
      <c r="P68" s="2239"/>
      <c r="Q68" s="2239"/>
    </row>
    <row r="69" spans="1:22" ht="15.75" hidden="1" customHeight="1">
      <c r="A69" s="2239"/>
      <c r="B69" s="2239"/>
      <c r="C69" s="2288"/>
      <c r="D69" s="4345"/>
      <c r="E69" s="4345"/>
      <c r="F69" s="4345"/>
      <c r="G69" s="3688"/>
      <c r="H69" s="4348"/>
      <c r="I69" s="4348"/>
      <c r="J69" s="4348"/>
      <c r="K69" s="4348"/>
      <c r="L69" s="4348"/>
      <c r="M69" s="3688"/>
      <c r="N69" s="3688"/>
      <c r="O69" s="2278"/>
      <c r="P69" s="2278"/>
      <c r="Q69" s="2239"/>
    </row>
    <row r="70" spans="1:22" ht="5.0999999999999996" hidden="1" customHeight="1">
      <c r="A70" s="2239"/>
      <c r="B70" s="2239"/>
      <c r="C70" s="2241"/>
      <c r="D70" s="2289"/>
      <c r="E70" s="2290"/>
      <c r="F70" s="2290"/>
      <c r="G70" s="2265"/>
      <c r="H70" s="4372"/>
      <c r="I70" s="4372"/>
      <c r="J70" s="4372"/>
      <c r="K70" s="4372"/>
      <c r="L70" s="2275"/>
      <c r="M70" s="2265"/>
      <c r="N70" s="2265"/>
      <c r="O70" s="2278"/>
      <c r="P70" s="2278"/>
      <c r="Q70" s="2239"/>
    </row>
    <row r="71" spans="1:22" ht="15.75" hidden="1" customHeight="1">
      <c r="A71" s="2239"/>
      <c r="B71" s="2239"/>
      <c r="C71" s="2288"/>
      <c r="D71" s="4345"/>
      <c r="E71" s="4345"/>
      <c r="F71" s="4345"/>
      <c r="G71" s="3688"/>
      <c r="H71" s="4348"/>
      <c r="I71" s="4348"/>
      <c r="J71" s="4348"/>
      <c r="K71" s="4348"/>
      <c r="L71" s="4348"/>
      <c r="M71" s="3688"/>
      <c r="N71" s="3688"/>
      <c r="O71" s="2278"/>
      <c r="P71" s="2278"/>
      <c r="Q71" s="2239"/>
    </row>
    <row r="72" spans="1:22" s="1489" customFormat="1" ht="5.0999999999999996" hidden="1" customHeight="1">
      <c r="A72" s="2278"/>
      <c r="B72" s="2278"/>
      <c r="C72" s="2291"/>
      <c r="D72" s="3785"/>
      <c r="E72" s="3785"/>
      <c r="F72" s="3785"/>
      <c r="G72" s="2265"/>
      <c r="H72" s="4373"/>
      <c r="I72" s="4373"/>
      <c r="J72" s="4373"/>
      <c r="K72" s="4373"/>
      <c r="L72" s="2275"/>
      <c r="M72" s="2265"/>
      <c r="N72" s="2265"/>
      <c r="O72" s="2278"/>
      <c r="P72" s="2278"/>
      <c r="Q72" s="2278"/>
    </row>
    <row r="73" spans="1:22" ht="15.75" hidden="1" customHeight="1">
      <c r="A73" s="2239"/>
      <c r="B73" s="2239"/>
      <c r="C73" s="2288"/>
      <c r="D73" s="4345"/>
      <c r="E73" s="4345"/>
      <c r="F73" s="4345"/>
      <c r="G73" s="3688"/>
      <c r="H73" s="4348"/>
      <c r="I73" s="4348"/>
      <c r="J73" s="4348"/>
      <c r="K73" s="4348"/>
      <c r="L73" s="4348"/>
      <c r="M73" s="3688"/>
      <c r="N73" s="3688"/>
      <c r="O73" s="2278"/>
      <c r="P73" s="2278"/>
      <c r="Q73" s="2239"/>
    </row>
    <row r="74" spans="1:22" ht="5.0999999999999996" hidden="1" customHeight="1">
      <c r="A74" s="2239"/>
      <c r="B74" s="2239"/>
      <c r="C74" s="2239"/>
      <c r="D74" s="2281"/>
      <c r="E74" s="2239"/>
      <c r="F74" s="2239"/>
      <c r="G74" s="2242"/>
      <c r="H74" s="4371"/>
      <c r="I74" s="4371"/>
      <c r="J74" s="4371"/>
      <c r="K74" s="4371"/>
      <c r="L74" s="2292"/>
      <c r="M74" s="2278"/>
      <c r="N74" s="2278"/>
      <c r="O74" s="2278"/>
      <c r="P74" s="2278"/>
      <c r="Q74" s="2239"/>
    </row>
    <row r="75" spans="1:22" ht="15.75" hidden="1" customHeight="1" thickBot="1">
      <c r="A75" s="2239"/>
      <c r="B75" s="2239"/>
      <c r="C75" s="2241" t="s">
        <v>3108</v>
      </c>
      <c r="D75" s="4367"/>
      <c r="E75" s="4367"/>
      <c r="F75" s="3682"/>
      <c r="G75" s="3682"/>
      <c r="H75" s="4342">
        <f>SUM(H69:L73)</f>
        <v>0</v>
      </c>
      <c r="I75" s="4342"/>
      <c r="J75" s="4342"/>
      <c r="K75" s="4342"/>
      <c r="L75" s="4342"/>
      <c r="M75" s="3682"/>
      <c r="N75" s="3682"/>
      <c r="O75" s="2278"/>
      <c r="P75" s="2278"/>
      <c r="Q75" s="2239"/>
    </row>
    <row r="76" spans="1:22" ht="12" hidden="1" customHeight="1" thickTop="1">
      <c r="A76" s="2239"/>
      <c r="B76" s="2239"/>
      <c r="C76" s="2241"/>
      <c r="D76" s="2239"/>
      <c r="E76" s="2239"/>
      <c r="F76" s="2239"/>
      <c r="G76" s="2239"/>
      <c r="H76" s="2239"/>
      <c r="I76" s="2239"/>
      <c r="J76" s="2239"/>
      <c r="K76" s="2239"/>
      <c r="L76" s="2239"/>
      <c r="M76" s="2239"/>
      <c r="N76" s="2239"/>
      <c r="O76" s="2239"/>
      <c r="P76" s="2239"/>
      <c r="Q76" s="2239"/>
      <c r="R76" s="1486"/>
      <c r="S76" s="1486"/>
      <c r="T76" s="1486"/>
      <c r="U76" s="1486"/>
      <c r="V76" s="1486"/>
    </row>
    <row r="77" spans="1:22" ht="15.75" hidden="1" customHeight="1">
      <c r="A77" s="2241" t="s">
        <v>3172</v>
      </c>
      <c r="B77" s="2239"/>
      <c r="C77" s="2239" t="s">
        <v>3173</v>
      </c>
      <c r="D77" s="2239"/>
      <c r="E77" s="2239"/>
      <c r="F77" s="2239"/>
      <c r="G77" s="2239"/>
      <c r="H77" s="2239"/>
      <c r="I77" s="2239"/>
      <c r="J77" s="2239"/>
      <c r="K77" s="2239"/>
      <c r="L77" s="2239"/>
      <c r="M77" s="2239"/>
      <c r="N77" s="2239"/>
      <c r="O77" s="2239"/>
      <c r="P77" s="2239"/>
      <c r="Q77" s="2239"/>
      <c r="R77" s="1486"/>
      <c r="S77" s="1486"/>
      <c r="T77" s="1486"/>
      <c r="U77" s="1486"/>
      <c r="V77" s="1486"/>
    </row>
    <row r="78" spans="1:22" ht="15.75" hidden="1" customHeight="1">
      <c r="A78" s="2239"/>
      <c r="B78" s="2239"/>
      <c r="C78" s="2239" t="s">
        <v>3174</v>
      </c>
      <c r="D78" s="2239"/>
      <c r="E78" s="2239"/>
      <c r="F78" s="2239"/>
      <c r="G78" s="2239"/>
      <c r="H78" s="2239"/>
      <c r="I78" s="2239"/>
      <c r="J78" s="2239"/>
      <c r="K78" s="2239"/>
      <c r="L78" s="2239"/>
      <c r="M78" s="2239"/>
      <c r="N78" s="2239"/>
      <c r="O78" s="2239"/>
      <c r="P78" s="2239"/>
      <c r="Q78" s="2239"/>
      <c r="R78" s="1486"/>
      <c r="S78" s="1486"/>
      <c r="T78" s="1486"/>
      <c r="U78" s="1486"/>
      <c r="V78" s="1486"/>
    </row>
    <row r="79" spans="1:22" ht="4.5" hidden="1" customHeight="1">
      <c r="A79" s="2239"/>
      <c r="B79" s="2239"/>
      <c r="C79" s="2239"/>
      <c r="D79" s="2244"/>
      <c r="E79" s="2244"/>
      <c r="F79" s="2244"/>
      <c r="G79" s="2244"/>
      <c r="H79" s="2244"/>
      <c r="I79" s="2244"/>
      <c r="J79" s="2244"/>
      <c r="K79" s="2244"/>
      <c r="L79" s="2244"/>
      <c r="M79" s="2244"/>
      <c r="N79" s="2244"/>
      <c r="O79" s="2244"/>
      <c r="P79" s="2244"/>
      <c r="Q79" s="2244"/>
      <c r="R79" s="1486"/>
      <c r="S79" s="1486"/>
      <c r="T79" s="1486"/>
      <c r="U79" s="1486"/>
      <c r="V79" s="1486"/>
    </row>
    <row r="80" spans="1:22" ht="15.75" hidden="1" customHeight="1">
      <c r="A80" s="2239"/>
      <c r="B80" s="2239"/>
      <c r="C80" s="2241" t="s">
        <v>3124</v>
      </c>
      <c r="D80" s="4343"/>
      <c r="E80" s="4343"/>
      <c r="F80" s="4343"/>
      <c r="G80" s="4343"/>
      <c r="H80" s="4343"/>
      <c r="I80" s="4343"/>
      <c r="J80" s="4343"/>
      <c r="K80" s="4343"/>
      <c r="L80" s="4343"/>
      <c r="M80" s="4343"/>
      <c r="N80" s="4343"/>
      <c r="O80" s="4343"/>
      <c r="P80" s="4343"/>
      <c r="Q80" s="4343"/>
      <c r="R80" s="175"/>
      <c r="S80" s="175"/>
      <c r="T80" s="175"/>
      <c r="U80" s="175"/>
      <c r="V80" s="175"/>
    </row>
    <row r="81" spans="1:22" ht="5.0999999999999996" hidden="1" customHeight="1">
      <c r="A81" s="2242"/>
      <c r="B81" s="2242"/>
      <c r="C81" s="2266"/>
      <c r="D81" s="2284"/>
      <c r="E81" s="2284"/>
      <c r="F81" s="2284"/>
      <c r="G81" s="2284"/>
      <c r="H81" s="2284"/>
      <c r="I81" s="2284"/>
      <c r="J81" s="2284"/>
      <c r="K81" s="2284"/>
      <c r="L81" s="2284"/>
      <c r="M81" s="2284"/>
      <c r="N81" s="2284"/>
      <c r="O81" s="2284"/>
      <c r="P81" s="2284"/>
      <c r="Q81" s="2284"/>
      <c r="R81" s="175"/>
      <c r="S81" s="175"/>
      <c r="T81" s="175"/>
      <c r="U81" s="175"/>
      <c r="V81" s="175"/>
    </row>
    <row r="82" spans="1:22" ht="15.75" hidden="1" customHeight="1">
      <c r="A82" s="2239"/>
      <c r="B82" s="2239"/>
      <c r="C82" s="2247"/>
      <c r="D82" s="4343"/>
      <c r="E82" s="4343"/>
      <c r="F82" s="4343"/>
      <c r="G82" s="4343"/>
      <c r="H82" s="4343"/>
      <c r="I82" s="4343"/>
      <c r="J82" s="4343"/>
      <c r="K82" s="4343"/>
      <c r="L82" s="4343"/>
      <c r="M82" s="4343"/>
      <c r="N82" s="4343"/>
      <c r="O82" s="4343"/>
      <c r="P82" s="4343"/>
      <c r="Q82" s="4343"/>
      <c r="R82" s="1479"/>
      <c r="S82" s="1479"/>
      <c r="T82" s="1479"/>
      <c r="U82" s="1479"/>
      <c r="V82" s="1479"/>
    </row>
    <row r="83" spans="1:22" ht="5.0999999999999996" hidden="1" customHeight="1">
      <c r="A83" s="2239"/>
      <c r="B83" s="2239"/>
      <c r="C83" s="2247"/>
      <c r="D83" s="2285"/>
      <c r="E83" s="2284"/>
      <c r="F83" s="2284"/>
      <c r="G83" s="2284"/>
      <c r="H83" s="2284"/>
      <c r="I83" s="2284"/>
      <c r="J83" s="2284"/>
      <c r="K83" s="2284"/>
      <c r="L83" s="2284"/>
      <c r="M83" s="2284"/>
      <c r="N83" s="2284"/>
      <c r="O83" s="2284"/>
      <c r="P83" s="2284"/>
      <c r="Q83" s="2284"/>
      <c r="R83" s="1479"/>
      <c r="S83" s="1479"/>
      <c r="T83" s="1479"/>
      <c r="U83" s="1479"/>
      <c r="V83" s="1479"/>
    </row>
    <row r="84" spans="1:22" ht="15.75" hidden="1" customHeight="1">
      <c r="A84" s="2286"/>
      <c r="B84" s="2286"/>
      <c r="C84" s="2239"/>
      <c r="D84" s="4343"/>
      <c r="E84" s="4343"/>
      <c r="F84" s="4343"/>
      <c r="G84" s="4343"/>
      <c r="H84" s="4343"/>
      <c r="I84" s="4343"/>
      <c r="J84" s="4343"/>
      <c r="K84" s="4343"/>
      <c r="L84" s="4343"/>
      <c r="M84" s="4343"/>
      <c r="N84" s="4343"/>
      <c r="O84" s="4343"/>
      <c r="P84" s="4343"/>
      <c r="Q84" s="4343"/>
      <c r="R84" s="1479"/>
      <c r="S84" s="1479"/>
      <c r="T84" s="1479"/>
      <c r="U84" s="1479"/>
      <c r="V84" s="1479"/>
    </row>
    <row r="85" spans="1:22" s="1489" customFormat="1" ht="12.75" hidden="1" customHeight="1">
      <c r="A85" s="2293"/>
      <c r="B85" s="2293"/>
      <c r="C85" s="2278"/>
      <c r="D85" s="2294"/>
      <c r="E85" s="2294"/>
      <c r="F85" s="2294"/>
      <c r="G85" s="2294"/>
      <c r="H85" s="2294"/>
      <c r="I85" s="2294"/>
      <c r="J85" s="2294"/>
      <c r="K85" s="2294"/>
      <c r="L85" s="2294"/>
      <c r="M85" s="2294"/>
      <c r="N85" s="2294"/>
      <c r="O85" s="2294"/>
      <c r="P85" s="2294"/>
      <c r="Q85" s="2294"/>
      <c r="R85" s="1479"/>
      <c r="S85" s="1479"/>
      <c r="T85" s="1479"/>
      <c r="U85" s="1479"/>
      <c r="V85" s="1479"/>
    </row>
    <row r="86" spans="1:22" hidden="1">
      <c r="A86" s="2239"/>
      <c r="B86" s="2239"/>
      <c r="C86" s="2257" t="s">
        <v>3175</v>
      </c>
      <c r="D86" s="2252"/>
      <c r="E86" s="2252"/>
      <c r="F86" s="2252"/>
      <c r="G86" s="2252"/>
      <c r="H86" s="2252"/>
      <c r="I86" s="2249"/>
      <c r="J86" s="2249"/>
      <c r="K86" s="2249"/>
      <c r="L86" s="2249"/>
      <c r="M86" s="2249"/>
      <c r="N86" s="2249"/>
      <c r="O86" s="2258"/>
      <c r="P86" s="2258"/>
      <c r="Q86" s="2258"/>
    </row>
    <row r="87" spans="1:22" ht="15.75" hidden="1" customHeight="1">
      <c r="A87" s="2241" t="s">
        <v>3176</v>
      </c>
      <c r="B87" s="2241"/>
      <c r="C87" s="2239" t="s">
        <v>3177</v>
      </c>
      <c r="D87" s="2239"/>
      <c r="E87" s="2239"/>
      <c r="F87" s="2239"/>
      <c r="G87" s="2239"/>
      <c r="H87" s="2239"/>
      <c r="I87" s="2239"/>
      <c r="J87" s="2239"/>
      <c r="K87" s="2239"/>
      <c r="L87" s="2239"/>
      <c r="M87" s="2239"/>
      <c r="N87" s="2239"/>
      <c r="O87" s="2239"/>
      <c r="P87" s="2239"/>
      <c r="Q87" s="2239"/>
    </row>
    <row r="88" spans="1:22" ht="15.75" hidden="1" customHeight="1">
      <c r="A88" s="2239"/>
      <c r="B88" s="2239"/>
      <c r="C88" s="2239" t="s">
        <v>3178</v>
      </c>
      <c r="D88" s="2239"/>
      <c r="E88" s="2239"/>
      <c r="F88" s="2239"/>
      <c r="G88" s="2239"/>
      <c r="H88" s="2239"/>
      <c r="I88" s="2239"/>
      <c r="J88" s="2239"/>
      <c r="K88" s="2239"/>
      <c r="L88" s="2239"/>
      <c r="M88" s="2239"/>
      <c r="N88" s="2239"/>
      <c r="O88" s="2239"/>
      <c r="P88" s="2239"/>
      <c r="Q88" s="2239"/>
    </row>
    <row r="89" spans="1:22" ht="45.75" hidden="1" customHeight="1" thickBot="1">
      <c r="A89" s="2239"/>
      <c r="B89" s="2239"/>
      <c r="C89" s="2241"/>
      <c r="D89" s="4351" t="s">
        <v>3179</v>
      </c>
      <c r="E89" s="4351"/>
      <c r="F89" s="3673"/>
      <c r="G89" s="3684" t="s">
        <v>3180</v>
      </c>
      <c r="H89" s="3688"/>
      <c r="I89" s="2295" t="s">
        <v>3181</v>
      </c>
      <c r="J89" s="2296"/>
      <c r="K89" s="2295" t="s">
        <v>3182</v>
      </c>
      <c r="L89" s="2296"/>
      <c r="M89" s="2295" t="s">
        <v>3183</v>
      </c>
      <c r="N89" s="2296"/>
      <c r="O89" s="4352" t="s">
        <v>3184</v>
      </c>
      <c r="P89" s="4352"/>
      <c r="Q89" s="4352"/>
      <c r="R89" s="2541"/>
    </row>
    <row r="90" spans="1:22" ht="6" hidden="1" customHeight="1">
      <c r="A90" s="2239"/>
      <c r="B90" s="2239"/>
      <c r="C90" s="2241"/>
      <c r="D90" s="2263"/>
      <c r="E90" s="2264"/>
      <c r="F90" s="2264"/>
      <c r="G90" s="2264"/>
      <c r="H90" s="2265"/>
      <c r="I90" s="2265"/>
      <c r="J90" s="2265"/>
      <c r="K90" s="2265"/>
      <c r="L90" s="2265"/>
      <c r="M90" s="2265"/>
      <c r="N90" s="2265"/>
      <c r="O90" s="2263"/>
      <c r="P90" s="2263"/>
      <c r="Q90" s="2266"/>
      <c r="R90" s="175"/>
    </row>
    <row r="91" spans="1:22" ht="15.75" hidden="1" customHeight="1">
      <c r="A91" s="2239"/>
      <c r="B91" s="2239"/>
      <c r="C91" s="2288"/>
      <c r="D91" s="4360" t="s">
        <v>3185</v>
      </c>
      <c r="E91" s="4360"/>
      <c r="F91" s="3688"/>
      <c r="G91" s="3676"/>
      <c r="H91" s="2297"/>
      <c r="I91" s="3676"/>
      <c r="J91" s="3689"/>
      <c r="K91" s="3677"/>
      <c r="L91" s="2298"/>
      <c r="M91" s="3677"/>
      <c r="N91" s="2298"/>
      <c r="O91" s="4370">
        <f>SUM(K91:M91)</f>
        <v>0</v>
      </c>
      <c r="P91" s="4370"/>
      <c r="Q91" s="4370"/>
      <c r="R91" s="2541"/>
    </row>
    <row r="92" spans="1:22" ht="5.0999999999999996" hidden="1" customHeight="1">
      <c r="A92" s="2239"/>
      <c r="B92" s="2239"/>
      <c r="C92" s="2241"/>
      <c r="D92" s="2263"/>
      <c r="E92" s="2264"/>
      <c r="F92" s="2264"/>
      <c r="G92" s="2270"/>
      <c r="H92" s="2273"/>
      <c r="I92" s="2273"/>
      <c r="J92" s="2271"/>
      <c r="K92" s="2275"/>
      <c r="L92" s="2275"/>
      <c r="M92" s="2275"/>
      <c r="N92" s="2275"/>
      <c r="O92" s="2298"/>
      <c r="P92" s="2298"/>
      <c r="Q92" s="2298"/>
      <c r="R92" s="175"/>
    </row>
    <row r="93" spans="1:22" ht="15.75" hidden="1" customHeight="1">
      <c r="A93" s="2239"/>
      <c r="B93" s="2239"/>
      <c r="C93" s="2288"/>
      <c r="D93" s="4360" t="s">
        <v>617</v>
      </c>
      <c r="E93" s="4360"/>
      <c r="F93" s="3688"/>
      <c r="G93" s="3676"/>
      <c r="H93" s="2297"/>
      <c r="I93" s="3676"/>
      <c r="J93" s="3689"/>
      <c r="K93" s="3677"/>
      <c r="L93" s="2298"/>
      <c r="M93" s="3677"/>
      <c r="N93" s="2298"/>
      <c r="O93" s="4370">
        <f>SUM(K93:M93)</f>
        <v>0</v>
      </c>
      <c r="P93" s="4370"/>
      <c r="Q93" s="4370"/>
      <c r="R93" s="2541"/>
    </row>
    <row r="94" spans="1:22" ht="4.5" hidden="1" customHeight="1">
      <c r="A94" s="2239"/>
      <c r="B94" s="2239"/>
      <c r="C94" s="2241"/>
      <c r="D94" s="2263"/>
      <c r="E94" s="2264"/>
      <c r="F94" s="2264"/>
      <c r="G94" s="2270"/>
      <c r="H94" s="2273"/>
      <c r="I94" s="2273"/>
      <c r="J94" s="2271"/>
      <c r="K94" s="2275"/>
      <c r="L94" s="2275"/>
      <c r="M94" s="2275"/>
      <c r="N94" s="2275"/>
      <c r="O94" s="2298"/>
      <c r="P94" s="2298"/>
      <c r="Q94" s="2298"/>
      <c r="R94" s="175"/>
    </row>
    <row r="95" spans="1:22" ht="15.75" hidden="1" customHeight="1">
      <c r="A95" s="2239"/>
      <c r="B95" s="2239"/>
      <c r="C95" s="2288"/>
      <c r="D95" s="4360" t="s">
        <v>631</v>
      </c>
      <c r="E95" s="4360"/>
      <c r="F95" s="3688"/>
      <c r="G95" s="3676"/>
      <c r="H95" s="2297"/>
      <c r="I95" s="3676"/>
      <c r="J95" s="3689"/>
      <c r="K95" s="3677"/>
      <c r="L95" s="2298"/>
      <c r="M95" s="3677"/>
      <c r="N95" s="2298"/>
      <c r="O95" s="4370">
        <f>SUM(K95:M95)</f>
        <v>0</v>
      </c>
      <c r="P95" s="4370"/>
      <c r="Q95" s="4370"/>
      <c r="R95" s="2541"/>
    </row>
    <row r="96" spans="1:22" ht="4.5" hidden="1" customHeight="1">
      <c r="A96" s="2239"/>
      <c r="B96" s="2239"/>
      <c r="C96" s="2241"/>
      <c r="D96" s="2263"/>
      <c r="E96" s="2264"/>
      <c r="F96" s="2264"/>
      <c r="G96" s="2270"/>
      <c r="H96" s="2273"/>
      <c r="I96" s="2273"/>
      <c r="J96" s="2271"/>
      <c r="K96" s="2275"/>
      <c r="L96" s="2275"/>
      <c r="M96" s="2275"/>
      <c r="N96" s="2275"/>
      <c r="O96" s="2298"/>
      <c r="P96" s="2298"/>
      <c r="Q96" s="2298"/>
      <c r="R96" s="175"/>
    </row>
    <row r="97" spans="1:22" ht="15.75" hidden="1" customHeight="1">
      <c r="A97" s="2239"/>
      <c r="B97" s="2239"/>
      <c r="C97" s="2288"/>
      <c r="D97" s="4360" t="s">
        <v>345</v>
      </c>
      <c r="E97" s="4360"/>
      <c r="F97" s="3688"/>
      <c r="G97" s="3676"/>
      <c r="H97" s="2297"/>
      <c r="I97" s="3676"/>
      <c r="J97" s="3689"/>
      <c r="K97" s="3677"/>
      <c r="L97" s="2298"/>
      <c r="M97" s="3677"/>
      <c r="N97" s="2298"/>
      <c r="O97" s="4370">
        <f>SUM(K97:M97)</f>
        <v>0</v>
      </c>
      <c r="P97" s="4370"/>
      <c r="Q97" s="4370"/>
      <c r="R97" s="2541"/>
    </row>
    <row r="98" spans="1:22" ht="4.5" hidden="1" customHeight="1">
      <c r="A98" s="2239"/>
      <c r="B98" s="2239"/>
      <c r="C98" s="2239"/>
      <c r="D98" s="2281"/>
      <c r="E98" s="2239"/>
      <c r="F98" s="2239"/>
      <c r="G98" s="2239"/>
      <c r="H98" s="2278"/>
      <c r="I98" s="2242"/>
      <c r="J98" s="2242"/>
      <c r="K98" s="2283"/>
      <c r="L98" s="2283"/>
      <c r="M98" s="2283"/>
      <c r="N98" s="2283"/>
      <c r="O98" s="2299"/>
      <c r="P98" s="2299"/>
      <c r="Q98" s="2300"/>
      <c r="R98" s="1508"/>
    </row>
    <row r="99" spans="1:22" ht="13.5" hidden="1" thickBot="1">
      <c r="A99" s="2239"/>
      <c r="B99" s="2239"/>
      <c r="C99" s="2241" t="s">
        <v>3108</v>
      </c>
      <c r="D99" s="4367"/>
      <c r="E99" s="4367"/>
      <c r="F99" s="3682"/>
      <c r="G99" s="3682"/>
      <c r="H99" s="3682"/>
      <c r="I99" s="3679"/>
      <c r="J99" s="3679"/>
      <c r="K99" s="3683">
        <f>SUM(K91:K97)</f>
        <v>0</v>
      </c>
      <c r="L99" s="2283"/>
      <c r="M99" s="3683">
        <f>SUM(M91:M97)</f>
        <v>0</v>
      </c>
      <c r="N99" s="2283"/>
      <c r="O99" s="4368">
        <f>SUM(O91:Q98)</f>
        <v>0</v>
      </c>
      <c r="P99" s="4368"/>
      <c r="Q99" s="4368"/>
      <c r="R99" s="1495"/>
    </row>
    <row r="100" spans="1:22" ht="12.75" hidden="1" customHeight="1" thickTop="1">
      <c r="A100" s="2239"/>
      <c r="B100" s="2239"/>
      <c r="C100" s="2241"/>
      <c r="D100" s="2239"/>
      <c r="E100" s="2239"/>
      <c r="F100" s="2239"/>
      <c r="G100" s="2239"/>
      <c r="H100" s="2239"/>
      <c r="I100" s="2239"/>
      <c r="J100" s="2239"/>
      <c r="K100" s="2239"/>
      <c r="L100" s="2239"/>
      <c r="M100" s="2239"/>
      <c r="N100" s="2239"/>
      <c r="O100" s="2239"/>
      <c r="P100" s="2239"/>
      <c r="Q100" s="2239"/>
      <c r="R100" s="1486"/>
      <c r="S100" s="1486"/>
      <c r="T100" s="1486"/>
      <c r="U100" s="1486"/>
      <c r="V100" s="1486"/>
    </row>
    <row r="101" spans="1:22" hidden="1">
      <c r="A101" s="2239"/>
      <c r="B101" s="2239"/>
      <c r="C101" s="2239"/>
      <c r="D101" s="2239"/>
      <c r="E101" s="2239"/>
      <c r="F101" s="2239"/>
      <c r="G101" s="2239"/>
      <c r="H101" s="2239"/>
      <c r="I101" s="2239"/>
      <c r="J101" s="2239"/>
      <c r="K101" s="2239"/>
      <c r="L101" s="2239"/>
      <c r="M101" s="2239"/>
      <c r="N101" s="2239"/>
      <c r="O101" s="2239"/>
      <c r="P101" s="2239"/>
      <c r="Q101" s="2239"/>
    </row>
    <row r="102" spans="1:22" ht="12.75" hidden="1" customHeight="1">
      <c r="A102" s="2239"/>
      <c r="B102" s="2239"/>
      <c r="C102" s="2257" t="s">
        <v>3186</v>
      </c>
      <c r="D102" s="2252"/>
      <c r="E102" s="2252"/>
      <c r="F102" s="2252"/>
      <c r="G102" s="2252"/>
      <c r="H102" s="2252"/>
      <c r="I102" s="2249"/>
      <c r="J102" s="2249"/>
      <c r="K102" s="2249"/>
      <c r="L102" s="2249"/>
      <c r="M102" s="2249"/>
      <c r="N102" s="2249"/>
      <c r="O102" s="2258"/>
      <c r="P102" s="2258"/>
      <c r="Q102" s="2258"/>
    </row>
    <row r="103" spans="1:22" ht="15.75" hidden="1" customHeight="1">
      <c r="A103" s="2241" t="s">
        <v>3187</v>
      </c>
      <c r="B103" s="2241"/>
      <c r="C103" s="2239" t="s">
        <v>3188</v>
      </c>
      <c r="D103" s="2239"/>
      <c r="E103" s="2239"/>
      <c r="F103" s="2239"/>
      <c r="G103" s="2239"/>
      <c r="H103" s="2239"/>
      <c r="I103" s="2239"/>
      <c r="J103" s="2239"/>
      <c r="K103" s="2239"/>
      <c r="L103" s="2239"/>
      <c r="M103" s="2239"/>
      <c r="N103" s="2239"/>
      <c r="O103" s="2239"/>
      <c r="P103" s="2239"/>
      <c r="Q103" s="2239"/>
    </row>
    <row r="104" spans="1:22" ht="15.75" hidden="1" customHeight="1">
      <c r="A104" s="2239"/>
      <c r="B104" s="2239"/>
      <c r="C104" s="2239" t="s">
        <v>3189</v>
      </c>
      <c r="D104" s="2239"/>
      <c r="E104" s="2239"/>
      <c r="F104" s="2239"/>
      <c r="G104" s="2239"/>
      <c r="H104" s="2239"/>
      <c r="I104" s="2239"/>
      <c r="J104" s="2239"/>
      <c r="K104" s="2239"/>
      <c r="L104" s="2239"/>
      <c r="M104" s="2239"/>
      <c r="N104" s="2239"/>
      <c r="O104" s="2239"/>
      <c r="P104" s="2239"/>
      <c r="Q104" s="2239"/>
    </row>
    <row r="105" spans="1:22" ht="12.75" hidden="1" customHeight="1">
      <c r="A105" s="2239"/>
      <c r="B105" s="2239"/>
      <c r="C105" s="2239"/>
      <c r="D105" s="2239"/>
      <c r="E105" s="2239"/>
      <c r="F105" s="2239"/>
      <c r="G105" s="2239"/>
      <c r="H105" s="2239"/>
      <c r="I105" s="2239"/>
      <c r="J105" s="2239"/>
      <c r="K105" s="2239"/>
      <c r="L105" s="2239"/>
      <c r="M105" s="2239"/>
      <c r="N105" s="2239"/>
      <c r="O105" s="2239"/>
      <c r="P105" s="2239"/>
      <c r="Q105" s="2239"/>
    </row>
    <row r="106" spans="1:22" ht="12.75" hidden="1" customHeight="1">
      <c r="A106" s="2239"/>
      <c r="B106" s="2241" t="s">
        <v>3190</v>
      </c>
      <c r="C106" s="2301" t="s">
        <v>3191</v>
      </c>
      <c r="D106" s="2239"/>
      <c r="E106" s="2239"/>
      <c r="F106" s="2239"/>
      <c r="G106" s="2239"/>
      <c r="H106" s="2271"/>
      <c r="I106" s="2271"/>
      <c r="J106" s="2271"/>
      <c r="K106" s="2271"/>
      <c r="L106" s="2271"/>
      <c r="M106" s="2239"/>
      <c r="N106" s="2239"/>
      <c r="O106" s="2239"/>
      <c r="P106" s="2239"/>
      <c r="Q106" s="2239"/>
    </row>
    <row r="107" spans="1:22" ht="15.75" hidden="1" customHeight="1" thickBot="1">
      <c r="A107" s="2239"/>
      <c r="B107" s="2241"/>
      <c r="C107" s="2279"/>
      <c r="D107" s="2239"/>
      <c r="E107" s="2239"/>
      <c r="F107" s="2239"/>
      <c r="G107" s="4351" t="s">
        <v>3192</v>
      </c>
      <c r="H107" s="4351"/>
      <c r="I107" s="4351"/>
      <c r="J107" s="4351"/>
      <c r="K107" s="4351"/>
      <c r="L107" s="4351"/>
      <c r="M107" s="4351"/>
      <c r="N107" s="4351"/>
      <c r="O107" s="4351"/>
      <c r="P107" s="2247"/>
      <c r="Q107" s="2247"/>
    </row>
    <row r="108" spans="1:22" ht="27.75" hidden="1" customHeight="1" thickBot="1">
      <c r="A108" s="2239"/>
      <c r="B108" s="2239"/>
      <c r="C108" s="2241"/>
      <c r="D108" s="4351" t="s">
        <v>2775</v>
      </c>
      <c r="E108" s="4351"/>
      <c r="F108" s="3673"/>
      <c r="G108" s="3684" t="s">
        <v>3193</v>
      </c>
      <c r="H108" s="3687"/>
      <c r="I108" s="2295" t="s">
        <v>3194</v>
      </c>
      <c r="J108" s="3687"/>
      <c r="K108" s="2302" t="s">
        <v>3195</v>
      </c>
      <c r="L108" s="3687"/>
      <c r="M108" s="2302" t="s">
        <v>3196</v>
      </c>
      <c r="N108" s="3688"/>
      <c r="O108" s="2302" t="s">
        <v>3197</v>
      </c>
      <c r="P108" s="3688"/>
      <c r="Q108" s="3688"/>
    </row>
    <row r="109" spans="1:22" ht="5.0999999999999996" hidden="1" customHeight="1">
      <c r="A109" s="2239"/>
      <c r="B109" s="2239"/>
      <c r="C109" s="2241"/>
      <c r="D109" s="2263"/>
      <c r="E109" s="2264"/>
      <c r="F109" s="2264"/>
      <c r="G109" s="2264"/>
      <c r="H109" s="4369"/>
      <c r="I109" s="4369"/>
      <c r="J109" s="4369"/>
      <c r="K109" s="4369"/>
      <c r="L109" s="4369"/>
      <c r="M109" s="2265"/>
      <c r="N109" s="2265"/>
      <c r="O109" s="2266"/>
      <c r="P109" s="2266"/>
      <c r="Q109" s="2266"/>
    </row>
    <row r="110" spans="1:22" ht="15.75" hidden="1" customHeight="1">
      <c r="A110" s="2239"/>
      <c r="B110" s="2239"/>
      <c r="C110" s="2288"/>
      <c r="D110" s="4360" t="s">
        <v>3198</v>
      </c>
      <c r="E110" s="4360"/>
      <c r="F110" s="3688"/>
      <c r="G110" s="2303">
        <f>SUM(I110,K110,M110,O110)</f>
        <v>0</v>
      </c>
      <c r="H110" s="3685"/>
      <c r="I110" s="2304"/>
      <c r="J110" s="3685"/>
      <c r="K110" s="2304"/>
      <c r="L110" s="2305"/>
      <c r="M110" s="2304"/>
      <c r="N110" s="3685"/>
      <c r="O110" s="3677"/>
      <c r="P110" s="2280"/>
      <c r="Q110" s="2280"/>
    </row>
    <row r="111" spans="1:22" ht="4.5" hidden="1" customHeight="1">
      <c r="A111" s="2239"/>
      <c r="B111" s="2239"/>
      <c r="C111" s="2241"/>
      <c r="D111" s="2263"/>
      <c r="E111" s="2264"/>
      <c r="F111" s="2265"/>
      <c r="G111" s="2275"/>
      <c r="H111" s="2306"/>
      <c r="I111" s="4366"/>
      <c r="J111" s="4366"/>
      <c r="K111" s="4366"/>
      <c r="L111" s="2307"/>
      <c r="M111" s="2307"/>
      <c r="N111" s="2307"/>
      <c r="O111" s="2298"/>
      <c r="P111" s="2280"/>
      <c r="Q111" s="2280"/>
    </row>
    <row r="112" spans="1:22" ht="15.75" hidden="1" customHeight="1">
      <c r="A112" s="2239"/>
      <c r="B112" s="2239"/>
      <c r="C112" s="2288"/>
      <c r="D112" s="4360" t="s">
        <v>3185</v>
      </c>
      <c r="E112" s="4360"/>
      <c r="F112" s="3688"/>
      <c r="G112" s="2303">
        <f>SUM(I112,K112,M112,O112)</f>
        <v>0</v>
      </c>
      <c r="H112" s="3685"/>
      <c r="I112" s="2304"/>
      <c r="J112" s="3685"/>
      <c r="K112" s="2304"/>
      <c r="L112" s="2305"/>
      <c r="M112" s="2304"/>
      <c r="N112" s="3685"/>
      <c r="O112" s="3677"/>
      <c r="P112" s="2280"/>
      <c r="Q112" s="2280"/>
    </row>
    <row r="113" spans="1:17" ht="4.5" hidden="1" customHeight="1">
      <c r="A113" s="2239"/>
      <c r="B113" s="2239"/>
      <c r="C113" s="2241"/>
      <c r="D113" s="2263"/>
      <c r="E113" s="2264"/>
      <c r="F113" s="2265"/>
      <c r="G113" s="2275"/>
      <c r="H113" s="4366"/>
      <c r="I113" s="4366"/>
      <c r="J113" s="4366"/>
      <c r="K113" s="4366"/>
      <c r="L113" s="2307"/>
      <c r="M113" s="2307"/>
      <c r="N113" s="2307"/>
      <c r="O113" s="2298"/>
      <c r="P113" s="2280"/>
      <c r="Q113" s="2280"/>
    </row>
    <row r="114" spans="1:17" ht="15.75" hidden="1" customHeight="1">
      <c r="A114" s="2239"/>
      <c r="B114" s="2239"/>
      <c r="C114" s="2288"/>
      <c r="D114" s="4353" t="s">
        <v>617</v>
      </c>
      <c r="E114" s="4353"/>
      <c r="F114" s="3688"/>
      <c r="G114" s="2303">
        <f>SUM(I114,K114,M114,O114)</f>
        <v>0</v>
      </c>
      <c r="H114" s="3685"/>
      <c r="I114" s="2304"/>
      <c r="J114" s="3685"/>
      <c r="K114" s="2304"/>
      <c r="L114" s="2305"/>
      <c r="M114" s="2304"/>
      <c r="N114" s="3685"/>
      <c r="O114" s="3677"/>
      <c r="P114" s="2280"/>
      <c r="Q114" s="2280"/>
    </row>
    <row r="115" spans="1:17" ht="4.5" hidden="1" customHeight="1">
      <c r="A115" s="2239"/>
      <c r="B115" s="2239"/>
      <c r="C115" s="2308"/>
      <c r="D115" s="2308"/>
      <c r="E115" s="2308"/>
      <c r="F115" s="2308"/>
      <c r="G115" s="2309"/>
      <c r="H115" s="2309"/>
      <c r="I115" s="2309"/>
      <c r="J115" s="2309"/>
      <c r="K115" s="2309"/>
      <c r="L115" s="2309"/>
      <c r="M115" s="2309"/>
      <c r="N115" s="2309"/>
      <c r="O115" s="2309"/>
      <c r="P115" s="2280"/>
      <c r="Q115" s="2280"/>
    </row>
    <row r="116" spans="1:17" ht="15.75" hidden="1" customHeight="1">
      <c r="A116" s="2239"/>
      <c r="B116" s="2239"/>
      <c r="C116" s="2288"/>
      <c r="D116" s="4353" t="s">
        <v>631</v>
      </c>
      <c r="E116" s="4353"/>
      <c r="F116" s="3688"/>
      <c r="G116" s="2303">
        <f>SUM(I116,K116,M116,O116)</f>
        <v>0</v>
      </c>
      <c r="H116" s="3685"/>
      <c r="I116" s="2304"/>
      <c r="J116" s="3685"/>
      <c r="K116" s="2304"/>
      <c r="L116" s="2305"/>
      <c r="M116" s="2304"/>
      <c r="N116" s="3685"/>
      <c r="O116" s="3677"/>
      <c r="P116" s="2280"/>
      <c r="Q116" s="2280"/>
    </row>
    <row r="117" spans="1:17" ht="15.75" hidden="1" customHeight="1" thickBot="1">
      <c r="A117" s="2239"/>
      <c r="B117" s="2239"/>
      <c r="C117" s="2239"/>
      <c r="D117" s="2281"/>
      <c r="E117" s="2239"/>
      <c r="F117" s="2278"/>
      <c r="G117" s="2310">
        <f>SUM(G110:G116)</f>
        <v>0</v>
      </c>
      <c r="H117" s="2281"/>
      <c r="I117" s="2242"/>
      <c r="J117" s="2242"/>
      <c r="K117" s="2242"/>
      <c r="L117" s="2242"/>
      <c r="M117" s="2242"/>
      <c r="N117" s="2242"/>
      <c r="O117" s="3680"/>
      <c r="P117" s="3680"/>
      <c r="Q117" s="2280"/>
    </row>
    <row r="118" spans="1:17" ht="13.5" hidden="1" customHeight="1" thickTop="1">
      <c r="A118" s="2239"/>
      <c r="B118" s="2239"/>
      <c r="C118" s="2241"/>
      <c r="D118" s="3682"/>
      <c r="E118" s="2242"/>
      <c r="F118" s="3682"/>
      <c r="G118" s="3682"/>
      <c r="H118" s="4341"/>
      <c r="I118" s="4341"/>
      <c r="J118" s="4341"/>
      <c r="K118" s="4341"/>
      <c r="L118" s="4341"/>
      <c r="M118" s="3682"/>
      <c r="N118" s="3682"/>
      <c r="O118" s="4365"/>
      <c r="P118" s="4365"/>
      <c r="Q118" s="4365"/>
    </row>
    <row r="119" spans="1:17" ht="12.75" hidden="1" customHeight="1">
      <c r="A119" s="2239"/>
      <c r="B119" s="2241" t="s">
        <v>3199</v>
      </c>
      <c r="C119" s="2301" t="s">
        <v>3200</v>
      </c>
      <c r="D119" s="2239"/>
      <c r="E119" s="2239"/>
      <c r="F119" s="2239"/>
      <c r="G119" s="2239"/>
      <c r="H119" s="2239"/>
      <c r="I119" s="2239"/>
      <c r="J119" s="2239"/>
      <c r="K119" s="2239"/>
      <c r="L119" s="2239"/>
      <c r="M119" s="2239"/>
      <c r="N119" s="2239"/>
      <c r="O119" s="2277"/>
      <c r="P119" s="2277"/>
      <c r="Q119" s="2277"/>
    </row>
    <row r="120" spans="1:17" ht="15.75" hidden="1" customHeight="1" thickBot="1">
      <c r="A120" s="2239"/>
      <c r="B120" s="2239"/>
      <c r="C120" s="2241"/>
      <c r="D120" s="4351" t="s">
        <v>2775</v>
      </c>
      <c r="E120" s="4351"/>
      <c r="F120" s="3673"/>
      <c r="G120" s="3673"/>
      <c r="H120" s="4352" t="s">
        <v>3201</v>
      </c>
      <c r="I120" s="4352"/>
      <c r="J120" s="4352"/>
      <c r="K120" s="4352"/>
      <c r="L120" s="4352"/>
      <c r="M120" s="3688"/>
      <c r="N120" s="3688"/>
      <c r="O120" s="4362" t="s">
        <v>3163</v>
      </c>
      <c r="P120" s="4362"/>
      <c r="Q120" s="4362"/>
    </row>
    <row r="121" spans="1:17" ht="5.25" hidden="1" customHeight="1">
      <c r="A121" s="2239"/>
      <c r="B121" s="2239"/>
      <c r="C121" s="2241"/>
      <c r="D121" s="2263"/>
      <c r="E121" s="2264"/>
      <c r="F121" s="2264"/>
      <c r="G121" s="2264"/>
      <c r="H121" s="4350"/>
      <c r="I121" s="4350"/>
      <c r="J121" s="4350"/>
      <c r="K121" s="4350"/>
      <c r="L121" s="4350"/>
      <c r="M121" s="2265"/>
      <c r="N121" s="2265"/>
      <c r="O121" s="2311"/>
      <c r="P121" s="2311"/>
      <c r="Q121" s="2280"/>
    </row>
    <row r="122" spans="1:17" ht="15.75" hidden="1" customHeight="1">
      <c r="A122" s="2239"/>
      <c r="B122" s="2239"/>
      <c r="C122" s="2288"/>
      <c r="D122" s="4360" t="s">
        <v>3198</v>
      </c>
      <c r="E122" s="4360"/>
      <c r="F122" s="4346"/>
      <c r="G122" s="4346"/>
      <c r="H122" s="4347"/>
      <c r="I122" s="4347"/>
      <c r="J122" s="4347"/>
      <c r="K122" s="4347"/>
      <c r="L122" s="4347"/>
      <c r="M122" s="4355"/>
      <c r="N122" s="4355"/>
      <c r="O122" s="4348"/>
      <c r="P122" s="4348"/>
      <c r="Q122" s="4348"/>
    </row>
    <row r="123" spans="1:17" ht="5.25" hidden="1" customHeight="1">
      <c r="A123" s="2239"/>
      <c r="B123" s="2239"/>
      <c r="C123" s="2241"/>
      <c r="D123" s="2263"/>
      <c r="E123" s="2264"/>
      <c r="F123" s="2265"/>
      <c r="G123" s="2265"/>
      <c r="H123" s="2269"/>
      <c r="I123" s="4349"/>
      <c r="J123" s="4349"/>
      <c r="K123" s="4349"/>
      <c r="L123" s="2273"/>
      <c r="M123" s="2271"/>
      <c r="N123" s="2271"/>
      <c r="O123" s="2274"/>
      <c r="P123" s="2274"/>
      <c r="Q123" s="2298"/>
    </row>
    <row r="124" spans="1:17" ht="15.75" hidden="1" customHeight="1">
      <c r="A124" s="2239"/>
      <c r="B124" s="2239"/>
      <c r="C124" s="2288"/>
      <c r="D124" s="4360" t="s">
        <v>3185</v>
      </c>
      <c r="E124" s="4360"/>
      <c r="F124" s="4346"/>
      <c r="G124" s="4346"/>
      <c r="H124" s="4347"/>
      <c r="I124" s="4347"/>
      <c r="J124" s="4347"/>
      <c r="K124" s="4347"/>
      <c r="L124" s="4347"/>
      <c r="M124" s="4355"/>
      <c r="N124" s="4355"/>
      <c r="O124" s="4348"/>
      <c r="P124" s="4348"/>
      <c r="Q124" s="4348"/>
    </row>
    <row r="125" spans="1:17" ht="5.25" hidden="1" customHeight="1">
      <c r="A125" s="2239"/>
      <c r="B125" s="2239"/>
      <c r="C125" s="2241"/>
      <c r="D125" s="2263"/>
      <c r="E125" s="2264"/>
      <c r="F125" s="2265"/>
      <c r="G125" s="2265"/>
      <c r="H125" s="4344"/>
      <c r="I125" s="4344"/>
      <c r="J125" s="4344"/>
      <c r="K125" s="4344"/>
      <c r="L125" s="2273"/>
      <c r="M125" s="2271"/>
      <c r="N125" s="2271"/>
      <c r="O125" s="2274"/>
      <c r="P125" s="2274"/>
      <c r="Q125" s="2298"/>
    </row>
    <row r="126" spans="1:17" ht="15.75" hidden="1" customHeight="1">
      <c r="A126" s="2239"/>
      <c r="B126" s="2239"/>
      <c r="C126" s="2288"/>
      <c r="D126" s="4353" t="s">
        <v>617</v>
      </c>
      <c r="E126" s="4353"/>
      <c r="F126" s="4346"/>
      <c r="G126" s="4346"/>
      <c r="H126" s="4347"/>
      <c r="I126" s="4347"/>
      <c r="J126" s="4347"/>
      <c r="K126" s="4347"/>
      <c r="L126" s="4347"/>
      <c r="M126" s="4355"/>
      <c r="N126" s="4355"/>
      <c r="O126" s="4348"/>
      <c r="P126" s="4348"/>
      <c r="Q126" s="4348"/>
    </row>
    <row r="127" spans="1:17" ht="4.5" hidden="1" customHeight="1">
      <c r="A127" s="2239"/>
      <c r="B127" s="2239"/>
      <c r="C127" s="2239"/>
      <c r="D127" s="2308"/>
      <c r="E127" s="2308"/>
      <c r="F127" s="2278"/>
      <c r="G127" s="2278"/>
      <c r="H127" s="2312"/>
      <c r="I127" s="2313"/>
      <c r="J127" s="2313"/>
      <c r="K127" s="2313"/>
      <c r="L127" s="2313"/>
      <c r="M127" s="2314"/>
      <c r="N127" s="2314"/>
      <c r="O127" s="2276"/>
      <c r="P127" s="2276"/>
      <c r="Q127" s="2298"/>
    </row>
    <row r="128" spans="1:17" ht="15.75" hidden="1" customHeight="1">
      <c r="A128" s="2239"/>
      <c r="B128" s="2239"/>
      <c r="C128" s="2288"/>
      <c r="D128" s="4353" t="s">
        <v>631</v>
      </c>
      <c r="E128" s="4353"/>
      <c r="F128" s="4346"/>
      <c r="G128" s="4346"/>
      <c r="H128" s="4363"/>
      <c r="I128" s="4363"/>
      <c r="J128" s="4363"/>
      <c r="K128" s="4363"/>
      <c r="L128" s="4363"/>
      <c r="M128" s="4346"/>
      <c r="N128" s="4346"/>
      <c r="O128" s="4364"/>
      <c r="P128" s="4364"/>
      <c r="Q128" s="4364"/>
    </row>
    <row r="129" spans="1:17" ht="15.75" hidden="1" customHeight="1" thickBot="1">
      <c r="A129" s="2239"/>
      <c r="B129" s="2239"/>
      <c r="C129" s="2241" t="s">
        <v>3108</v>
      </c>
      <c r="D129" s="3682"/>
      <c r="E129" s="2242"/>
      <c r="F129" s="3682"/>
      <c r="G129" s="3682"/>
      <c r="H129" s="4356"/>
      <c r="I129" s="4356"/>
      <c r="J129" s="4356"/>
      <c r="K129" s="4356"/>
      <c r="L129" s="4356"/>
      <c r="M129" s="3682"/>
      <c r="N129" s="3682"/>
      <c r="O129" s="4361">
        <f>SUM(O122:Q128)</f>
        <v>0</v>
      </c>
      <c r="P129" s="4361"/>
      <c r="Q129" s="4361"/>
    </row>
    <row r="130" spans="1:17" ht="15.75" hidden="1" customHeight="1" thickTop="1">
      <c r="A130" s="2239"/>
      <c r="B130" s="2239"/>
      <c r="C130" s="2241"/>
      <c r="D130" s="3682"/>
      <c r="E130" s="2242"/>
      <c r="F130" s="3682"/>
      <c r="G130" s="3682"/>
      <c r="H130" s="3686"/>
      <c r="I130" s="3686"/>
      <c r="J130" s="3686"/>
      <c r="K130" s="3686"/>
      <c r="L130" s="3686"/>
      <c r="M130" s="3682"/>
      <c r="N130" s="3682"/>
      <c r="O130" s="3680"/>
      <c r="P130" s="3680"/>
      <c r="Q130" s="3680"/>
    </row>
    <row r="131" spans="1:17" ht="12.75" hidden="1" customHeight="1">
      <c r="A131" s="2239"/>
      <c r="B131" s="2241" t="s">
        <v>3202</v>
      </c>
      <c r="C131" s="2301" t="s">
        <v>3203</v>
      </c>
      <c r="D131" s="2239"/>
      <c r="E131" s="2239"/>
      <c r="F131" s="2239"/>
      <c r="G131" s="2239"/>
      <c r="H131" s="2239"/>
      <c r="I131" s="2239"/>
      <c r="J131" s="2239"/>
      <c r="K131" s="2239"/>
      <c r="L131" s="2239"/>
      <c r="M131" s="2239"/>
      <c r="N131" s="2239"/>
      <c r="O131" s="2277"/>
      <c r="P131" s="2277"/>
      <c r="Q131" s="2277"/>
    </row>
    <row r="132" spans="1:17" ht="15.75" hidden="1" customHeight="1" thickBot="1">
      <c r="A132" s="2239"/>
      <c r="B132" s="2239"/>
      <c r="C132" s="2241"/>
      <c r="D132" s="4351" t="s">
        <v>2775</v>
      </c>
      <c r="E132" s="4351"/>
      <c r="F132" s="3673"/>
      <c r="G132" s="3673"/>
      <c r="H132" s="4352" t="s">
        <v>3204</v>
      </c>
      <c r="I132" s="4352"/>
      <c r="J132" s="4352"/>
      <c r="K132" s="4352"/>
      <c r="L132" s="4352"/>
      <c r="M132" s="3688"/>
      <c r="N132" s="3688"/>
      <c r="O132" s="4362" t="s">
        <v>3163</v>
      </c>
      <c r="P132" s="4362"/>
      <c r="Q132" s="4362"/>
    </row>
    <row r="133" spans="1:17" ht="5.25" hidden="1" customHeight="1">
      <c r="A133" s="2239"/>
      <c r="B133" s="2239"/>
      <c r="C133" s="2241"/>
      <c r="D133" s="2263"/>
      <c r="E133" s="2264"/>
      <c r="F133" s="2264"/>
      <c r="G133" s="2264"/>
      <c r="H133" s="4350"/>
      <c r="I133" s="4350"/>
      <c r="J133" s="4350"/>
      <c r="K133" s="4350"/>
      <c r="L133" s="4350"/>
      <c r="M133" s="2265"/>
      <c r="N133" s="2265"/>
      <c r="O133" s="2311"/>
      <c r="P133" s="2311"/>
      <c r="Q133" s="2280"/>
    </row>
    <row r="134" spans="1:17" ht="15.75" hidden="1" customHeight="1">
      <c r="A134" s="2239"/>
      <c r="B134" s="2239"/>
      <c r="C134" s="2288"/>
      <c r="D134" s="4360" t="s">
        <v>3198</v>
      </c>
      <c r="E134" s="4360"/>
      <c r="F134" s="4346"/>
      <c r="G134" s="4346"/>
      <c r="H134" s="4354"/>
      <c r="I134" s="4354"/>
      <c r="J134" s="4354"/>
      <c r="K134" s="4354"/>
      <c r="L134" s="4354"/>
      <c r="M134" s="4355"/>
      <c r="N134" s="4355"/>
      <c r="O134" s="4348"/>
      <c r="P134" s="4348"/>
      <c r="Q134" s="4348"/>
    </row>
    <row r="135" spans="1:17" ht="5.25" hidden="1" customHeight="1">
      <c r="A135" s="2239"/>
      <c r="B135" s="2239"/>
      <c r="C135" s="2241"/>
      <c r="D135" s="2263"/>
      <c r="E135" s="2264"/>
      <c r="F135" s="2265"/>
      <c r="G135" s="2265"/>
      <c r="H135" s="2245"/>
      <c r="I135" s="4359"/>
      <c r="J135" s="4359"/>
      <c r="K135" s="4359"/>
      <c r="L135" s="2271"/>
      <c r="M135" s="2271"/>
      <c r="N135" s="2271"/>
      <c r="O135" s="2274"/>
      <c r="P135" s="2274"/>
      <c r="Q135" s="2298"/>
    </row>
    <row r="136" spans="1:17" ht="15.75" hidden="1" customHeight="1">
      <c r="A136" s="2239"/>
      <c r="B136" s="2239"/>
      <c r="C136" s="2288"/>
      <c r="D136" s="4360" t="s">
        <v>3185</v>
      </c>
      <c r="E136" s="4360"/>
      <c r="F136" s="4346"/>
      <c r="G136" s="4346"/>
      <c r="H136" s="4354"/>
      <c r="I136" s="4354"/>
      <c r="J136" s="4354"/>
      <c r="K136" s="4354"/>
      <c r="L136" s="4354"/>
      <c r="M136" s="4355"/>
      <c r="N136" s="4355"/>
      <c r="O136" s="4348"/>
      <c r="P136" s="4348"/>
      <c r="Q136" s="4348"/>
    </row>
    <row r="137" spans="1:17" ht="5.25" hidden="1" customHeight="1">
      <c r="A137" s="2239"/>
      <c r="B137" s="2239"/>
      <c r="C137" s="2241"/>
      <c r="D137" s="2263"/>
      <c r="E137" s="2264"/>
      <c r="F137" s="2265"/>
      <c r="G137" s="2265"/>
      <c r="H137" s="4358"/>
      <c r="I137" s="4358"/>
      <c r="J137" s="4358"/>
      <c r="K137" s="4358"/>
      <c r="L137" s="2271"/>
      <c r="M137" s="2271"/>
      <c r="N137" s="2271"/>
      <c r="O137" s="2274"/>
      <c r="P137" s="2274"/>
      <c r="Q137" s="2298"/>
    </row>
    <row r="138" spans="1:17" ht="15.75" hidden="1" customHeight="1">
      <c r="A138" s="2239"/>
      <c r="B138" s="2239"/>
      <c r="C138" s="2288"/>
      <c r="D138" s="4353" t="s">
        <v>617</v>
      </c>
      <c r="E138" s="4353"/>
      <c r="F138" s="4346"/>
      <c r="G138" s="4346"/>
      <c r="H138" s="4354"/>
      <c r="I138" s="4354"/>
      <c r="J138" s="4354"/>
      <c r="K138" s="4354"/>
      <c r="L138" s="4354"/>
      <c r="M138" s="4355"/>
      <c r="N138" s="4355"/>
      <c r="O138" s="4348"/>
      <c r="P138" s="4348"/>
      <c r="Q138" s="4348"/>
    </row>
    <row r="139" spans="1:17" ht="4.5" hidden="1" customHeight="1">
      <c r="A139" s="2239"/>
      <c r="B139" s="2239"/>
      <c r="C139" s="2239"/>
      <c r="D139" s="2308"/>
      <c r="E139" s="2308"/>
      <c r="F139" s="2278"/>
      <c r="G139" s="2278"/>
      <c r="H139" s="2315"/>
      <c r="I139" s="2314"/>
      <c r="J139" s="2314"/>
      <c r="K139" s="2314"/>
      <c r="L139" s="2314"/>
      <c r="M139" s="2314"/>
      <c r="N139" s="2314"/>
      <c r="O139" s="2276"/>
      <c r="P139" s="2276"/>
      <c r="Q139" s="2298"/>
    </row>
    <row r="140" spans="1:17" ht="15.75" hidden="1" customHeight="1">
      <c r="A140" s="2239"/>
      <c r="B140" s="2239"/>
      <c r="C140" s="2288"/>
      <c r="D140" s="4353" t="s">
        <v>631</v>
      </c>
      <c r="E140" s="4353"/>
      <c r="F140" s="4346"/>
      <c r="G140" s="4346"/>
      <c r="H140" s="4354"/>
      <c r="I140" s="4354"/>
      <c r="J140" s="4354"/>
      <c r="K140" s="4354"/>
      <c r="L140" s="4354"/>
      <c r="M140" s="4355"/>
      <c r="N140" s="4355"/>
      <c r="O140" s="4348"/>
      <c r="P140" s="4348"/>
      <c r="Q140" s="4348"/>
    </row>
    <row r="141" spans="1:17" ht="15.75" hidden="1" customHeight="1" thickBot="1">
      <c r="A141" s="2239"/>
      <c r="B141" s="2239"/>
      <c r="C141" s="2241" t="s">
        <v>3108</v>
      </c>
      <c r="D141" s="3682"/>
      <c r="E141" s="2242"/>
      <c r="F141" s="3682"/>
      <c r="G141" s="3682"/>
      <c r="H141" s="4356"/>
      <c r="I141" s="4356"/>
      <c r="J141" s="4356"/>
      <c r="K141" s="4356"/>
      <c r="L141" s="4356"/>
      <c r="M141" s="3682"/>
      <c r="N141" s="3682"/>
      <c r="O141" s="4361">
        <f>SUM(O134:Q140)</f>
        <v>0</v>
      </c>
      <c r="P141" s="4361"/>
      <c r="Q141" s="4361"/>
    </row>
    <row r="142" spans="1:17" ht="15.75" hidden="1" customHeight="1" thickTop="1">
      <c r="A142" s="2239"/>
      <c r="B142" s="2239"/>
      <c r="C142" s="2241"/>
      <c r="D142" s="3682"/>
      <c r="E142" s="2242"/>
      <c r="F142" s="3682"/>
      <c r="G142" s="3682"/>
      <c r="H142" s="3686"/>
      <c r="I142" s="3686"/>
      <c r="J142" s="3686"/>
      <c r="K142" s="3686"/>
      <c r="L142" s="3686"/>
      <c r="M142" s="3682"/>
      <c r="N142" s="3682"/>
      <c r="O142" s="3680"/>
      <c r="P142" s="3680"/>
      <c r="Q142" s="3680"/>
    </row>
    <row r="143" spans="1:17" ht="12.75" hidden="1" customHeight="1">
      <c r="A143" s="2239"/>
      <c r="B143" s="2241" t="s">
        <v>3205</v>
      </c>
      <c r="C143" s="2301" t="s">
        <v>3206</v>
      </c>
      <c r="D143" s="2239"/>
      <c r="E143" s="2239"/>
      <c r="F143" s="2239"/>
      <c r="G143" s="2239"/>
      <c r="H143" s="2239"/>
      <c r="I143" s="2239"/>
      <c r="J143" s="2239"/>
      <c r="K143" s="2239"/>
      <c r="L143" s="2239"/>
      <c r="M143" s="2239"/>
      <c r="N143" s="2239"/>
      <c r="O143" s="2239"/>
      <c r="P143" s="2239"/>
      <c r="Q143" s="2239"/>
    </row>
    <row r="144" spans="1:17" ht="15.75" hidden="1" customHeight="1" thickBot="1">
      <c r="A144" s="2239"/>
      <c r="B144" s="2239"/>
      <c r="C144" s="2241"/>
      <c r="D144" s="4351" t="s">
        <v>2775</v>
      </c>
      <c r="E144" s="4351"/>
      <c r="F144" s="3673"/>
      <c r="G144" s="3673"/>
      <c r="H144" s="4352" t="s">
        <v>3207</v>
      </c>
      <c r="I144" s="4352"/>
      <c r="J144" s="4352"/>
      <c r="K144" s="4352"/>
      <c r="L144" s="4352"/>
      <c r="M144" s="3688"/>
      <c r="N144" s="3688"/>
      <c r="O144" s="4351" t="s">
        <v>3163</v>
      </c>
      <c r="P144" s="4351"/>
      <c r="Q144" s="4351"/>
    </row>
    <row r="145" spans="1:22" ht="5.25" hidden="1" customHeight="1">
      <c r="A145" s="2239"/>
      <c r="B145" s="2239"/>
      <c r="C145" s="2241"/>
      <c r="D145" s="2263"/>
      <c r="E145" s="2264"/>
      <c r="F145" s="2264"/>
      <c r="G145" s="2264"/>
      <c r="H145" s="4350"/>
      <c r="I145" s="4350"/>
      <c r="J145" s="4350"/>
      <c r="K145" s="4350"/>
      <c r="L145" s="4350"/>
      <c r="M145" s="2265"/>
      <c r="N145" s="2265"/>
      <c r="O145" s="2263"/>
      <c r="P145" s="2263"/>
      <c r="Q145" s="2266"/>
    </row>
    <row r="146" spans="1:22" ht="15.75" hidden="1" customHeight="1">
      <c r="A146" s="2239"/>
      <c r="B146" s="2239"/>
      <c r="C146" s="2288"/>
      <c r="D146" s="4360" t="s">
        <v>3198</v>
      </c>
      <c r="E146" s="4360"/>
      <c r="F146" s="4346"/>
      <c r="G146" s="4346"/>
      <c r="H146" s="4354"/>
      <c r="I146" s="4354"/>
      <c r="J146" s="4354"/>
      <c r="K146" s="4354"/>
      <c r="L146" s="4354"/>
      <c r="M146" s="4355"/>
      <c r="N146" s="4355"/>
      <c r="O146" s="4348"/>
      <c r="P146" s="4348"/>
      <c r="Q146" s="4348"/>
    </row>
    <row r="147" spans="1:22" ht="5.25" hidden="1" customHeight="1">
      <c r="A147" s="2239"/>
      <c r="B147" s="2239"/>
      <c r="C147" s="2241"/>
      <c r="D147" s="2263"/>
      <c r="E147" s="2264"/>
      <c r="F147" s="2265"/>
      <c r="G147" s="2265"/>
      <c r="H147" s="2245"/>
      <c r="I147" s="4359"/>
      <c r="J147" s="4359"/>
      <c r="K147" s="4359"/>
      <c r="L147" s="2271"/>
      <c r="M147" s="2271"/>
      <c r="N147" s="2271"/>
      <c r="O147" s="2274"/>
      <c r="P147" s="2274"/>
      <c r="Q147" s="2298"/>
    </row>
    <row r="148" spans="1:22" ht="15.75" hidden="1" customHeight="1">
      <c r="A148" s="2239"/>
      <c r="B148" s="2239"/>
      <c r="C148" s="2288"/>
      <c r="D148" s="4360" t="s">
        <v>3185</v>
      </c>
      <c r="E148" s="4360"/>
      <c r="F148" s="4346"/>
      <c r="G148" s="4346"/>
      <c r="H148" s="4354"/>
      <c r="I148" s="4354"/>
      <c r="J148" s="4354"/>
      <c r="K148" s="4354"/>
      <c r="L148" s="4354"/>
      <c r="M148" s="4355"/>
      <c r="N148" s="4355"/>
      <c r="O148" s="4348"/>
      <c r="P148" s="4348"/>
      <c r="Q148" s="4348"/>
    </row>
    <row r="149" spans="1:22" ht="5.25" hidden="1" customHeight="1">
      <c r="A149" s="2239"/>
      <c r="B149" s="2239"/>
      <c r="C149" s="2241"/>
      <c r="D149" s="2263"/>
      <c r="E149" s="2264"/>
      <c r="F149" s="2265"/>
      <c r="G149" s="2265"/>
      <c r="H149" s="4358"/>
      <c r="I149" s="4358"/>
      <c r="J149" s="4358"/>
      <c r="K149" s="4358"/>
      <c r="L149" s="2271"/>
      <c r="M149" s="2271"/>
      <c r="N149" s="2271"/>
      <c r="O149" s="2274"/>
      <c r="P149" s="2274"/>
      <c r="Q149" s="2298"/>
    </row>
    <row r="150" spans="1:22" ht="15.75" hidden="1" customHeight="1">
      <c r="A150" s="2239"/>
      <c r="B150" s="2239"/>
      <c r="C150" s="2288"/>
      <c r="D150" s="4353" t="s">
        <v>617</v>
      </c>
      <c r="E150" s="4353"/>
      <c r="F150" s="4346"/>
      <c r="G150" s="4346"/>
      <c r="H150" s="4354"/>
      <c r="I150" s="4354"/>
      <c r="J150" s="4354"/>
      <c r="K150" s="4354"/>
      <c r="L150" s="4354"/>
      <c r="M150" s="4355"/>
      <c r="N150" s="4355"/>
      <c r="O150" s="4348"/>
      <c r="P150" s="4348"/>
      <c r="Q150" s="4348"/>
    </row>
    <row r="151" spans="1:22" ht="4.5" hidden="1" customHeight="1">
      <c r="A151" s="2239"/>
      <c r="B151" s="2239"/>
      <c r="C151" s="2239"/>
      <c r="D151" s="2308"/>
      <c r="E151" s="2308"/>
      <c r="F151" s="2278"/>
      <c r="G151" s="2278"/>
      <c r="H151" s="2315"/>
      <c r="I151" s="2314"/>
      <c r="J151" s="2314"/>
      <c r="K151" s="2314"/>
      <c r="L151" s="2314"/>
      <c r="M151" s="2314"/>
      <c r="N151" s="2314"/>
      <c r="O151" s="2276"/>
      <c r="P151" s="2276"/>
      <c r="Q151" s="2298"/>
    </row>
    <row r="152" spans="1:22" ht="15.75" hidden="1" customHeight="1">
      <c r="A152" s="2239"/>
      <c r="B152" s="2239"/>
      <c r="C152" s="2288"/>
      <c r="D152" s="4353" t="s">
        <v>631</v>
      </c>
      <c r="E152" s="4353"/>
      <c r="F152" s="4346"/>
      <c r="G152" s="4346"/>
      <c r="H152" s="4354"/>
      <c r="I152" s="4354"/>
      <c r="J152" s="4354"/>
      <c r="K152" s="4354"/>
      <c r="L152" s="4354"/>
      <c r="M152" s="4355"/>
      <c r="N152" s="4355"/>
      <c r="O152" s="4348"/>
      <c r="P152" s="4348"/>
      <c r="Q152" s="4348"/>
    </row>
    <row r="153" spans="1:22" ht="15.75" hidden="1" customHeight="1" thickBot="1">
      <c r="A153" s="2239"/>
      <c r="B153" s="2239"/>
      <c r="C153" s="2241" t="s">
        <v>3108</v>
      </c>
      <c r="D153" s="3682"/>
      <c r="E153" s="2242"/>
      <c r="F153" s="3682"/>
      <c r="G153" s="3682"/>
      <c r="H153" s="4356"/>
      <c r="I153" s="4356"/>
      <c r="J153" s="4356"/>
      <c r="K153" s="4356"/>
      <c r="L153" s="4356"/>
      <c r="M153" s="3682"/>
      <c r="N153" s="3682"/>
      <c r="O153" s="4357">
        <f>SUM(O146:Q152)</f>
        <v>0</v>
      </c>
      <c r="P153" s="4357"/>
      <c r="Q153" s="4357"/>
    </row>
    <row r="154" spans="1:22" ht="12" hidden="1" customHeight="1" thickTop="1">
      <c r="A154" s="2239"/>
      <c r="B154" s="2239"/>
      <c r="C154" s="2239"/>
      <c r="D154" s="2239"/>
      <c r="E154" s="2239"/>
      <c r="F154" s="2239"/>
      <c r="G154" s="2239"/>
      <c r="H154" s="2239"/>
      <c r="I154" s="2239"/>
      <c r="J154" s="2239"/>
      <c r="K154" s="2239"/>
      <c r="L154" s="2239"/>
      <c r="M154" s="2239"/>
      <c r="N154" s="2239"/>
      <c r="O154" s="2239"/>
      <c r="P154" s="2239"/>
      <c r="Q154" s="2239"/>
    </row>
    <row r="155" spans="1:22" ht="15.75" hidden="1" customHeight="1">
      <c r="A155" s="2241" t="s">
        <v>3208</v>
      </c>
      <c r="B155" s="2239"/>
      <c r="C155" s="2239" t="s">
        <v>3209</v>
      </c>
      <c r="D155" s="2239"/>
      <c r="E155" s="2239"/>
      <c r="F155" s="2239"/>
      <c r="G155" s="2239"/>
      <c r="H155" s="2239"/>
      <c r="I155" s="2239"/>
      <c r="J155" s="2239"/>
      <c r="K155" s="2239"/>
      <c r="L155" s="2239"/>
      <c r="M155" s="2239"/>
      <c r="N155" s="2239"/>
      <c r="O155" s="2239"/>
      <c r="P155" s="2239"/>
      <c r="Q155" s="2239"/>
    </row>
    <row r="156" spans="1:22" ht="15.75" hidden="1" customHeight="1">
      <c r="A156" s="2239"/>
      <c r="B156" s="2239"/>
      <c r="C156" s="2239" t="s">
        <v>3210</v>
      </c>
      <c r="D156" s="2239"/>
      <c r="E156" s="2239"/>
      <c r="F156" s="2239"/>
      <c r="G156" s="2239"/>
      <c r="H156" s="2239"/>
      <c r="I156" s="2239"/>
      <c r="J156" s="2239"/>
      <c r="K156" s="2239"/>
      <c r="L156" s="2239"/>
      <c r="M156" s="2239"/>
      <c r="N156" s="2239"/>
      <c r="O156" s="2239"/>
      <c r="P156" s="2239"/>
      <c r="Q156" s="2239"/>
    </row>
    <row r="157" spans="1:22" ht="4.5" hidden="1" customHeight="1">
      <c r="A157" s="2239"/>
      <c r="B157" s="2239"/>
      <c r="C157" s="2241"/>
      <c r="D157" s="2239"/>
      <c r="E157" s="2239"/>
      <c r="F157" s="2239"/>
      <c r="G157" s="2239"/>
      <c r="H157" s="2239"/>
      <c r="I157" s="2239"/>
      <c r="J157" s="2239"/>
      <c r="K157" s="2239"/>
      <c r="L157" s="2239"/>
      <c r="M157" s="2239"/>
      <c r="N157" s="2239"/>
      <c r="O157" s="2281"/>
      <c r="P157" s="2281"/>
      <c r="Q157" s="2281"/>
      <c r="R157" s="1486"/>
      <c r="S157" s="1486"/>
      <c r="T157" s="1486"/>
      <c r="U157" s="1486"/>
      <c r="V157" s="1486"/>
    </row>
    <row r="158" spans="1:22" hidden="1">
      <c r="A158" s="2239"/>
      <c r="B158" s="2239"/>
      <c r="C158" s="2241" t="s">
        <v>3124</v>
      </c>
      <c r="D158" s="4343"/>
      <c r="E158" s="4343"/>
      <c r="F158" s="4343"/>
      <c r="G158" s="4343"/>
      <c r="H158" s="4343"/>
      <c r="I158" s="4343"/>
      <c r="J158" s="4343"/>
      <c r="K158" s="4343"/>
      <c r="L158" s="4343"/>
      <c r="M158" s="4343"/>
      <c r="N158" s="4343"/>
      <c r="O158" s="4343"/>
      <c r="P158" s="4343"/>
      <c r="Q158" s="4343"/>
      <c r="R158" s="175"/>
      <c r="S158" s="175"/>
      <c r="T158" s="175"/>
      <c r="U158" s="175"/>
      <c r="V158" s="175"/>
    </row>
    <row r="159" spans="1:22" ht="5.0999999999999996" hidden="1" customHeight="1">
      <c r="A159" s="2242"/>
      <c r="B159" s="2242"/>
      <c r="C159" s="2266"/>
      <c r="D159" s="2284"/>
      <c r="E159" s="2284"/>
      <c r="F159" s="2284"/>
      <c r="G159" s="2284"/>
      <c r="H159" s="2284"/>
      <c r="I159" s="2284"/>
      <c r="J159" s="2284"/>
      <c r="K159" s="2284"/>
      <c r="L159" s="2284"/>
      <c r="M159" s="2284"/>
      <c r="N159" s="2284"/>
      <c r="O159" s="2284"/>
      <c r="P159" s="2284"/>
      <c r="Q159" s="2284"/>
      <c r="R159" s="175"/>
      <c r="S159" s="175"/>
      <c r="T159" s="175"/>
      <c r="U159" s="175"/>
      <c r="V159" s="175"/>
    </row>
    <row r="160" spans="1:22" hidden="1">
      <c r="A160" s="2239"/>
      <c r="B160" s="2239"/>
      <c r="C160" s="2247"/>
      <c r="D160" s="4343"/>
      <c r="E160" s="4343"/>
      <c r="F160" s="4343"/>
      <c r="G160" s="4343"/>
      <c r="H160" s="4343"/>
      <c r="I160" s="4343"/>
      <c r="J160" s="4343"/>
      <c r="K160" s="4343"/>
      <c r="L160" s="4343"/>
      <c r="M160" s="4343"/>
      <c r="N160" s="4343"/>
      <c r="O160" s="4343"/>
      <c r="P160" s="4343"/>
      <c r="Q160" s="4343"/>
      <c r="R160" s="1479"/>
      <c r="S160" s="1479"/>
      <c r="T160" s="1479"/>
      <c r="U160" s="1479"/>
      <c r="V160" s="1479"/>
    </row>
    <row r="161" spans="1:22" ht="5.0999999999999996" hidden="1" customHeight="1">
      <c r="A161" s="2239"/>
      <c r="B161" s="2239"/>
      <c r="C161" s="2247"/>
      <c r="D161" s="2285"/>
      <c r="E161" s="2284"/>
      <c r="F161" s="2284"/>
      <c r="G161" s="2284"/>
      <c r="H161" s="2284"/>
      <c r="I161" s="2284"/>
      <c r="J161" s="2284"/>
      <c r="K161" s="2284"/>
      <c r="L161" s="2284"/>
      <c r="M161" s="2284"/>
      <c r="N161" s="2284"/>
      <c r="O161" s="2284"/>
      <c r="P161" s="2284"/>
      <c r="Q161" s="2284"/>
      <c r="R161" s="1479"/>
      <c r="S161" s="1479"/>
      <c r="T161" s="1479"/>
      <c r="U161" s="1479"/>
      <c r="V161" s="1479"/>
    </row>
    <row r="162" spans="1:22" hidden="1">
      <c r="A162" s="2286"/>
      <c r="B162" s="2286"/>
      <c r="C162" s="2239"/>
      <c r="D162" s="4343"/>
      <c r="E162" s="4343"/>
      <c r="F162" s="4343"/>
      <c r="G162" s="4343"/>
      <c r="H162" s="4343"/>
      <c r="I162" s="4343"/>
      <c r="J162" s="4343"/>
      <c r="K162" s="4343"/>
      <c r="L162" s="4343"/>
      <c r="M162" s="4343"/>
      <c r="N162" s="4343"/>
      <c r="O162" s="4343"/>
      <c r="P162" s="4343"/>
      <c r="Q162" s="4343"/>
      <c r="R162" s="1479"/>
      <c r="S162" s="1479"/>
      <c r="T162" s="1479"/>
      <c r="U162" s="1479"/>
      <c r="V162" s="1479"/>
    </row>
    <row r="163" spans="1:22" s="1489" customFormat="1" hidden="1">
      <c r="A163" s="2293"/>
      <c r="B163" s="2293"/>
      <c r="C163" s="2278"/>
      <c r="D163" s="2294"/>
      <c r="E163" s="2294"/>
      <c r="F163" s="2294"/>
      <c r="G163" s="2294"/>
      <c r="H163" s="2294"/>
      <c r="I163" s="2294"/>
      <c r="J163" s="2294"/>
      <c r="K163" s="2294"/>
      <c r="L163" s="2294"/>
      <c r="M163" s="2294"/>
      <c r="N163" s="2294"/>
      <c r="O163" s="2294"/>
      <c r="P163" s="2294"/>
      <c r="Q163" s="2294"/>
      <c r="R163" s="1479"/>
      <c r="S163" s="1479"/>
      <c r="T163" s="1479"/>
      <c r="U163" s="1479"/>
      <c r="V163" s="1479"/>
    </row>
    <row r="164" spans="1:22" ht="12.75" hidden="1" customHeight="1">
      <c r="A164" s="2239"/>
      <c r="B164" s="2239"/>
      <c r="C164" s="2257" t="s">
        <v>3211</v>
      </c>
      <c r="D164" s="2252"/>
      <c r="E164" s="2252"/>
      <c r="F164" s="2252"/>
      <c r="G164" s="2252"/>
      <c r="H164" s="2252"/>
      <c r="I164" s="2249"/>
      <c r="J164" s="2249"/>
      <c r="K164" s="2249"/>
      <c r="L164" s="2249"/>
      <c r="M164" s="2249"/>
      <c r="N164" s="2249"/>
      <c r="O164" s="2258"/>
      <c r="P164" s="2258"/>
      <c r="Q164" s="2258"/>
    </row>
    <row r="165" spans="1:22" ht="15.75" hidden="1" customHeight="1">
      <c r="A165" s="2241" t="s">
        <v>3212</v>
      </c>
      <c r="B165" s="2241"/>
      <c r="C165" s="2239" t="s">
        <v>3213</v>
      </c>
      <c r="D165" s="2239"/>
      <c r="E165" s="2239"/>
      <c r="F165" s="2239"/>
      <c r="G165" s="2239"/>
      <c r="H165" s="2239"/>
      <c r="I165" s="2239"/>
      <c r="J165" s="2239"/>
      <c r="K165" s="2239"/>
      <c r="L165" s="2239"/>
      <c r="M165" s="2239"/>
      <c r="N165" s="2239"/>
      <c r="O165" s="2239"/>
      <c r="P165" s="2239"/>
      <c r="Q165" s="2239"/>
    </row>
    <row r="166" spans="1:22" ht="21" hidden="1" customHeight="1" thickBot="1">
      <c r="A166" s="2239"/>
      <c r="B166" s="2239"/>
      <c r="C166" s="2241"/>
      <c r="D166" s="4351" t="s">
        <v>2775</v>
      </c>
      <c r="E166" s="4351"/>
      <c r="F166" s="3673"/>
      <c r="G166" s="3673"/>
      <c r="H166" s="4352" t="s">
        <v>3127</v>
      </c>
      <c r="I166" s="4352"/>
      <c r="J166" s="4352"/>
      <c r="K166" s="4352"/>
      <c r="L166" s="4352"/>
      <c r="M166" s="3688"/>
      <c r="N166" s="3688"/>
      <c r="O166" s="4352" t="s">
        <v>3214</v>
      </c>
      <c r="P166" s="4352"/>
      <c r="Q166" s="4352"/>
    </row>
    <row r="167" spans="1:22" ht="5.0999999999999996" hidden="1" customHeight="1">
      <c r="A167" s="2239"/>
      <c r="B167" s="2239"/>
      <c r="C167" s="2241"/>
      <c r="D167" s="2263"/>
      <c r="E167" s="2264"/>
      <c r="F167" s="2264"/>
      <c r="G167" s="2264"/>
      <c r="H167" s="4350"/>
      <c r="I167" s="4350"/>
      <c r="J167" s="4350"/>
      <c r="K167" s="4350"/>
      <c r="L167" s="4350"/>
      <c r="M167" s="2265"/>
      <c r="N167" s="2265"/>
      <c r="O167" s="2316"/>
      <c r="P167" s="2316"/>
      <c r="Q167" s="2317"/>
    </row>
    <row r="168" spans="1:22" ht="15.75" hidden="1" customHeight="1">
      <c r="A168" s="2239"/>
      <c r="B168" s="2239"/>
      <c r="C168" s="2288"/>
      <c r="D168" s="4345"/>
      <c r="E168" s="4345"/>
      <c r="F168" s="4346"/>
      <c r="G168" s="4346"/>
      <c r="H168" s="4347"/>
      <c r="I168" s="4347"/>
      <c r="J168" s="4347"/>
      <c r="K168" s="4347"/>
      <c r="L168" s="4347"/>
      <c r="M168" s="4346"/>
      <c r="N168" s="4346"/>
      <c r="O168" s="4348"/>
      <c r="P168" s="4348"/>
      <c r="Q168" s="4348"/>
    </row>
    <row r="169" spans="1:22" ht="5.0999999999999996" hidden="1" customHeight="1">
      <c r="A169" s="2239"/>
      <c r="B169" s="2239"/>
      <c r="C169" s="2241"/>
      <c r="D169" s="2269"/>
      <c r="E169" s="2270"/>
      <c r="F169" s="2265"/>
      <c r="G169" s="2265"/>
      <c r="H169" s="2269"/>
      <c r="I169" s="4349"/>
      <c r="J169" s="4349"/>
      <c r="K169" s="4349"/>
      <c r="L169" s="2273"/>
      <c r="M169" s="2265"/>
      <c r="N169" s="2265"/>
      <c r="O169" s="2274"/>
      <c r="P169" s="2274"/>
      <c r="Q169" s="2298"/>
    </row>
    <row r="170" spans="1:22" ht="15.75" hidden="1" customHeight="1">
      <c r="A170" s="2239"/>
      <c r="B170" s="2239"/>
      <c r="C170" s="2288"/>
      <c r="D170" s="4345"/>
      <c r="E170" s="4345"/>
      <c r="F170" s="4346"/>
      <c r="G170" s="4346"/>
      <c r="H170" s="4347"/>
      <c r="I170" s="4347"/>
      <c r="J170" s="4347"/>
      <c r="K170" s="4347"/>
      <c r="L170" s="4347"/>
      <c r="M170" s="4346"/>
      <c r="N170" s="4346"/>
      <c r="O170" s="4348"/>
      <c r="P170" s="4348"/>
      <c r="Q170" s="4348"/>
    </row>
    <row r="171" spans="1:22" ht="5.0999999999999996" hidden="1" customHeight="1">
      <c r="A171" s="2239"/>
      <c r="B171" s="2239"/>
      <c r="C171" s="2241"/>
      <c r="D171" s="2269"/>
      <c r="E171" s="2270"/>
      <c r="F171" s="2265"/>
      <c r="G171" s="2265"/>
      <c r="H171" s="4344"/>
      <c r="I171" s="4344"/>
      <c r="J171" s="4344"/>
      <c r="K171" s="4344"/>
      <c r="L171" s="2273"/>
      <c r="M171" s="2265"/>
      <c r="N171" s="2265"/>
      <c r="O171" s="2274"/>
      <c r="P171" s="2274"/>
      <c r="Q171" s="2298"/>
    </row>
    <row r="172" spans="1:22" ht="15.75" hidden="1" customHeight="1">
      <c r="A172" s="2239"/>
      <c r="B172" s="2239"/>
      <c r="C172" s="2288"/>
      <c r="D172" s="4345"/>
      <c r="E172" s="4345"/>
      <c r="F172" s="4346"/>
      <c r="G172" s="4346"/>
      <c r="H172" s="4347"/>
      <c r="I172" s="4347"/>
      <c r="J172" s="4347"/>
      <c r="K172" s="4347"/>
      <c r="L172" s="4347"/>
      <c r="M172" s="4346"/>
      <c r="N172" s="4346"/>
      <c r="O172" s="4348"/>
      <c r="P172" s="4348"/>
      <c r="Q172" s="4348"/>
    </row>
    <row r="173" spans="1:22" ht="5.0999999999999996" hidden="1" customHeight="1">
      <c r="A173" s="2239"/>
      <c r="B173" s="2239"/>
      <c r="C173" s="2239"/>
      <c r="D173" s="2281"/>
      <c r="E173" s="2239"/>
      <c r="F173" s="2278"/>
      <c r="G173" s="2278"/>
      <c r="H173" s="2281"/>
      <c r="I173" s="2242"/>
      <c r="J173" s="2242"/>
      <c r="K173" s="2242"/>
      <c r="L173" s="2242"/>
      <c r="M173" s="2318"/>
      <c r="N173" s="2318"/>
      <c r="O173" s="2282"/>
      <c r="P173" s="2282"/>
      <c r="Q173" s="2319"/>
    </row>
    <row r="174" spans="1:22" ht="13.5" hidden="1" customHeight="1" thickBot="1">
      <c r="A174" s="2239"/>
      <c r="B174" s="2239"/>
      <c r="C174" s="2241" t="s">
        <v>3108</v>
      </c>
      <c r="D174" s="3682"/>
      <c r="E174" s="2242"/>
      <c r="F174" s="3682"/>
      <c r="G174" s="3682"/>
      <c r="H174" s="4341"/>
      <c r="I174" s="4341"/>
      <c r="J174" s="4341"/>
      <c r="K174" s="4341"/>
      <c r="L174" s="4341"/>
      <c r="M174" s="3682"/>
      <c r="N174" s="3682"/>
      <c r="O174" s="4342">
        <f>SUM(O168:Q172)</f>
        <v>0</v>
      </c>
      <c r="P174" s="4342"/>
      <c r="Q174" s="4342"/>
    </row>
    <row r="175" spans="1:22" ht="11.25" hidden="1" customHeight="1" thickTop="1">
      <c r="A175" s="2239"/>
      <c r="B175" s="2239"/>
      <c r="C175" s="2241"/>
      <c r="D175" s="2239"/>
      <c r="E175" s="2239"/>
      <c r="F175" s="2239"/>
      <c r="G175" s="2239"/>
      <c r="H175" s="2239"/>
      <c r="I175" s="2239"/>
      <c r="J175" s="2239"/>
      <c r="K175" s="2239"/>
      <c r="L175" s="2239"/>
      <c r="M175" s="2239"/>
      <c r="N175" s="2239"/>
      <c r="O175" s="2281"/>
      <c r="P175" s="2281"/>
      <c r="Q175" s="2281"/>
      <c r="R175" s="1486"/>
      <c r="S175" s="1486"/>
      <c r="T175" s="1486"/>
      <c r="U175" s="1486"/>
      <c r="V175" s="1486"/>
    </row>
    <row r="176" spans="1:22" ht="15.75" hidden="1" customHeight="1">
      <c r="A176" s="2241" t="s">
        <v>3215</v>
      </c>
      <c r="B176" s="2239"/>
      <c r="C176" s="2239" t="s">
        <v>3216</v>
      </c>
      <c r="D176" s="2239"/>
      <c r="E176" s="2239"/>
      <c r="F176" s="2239"/>
      <c r="G176" s="2239"/>
      <c r="H176" s="2239"/>
      <c r="I176" s="2239"/>
      <c r="J176" s="2239"/>
      <c r="K176" s="2239"/>
      <c r="L176" s="2239"/>
      <c r="M176" s="2239"/>
      <c r="N176" s="2239"/>
      <c r="O176" s="2281"/>
      <c r="P176" s="2281"/>
      <c r="Q176" s="2281"/>
      <c r="R176" s="1486"/>
      <c r="S176" s="1486"/>
      <c r="T176" s="1486"/>
      <c r="U176" s="1486"/>
      <c r="V176" s="1486"/>
    </row>
    <row r="177" spans="1:22" ht="15.75" hidden="1" customHeight="1">
      <c r="A177" s="2239"/>
      <c r="B177" s="2239"/>
      <c r="C177" s="2239" t="s">
        <v>3217</v>
      </c>
      <c r="D177" s="2239"/>
      <c r="E177" s="2239"/>
      <c r="F177" s="2239"/>
      <c r="G177" s="2239"/>
      <c r="H177" s="2239"/>
      <c r="I177" s="2239"/>
      <c r="J177" s="2239"/>
      <c r="K177" s="2239"/>
      <c r="L177" s="2239"/>
      <c r="M177" s="2239"/>
      <c r="N177" s="2239"/>
      <c r="O177" s="2281"/>
      <c r="P177" s="2281"/>
      <c r="Q177" s="2281"/>
      <c r="R177" s="1486"/>
      <c r="S177" s="1486"/>
      <c r="T177" s="1486"/>
      <c r="U177" s="1486"/>
      <c r="V177" s="1486"/>
    </row>
    <row r="178" spans="1:22" ht="4.5" hidden="1" customHeight="1">
      <c r="A178" s="2239"/>
      <c r="B178" s="2239"/>
      <c r="C178" s="2239"/>
      <c r="D178" s="2239"/>
      <c r="E178" s="2239"/>
      <c r="F178" s="2239"/>
      <c r="G178" s="2239"/>
      <c r="H178" s="2239"/>
      <c r="I178" s="2239"/>
      <c r="J178" s="2239"/>
      <c r="K178" s="2239"/>
      <c r="L178" s="2239"/>
      <c r="M178" s="2239"/>
      <c r="N178" s="2239"/>
      <c r="O178" s="2281"/>
      <c r="P178" s="2281"/>
      <c r="Q178" s="2281"/>
      <c r="R178" s="1486"/>
      <c r="S178" s="1486"/>
      <c r="T178" s="1486"/>
      <c r="U178" s="1486"/>
      <c r="V178" s="1486"/>
    </row>
    <row r="179" spans="1:22" hidden="1">
      <c r="A179" s="2239"/>
      <c r="B179" s="2239"/>
      <c r="C179" s="2241" t="s">
        <v>3124</v>
      </c>
      <c r="D179" s="4343"/>
      <c r="E179" s="4343"/>
      <c r="F179" s="4343"/>
      <c r="G179" s="4343"/>
      <c r="H179" s="4343"/>
      <c r="I179" s="4343"/>
      <c r="J179" s="4343"/>
      <c r="K179" s="4343"/>
      <c r="L179" s="4343"/>
      <c r="M179" s="4343"/>
      <c r="N179" s="4343"/>
      <c r="O179" s="4343"/>
      <c r="P179" s="4343"/>
      <c r="Q179" s="4343"/>
      <c r="R179" s="175"/>
      <c r="S179" s="175"/>
      <c r="T179" s="175"/>
      <c r="U179" s="175"/>
      <c r="V179" s="175"/>
    </row>
    <row r="180" spans="1:22" ht="5.0999999999999996" hidden="1" customHeight="1">
      <c r="A180" s="2242"/>
      <c r="B180" s="2242"/>
      <c r="C180" s="2266"/>
      <c r="D180" s="2284"/>
      <c r="E180" s="2284"/>
      <c r="F180" s="2284"/>
      <c r="G180" s="2284"/>
      <c r="H180" s="2284"/>
      <c r="I180" s="2284"/>
      <c r="J180" s="2284"/>
      <c r="K180" s="2284"/>
      <c r="L180" s="2284"/>
      <c r="M180" s="2284"/>
      <c r="N180" s="2284"/>
      <c r="O180" s="2284"/>
      <c r="P180" s="2284"/>
      <c r="Q180" s="2284"/>
      <c r="R180" s="175"/>
      <c r="S180" s="175"/>
      <c r="T180" s="175"/>
      <c r="U180" s="175"/>
      <c r="V180" s="175"/>
    </row>
    <row r="181" spans="1:22" hidden="1">
      <c r="A181" s="2239"/>
      <c r="B181" s="2239"/>
      <c r="C181" s="2247"/>
      <c r="D181" s="4343"/>
      <c r="E181" s="4343"/>
      <c r="F181" s="4343"/>
      <c r="G181" s="4343"/>
      <c r="H181" s="4343"/>
      <c r="I181" s="4343"/>
      <c r="J181" s="4343"/>
      <c r="K181" s="4343"/>
      <c r="L181" s="4343"/>
      <c r="M181" s="4343"/>
      <c r="N181" s="4343"/>
      <c r="O181" s="4343"/>
      <c r="P181" s="4343"/>
      <c r="Q181" s="4343"/>
      <c r="R181" s="1479"/>
      <c r="S181" s="1479"/>
      <c r="T181" s="1479"/>
      <c r="U181" s="1479"/>
      <c r="V181" s="1479"/>
    </row>
    <row r="182" spans="1:22" ht="5.0999999999999996" hidden="1" customHeight="1">
      <c r="A182" s="2239"/>
      <c r="B182" s="2239"/>
      <c r="C182" s="2247"/>
      <c r="D182" s="2285"/>
      <c r="E182" s="2284"/>
      <c r="F182" s="2284"/>
      <c r="G182" s="2284"/>
      <c r="H182" s="2284"/>
      <c r="I182" s="2284"/>
      <c r="J182" s="2284"/>
      <c r="K182" s="2284"/>
      <c r="L182" s="2284"/>
      <c r="M182" s="2284"/>
      <c r="N182" s="2284"/>
      <c r="O182" s="2284"/>
      <c r="P182" s="2284"/>
      <c r="Q182" s="2284"/>
      <c r="R182" s="1479"/>
      <c r="S182" s="1479"/>
      <c r="T182" s="1479"/>
      <c r="U182" s="1479"/>
      <c r="V182" s="1479"/>
    </row>
    <row r="183" spans="1:22" hidden="1">
      <c r="A183" s="2286"/>
      <c r="B183" s="2286"/>
      <c r="C183" s="2239"/>
      <c r="D183" s="4343"/>
      <c r="E183" s="4343"/>
      <c r="F183" s="4343"/>
      <c r="G183" s="4343"/>
      <c r="H183" s="4343"/>
      <c r="I183" s="4343"/>
      <c r="J183" s="4343"/>
      <c r="K183" s="4343"/>
      <c r="L183" s="4343"/>
      <c r="M183" s="4343"/>
      <c r="N183" s="4343"/>
      <c r="O183" s="4343"/>
      <c r="P183" s="4343"/>
      <c r="Q183" s="4343"/>
      <c r="R183" s="1479"/>
      <c r="S183" s="1479"/>
      <c r="T183" s="1479"/>
      <c r="U183" s="1479"/>
      <c r="V183" s="1479"/>
    </row>
    <row r="184" spans="1:22" ht="15.75" hidden="1" customHeight="1">
      <c r="A184" s="2286"/>
      <c r="B184" s="2286"/>
      <c r="C184" s="2239"/>
      <c r="D184" s="3786"/>
      <c r="E184" s="3786"/>
      <c r="F184" s="3786"/>
      <c r="G184" s="3786"/>
      <c r="H184" s="3786"/>
      <c r="I184" s="3786"/>
      <c r="J184" s="3786"/>
      <c r="K184" s="3786"/>
      <c r="L184" s="3786"/>
      <c r="M184" s="3786"/>
      <c r="N184" s="3786"/>
      <c r="O184" s="3786"/>
      <c r="P184" s="2242"/>
      <c r="Q184" s="2242"/>
      <c r="R184" s="1479"/>
      <c r="S184" s="1479"/>
      <c r="T184" s="1479"/>
      <c r="U184" s="1479"/>
      <c r="V184" s="1479"/>
    </row>
    <row r="185" spans="1:22" ht="5.0999999999999996" customHeight="1">
      <c r="A185" s="2239"/>
      <c r="B185" s="2239"/>
      <c r="C185" s="2320"/>
      <c r="D185" s="2242"/>
      <c r="E185" s="2242"/>
      <c r="F185" s="2242"/>
      <c r="G185" s="2242"/>
      <c r="H185" s="2242"/>
      <c r="I185" s="2242"/>
      <c r="J185" s="2242"/>
      <c r="K185" s="2242"/>
      <c r="L185" s="2239"/>
      <c r="M185" s="2239"/>
      <c r="N185" s="2239"/>
      <c r="O185" s="2239"/>
      <c r="P185" s="2239"/>
      <c r="Q185" s="2239"/>
    </row>
    <row r="186" spans="1:22">
      <c r="A186" s="2239"/>
      <c r="B186" s="2239"/>
      <c r="C186" s="2242"/>
      <c r="D186" s="2242"/>
      <c r="E186" s="2242"/>
      <c r="F186" s="2242"/>
      <c r="G186" s="2242"/>
      <c r="H186" s="2242"/>
      <c r="I186" s="2242"/>
      <c r="J186" s="2242"/>
      <c r="K186" s="2242"/>
      <c r="L186" s="2239"/>
      <c r="M186" s="2239"/>
      <c r="N186" s="2239"/>
      <c r="O186" s="2239"/>
      <c r="P186" s="2239"/>
      <c r="Q186" s="2239"/>
    </row>
    <row r="187" spans="1:22">
      <c r="A187" s="2239"/>
      <c r="B187" s="2239"/>
      <c r="C187" s="2242"/>
      <c r="D187" s="2242"/>
      <c r="E187" s="2321"/>
      <c r="F187" s="2321"/>
      <c r="G187" s="2242"/>
      <c r="H187" s="2321"/>
      <c r="I187" s="2321"/>
      <c r="J187" s="2242"/>
      <c r="K187" s="2242"/>
      <c r="L187" s="2239"/>
      <c r="M187" s="2239"/>
      <c r="N187" s="2239"/>
      <c r="O187" s="2239"/>
      <c r="P187" s="2239"/>
      <c r="Q187" s="2239"/>
    </row>
    <row r="188" spans="1:22" ht="5.0999999999999996" customHeight="1">
      <c r="C188" s="1479"/>
      <c r="D188" s="1479"/>
      <c r="E188" s="1479"/>
      <c r="F188" s="1479"/>
      <c r="G188" s="1479"/>
      <c r="H188" s="1479"/>
      <c r="I188" s="1479"/>
      <c r="J188" s="1479"/>
      <c r="K188" s="1479"/>
    </row>
    <row r="189" spans="1:22">
      <c r="C189" s="1479"/>
      <c r="D189" s="1479"/>
      <c r="E189" s="1479"/>
      <c r="F189" s="1479"/>
      <c r="G189" s="1479"/>
      <c r="H189" s="1479"/>
      <c r="I189" s="1479"/>
      <c r="J189" s="1479"/>
      <c r="K189" s="1479"/>
    </row>
    <row r="190" spans="1:22">
      <c r="C190" s="1479"/>
      <c r="D190" s="1479"/>
      <c r="E190" s="1488"/>
      <c r="F190" s="1488"/>
      <c r="G190" s="1479"/>
      <c r="H190" s="1488"/>
      <c r="I190" s="1488"/>
      <c r="J190" s="1479"/>
      <c r="K190" s="1479"/>
    </row>
    <row r="191" spans="1:22" ht="5.0999999999999996" customHeight="1">
      <c r="C191" s="1479"/>
      <c r="D191" s="1479"/>
      <c r="E191" s="1479"/>
      <c r="F191" s="1479"/>
      <c r="G191" s="1479"/>
      <c r="H191" s="1479"/>
      <c r="I191" s="1479"/>
      <c r="J191" s="1479"/>
      <c r="K191" s="1479"/>
    </row>
    <row r="192" spans="1:22">
      <c r="C192" s="1479"/>
      <c r="D192" s="1479"/>
      <c r="E192" s="1479"/>
      <c r="F192" s="1479"/>
      <c r="G192" s="1479"/>
      <c r="H192" s="1479"/>
      <c r="I192" s="1479"/>
      <c r="J192" s="1479"/>
      <c r="K192" s="1479"/>
    </row>
    <row r="193" spans="3:11">
      <c r="C193" s="1479"/>
      <c r="D193" s="1479"/>
      <c r="E193" s="1488"/>
      <c r="F193" s="1488"/>
      <c r="G193" s="1479"/>
      <c r="H193" s="1488"/>
      <c r="I193" s="1488"/>
      <c r="J193" s="1479"/>
      <c r="K193" s="1479"/>
    </row>
    <row r="194" spans="3:11" ht="5.0999999999999996" customHeight="1">
      <c r="C194" s="1479"/>
      <c r="D194" s="1479"/>
      <c r="E194" s="1479"/>
      <c r="F194" s="1479"/>
      <c r="G194" s="1479"/>
      <c r="H194" s="1479"/>
      <c r="I194" s="1479"/>
      <c r="J194" s="1479"/>
      <c r="K194" s="1479"/>
    </row>
    <row r="195" spans="3:11">
      <c r="C195" s="1479"/>
      <c r="D195" s="1479"/>
      <c r="E195" s="1479"/>
      <c r="F195" s="1479"/>
      <c r="G195" s="1479"/>
      <c r="H195" s="1479"/>
      <c r="I195" s="1479"/>
      <c r="J195" s="1479"/>
      <c r="K195" s="1479"/>
    </row>
  </sheetData>
  <sheetProtection algorithmName="SHA-512" hashValue="oG0xXRR1UT92s244bnivaFv3tr4ZI4hKE4SAt+oHHLVfoWC1S7axKT1B1IG5NdlVcbW20bJeJ5yY0wESNPUBEA==" saltValue="fymot17Y+/D9/zV+27Rw9g==" spinCount="100000" sheet="1" objects="1" scenarios="1"/>
  <mergeCells count="186">
    <mergeCell ref="A8:C8"/>
    <mergeCell ref="D8:K8"/>
    <mergeCell ref="A11:M12"/>
    <mergeCell ref="A14:M15"/>
    <mergeCell ref="H17:I17"/>
    <mergeCell ref="H18:I18"/>
    <mergeCell ref="A1:Q1"/>
    <mergeCell ref="A2:Q2"/>
    <mergeCell ref="A3:Q3"/>
    <mergeCell ref="A4:H4"/>
    <mergeCell ref="A6:C6"/>
    <mergeCell ref="D6:K6"/>
    <mergeCell ref="D45:E45"/>
    <mergeCell ref="G45:K45"/>
    <mergeCell ref="M45:O45"/>
    <mergeCell ref="D47:E47"/>
    <mergeCell ref="G47:K47"/>
    <mergeCell ref="M47:O47"/>
    <mergeCell ref="H19:I19"/>
    <mergeCell ref="H20:I20"/>
    <mergeCell ref="H24:I24"/>
    <mergeCell ref="H25:I25"/>
    <mergeCell ref="H26:I26"/>
    <mergeCell ref="H28:I28"/>
    <mergeCell ref="D57:Q57"/>
    <mergeCell ref="D59:Q59"/>
    <mergeCell ref="D61:Q61"/>
    <mergeCell ref="D67:E67"/>
    <mergeCell ref="H67:L67"/>
    <mergeCell ref="H68:K68"/>
    <mergeCell ref="D49:E49"/>
    <mergeCell ref="G49:K49"/>
    <mergeCell ref="M49:O49"/>
    <mergeCell ref="M50:O50"/>
    <mergeCell ref="H52:L52"/>
    <mergeCell ref="M52:O52"/>
    <mergeCell ref="D73:F73"/>
    <mergeCell ref="H73:L73"/>
    <mergeCell ref="H74:K74"/>
    <mergeCell ref="D75:E75"/>
    <mergeCell ref="H75:L75"/>
    <mergeCell ref="D80:Q80"/>
    <mergeCell ref="D69:F69"/>
    <mergeCell ref="H69:L69"/>
    <mergeCell ref="H70:K70"/>
    <mergeCell ref="D71:F71"/>
    <mergeCell ref="H71:L71"/>
    <mergeCell ref="H72:K72"/>
    <mergeCell ref="D93:E93"/>
    <mergeCell ref="O93:Q93"/>
    <mergeCell ref="D95:E95"/>
    <mergeCell ref="O95:Q95"/>
    <mergeCell ref="D97:E97"/>
    <mergeCell ref="O97:Q97"/>
    <mergeCell ref="D82:Q82"/>
    <mergeCell ref="D84:Q84"/>
    <mergeCell ref="D89:E89"/>
    <mergeCell ref="O89:Q89"/>
    <mergeCell ref="D91:E91"/>
    <mergeCell ref="O91:Q91"/>
    <mergeCell ref="I111:K111"/>
    <mergeCell ref="D112:E112"/>
    <mergeCell ref="H113:K113"/>
    <mergeCell ref="D114:E114"/>
    <mergeCell ref="D116:E116"/>
    <mergeCell ref="H118:L118"/>
    <mergeCell ref="D99:E99"/>
    <mergeCell ref="O99:Q99"/>
    <mergeCell ref="G107:O107"/>
    <mergeCell ref="D108:E108"/>
    <mergeCell ref="H109:L109"/>
    <mergeCell ref="D110:E110"/>
    <mergeCell ref="I123:K123"/>
    <mergeCell ref="D124:E124"/>
    <mergeCell ref="F124:G124"/>
    <mergeCell ref="H124:L124"/>
    <mergeCell ref="M124:N124"/>
    <mergeCell ref="O124:Q124"/>
    <mergeCell ref="O118:Q118"/>
    <mergeCell ref="D120:E120"/>
    <mergeCell ref="H120:L120"/>
    <mergeCell ref="O120:Q120"/>
    <mergeCell ref="H121:L121"/>
    <mergeCell ref="D122:E122"/>
    <mergeCell ref="F122:G122"/>
    <mergeCell ref="H122:L122"/>
    <mergeCell ref="M122:N122"/>
    <mergeCell ref="O122:Q122"/>
    <mergeCell ref="D128:E128"/>
    <mergeCell ref="F128:G128"/>
    <mergeCell ref="H128:L128"/>
    <mergeCell ref="M128:N128"/>
    <mergeCell ref="O128:Q128"/>
    <mergeCell ref="H129:L129"/>
    <mergeCell ref="O129:Q129"/>
    <mergeCell ref="H125:K125"/>
    <mergeCell ref="D126:E126"/>
    <mergeCell ref="F126:G126"/>
    <mergeCell ref="H126:L126"/>
    <mergeCell ref="M126:N126"/>
    <mergeCell ref="O126:Q126"/>
    <mergeCell ref="I135:K135"/>
    <mergeCell ref="D136:E136"/>
    <mergeCell ref="F136:G136"/>
    <mergeCell ref="H136:L136"/>
    <mergeCell ref="M136:N136"/>
    <mergeCell ref="O136:Q136"/>
    <mergeCell ref="D132:E132"/>
    <mergeCell ref="H132:L132"/>
    <mergeCell ref="O132:Q132"/>
    <mergeCell ref="H133:L133"/>
    <mergeCell ref="D134:E134"/>
    <mergeCell ref="F134:G134"/>
    <mergeCell ref="H134:L134"/>
    <mergeCell ref="M134:N134"/>
    <mergeCell ref="O134:Q134"/>
    <mergeCell ref="D140:E140"/>
    <mergeCell ref="F140:G140"/>
    <mergeCell ref="H140:L140"/>
    <mergeCell ref="M140:N140"/>
    <mergeCell ref="O140:Q140"/>
    <mergeCell ref="H141:L141"/>
    <mergeCell ref="O141:Q141"/>
    <mergeCell ref="H137:K137"/>
    <mergeCell ref="D138:E138"/>
    <mergeCell ref="F138:G138"/>
    <mergeCell ref="H138:L138"/>
    <mergeCell ref="M138:N138"/>
    <mergeCell ref="O138:Q138"/>
    <mergeCell ref="D144:E144"/>
    <mergeCell ref="H144:L144"/>
    <mergeCell ref="O144:Q144"/>
    <mergeCell ref="H145:L145"/>
    <mergeCell ref="D146:E146"/>
    <mergeCell ref="F146:G146"/>
    <mergeCell ref="H146:L146"/>
    <mergeCell ref="M146:N146"/>
    <mergeCell ref="O146:Q146"/>
    <mergeCell ref="H149:K149"/>
    <mergeCell ref="D150:E150"/>
    <mergeCell ref="F150:G150"/>
    <mergeCell ref="H150:L150"/>
    <mergeCell ref="M150:N150"/>
    <mergeCell ref="O150:Q150"/>
    <mergeCell ref="I147:K147"/>
    <mergeCell ref="D148:E148"/>
    <mergeCell ref="F148:G148"/>
    <mergeCell ref="H148:L148"/>
    <mergeCell ref="M148:N148"/>
    <mergeCell ref="O148:Q148"/>
    <mergeCell ref="D158:Q158"/>
    <mergeCell ref="D160:Q160"/>
    <mergeCell ref="D162:Q162"/>
    <mergeCell ref="D166:E166"/>
    <mergeCell ref="H166:L166"/>
    <mergeCell ref="O166:Q166"/>
    <mergeCell ref="D152:E152"/>
    <mergeCell ref="F152:G152"/>
    <mergeCell ref="H152:L152"/>
    <mergeCell ref="M152:N152"/>
    <mergeCell ref="O152:Q152"/>
    <mergeCell ref="H153:L153"/>
    <mergeCell ref="O153:Q153"/>
    <mergeCell ref="I169:K169"/>
    <mergeCell ref="D170:E170"/>
    <mergeCell ref="F170:G170"/>
    <mergeCell ref="H170:L170"/>
    <mergeCell ref="M170:N170"/>
    <mergeCell ref="O170:Q170"/>
    <mergeCell ref="H167:L167"/>
    <mergeCell ref="D168:E168"/>
    <mergeCell ref="F168:G168"/>
    <mergeCell ref="H168:L168"/>
    <mergeCell ref="M168:N168"/>
    <mergeCell ref="O168:Q168"/>
    <mergeCell ref="H174:L174"/>
    <mergeCell ref="O174:Q174"/>
    <mergeCell ref="D179:Q179"/>
    <mergeCell ref="D181:Q181"/>
    <mergeCell ref="D183:Q183"/>
    <mergeCell ref="H171:K171"/>
    <mergeCell ref="D172:E172"/>
    <mergeCell ref="F172:G172"/>
    <mergeCell ref="H172:L172"/>
    <mergeCell ref="M172:N172"/>
    <mergeCell ref="O172:Q172"/>
  </mergeCells>
  <conditionalFormatting sqref="D33">
    <cfRule type="cellIs" dxfId="232" priority="1" operator="notEqual">
      <formula>$I$36</formula>
    </cfRule>
  </conditionalFormatting>
  <printOptions horizontalCentered="1"/>
  <pageMargins left="0" right="0" top="0.5" bottom="0.5" header="0.25" footer="0.25"/>
  <pageSetup scale="72" fitToHeight="0" orientation="portrait" r:id="rId1"/>
  <headerFooter alignWithMargins="0">
    <oddFooter>&amp;L&amp;9DFS-A1-1889
Rev. 03/2013&amp;RPage &amp;P of  &amp;N</oddFooter>
  </headerFooter>
  <rowBreaks count="1" manualBreakCount="1">
    <brk id="100" max="1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66FF99"/>
    <pageSetUpPr fitToPage="1"/>
  </sheetPr>
  <dimension ref="A1:Q335"/>
  <sheetViews>
    <sheetView zoomScale="90" zoomScaleNormal="90" workbookViewId="0"/>
  </sheetViews>
  <sheetFormatPr defaultColWidth="8.85546875" defaultRowHeight="12.75"/>
  <cols>
    <col min="1" max="1" width="13" style="1865" customWidth="1"/>
    <col min="2" max="2" width="17.140625" style="1865" customWidth="1"/>
    <col min="3" max="3" width="48.42578125" style="1865" customWidth="1"/>
    <col min="4" max="4" width="20" style="1865" customWidth="1"/>
    <col min="5" max="5" width="22.42578125" style="1865" customWidth="1"/>
    <col min="6" max="6" width="21.42578125" style="1865" customWidth="1"/>
    <col min="7" max="7" width="20.140625" style="1865" customWidth="1"/>
    <col min="8" max="8" width="23" style="1865" customWidth="1"/>
    <col min="9" max="9" width="21.42578125" style="119" customWidth="1"/>
    <col min="10" max="10" width="21.28515625" style="1865" customWidth="1"/>
    <col min="11" max="11" width="1.7109375" style="1865" customWidth="1"/>
    <col min="12" max="12" width="15.7109375" style="1865" customWidth="1"/>
    <col min="13" max="13" width="1.7109375" style="1865" customWidth="1"/>
    <col min="14" max="14" width="15.85546875" style="1865" customWidth="1"/>
    <col min="15" max="15" width="1.140625" style="1865" customWidth="1"/>
    <col min="16" max="16" width="19.42578125" style="1865" customWidth="1"/>
    <col min="17" max="17" width="15.7109375" style="1865" customWidth="1"/>
    <col min="18" max="18" width="13.5703125" style="1865" customWidth="1"/>
    <col min="19" max="16384" width="8.85546875" style="1865"/>
  </cols>
  <sheetData>
    <row r="1" spans="1:16" ht="15.75">
      <c r="A1" s="2107"/>
      <c r="B1" s="2692"/>
      <c r="C1" s="2692"/>
      <c r="D1" s="3030" t="s">
        <v>3098</v>
      </c>
      <c r="E1" s="2692"/>
      <c r="F1" s="2692"/>
      <c r="G1" s="2692"/>
      <c r="H1" s="2692"/>
      <c r="I1" s="2091"/>
      <c r="J1" s="2091"/>
      <c r="K1" s="2091"/>
      <c r="L1" s="2091"/>
      <c r="M1" s="2091"/>
      <c r="N1" s="2091"/>
      <c r="O1" s="2091"/>
      <c r="P1" s="2091"/>
    </row>
    <row r="2" spans="1:16" ht="15.75">
      <c r="B2" s="2692"/>
      <c r="C2" s="2692"/>
      <c r="D2" s="3030" t="s">
        <v>3218</v>
      </c>
      <c r="E2" s="2692"/>
      <c r="F2" s="2692"/>
      <c r="G2" s="2692"/>
      <c r="H2" s="2692"/>
      <c r="I2" s="2091"/>
      <c r="J2" s="2091"/>
      <c r="K2" s="2091"/>
      <c r="L2" s="2091"/>
      <c r="M2" s="2091"/>
      <c r="N2" s="2091"/>
      <c r="O2" s="2091"/>
      <c r="P2" s="2091"/>
    </row>
    <row r="3" spans="1:16" ht="15.75">
      <c r="B3" s="2692"/>
      <c r="C3" s="2692"/>
      <c r="D3" s="3030" t="s">
        <v>3130</v>
      </c>
      <c r="E3" s="2692"/>
      <c r="F3" s="2692"/>
      <c r="G3" s="2692"/>
      <c r="H3" s="2692"/>
      <c r="I3" s="2091"/>
      <c r="J3" s="2091"/>
      <c r="K3" s="2091"/>
      <c r="L3" s="2091"/>
      <c r="M3" s="2091"/>
      <c r="N3" s="2091"/>
      <c r="O3" s="2091"/>
      <c r="P3" s="2091"/>
    </row>
    <row r="4" spans="1:16" ht="15.75">
      <c r="C4" s="3031"/>
      <c r="D4" s="3018" t="str">
        <f>'FCS Notes Sched Inv &amp; Cash'!E4</f>
        <v>For the Fiscal Year Ended June 30, 2021</v>
      </c>
      <c r="F4" s="2092"/>
      <c r="G4" s="2093"/>
      <c r="H4" s="2093"/>
      <c r="I4" s="2094"/>
      <c r="J4" s="2095"/>
      <c r="K4" s="2095"/>
      <c r="L4" s="2095"/>
      <c r="M4" s="2095"/>
      <c r="N4" s="2095"/>
      <c r="O4" s="2095"/>
      <c r="P4" s="2095"/>
    </row>
    <row r="5" spans="1:16">
      <c r="A5" s="2096"/>
      <c r="B5" s="2096"/>
      <c r="C5" s="2097"/>
      <c r="D5" s="2097"/>
      <c r="E5" s="2097"/>
      <c r="F5" s="2097"/>
      <c r="G5" s="2097"/>
      <c r="H5" s="2097"/>
      <c r="I5" s="2097"/>
      <c r="J5" s="2095"/>
      <c r="K5" s="2095"/>
      <c r="L5" s="2095"/>
      <c r="M5" s="2095"/>
      <c r="N5" s="2095"/>
      <c r="O5" s="2095"/>
      <c r="P5" s="2095"/>
    </row>
    <row r="6" spans="1:16" ht="15">
      <c r="A6" s="2094" t="s">
        <v>3101</v>
      </c>
      <c r="B6" s="2094"/>
      <c r="C6" s="2323" t="str">
        <f>'Contact Information'!C5</f>
        <v>SAMPLE STATE COLLEGE</v>
      </c>
      <c r="E6" s="2322"/>
      <c r="F6" s="2322"/>
      <c r="G6" s="2322"/>
      <c r="H6" s="2322"/>
      <c r="I6" s="2322"/>
      <c r="J6" s="2322"/>
      <c r="K6" s="2322"/>
      <c r="L6" s="2322"/>
      <c r="M6" s="2322"/>
      <c r="N6" s="42"/>
      <c r="O6" s="42"/>
    </row>
    <row r="7" spans="1:16" ht="7.15" customHeight="1">
      <c r="A7" s="2099"/>
      <c r="B7" s="2099"/>
      <c r="C7" s="2100"/>
      <c r="E7" s="2098"/>
      <c r="F7" s="2098"/>
      <c r="G7" s="2098"/>
      <c r="H7" s="2098"/>
      <c r="I7" s="2521"/>
      <c r="J7" s="42"/>
      <c r="K7" s="42"/>
      <c r="L7" s="42"/>
      <c r="M7" s="42"/>
      <c r="N7" s="42"/>
      <c r="O7" s="42"/>
    </row>
    <row r="8" spans="1:16" ht="12.75" customHeight="1">
      <c r="A8" s="2091" t="s">
        <v>3102</v>
      </c>
      <c r="B8" s="2105"/>
      <c r="C8" s="2324" t="e">
        <f>'Adjustment Form'!B9</f>
        <v>#N/A</v>
      </c>
      <c r="E8" s="2098"/>
      <c r="F8" s="2098"/>
      <c r="G8" s="2098"/>
      <c r="H8" s="2098"/>
      <c r="I8" s="2521"/>
      <c r="J8" s="42"/>
      <c r="K8" s="42"/>
      <c r="L8" s="42"/>
      <c r="M8" s="42"/>
      <c r="N8" s="42"/>
      <c r="O8" s="42"/>
    </row>
    <row r="9" spans="1:16">
      <c r="A9" s="2100"/>
      <c r="B9" s="2100"/>
      <c r="C9" s="2100"/>
      <c r="D9" s="2101"/>
      <c r="E9" s="2098"/>
      <c r="F9" s="2098"/>
      <c r="G9" s="2098"/>
      <c r="H9" s="2098"/>
      <c r="I9" s="2098"/>
      <c r="J9" s="42"/>
      <c r="K9" s="42"/>
      <c r="L9" s="42"/>
      <c r="M9" s="42"/>
      <c r="N9" s="42"/>
      <c r="O9" s="42"/>
      <c r="P9" s="42"/>
    </row>
    <row r="10" spans="1:16">
      <c r="A10" s="2103" t="s">
        <v>3219</v>
      </c>
      <c r="B10" s="2104"/>
      <c r="C10" s="2104"/>
      <c r="D10" s="2104"/>
      <c r="E10" s="2104"/>
      <c r="F10" s="2104"/>
      <c r="G10" s="2104"/>
      <c r="H10" s="2104"/>
      <c r="I10" s="2102"/>
      <c r="J10" s="42"/>
      <c r="K10" s="42"/>
      <c r="L10" s="42"/>
      <c r="M10" s="42"/>
      <c r="N10" s="42"/>
      <c r="O10" s="42"/>
      <c r="P10" s="42"/>
    </row>
    <row r="11" spans="1:16" ht="16.149999999999999" customHeight="1">
      <c r="A11" s="2100" t="s">
        <v>3220</v>
      </c>
      <c r="B11" s="2104"/>
      <c r="C11" s="2104"/>
      <c r="D11" s="2104"/>
      <c r="E11" s="2104"/>
      <c r="F11" s="2104"/>
      <c r="G11" s="2104"/>
      <c r="H11" s="2104"/>
      <c r="I11" s="2102"/>
      <c r="J11" s="42"/>
      <c r="K11" s="42"/>
      <c r="L11" s="42"/>
      <c r="M11" s="42"/>
      <c r="N11" s="42"/>
      <c r="O11" s="42"/>
      <c r="P11" s="42"/>
    </row>
    <row r="12" spans="1:16" ht="24" customHeight="1">
      <c r="A12" s="2103" t="s">
        <v>3221</v>
      </c>
      <c r="B12" s="2104"/>
      <c r="C12" s="2104"/>
      <c r="D12" s="2104"/>
      <c r="E12" s="2104"/>
      <c r="F12" s="2104"/>
      <c r="G12" s="2104"/>
      <c r="H12" s="2104"/>
      <c r="I12" s="2102"/>
      <c r="J12" s="42"/>
      <c r="K12" s="42"/>
      <c r="L12" s="42"/>
      <c r="M12" s="42"/>
      <c r="N12" s="42"/>
      <c r="O12" s="42"/>
      <c r="P12" s="42"/>
    </row>
    <row r="13" spans="1:16">
      <c r="D13" s="2098"/>
      <c r="E13" s="2098"/>
      <c r="F13" s="2098"/>
      <c r="G13" s="2098"/>
      <c r="H13" s="2098"/>
      <c r="I13" s="2098"/>
      <c r="J13" s="42"/>
      <c r="K13" s="42"/>
      <c r="L13" s="42"/>
      <c r="M13" s="42"/>
      <c r="N13" s="42"/>
      <c r="O13" s="42"/>
      <c r="P13" s="42"/>
    </row>
    <row r="14" spans="1:16" ht="17.45" customHeight="1">
      <c r="A14" s="2692" t="s">
        <v>3222</v>
      </c>
      <c r="B14" s="2692"/>
      <c r="C14" s="2692"/>
      <c r="D14" s="2692"/>
      <c r="E14" s="2692"/>
      <c r="F14" s="2692"/>
      <c r="G14" s="2692"/>
      <c r="H14" s="2692"/>
      <c r="I14" s="2105"/>
      <c r="J14" s="42"/>
      <c r="K14" s="42"/>
      <c r="L14" s="42"/>
      <c r="M14" s="42"/>
      <c r="N14" s="42"/>
      <c r="O14" s="42"/>
      <c r="P14" s="42"/>
    </row>
    <row r="15" spans="1:16" ht="15.75" customHeight="1">
      <c r="A15" s="2692" t="s">
        <v>3223</v>
      </c>
      <c r="B15" s="2692"/>
      <c r="C15" s="2692"/>
      <c r="D15" s="2692"/>
      <c r="E15" s="2692"/>
      <c r="F15" s="2692"/>
      <c r="G15" s="2692"/>
      <c r="H15" s="2692"/>
      <c r="I15" s="2105"/>
      <c r="J15" s="42"/>
      <c r="K15" s="42"/>
      <c r="L15" s="42"/>
      <c r="M15" s="42"/>
      <c r="N15" s="42"/>
      <c r="O15" s="42"/>
      <c r="P15" s="42"/>
    </row>
    <row r="16" spans="1:16" ht="18" customHeight="1">
      <c r="A16" s="2106"/>
      <c r="B16" s="2106"/>
      <c r="C16" s="2106"/>
      <c r="D16" s="2106"/>
      <c r="E16" s="2106"/>
      <c r="F16" s="2106"/>
      <c r="G16" s="2107"/>
      <c r="H16" s="2107"/>
      <c r="I16" s="2105"/>
      <c r="J16" s="42"/>
      <c r="K16" s="42"/>
      <c r="L16" s="42"/>
      <c r="M16" s="42"/>
      <c r="N16" s="42"/>
      <c r="O16" s="42"/>
      <c r="P16" s="42"/>
    </row>
    <row r="17" spans="1:13">
      <c r="B17" s="119"/>
      <c r="C17" s="2108"/>
      <c r="D17" s="2522"/>
      <c r="E17" s="3605"/>
      <c r="F17" s="3606" t="s">
        <v>3224</v>
      </c>
      <c r="G17" s="3032"/>
      <c r="H17" s="2109"/>
      <c r="J17" s="2522"/>
      <c r="K17" s="2522"/>
      <c r="M17" s="2521"/>
    </row>
    <row r="18" spans="1:13" ht="51">
      <c r="A18" s="2110" t="s">
        <v>3225</v>
      </c>
      <c r="B18" s="2111"/>
      <c r="C18" s="2693"/>
      <c r="D18" s="2693"/>
      <c r="E18" s="3607" t="s">
        <v>3226</v>
      </c>
      <c r="F18" s="3607" t="s">
        <v>3227</v>
      </c>
      <c r="G18" s="3607" t="s">
        <v>3228</v>
      </c>
      <c r="H18" s="3033" t="s">
        <v>3229</v>
      </c>
      <c r="I18" s="2112"/>
      <c r="K18" s="2521"/>
    </row>
    <row r="19" spans="1:13">
      <c r="B19" s="2139" t="s">
        <v>3230</v>
      </c>
      <c r="C19" s="3362" t="s">
        <v>3231</v>
      </c>
      <c r="D19" s="3363"/>
      <c r="E19" s="3363"/>
      <c r="F19" s="3363"/>
      <c r="G19" s="3363"/>
      <c r="H19" s="3787"/>
      <c r="I19" s="2522"/>
      <c r="K19" s="2521"/>
    </row>
    <row r="20" spans="1:13" ht="15.75" customHeight="1">
      <c r="B20" s="2129"/>
      <c r="C20" s="3611" t="s">
        <v>3140</v>
      </c>
      <c r="D20" s="3364"/>
      <c r="E20" s="3365"/>
      <c r="F20" s="3365"/>
      <c r="G20" s="3365"/>
      <c r="H20" s="3366">
        <f t="shared" ref="H20:H25" si="0">SUM(E20:G20)</f>
        <v>0</v>
      </c>
      <c r="I20" s="2113"/>
      <c r="K20" s="2114"/>
    </row>
    <row r="21" spans="1:13" ht="15.75" customHeight="1">
      <c r="B21" s="2129"/>
      <c r="C21" s="3611" t="s">
        <v>3141</v>
      </c>
      <c r="D21" s="3364"/>
      <c r="E21" s="3365"/>
      <c r="F21" s="3365"/>
      <c r="G21" s="3365"/>
      <c r="H21" s="3366">
        <f t="shared" si="0"/>
        <v>0</v>
      </c>
      <c r="I21" s="2113"/>
      <c r="K21" s="2114"/>
    </row>
    <row r="22" spans="1:13" ht="15.75" customHeight="1">
      <c r="B22" s="2129"/>
      <c r="C22" s="3611" t="s">
        <v>3144</v>
      </c>
      <c r="D22" s="3364"/>
      <c r="E22" s="3365"/>
      <c r="F22" s="3365"/>
      <c r="G22" s="3365"/>
      <c r="H22" s="3366">
        <f t="shared" si="0"/>
        <v>0</v>
      </c>
      <c r="I22" s="2113"/>
      <c r="K22" s="2114"/>
    </row>
    <row r="23" spans="1:13" ht="15.75" customHeight="1">
      <c r="B23" s="2129"/>
      <c r="C23" s="3611" t="s">
        <v>3145</v>
      </c>
      <c r="D23" s="3364"/>
      <c r="E23" s="3365"/>
      <c r="F23" s="3365"/>
      <c r="G23" s="3365"/>
      <c r="H23" s="3366">
        <f t="shared" si="0"/>
        <v>0</v>
      </c>
      <c r="I23" s="2113"/>
      <c r="K23" s="2114"/>
    </row>
    <row r="24" spans="1:13" ht="15.75" customHeight="1">
      <c r="B24" s="2129"/>
      <c r="C24" s="3611" t="s">
        <v>3232</v>
      </c>
      <c r="D24" s="3364"/>
      <c r="E24" s="3365"/>
      <c r="F24" s="3365"/>
      <c r="G24" s="3365"/>
      <c r="H24" s="3366">
        <f t="shared" si="0"/>
        <v>0</v>
      </c>
      <c r="I24" s="2113"/>
      <c r="K24" s="2114"/>
    </row>
    <row r="25" spans="1:13" ht="15.75" customHeight="1">
      <c r="B25" s="2129"/>
      <c r="C25" s="3611" t="s">
        <v>3233</v>
      </c>
      <c r="D25" s="3364"/>
      <c r="E25" s="3365"/>
      <c r="F25" s="3365"/>
      <c r="G25" s="3365"/>
      <c r="H25" s="3366">
        <f t="shared" si="0"/>
        <v>0</v>
      </c>
      <c r="I25" s="2113"/>
      <c r="K25" s="2114"/>
    </row>
    <row r="26" spans="1:13" ht="15.95" customHeight="1">
      <c r="B26" s="2129"/>
      <c r="C26" s="3367" t="s">
        <v>3234</v>
      </c>
      <c r="D26" s="3368"/>
      <c r="E26" s="3369">
        <f>SUM(E20:E25)</f>
        <v>0</v>
      </c>
      <c r="F26" s="3369">
        <f>SUM(F20:F25)</f>
        <v>0</v>
      </c>
      <c r="G26" s="3369">
        <f>SUM(G20:G25)</f>
        <v>0</v>
      </c>
      <c r="H26" s="3370">
        <f>SUM(H20:H25)</f>
        <v>0</v>
      </c>
      <c r="I26" s="2113"/>
      <c r="K26" s="2114"/>
    </row>
    <row r="27" spans="1:13" ht="15.95" customHeight="1">
      <c r="B27" s="2139" t="s">
        <v>3235</v>
      </c>
      <c r="C27" s="3371" t="s">
        <v>3236</v>
      </c>
      <c r="D27" s="3372"/>
      <c r="E27" s="3372"/>
      <c r="F27" s="3372"/>
      <c r="G27" s="3372"/>
      <c r="H27" s="3788"/>
      <c r="I27" s="2113"/>
      <c r="K27" s="2114"/>
    </row>
    <row r="28" spans="1:13" ht="15.95" customHeight="1">
      <c r="B28" s="2129"/>
      <c r="C28" s="3610" t="s">
        <v>3237</v>
      </c>
      <c r="D28" s="3373"/>
      <c r="E28" s="3374"/>
      <c r="F28" s="3374"/>
      <c r="G28" s="3374"/>
      <c r="H28" s="3375">
        <f>SUM(E28:G28)</f>
        <v>0</v>
      </c>
      <c r="I28" s="2113"/>
      <c r="J28" s="129"/>
      <c r="K28" s="2114"/>
    </row>
    <row r="29" spans="1:13" ht="15.95" customHeight="1">
      <c r="B29" s="2129"/>
      <c r="C29" s="3610" t="s">
        <v>3238</v>
      </c>
      <c r="D29" s="3373"/>
      <c r="E29" s="3374"/>
      <c r="F29" s="3374"/>
      <c r="G29" s="3374"/>
      <c r="H29" s="3375">
        <f>SUM(E29:G29)</f>
        <v>0</v>
      </c>
      <c r="I29" s="2113"/>
      <c r="J29" s="129"/>
      <c r="K29" s="2114"/>
    </row>
    <row r="30" spans="1:13" ht="15.95" customHeight="1">
      <c r="B30" s="2129"/>
      <c r="C30" s="3371" t="s">
        <v>3239</v>
      </c>
      <c r="D30" s="3372"/>
      <c r="E30" s="3369">
        <f>SUM(E28:E29)</f>
        <v>0</v>
      </c>
      <c r="F30" s="3369">
        <f>SUM(F28:F29)</f>
        <v>0</v>
      </c>
      <c r="G30" s="3369">
        <f>SUM(G28:G29)</f>
        <v>0</v>
      </c>
      <c r="H30" s="3369">
        <f>SUM(H28:H29)</f>
        <v>0</v>
      </c>
      <c r="I30" s="2115"/>
      <c r="K30" s="68"/>
    </row>
    <row r="31" spans="1:13" ht="15.75" customHeight="1">
      <c r="B31" s="2139" t="s">
        <v>3240</v>
      </c>
      <c r="C31" s="3371" t="s">
        <v>3241</v>
      </c>
      <c r="D31" s="3372"/>
      <c r="E31" s="3376"/>
      <c r="F31" s="3376"/>
      <c r="G31" s="3376"/>
      <c r="H31" s="3377">
        <f>SUM(E31:G31)</f>
        <v>0</v>
      </c>
      <c r="I31" s="2113"/>
      <c r="K31" s="2114"/>
    </row>
    <row r="32" spans="1:13" ht="15.75" customHeight="1">
      <c r="B32" s="2139" t="s">
        <v>3242</v>
      </c>
      <c r="C32" s="3371" t="s">
        <v>3243</v>
      </c>
      <c r="D32" s="3372"/>
      <c r="E32" s="3376"/>
      <c r="F32" s="3376"/>
      <c r="G32" s="3376"/>
      <c r="H32" s="3377">
        <f>SUM(E32:G32)</f>
        <v>0</v>
      </c>
      <c r="I32" s="2113"/>
      <c r="K32" s="2114"/>
    </row>
    <row r="33" spans="1:12" ht="15.95" customHeight="1">
      <c r="B33" s="2139" t="s">
        <v>3244</v>
      </c>
      <c r="C33" s="3371" t="s">
        <v>3245</v>
      </c>
      <c r="D33" s="3372"/>
      <c r="E33" s="3372"/>
      <c r="F33" s="3372"/>
      <c r="G33" s="3372"/>
      <c r="H33" s="3788"/>
      <c r="I33" s="2116"/>
      <c r="K33" s="68"/>
    </row>
    <row r="34" spans="1:12" ht="15.95" customHeight="1">
      <c r="C34" s="3609" t="s">
        <v>3246</v>
      </c>
      <c r="D34" s="3378"/>
      <c r="E34" s="3365">
        <v>0</v>
      </c>
      <c r="F34" s="3365"/>
      <c r="G34" s="3365"/>
      <c r="H34" s="3366">
        <f>SUM(E34:G34)</f>
        <v>0</v>
      </c>
      <c r="I34" s="2116"/>
      <c r="K34" s="68"/>
    </row>
    <row r="35" spans="1:12" ht="15.95" customHeight="1">
      <c r="C35" s="3609" t="s">
        <v>3247</v>
      </c>
      <c r="D35" s="3378"/>
      <c r="E35" s="3365"/>
      <c r="F35" s="3365"/>
      <c r="G35" s="3365"/>
      <c r="H35" s="3366">
        <f>SUM(E35:G35)</f>
        <v>0</v>
      </c>
      <c r="I35" s="2116"/>
      <c r="K35" s="68"/>
    </row>
    <row r="36" spans="1:12" ht="15.95" customHeight="1">
      <c r="C36" s="3609" t="s">
        <v>3248</v>
      </c>
      <c r="D36" s="3378"/>
      <c r="E36" s="3365"/>
      <c r="F36" s="3365"/>
      <c r="G36" s="3365"/>
      <c r="H36" s="3366">
        <f>SUM(E36:G36)</f>
        <v>0</v>
      </c>
      <c r="I36" s="2116"/>
      <c r="K36" s="68"/>
    </row>
    <row r="37" spans="1:12" ht="15.95" customHeight="1">
      <c r="C37" s="3609" t="s">
        <v>3249</v>
      </c>
      <c r="D37" s="3378"/>
      <c r="E37" s="3365"/>
      <c r="F37" s="3365"/>
      <c r="G37" s="3365"/>
      <c r="H37" s="3366">
        <f>SUM(E37:G37)</f>
        <v>0</v>
      </c>
      <c r="I37" s="2116"/>
      <c r="K37" s="68"/>
    </row>
    <row r="38" spans="1:12" ht="15.95" customHeight="1">
      <c r="C38" s="3371" t="s">
        <v>3250</v>
      </c>
      <c r="D38" s="3372"/>
      <c r="E38" s="3369">
        <f>SUM(E34:E37)</f>
        <v>0</v>
      </c>
      <c r="F38" s="3369">
        <f>SUM(F34:F37)</f>
        <v>0</v>
      </c>
      <c r="G38" s="3369">
        <f>SUM(G34:G37)</f>
        <v>0</v>
      </c>
      <c r="H38" s="3370">
        <f>SUM(H34:H37)</f>
        <v>0</v>
      </c>
      <c r="I38" s="2116"/>
      <c r="K38" s="68"/>
    </row>
    <row r="39" spans="1:12">
      <c r="B39" s="2139" t="s">
        <v>3251</v>
      </c>
      <c r="C39" s="3379" t="s">
        <v>631</v>
      </c>
      <c r="D39" s="3380"/>
      <c r="E39" s="3376"/>
      <c r="F39" s="3376"/>
      <c r="G39" s="3376"/>
      <c r="H39" s="3377">
        <f>SUM(E39:G39)</f>
        <v>0</v>
      </c>
      <c r="I39" s="2116"/>
      <c r="K39" s="68"/>
    </row>
    <row r="40" spans="1:12">
      <c r="B40" s="2139" t="s">
        <v>3252</v>
      </c>
      <c r="C40" s="3379" t="s">
        <v>3253</v>
      </c>
      <c r="D40" s="3380"/>
      <c r="E40" s="3376"/>
      <c r="F40" s="3376"/>
      <c r="G40" s="3376"/>
      <c r="H40" s="3377">
        <f>SUM(E40:G40)</f>
        <v>0</v>
      </c>
      <c r="I40" s="2116"/>
      <c r="K40" s="68"/>
    </row>
    <row r="41" spans="1:12" ht="15.95" customHeight="1">
      <c r="B41" s="2139" t="s">
        <v>3254</v>
      </c>
      <c r="C41" s="3371" t="s">
        <v>3255</v>
      </c>
      <c r="D41" s="3372"/>
      <c r="E41" s="3372"/>
      <c r="F41" s="3372"/>
      <c r="G41" s="3372"/>
      <c r="H41" s="3372"/>
      <c r="I41" s="2116"/>
      <c r="K41" s="68"/>
    </row>
    <row r="42" spans="1:12" ht="15.75" customHeight="1">
      <c r="A42" s="119"/>
      <c r="B42" s="2129"/>
      <c r="C42" s="3381" t="s">
        <v>3256</v>
      </c>
      <c r="D42" s="3382"/>
      <c r="E42" s="3365">
        <v>0</v>
      </c>
      <c r="F42" s="3365"/>
      <c r="G42" s="3365"/>
      <c r="H42" s="3366">
        <f>SUM(E42:G42)</f>
        <v>0</v>
      </c>
      <c r="I42" s="2113"/>
      <c r="K42" s="2114"/>
    </row>
    <row r="43" spans="1:12" ht="15.75" customHeight="1">
      <c r="A43" s="119"/>
      <c r="C43" s="3381" t="s">
        <v>3257</v>
      </c>
      <c r="D43" s="3384"/>
      <c r="E43" s="3365"/>
      <c r="F43" s="3365"/>
      <c r="G43" s="3365"/>
      <c r="H43" s="3366">
        <f>SUM(E43:G43)</f>
        <v>0</v>
      </c>
      <c r="I43" s="2113"/>
      <c r="K43" s="2114"/>
    </row>
    <row r="44" spans="1:12" ht="15.75" customHeight="1">
      <c r="A44" s="119"/>
      <c r="C44" s="3381" t="s">
        <v>3258</v>
      </c>
      <c r="D44" s="3382"/>
      <c r="E44" s="3365"/>
      <c r="F44" s="3365"/>
      <c r="G44" s="3365"/>
      <c r="H44" s="3366">
        <f>SUM(E44:G44)</f>
        <v>0</v>
      </c>
      <c r="I44" s="2113"/>
      <c r="K44" s="2114"/>
    </row>
    <row r="45" spans="1:12" ht="15.75" customHeight="1">
      <c r="A45" s="119"/>
      <c r="C45" s="3385" t="s">
        <v>3259</v>
      </c>
      <c r="D45" s="3384"/>
      <c r="E45" s="3386">
        <f>SUM(E42:E44)</f>
        <v>0</v>
      </c>
      <c r="F45" s="3386">
        <f>SUM(F42:F44)</f>
        <v>0</v>
      </c>
      <c r="G45" s="3386">
        <f>SUM(G42:G44)</f>
        <v>0</v>
      </c>
      <c r="H45" s="3386">
        <f>SUM(H42:H44)</f>
        <v>0</v>
      </c>
      <c r="I45" s="2113"/>
      <c r="J45" s="129"/>
      <c r="K45" s="2114"/>
      <c r="L45" s="129"/>
    </row>
    <row r="46" spans="1:12" ht="15.95" customHeight="1">
      <c r="C46" s="3387" t="s">
        <v>3260</v>
      </c>
      <c r="D46" s="3388"/>
      <c r="E46" s="3369">
        <f>E26+E30+E31+E32+E38+E39+E40+E45</f>
        <v>0</v>
      </c>
      <c r="F46" s="3369">
        <f>F26+F30+F31+F32+F38+F39+F40+F45</f>
        <v>0</v>
      </c>
      <c r="G46" s="3369">
        <f>G26+G30+G31+G32+G38+G39+G40+G45</f>
        <v>0</v>
      </c>
      <c r="H46" s="3369">
        <f>H26+H30+H31+H32+H38+H39+H40+H45</f>
        <v>0</v>
      </c>
      <c r="I46" s="2116"/>
      <c r="K46" s="68"/>
    </row>
    <row r="47" spans="1:12">
      <c r="A47" s="2117"/>
      <c r="B47" s="3389" t="s">
        <v>3261</v>
      </c>
      <c r="C47" s="3371" t="s">
        <v>3262</v>
      </c>
      <c r="D47" s="3372"/>
      <c r="E47" s="3372"/>
      <c r="F47" s="3372"/>
      <c r="G47" s="3372"/>
      <c r="H47" s="3788"/>
      <c r="I47" s="2116"/>
      <c r="K47" s="68"/>
    </row>
    <row r="48" spans="1:12" ht="15.95" customHeight="1">
      <c r="A48" s="119"/>
      <c r="B48" s="3389" t="s">
        <v>3263</v>
      </c>
      <c r="C48" s="3612" t="s">
        <v>3264</v>
      </c>
      <c r="D48" s="3390"/>
      <c r="E48" s="3391"/>
      <c r="F48" s="2694"/>
      <c r="G48" s="3789"/>
      <c r="H48" s="3392"/>
      <c r="I48" s="742"/>
      <c r="K48" s="68"/>
    </row>
    <row r="49" spans="1:12" ht="15.95" customHeight="1">
      <c r="A49" s="119"/>
      <c r="B49" s="3389" t="s">
        <v>3164</v>
      </c>
      <c r="C49" s="2118" t="s">
        <v>3265</v>
      </c>
      <c r="E49" s="3391"/>
      <c r="F49" s="2694"/>
      <c r="G49" s="3789"/>
      <c r="H49" s="3392"/>
      <c r="I49" s="2116"/>
      <c r="K49" s="68"/>
    </row>
    <row r="50" spans="1:12" ht="15.95" customHeight="1">
      <c r="A50" s="119"/>
      <c r="B50" s="3389" t="s">
        <v>3266</v>
      </c>
      <c r="C50" s="3394" t="s">
        <v>3267</v>
      </c>
      <c r="D50" s="3393"/>
      <c r="E50" s="3391"/>
      <c r="F50" s="2694"/>
      <c r="G50" s="3789"/>
      <c r="H50" s="3392"/>
      <c r="I50" s="2116"/>
      <c r="J50" s="2119"/>
      <c r="K50" s="68"/>
      <c r="L50" s="2119"/>
    </row>
    <row r="51" spans="1:12" ht="15.95" customHeight="1">
      <c r="A51" s="119"/>
      <c r="B51" s="3389" t="s">
        <v>3268</v>
      </c>
      <c r="C51" s="3394" t="s">
        <v>3269</v>
      </c>
      <c r="D51" s="3395"/>
      <c r="E51" s="3391"/>
      <c r="F51" s="2694"/>
      <c r="G51" s="3789"/>
      <c r="H51" s="3392"/>
      <c r="I51" s="2116"/>
      <c r="J51" s="2119"/>
      <c r="K51" s="68"/>
      <c r="L51" s="2119"/>
    </row>
    <row r="52" spans="1:12" ht="15.95" customHeight="1">
      <c r="B52" s="3389" t="s">
        <v>3270</v>
      </c>
      <c r="C52" s="3394" t="s">
        <v>3271</v>
      </c>
      <c r="D52" s="3393"/>
      <c r="E52" s="3391"/>
      <c r="F52" s="2694"/>
      <c r="G52" s="3789"/>
      <c r="H52" s="3392"/>
      <c r="I52" s="2116"/>
      <c r="J52" s="2119"/>
      <c r="K52" s="68"/>
      <c r="L52" s="2119"/>
    </row>
    <row r="53" spans="1:12" ht="15.95" customHeight="1">
      <c r="A53" s="119"/>
      <c r="B53" s="3396" t="s">
        <v>3272</v>
      </c>
      <c r="C53" s="3394" t="s">
        <v>3273</v>
      </c>
      <c r="D53" s="3393"/>
      <c r="E53" s="3391"/>
      <c r="F53" s="2694"/>
      <c r="G53" s="3789"/>
      <c r="H53" s="3392"/>
      <c r="I53" s="2116"/>
      <c r="K53" s="68"/>
    </row>
    <row r="54" spans="1:12" ht="15.95" customHeight="1">
      <c r="B54" s="3396" t="s">
        <v>3274</v>
      </c>
      <c r="C54" s="3394" t="s">
        <v>3275</v>
      </c>
      <c r="D54" s="3393"/>
      <c r="E54" s="3391"/>
      <c r="F54" s="2694"/>
      <c r="G54" s="3789"/>
      <c r="H54" s="3392"/>
      <c r="I54" s="2116"/>
      <c r="K54" s="68"/>
    </row>
    <row r="55" spans="1:12" ht="15.95" customHeight="1">
      <c r="B55" s="3396" t="s">
        <v>3276</v>
      </c>
      <c r="C55" s="3394" t="s">
        <v>3277</v>
      </c>
      <c r="D55" s="3393"/>
      <c r="E55" s="3391"/>
      <c r="F55" s="2694"/>
      <c r="G55" s="3789"/>
      <c r="H55" s="3392"/>
      <c r="I55" s="2116"/>
      <c r="K55" s="68"/>
    </row>
    <row r="56" spans="1:12" ht="15.95" customHeight="1">
      <c r="B56" s="3389" t="s">
        <v>3278</v>
      </c>
      <c r="C56" s="3394" t="s">
        <v>3279</v>
      </c>
      <c r="D56" s="3393"/>
      <c r="E56" s="3391"/>
      <c r="F56" s="2694"/>
      <c r="G56" s="3789"/>
      <c r="H56" s="3392"/>
      <c r="I56" s="2113"/>
      <c r="K56" s="2114"/>
    </row>
    <row r="57" spans="1:12" ht="15.95" customHeight="1">
      <c r="B57" s="3389" t="s">
        <v>3280</v>
      </c>
      <c r="C57" s="3394" t="s">
        <v>3281</v>
      </c>
      <c r="D57" s="3393"/>
      <c r="E57" s="3391"/>
      <c r="F57" s="2694"/>
      <c r="G57" s="3789"/>
      <c r="H57" s="3392"/>
      <c r="I57" s="2115"/>
      <c r="K57" s="68"/>
    </row>
    <row r="58" spans="1:12" ht="15.95" customHeight="1">
      <c r="A58" s="119"/>
      <c r="B58" s="3389" t="s">
        <v>3282</v>
      </c>
      <c r="C58" s="3394" t="s">
        <v>3283</v>
      </c>
      <c r="D58" s="3393"/>
      <c r="E58" s="3391"/>
      <c r="F58" s="2694"/>
      <c r="G58" s="3789"/>
      <c r="H58" s="3392"/>
      <c r="I58" s="2120"/>
      <c r="K58" s="2535"/>
    </row>
    <row r="59" spans="1:12" ht="15.95" customHeight="1">
      <c r="A59" s="119"/>
      <c r="B59" s="119"/>
      <c r="C59" s="3385" t="s">
        <v>3284</v>
      </c>
      <c r="D59" s="3372"/>
      <c r="E59" s="3397"/>
      <c r="F59" s="3398"/>
      <c r="G59" s="3790"/>
      <c r="H59" s="3370">
        <f>SUM(H48:H58)</f>
        <v>0</v>
      </c>
      <c r="I59" s="2120"/>
      <c r="K59" s="2535"/>
    </row>
    <row r="60" spans="1:12" ht="15.95" customHeight="1">
      <c r="C60" s="3371" t="s">
        <v>3285</v>
      </c>
      <c r="D60" s="3372"/>
      <c r="E60" s="3372"/>
      <c r="F60" s="3372"/>
      <c r="G60" s="3372"/>
      <c r="H60" s="3788"/>
      <c r="I60" s="2120"/>
      <c r="K60" s="2535"/>
    </row>
    <row r="61" spans="1:12" ht="15.95" customHeight="1">
      <c r="B61" s="2139" t="s">
        <v>3286</v>
      </c>
      <c r="C61" s="3399" t="s">
        <v>3287</v>
      </c>
      <c r="D61" s="3400"/>
      <c r="E61" s="3400"/>
      <c r="F61" s="3400"/>
      <c r="G61" s="3400"/>
      <c r="H61" s="3791"/>
      <c r="I61" s="742"/>
      <c r="J61" s="129"/>
      <c r="K61" s="2535"/>
      <c r="L61" s="129"/>
    </row>
    <row r="62" spans="1:12" ht="15.95" customHeight="1">
      <c r="B62" s="2139"/>
      <c r="C62" s="3613" t="s">
        <v>3288</v>
      </c>
      <c r="D62" s="3401"/>
      <c r="E62" s="3365">
        <v>0</v>
      </c>
      <c r="F62" s="3365"/>
      <c r="G62" s="3365"/>
      <c r="H62" s="3366">
        <f>SUM(E62:G62)</f>
        <v>0</v>
      </c>
      <c r="I62" s="2116"/>
      <c r="J62" s="129"/>
      <c r="K62" s="2535"/>
      <c r="L62" s="129"/>
    </row>
    <row r="63" spans="1:12" ht="15.95" customHeight="1">
      <c r="B63" s="2139"/>
      <c r="C63" s="3613" t="s">
        <v>3145</v>
      </c>
      <c r="D63" s="3400"/>
      <c r="E63" s="3365"/>
      <c r="F63" s="3365"/>
      <c r="G63" s="3365"/>
      <c r="H63" s="3366">
        <f>SUM(E63:G63)</f>
        <v>0</v>
      </c>
      <c r="I63" s="2120"/>
      <c r="K63" s="2535"/>
    </row>
    <row r="64" spans="1:12" ht="15.95" customHeight="1">
      <c r="B64" s="2129"/>
      <c r="C64" s="3613" t="s">
        <v>3246</v>
      </c>
      <c r="D64" s="3401"/>
      <c r="E64" s="3365"/>
      <c r="F64" s="3365"/>
      <c r="G64" s="3365"/>
      <c r="H64" s="3366">
        <f>SUM(E64:G64)</f>
        <v>0</v>
      </c>
      <c r="I64" s="2120"/>
      <c r="K64" s="2535"/>
    </row>
    <row r="65" spans="2:11" ht="15.95" customHeight="1">
      <c r="B65" s="2129"/>
      <c r="C65" s="3383" t="s">
        <v>3289</v>
      </c>
      <c r="D65" s="3372"/>
      <c r="E65" s="3369">
        <f>SUM(E62:E64)</f>
        <v>0</v>
      </c>
      <c r="F65" s="3369">
        <f>SUM(F62:F64)</f>
        <v>0</v>
      </c>
      <c r="G65" s="3369">
        <f>SUM(G62:G64)</f>
        <v>0</v>
      </c>
      <c r="H65" s="3370">
        <f>SUM(H62:H64)</f>
        <v>0</v>
      </c>
      <c r="I65" s="2116"/>
      <c r="K65" s="68"/>
    </row>
    <row r="66" spans="2:11" ht="15.95" customHeight="1">
      <c r="B66" s="2139" t="s">
        <v>3290</v>
      </c>
      <c r="C66" s="3399" t="s">
        <v>3291</v>
      </c>
      <c r="D66" s="3400"/>
      <c r="E66" s="3376"/>
      <c r="F66" s="3376"/>
      <c r="G66" s="3376"/>
      <c r="H66" s="3377">
        <f>SUM(E66:G66)</f>
        <v>0</v>
      </c>
      <c r="I66" s="2120"/>
      <c r="K66" s="2535"/>
    </row>
    <row r="67" spans="2:11" ht="15.95" customHeight="1">
      <c r="B67" s="2121"/>
      <c r="C67" s="3371" t="s">
        <v>3292</v>
      </c>
      <c r="D67" s="3372"/>
      <c r="E67" s="3402"/>
      <c r="F67" s="3402"/>
      <c r="G67" s="3792"/>
      <c r="H67" s="3370">
        <f>H65+H66</f>
        <v>0</v>
      </c>
      <c r="I67" s="2120"/>
      <c r="K67" s="2535"/>
    </row>
    <row r="68" spans="2:11" ht="12.75" customHeight="1">
      <c r="B68" s="2139" t="s">
        <v>3293</v>
      </c>
      <c r="C68" s="3403" t="s">
        <v>3294</v>
      </c>
      <c r="D68" s="3404"/>
      <c r="E68" s="3404"/>
      <c r="F68" s="3404"/>
      <c r="G68" s="3793"/>
      <c r="H68" s="3033" t="s">
        <v>3295</v>
      </c>
      <c r="I68" s="2112"/>
      <c r="K68" s="2521"/>
    </row>
    <row r="69" spans="2:11">
      <c r="B69" s="119"/>
      <c r="C69" s="3612" t="s">
        <v>3141</v>
      </c>
      <c r="D69" s="3405"/>
      <c r="E69" s="3406"/>
      <c r="F69" s="3406"/>
      <c r="G69" s="3406"/>
      <c r="H69" s="3365"/>
      <c r="I69" s="2521"/>
      <c r="K69" s="2521"/>
    </row>
    <row r="70" spans="2:11">
      <c r="B70" s="119"/>
      <c r="C70" s="3614" t="s">
        <v>3143</v>
      </c>
      <c r="D70" s="3407"/>
      <c r="E70" s="3406"/>
      <c r="F70" s="3406"/>
      <c r="G70" s="3406"/>
      <c r="H70" s="3365"/>
      <c r="I70" s="2521"/>
      <c r="K70" s="2521"/>
    </row>
    <row r="71" spans="2:11">
      <c r="B71" s="119"/>
      <c r="C71" s="3614" t="s">
        <v>3142</v>
      </c>
      <c r="D71" s="3407"/>
      <c r="E71" s="3406"/>
      <c r="F71" s="3406"/>
      <c r="G71" s="3406"/>
      <c r="H71" s="3365"/>
      <c r="I71" s="2521"/>
      <c r="K71" s="2521"/>
    </row>
    <row r="72" spans="2:11">
      <c r="B72" s="119"/>
      <c r="C72" s="3612" t="s">
        <v>3296</v>
      </c>
      <c r="D72" s="3408"/>
      <c r="E72" s="3406"/>
      <c r="F72" s="3406"/>
      <c r="G72" s="3406"/>
      <c r="H72" s="3365"/>
      <c r="I72" s="2521"/>
      <c r="K72" s="2521"/>
    </row>
    <row r="73" spans="2:11">
      <c r="B73" s="119"/>
      <c r="C73" s="3612" t="s">
        <v>3140</v>
      </c>
      <c r="D73" s="3405"/>
      <c r="E73" s="3406"/>
      <c r="F73" s="3406"/>
      <c r="G73" s="3406"/>
      <c r="H73" s="3365"/>
      <c r="I73" s="2521"/>
      <c r="K73" s="2521"/>
    </row>
    <row r="74" spans="2:11">
      <c r="B74" s="119"/>
      <c r="C74" s="3610" t="s">
        <v>3237</v>
      </c>
      <c r="D74" s="3373"/>
      <c r="E74" s="3406"/>
      <c r="F74" s="3406"/>
      <c r="G74" s="3406"/>
      <c r="H74" s="3365"/>
      <c r="I74" s="2521"/>
      <c r="K74" s="2521"/>
    </row>
    <row r="75" spans="2:11" ht="12.75" customHeight="1">
      <c r="B75" s="119"/>
      <c r="C75" s="3383" t="s">
        <v>3297</v>
      </c>
      <c r="D75" s="3409"/>
      <c r="E75" s="3406"/>
      <c r="F75" s="3406"/>
      <c r="G75" s="3406"/>
      <c r="H75" s="3365"/>
      <c r="I75" s="2521"/>
      <c r="K75" s="2521"/>
    </row>
    <row r="76" spans="2:11">
      <c r="B76" s="119"/>
      <c r="C76" s="3383" t="s">
        <v>3150</v>
      </c>
      <c r="D76" s="3409"/>
      <c r="E76" s="3406"/>
      <c r="F76" s="3406"/>
      <c r="G76" s="3406"/>
      <c r="H76" s="3365"/>
      <c r="I76" s="2521"/>
      <c r="K76" s="2521"/>
    </row>
    <row r="77" spans="2:11">
      <c r="B77" s="119"/>
      <c r="C77" s="3383" t="s">
        <v>3253</v>
      </c>
      <c r="D77" s="3410"/>
      <c r="E77" s="3406"/>
      <c r="F77" s="3406"/>
      <c r="G77" s="3406"/>
      <c r="H77" s="3365"/>
      <c r="I77" s="2521"/>
      <c r="K77" s="2521"/>
    </row>
    <row r="78" spans="2:11" ht="12.75" customHeight="1">
      <c r="B78" s="119"/>
      <c r="C78" s="3615" t="s">
        <v>3298</v>
      </c>
      <c r="D78" s="3404"/>
      <c r="E78" s="3406"/>
      <c r="F78" s="3406"/>
      <c r="G78" s="3406"/>
      <c r="H78" s="3370">
        <f>SUM(H69:H77)</f>
        <v>0</v>
      </c>
      <c r="I78" s="2521"/>
      <c r="K78" s="2521"/>
    </row>
    <row r="79" spans="2:11">
      <c r="B79" s="119"/>
      <c r="C79" s="3403" t="s">
        <v>3299</v>
      </c>
      <c r="D79" s="3404"/>
      <c r="E79" s="3406"/>
      <c r="F79" s="3406"/>
      <c r="G79" s="3406"/>
      <c r="H79" s="3370">
        <f>H46+H59+H78</f>
        <v>0</v>
      </c>
      <c r="I79" s="742"/>
      <c r="K79" s="2521"/>
    </row>
    <row r="80" spans="2:11" s="1483" customFormat="1" ht="12.75" customHeight="1">
      <c r="B80" s="1510"/>
    </row>
    <row r="81" spans="2:13" s="1483" customFormat="1" ht="12.75" customHeight="1">
      <c r="B81" s="3928" t="s">
        <v>4108</v>
      </c>
      <c r="C81" s="3928"/>
      <c r="D81" s="3928"/>
      <c r="E81" s="3928"/>
      <c r="F81" s="3928"/>
      <c r="G81" s="3928"/>
      <c r="H81" s="3927">
        <f>'Adjustment Form'!G18+'Adjustment Form'!G32</f>
        <v>0</v>
      </c>
    </row>
    <row r="82" spans="2:13" s="1483" customFormat="1" ht="12.75" customHeight="1">
      <c r="B82" s="3929"/>
      <c r="C82" s="3929"/>
      <c r="D82" s="3929"/>
      <c r="E82" s="3929"/>
      <c r="F82" s="3929"/>
      <c r="G82" s="3929"/>
      <c r="H82" s="2124"/>
      <c r="I82" s="2105"/>
    </row>
    <row r="83" spans="2:13" s="1483" customFormat="1" ht="12.75" customHeight="1">
      <c r="B83" s="3930" t="s">
        <v>3301</v>
      </c>
      <c r="C83" s="3930"/>
      <c r="D83" s="3930"/>
      <c r="E83" s="3930"/>
      <c r="F83" s="3930"/>
      <c r="G83" s="3930"/>
      <c r="H83" s="2198"/>
      <c r="I83" s="2123"/>
    </row>
    <row r="84" spans="2:13" ht="13.15" customHeight="1">
      <c r="B84" s="129"/>
      <c r="C84" s="2122"/>
      <c r="D84" s="2122"/>
      <c r="E84" s="2123"/>
      <c r="F84" s="2123"/>
      <c r="G84" s="2123"/>
      <c r="H84" s="2123"/>
      <c r="I84" s="2123"/>
    </row>
    <row r="85" spans="2:13" ht="7.15" customHeight="1">
      <c r="B85" s="2124"/>
      <c r="C85" s="2124"/>
      <c r="D85" s="2124"/>
      <c r="E85" s="2124"/>
      <c r="F85" s="2124"/>
      <c r="G85" s="2124"/>
      <c r="H85" s="2124"/>
      <c r="I85" s="2105"/>
    </row>
    <row r="86" spans="2:13" s="129" customFormat="1" ht="13.15" customHeight="1">
      <c r="B86" s="2198" t="s">
        <v>3301</v>
      </c>
      <c r="C86" s="2198"/>
      <c r="D86" s="2198"/>
      <c r="E86" s="2198"/>
      <c r="F86" s="2198"/>
      <c r="G86" s="2198"/>
      <c r="H86" s="2198"/>
      <c r="I86" s="2123"/>
      <c r="J86" s="743"/>
      <c r="K86" s="743"/>
      <c r="M86" s="68"/>
    </row>
    <row r="87" spans="2:13" s="129" customFormat="1" ht="7.5" customHeight="1">
      <c r="C87" s="2122"/>
      <c r="D87" s="2122"/>
      <c r="E87" s="2123"/>
      <c r="F87" s="2123"/>
      <c r="G87" s="2123"/>
      <c r="H87" s="2123"/>
      <c r="I87" s="2123"/>
      <c r="J87" s="743"/>
      <c r="K87" s="743"/>
      <c r="M87" s="68"/>
    </row>
    <row r="88" spans="2:13" s="129" customFormat="1" ht="15.95" customHeight="1">
      <c r="B88" s="2108" t="s">
        <v>3302</v>
      </c>
      <c r="D88" s="2122"/>
      <c r="E88" s="2123"/>
      <c r="F88" s="2123"/>
      <c r="G88" s="2123"/>
      <c r="H88" s="2123"/>
      <c r="I88" s="2123"/>
      <c r="J88" s="743"/>
      <c r="K88" s="743"/>
      <c r="M88" s="68"/>
    </row>
    <row r="89" spans="2:13" ht="15.75" customHeight="1">
      <c r="B89" s="2125" t="s">
        <v>3303</v>
      </c>
      <c r="C89" s="3243"/>
      <c r="D89" s="2695"/>
      <c r="E89" s="2695"/>
      <c r="F89" s="2695"/>
      <c r="G89" s="2695"/>
      <c r="H89" s="2695"/>
      <c r="I89" s="2116"/>
      <c r="J89" s="743"/>
      <c r="L89" s="68"/>
    </row>
    <row r="90" spans="2:13" ht="15.75" customHeight="1">
      <c r="B90" s="2125" t="s">
        <v>3304</v>
      </c>
      <c r="C90" s="3243"/>
      <c r="D90" s="2695"/>
      <c r="E90" s="2695"/>
      <c r="F90" s="2695"/>
      <c r="G90" s="2695"/>
      <c r="H90" s="2695"/>
      <c r="I90" s="2116"/>
      <c r="J90" s="743"/>
      <c r="L90" s="68"/>
    </row>
    <row r="91" spans="2:13" ht="15.75" customHeight="1">
      <c r="B91" s="2125" t="s">
        <v>3305</v>
      </c>
      <c r="C91" s="3243"/>
      <c r="D91" s="2695"/>
      <c r="E91" s="2695"/>
      <c r="F91" s="2695"/>
      <c r="G91" s="2695"/>
      <c r="H91" s="2695"/>
      <c r="I91" s="2116"/>
      <c r="J91" s="743"/>
      <c r="L91" s="68"/>
    </row>
    <row r="92" spans="2:13" ht="15.75" customHeight="1">
      <c r="B92" s="2125" t="s">
        <v>3306</v>
      </c>
      <c r="C92" s="3243"/>
      <c r="D92" s="2695"/>
      <c r="E92" s="2695"/>
      <c r="F92" s="2695"/>
      <c r="G92" s="2695"/>
      <c r="H92" s="2695"/>
      <c r="I92" s="2116"/>
      <c r="J92" s="743"/>
      <c r="L92" s="68"/>
    </row>
    <row r="93" spans="2:13" ht="15.75" customHeight="1">
      <c r="B93" s="2125" t="s">
        <v>3307</v>
      </c>
      <c r="C93" s="3243"/>
      <c r="D93" s="2695"/>
      <c r="E93" s="2695"/>
      <c r="F93" s="2695"/>
      <c r="G93" s="2695"/>
      <c r="H93" s="2695"/>
      <c r="I93" s="2116"/>
      <c r="J93" s="743"/>
      <c r="L93" s="68"/>
    </row>
    <row r="94" spans="2:13" ht="15.75" customHeight="1">
      <c r="B94" s="2125" t="s">
        <v>3308</v>
      </c>
      <c r="C94" s="3243"/>
      <c r="D94" s="2695"/>
      <c r="E94" s="2695"/>
      <c r="F94" s="2695"/>
      <c r="G94" s="2695"/>
      <c r="H94" s="2695"/>
      <c r="I94" s="2116"/>
      <c r="J94" s="743"/>
      <c r="L94" s="68"/>
    </row>
    <row r="95" spans="2:13" ht="15.75" customHeight="1">
      <c r="B95" s="2125" t="s">
        <v>3309</v>
      </c>
      <c r="C95" s="3243"/>
      <c r="D95" s="2695"/>
      <c r="E95" s="2695"/>
      <c r="F95" s="2695"/>
      <c r="G95" s="2695"/>
      <c r="H95" s="2695"/>
      <c r="I95" s="2116"/>
      <c r="J95" s="743"/>
      <c r="L95" s="68"/>
    </row>
    <row r="96" spans="2:13" ht="15.75" customHeight="1">
      <c r="B96" s="2125" t="s">
        <v>3310</v>
      </c>
      <c r="C96" s="3243"/>
      <c r="D96" s="2695"/>
      <c r="E96" s="2695"/>
      <c r="F96" s="2695"/>
      <c r="G96" s="2695"/>
      <c r="H96" s="2695"/>
      <c r="I96" s="2116"/>
      <c r="J96" s="743"/>
      <c r="L96" s="68"/>
    </row>
    <row r="97" spans="2:13" ht="15.75" customHeight="1">
      <c r="B97" s="2125" t="s">
        <v>3311</v>
      </c>
      <c r="C97" s="3243"/>
      <c r="D97" s="2695"/>
      <c r="E97" s="2695"/>
      <c r="F97" s="2695"/>
      <c r="G97" s="2695"/>
      <c r="H97" s="2695"/>
      <c r="I97" s="2116"/>
      <c r="J97" s="743"/>
      <c r="L97" s="68"/>
    </row>
    <row r="98" spans="2:13" s="129" customFormat="1" ht="8.25" customHeight="1">
      <c r="B98" s="2126"/>
      <c r="C98" s="2697"/>
      <c r="D98" s="2697"/>
      <c r="E98" s="2697"/>
      <c r="F98" s="2697"/>
      <c r="G98" s="2697"/>
      <c r="H98" s="2697"/>
      <c r="I98" s="2697"/>
      <c r="J98" s="743"/>
      <c r="K98" s="743"/>
      <c r="M98" s="68"/>
    </row>
    <row r="99" spans="2:13" ht="15.95" customHeight="1">
      <c r="B99" s="2108" t="s">
        <v>3312</v>
      </c>
      <c r="D99" s="2535"/>
      <c r="E99" s="2127"/>
      <c r="F99" s="2127"/>
      <c r="G99" s="2127"/>
      <c r="H99" s="2127"/>
      <c r="I99" s="2127"/>
      <c r="J99" s="743"/>
      <c r="K99" s="743"/>
      <c r="M99" s="68"/>
    </row>
    <row r="100" spans="2:13" ht="15.75" customHeight="1">
      <c r="B100" s="2125" t="s">
        <v>3303</v>
      </c>
      <c r="C100" s="3243"/>
      <c r="D100" s="2695"/>
      <c r="E100" s="2695"/>
      <c r="F100" s="2695"/>
      <c r="G100" s="2695"/>
      <c r="H100" s="2695"/>
      <c r="I100" s="2116"/>
      <c r="J100" s="743"/>
      <c r="L100" s="68"/>
    </row>
    <row r="101" spans="2:13" ht="15.75" customHeight="1">
      <c r="B101" s="2125" t="s">
        <v>3304</v>
      </c>
      <c r="C101" s="3243"/>
      <c r="D101" s="2695"/>
      <c r="E101" s="2695"/>
      <c r="F101" s="2695"/>
      <c r="G101" s="2695"/>
      <c r="H101" s="2695"/>
      <c r="I101" s="2116"/>
      <c r="J101" s="743"/>
      <c r="L101" s="68"/>
    </row>
    <row r="102" spans="2:13" ht="15.75" customHeight="1">
      <c r="B102" s="2125" t="s">
        <v>3305</v>
      </c>
      <c r="C102" s="3243"/>
      <c r="D102" s="2695"/>
      <c r="E102" s="2695"/>
      <c r="F102" s="2695"/>
      <c r="G102" s="2695"/>
      <c r="H102" s="2695"/>
      <c r="I102" s="2116"/>
      <c r="J102" s="743"/>
      <c r="L102" s="68"/>
    </row>
    <row r="103" spans="2:13" ht="15.75" customHeight="1">
      <c r="B103" s="2125" t="s">
        <v>3306</v>
      </c>
      <c r="C103" s="3243"/>
      <c r="D103" s="2695"/>
      <c r="E103" s="2695"/>
      <c r="F103" s="2695"/>
      <c r="G103" s="2695"/>
      <c r="H103" s="2695"/>
      <c r="I103" s="2116"/>
      <c r="J103" s="743"/>
      <c r="L103" s="68"/>
    </row>
    <row r="104" spans="2:13" ht="15.75" customHeight="1">
      <c r="B104" s="2125" t="s">
        <v>3307</v>
      </c>
      <c r="C104" s="3243"/>
      <c r="D104" s="2695"/>
      <c r="E104" s="2695"/>
      <c r="F104" s="2695"/>
      <c r="G104" s="2695"/>
      <c r="H104" s="2695"/>
      <c r="I104" s="2116"/>
      <c r="J104" s="743"/>
      <c r="L104" s="68"/>
    </row>
    <row r="105" spans="2:13" ht="15.75" customHeight="1">
      <c r="B105" s="2125" t="s">
        <v>3308</v>
      </c>
      <c r="C105" s="3243"/>
      <c r="D105" s="2695"/>
      <c r="E105" s="2695"/>
      <c r="F105" s="2695"/>
      <c r="G105" s="2695"/>
      <c r="H105" s="2695"/>
      <c r="I105" s="2116"/>
      <c r="J105" s="743"/>
      <c r="L105" s="68"/>
    </row>
    <row r="106" spans="2:13" ht="15.75" customHeight="1">
      <c r="B106" s="2125" t="s">
        <v>3309</v>
      </c>
      <c r="C106" s="3243"/>
      <c r="D106" s="2695"/>
      <c r="E106" s="2695"/>
      <c r="F106" s="2695"/>
      <c r="G106" s="2695"/>
      <c r="H106" s="2695"/>
      <c r="I106" s="2116"/>
      <c r="J106" s="743"/>
      <c r="L106" s="68"/>
    </row>
    <row r="107" spans="2:13" ht="15.75" customHeight="1">
      <c r="B107" s="2125" t="s">
        <v>3310</v>
      </c>
      <c r="C107" s="3243"/>
      <c r="D107" s="2695"/>
      <c r="E107" s="2695"/>
      <c r="F107" s="2695"/>
      <c r="G107" s="2695"/>
      <c r="H107" s="2695"/>
      <c r="I107" s="2116"/>
      <c r="J107" s="743"/>
      <c r="L107" s="68"/>
    </row>
    <row r="108" spans="2:13" ht="15.75" customHeight="1">
      <c r="B108" s="2125" t="s">
        <v>3311</v>
      </c>
      <c r="C108" s="3243"/>
      <c r="D108" s="2695"/>
      <c r="E108" s="2695"/>
      <c r="F108" s="2695"/>
      <c r="G108" s="2695"/>
      <c r="H108" s="2695"/>
      <c r="I108" s="2116"/>
      <c r="J108" s="743"/>
      <c r="L108" s="68"/>
    </row>
    <row r="109" spans="2:13" s="129" customFormat="1" ht="8.25" customHeight="1">
      <c r="B109" s="2126"/>
      <c r="C109" s="2697"/>
      <c r="D109" s="2697"/>
      <c r="E109" s="2697"/>
      <c r="F109" s="2697"/>
      <c r="G109" s="2697"/>
      <c r="H109" s="2697"/>
      <c r="I109" s="2697"/>
      <c r="J109" s="743"/>
      <c r="K109" s="743"/>
      <c r="M109" s="68"/>
    </row>
    <row r="110" spans="2:13" ht="15.95" customHeight="1">
      <c r="B110" s="2108" t="s">
        <v>3313</v>
      </c>
      <c r="D110" s="2535"/>
      <c r="E110" s="2127"/>
      <c r="F110" s="2127"/>
      <c r="G110" s="2127"/>
      <c r="H110" s="2127"/>
      <c r="I110" s="2127"/>
      <c r="J110" s="743"/>
      <c r="K110" s="743"/>
      <c r="M110" s="68"/>
    </row>
    <row r="111" spans="2:13" ht="15.75" customHeight="1">
      <c r="B111" s="2125" t="s">
        <v>3303</v>
      </c>
      <c r="C111" s="3243"/>
      <c r="D111" s="2695"/>
      <c r="E111" s="2695"/>
      <c r="F111" s="2695"/>
      <c r="G111" s="2695"/>
      <c r="H111" s="2695"/>
      <c r="I111" s="2116"/>
      <c r="J111" s="743"/>
      <c r="L111" s="68"/>
    </row>
    <row r="112" spans="2:13" ht="15.75" customHeight="1">
      <c r="B112" s="2125" t="s">
        <v>3304</v>
      </c>
      <c r="C112" s="3243"/>
      <c r="D112" s="2695"/>
      <c r="E112" s="2695"/>
      <c r="F112" s="2695"/>
      <c r="G112" s="2695"/>
      <c r="H112" s="2695"/>
      <c r="I112" s="2116"/>
      <c r="J112" s="743"/>
      <c r="L112" s="68"/>
    </row>
    <row r="113" spans="1:13" ht="15.75" customHeight="1">
      <c r="B113" s="2125" t="s">
        <v>3305</v>
      </c>
      <c r="C113" s="3243"/>
      <c r="D113" s="2695"/>
      <c r="E113" s="2695"/>
      <c r="F113" s="2695"/>
      <c r="G113" s="2695"/>
      <c r="H113" s="2695"/>
      <c r="I113" s="2116"/>
      <c r="J113" s="743"/>
      <c r="L113" s="68"/>
    </row>
    <row r="114" spans="1:13" ht="15.75" customHeight="1">
      <c r="B114" s="2125" t="s">
        <v>3306</v>
      </c>
      <c r="C114" s="3243"/>
      <c r="D114" s="2695"/>
      <c r="E114" s="2695"/>
      <c r="F114" s="2695"/>
      <c r="G114" s="2695"/>
      <c r="H114" s="2695"/>
      <c r="I114" s="2116"/>
      <c r="J114" s="743"/>
      <c r="L114" s="68"/>
    </row>
    <row r="115" spans="1:13" ht="15.75" customHeight="1">
      <c r="B115" s="2125" t="s">
        <v>3307</v>
      </c>
      <c r="C115" s="3243"/>
      <c r="D115" s="2695"/>
      <c r="E115" s="2695"/>
      <c r="F115" s="2695"/>
      <c r="G115" s="2695"/>
      <c r="H115" s="2695"/>
      <c r="I115" s="2116"/>
      <c r="J115" s="743"/>
      <c r="L115" s="68"/>
    </row>
    <row r="116" spans="1:13" ht="15.75" customHeight="1">
      <c r="B116" s="2125" t="s">
        <v>3308</v>
      </c>
      <c r="C116" s="3243"/>
      <c r="D116" s="2695"/>
      <c r="E116" s="2695"/>
      <c r="F116" s="2695"/>
      <c r="G116" s="2695"/>
      <c r="H116" s="2695"/>
      <c r="I116" s="2116"/>
      <c r="J116" s="743"/>
      <c r="L116" s="68"/>
    </row>
    <row r="117" spans="1:13" ht="15.75" customHeight="1">
      <c r="B117" s="2125" t="s">
        <v>3309</v>
      </c>
      <c r="C117" s="3243"/>
      <c r="D117" s="2695"/>
      <c r="E117" s="2695"/>
      <c r="F117" s="2695"/>
      <c r="G117" s="2695"/>
      <c r="H117" s="2695"/>
      <c r="I117" s="2116"/>
      <c r="J117" s="743"/>
      <c r="L117" s="68"/>
    </row>
    <row r="118" spans="1:13" ht="15.75" customHeight="1">
      <c r="B118" s="2125" t="s">
        <v>3310</v>
      </c>
      <c r="C118" s="3254"/>
      <c r="D118" s="2696"/>
      <c r="E118" s="2696"/>
      <c r="F118" s="2696"/>
      <c r="G118" s="2696"/>
      <c r="H118" s="2696"/>
      <c r="I118" s="2116"/>
      <c r="J118" s="743"/>
      <c r="L118" s="68"/>
    </row>
    <row r="119" spans="1:13" ht="15.75" customHeight="1">
      <c r="B119" s="2125" t="s">
        <v>3311</v>
      </c>
      <c r="C119" s="3254"/>
      <c r="D119" s="2696"/>
      <c r="E119" s="2696"/>
      <c r="F119" s="2696"/>
      <c r="G119" s="2696"/>
      <c r="H119" s="2696"/>
      <c r="I119" s="2116"/>
      <c r="J119" s="743"/>
      <c r="L119" s="68"/>
    </row>
    <row r="120" spans="1:13" ht="15.95" customHeight="1">
      <c r="A120" s="119"/>
      <c r="D120" s="2535"/>
      <c r="E120" s="2127"/>
      <c r="F120" s="2127"/>
      <c r="G120" s="2127"/>
      <c r="H120" s="2127"/>
      <c r="I120" s="2127"/>
      <c r="J120" s="743"/>
      <c r="K120" s="743"/>
      <c r="M120" s="68"/>
    </row>
    <row r="121" spans="1:13" ht="38.25">
      <c r="A121" s="2110" t="s">
        <v>3314</v>
      </c>
      <c r="C121" s="2522" t="s">
        <v>3315</v>
      </c>
      <c r="D121" s="2535"/>
      <c r="E121" s="3033" t="s">
        <v>3316</v>
      </c>
      <c r="F121" s="3033" t="s">
        <v>3317</v>
      </c>
      <c r="G121" s="3033" t="s">
        <v>3318</v>
      </c>
      <c r="H121" s="3411" t="s">
        <v>3319</v>
      </c>
      <c r="I121" s="2128"/>
      <c r="J121" s="743"/>
      <c r="K121" s="743"/>
      <c r="M121" s="68"/>
    </row>
    <row r="122" spans="1:13" ht="15.95" customHeight="1">
      <c r="B122" s="2129" t="s">
        <v>3263</v>
      </c>
      <c r="C122" s="3381" t="str">
        <f>C48</f>
        <v>Domestic bonds and notes commingled funds</v>
      </c>
      <c r="D122" s="3382"/>
      <c r="E122" s="3365">
        <v>0</v>
      </c>
      <c r="F122" s="3412"/>
      <c r="G122" s="3412"/>
      <c r="H122" s="3413">
        <f t="shared" ref="H122:H128" si="1">H48</f>
        <v>0</v>
      </c>
      <c r="I122" s="2130"/>
      <c r="J122" s="743"/>
      <c r="K122" s="743"/>
      <c r="M122" s="68"/>
    </row>
    <row r="123" spans="1:13" ht="15.95" customHeight="1">
      <c r="B123" s="2129" t="s">
        <v>3164</v>
      </c>
      <c r="C123" s="3381" t="str">
        <f>C49</f>
        <v>Domestic equity commingled funds</v>
      </c>
      <c r="D123" s="3382"/>
      <c r="E123" s="3365"/>
      <c r="F123" s="3412"/>
      <c r="G123" s="3412"/>
      <c r="H123" s="3413">
        <f t="shared" si="1"/>
        <v>0</v>
      </c>
      <c r="I123" s="2130"/>
      <c r="J123" s="743"/>
      <c r="K123" s="743"/>
      <c r="M123" s="68"/>
    </row>
    <row r="124" spans="1:13" ht="15.95" customHeight="1">
      <c r="B124" s="2129" t="s">
        <v>3266</v>
      </c>
      <c r="C124" s="3381" t="str">
        <f>C50</f>
        <v>International equity commingled funds</v>
      </c>
      <c r="D124" s="3382"/>
      <c r="E124" s="3365">
        <v>0</v>
      </c>
      <c r="F124" s="3412"/>
      <c r="G124" s="3412"/>
      <c r="H124" s="3413">
        <f t="shared" si="1"/>
        <v>0</v>
      </c>
      <c r="I124" s="2130"/>
      <c r="J124" s="743"/>
      <c r="K124" s="743"/>
      <c r="M124" s="68"/>
    </row>
    <row r="125" spans="1:13" ht="15.95" customHeight="1">
      <c r="B125" s="2129" t="s">
        <v>3268</v>
      </c>
      <c r="C125" s="3414" t="s">
        <v>3269</v>
      </c>
      <c r="D125" s="3415"/>
      <c r="E125" s="3365">
        <v>0</v>
      </c>
      <c r="F125" s="3412"/>
      <c r="G125" s="3412"/>
      <c r="H125" s="3413">
        <f t="shared" si="1"/>
        <v>0</v>
      </c>
      <c r="I125" s="2130"/>
      <c r="J125" s="743"/>
      <c r="K125" s="743"/>
      <c r="M125" s="68"/>
    </row>
    <row r="126" spans="1:13">
      <c r="B126" s="2129" t="s">
        <v>3270</v>
      </c>
      <c r="C126" s="3381" t="str">
        <f>C52</f>
        <v>Real estate investments (directly owned)</v>
      </c>
      <c r="D126" s="3382"/>
      <c r="E126" s="3365"/>
      <c r="F126" s="3412"/>
      <c r="G126" s="3412"/>
      <c r="H126" s="3413">
        <f t="shared" si="1"/>
        <v>0</v>
      </c>
      <c r="I126" s="2130"/>
      <c r="J126" s="743"/>
      <c r="K126" s="743"/>
      <c r="M126" s="68"/>
    </row>
    <row r="127" spans="1:13">
      <c r="B127" s="2129" t="s">
        <v>3272</v>
      </c>
      <c r="C127" s="3381" t="str">
        <f>C53</f>
        <v>Real estate investments commingled funds</v>
      </c>
      <c r="D127" s="3382"/>
      <c r="E127" s="3365"/>
      <c r="F127" s="3412"/>
      <c r="G127" s="3412"/>
      <c r="H127" s="3413">
        <f t="shared" si="1"/>
        <v>0</v>
      </c>
      <c r="I127" s="2130"/>
      <c r="J127" s="743"/>
      <c r="K127" s="743"/>
      <c r="M127" s="68"/>
    </row>
    <row r="128" spans="1:13">
      <c r="B128" s="2129" t="s">
        <v>3274</v>
      </c>
      <c r="C128" s="3383" t="str">
        <f>C54</f>
        <v>Activist equity funds</v>
      </c>
      <c r="D128" s="3382"/>
      <c r="E128" s="3365"/>
      <c r="F128" s="3412"/>
      <c r="G128" s="3412"/>
      <c r="H128" s="3413">
        <f t="shared" si="1"/>
        <v>0</v>
      </c>
      <c r="I128" s="2130"/>
      <c r="J128" s="743"/>
      <c r="K128" s="743"/>
      <c r="M128" s="68"/>
    </row>
    <row r="129" spans="1:13">
      <c r="B129" s="2129" t="s">
        <v>3276</v>
      </c>
      <c r="C129" s="3383" t="str">
        <f>C55</f>
        <v>Hedge funds</v>
      </c>
      <c r="D129" s="3382"/>
      <c r="E129" s="3416"/>
      <c r="F129" s="3417"/>
      <c r="G129" s="3417"/>
      <c r="H129" s="3413">
        <f>IF(SUM(H130:H136)=H55,SUM(H130:H136),"NotMatchingTotalAbove")</f>
        <v>0</v>
      </c>
      <c r="I129" s="2130"/>
      <c r="J129" s="743"/>
      <c r="K129" s="743"/>
      <c r="M129" s="68"/>
    </row>
    <row r="130" spans="1:13" ht="14.25">
      <c r="B130" s="2129"/>
      <c r="C130" s="3383" t="s">
        <v>3320</v>
      </c>
      <c r="D130" s="3415"/>
      <c r="E130" s="3365"/>
      <c r="F130" s="3412"/>
      <c r="G130" s="3412"/>
      <c r="H130" s="3418"/>
      <c r="I130" s="2131"/>
      <c r="J130" s="743"/>
      <c r="K130" s="743"/>
      <c r="M130" s="68"/>
    </row>
    <row r="131" spans="1:13" ht="14.25">
      <c r="B131" s="2129"/>
      <c r="C131" s="3383" t="s">
        <v>3321</v>
      </c>
      <c r="D131" s="3415"/>
      <c r="E131" s="3365"/>
      <c r="F131" s="3412"/>
      <c r="G131" s="3412"/>
      <c r="H131" s="3418"/>
      <c r="I131" s="2131"/>
      <c r="J131" s="743"/>
      <c r="K131" s="743"/>
      <c r="M131" s="68"/>
    </row>
    <row r="132" spans="1:13" ht="14.25">
      <c r="B132" s="2129"/>
      <c r="C132" s="3383" t="s">
        <v>3322</v>
      </c>
      <c r="D132" s="3415"/>
      <c r="E132" s="3365"/>
      <c r="F132" s="3412"/>
      <c r="G132" s="3412"/>
      <c r="H132" s="3418"/>
      <c r="I132" s="2131"/>
      <c r="J132" s="743"/>
      <c r="K132" s="743"/>
      <c r="M132" s="68"/>
    </row>
    <row r="133" spans="1:13" ht="14.25">
      <c r="B133" s="2129"/>
      <c r="C133" s="3383" t="s">
        <v>3323</v>
      </c>
      <c r="D133" s="3415"/>
      <c r="E133" s="3365"/>
      <c r="F133" s="3412"/>
      <c r="G133" s="3412"/>
      <c r="H133" s="3418"/>
      <c r="I133" s="2131"/>
      <c r="J133" s="743"/>
      <c r="K133" s="743"/>
      <c r="M133" s="68"/>
    </row>
    <row r="134" spans="1:13" ht="14.25">
      <c r="B134" s="2129"/>
      <c r="C134" s="3383" t="s">
        <v>3324</v>
      </c>
      <c r="D134" s="3415"/>
      <c r="E134" s="3365">
        <v>0</v>
      </c>
      <c r="F134" s="3412"/>
      <c r="G134" s="3412"/>
      <c r="H134" s="3418"/>
      <c r="I134" s="2131"/>
      <c r="J134" s="743"/>
      <c r="K134" s="743"/>
      <c r="M134" s="68"/>
    </row>
    <row r="135" spans="1:13" ht="14.25">
      <c r="B135" s="2129"/>
      <c r="C135" s="3608" t="s">
        <v>3325</v>
      </c>
      <c r="D135" s="3415"/>
      <c r="E135" s="3365"/>
      <c r="F135" s="3412"/>
      <c r="G135" s="3412"/>
      <c r="H135" s="3418"/>
      <c r="I135" s="2131"/>
      <c r="J135" s="743"/>
      <c r="K135" s="743"/>
      <c r="M135" s="68"/>
    </row>
    <row r="136" spans="1:13" ht="14.25">
      <c r="B136" s="2129"/>
      <c r="C136" s="3608" t="s">
        <v>3326</v>
      </c>
      <c r="D136" s="3415"/>
      <c r="E136" s="3365"/>
      <c r="F136" s="3412"/>
      <c r="G136" s="3412"/>
      <c r="H136" s="3418"/>
      <c r="I136" s="2131"/>
      <c r="J136" s="743"/>
      <c r="K136" s="743"/>
      <c r="M136" s="68"/>
    </row>
    <row r="137" spans="1:13">
      <c r="B137" s="2129" t="s">
        <v>3278</v>
      </c>
      <c r="C137" s="3381" t="str">
        <f>C56</f>
        <v>Private debt/credit opportunities funds</v>
      </c>
      <c r="D137" s="3382"/>
      <c r="E137" s="3365"/>
      <c r="F137" s="3412"/>
      <c r="G137" s="3412"/>
      <c r="H137" s="3413">
        <f>H56</f>
        <v>0</v>
      </c>
      <c r="I137" s="2130"/>
      <c r="J137" s="743"/>
      <c r="K137" s="743"/>
      <c r="M137" s="68"/>
    </row>
    <row r="138" spans="1:13">
      <c r="B138" s="2129" t="s">
        <v>3280</v>
      </c>
      <c r="C138" s="3381" t="str">
        <f>C57</f>
        <v>Private equity funds</v>
      </c>
      <c r="D138" s="3382"/>
      <c r="E138" s="3365"/>
      <c r="F138" s="3412"/>
      <c r="G138" s="3412"/>
      <c r="H138" s="3413">
        <f>H57</f>
        <v>0</v>
      </c>
      <c r="I138" s="2130"/>
      <c r="J138" s="743"/>
      <c r="K138" s="743"/>
      <c r="M138" s="68"/>
    </row>
    <row r="139" spans="1:13">
      <c r="B139" s="2129" t="s">
        <v>3282</v>
      </c>
      <c r="C139" s="3381" t="str">
        <f>C58</f>
        <v>Private real asset funds</v>
      </c>
      <c r="D139" s="3382"/>
      <c r="E139" s="3365"/>
      <c r="F139" s="3412"/>
      <c r="G139" s="3412"/>
      <c r="H139" s="3413">
        <f>H58</f>
        <v>0</v>
      </c>
      <c r="I139" s="2130"/>
      <c r="J139" s="743"/>
      <c r="K139" s="743"/>
      <c r="M139" s="68"/>
    </row>
    <row r="140" spans="1:13">
      <c r="C140" s="3371" t="s">
        <v>3327</v>
      </c>
      <c r="D140" s="3372"/>
      <c r="E140" s="3365"/>
      <c r="F140" s="3412"/>
      <c r="G140" s="3412"/>
      <c r="H140" s="3794">
        <f>H122+H123+H124+H126+H127+H128+H129+H137+H138+H139+H125</f>
        <v>0</v>
      </c>
      <c r="I140" s="2132"/>
      <c r="J140" s="743"/>
      <c r="K140" s="743"/>
      <c r="M140" s="68"/>
    </row>
    <row r="141" spans="1:13">
      <c r="B141" s="2129" t="s">
        <v>3254</v>
      </c>
      <c r="C141" s="3371" t="s">
        <v>3255</v>
      </c>
      <c r="D141" s="3372"/>
      <c r="E141" s="3372"/>
      <c r="F141" s="3372"/>
      <c r="G141" s="3372"/>
      <c r="H141" s="3372"/>
      <c r="I141" s="2133"/>
      <c r="J141" s="743"/>
      <c r="K141" s="743"/>
      <c r="M141" s="68"/>
    </row>
    <row r="142" spans="1:13">
      <c r="A142" s="119"/>
      <c r="C142" s="3383" t="s">
        <v>3281</v>
      </c>
      <c r="D142" s="3382"/>
      <c r="E142" s="3365"/>
      <c r="F142" s="3412"/>
      <c r="G142" s="3412"/>
      <c r="H142" s="3413">
        <f>H42</f>
        <v>0</v>
      </c>
      <c r="I142" s="2130"/>
      <c r="J142" s="2134"/>
      <c r="K142" s="2134"/>
      <c r="M142" s="2114"/>
    </row>
    <row r="143" spans="1:13">
      <c r="A143" s="119"/>
      <c r="C143" s="3383" t="s">
        <v>3150</v>
      </c>
      <c r="D143" s="3384"/>
      <c r="E143" s="3365"/>
      <c r="F143" s="3412"/>
      <c r="G143" s="3412"/>
      <c r="H143" s="3413">
        <f>H43</f>
        <v>0</v>
      </c>
      <c r="I143" s="2130"/>
      <c r="J143" s="2134"/>
      <c r="K143" s="2134"/>
      <c r="M143" s="2114"/>
    </row>
    <row r="144" spans="1:13">
      <c r="A144" s="119"/>
      <c r="C144" s="3383" t="s">
        <v>3253</v>
      </c>
      <c r="D144" s="3384"/>
      <c r="E144" s="3365"/>
      <c r="F144" s="3412"/>
      <c r="G144" s="3412"/>
      <c r="H144" s="3413">
        <f>H44</f>
        <v>0</v>
      </c>
      <c r="I144" s="2130"/>
      <c r="J144" s="2134"/>
      <c r="K144" s="2134"/>
      <c r="M144" s="2114"/>
    </row>
    <row r="145" spans="1:13">
      <c r="A145" s="119"/>
      <c r="C145" s="3385" t="s">
        <v>3259</v>
      </c>
      <c r="D145" s="3384"/>
      <c r="E145" s="3365"/>
      <c r="F145" s="3412"/>
      <c r="G145" s="3412"/>
      <c r="H145" s="3419">
        <f>SUM(H142:H144)</f>
        <v>0</v>
      </c>
      <c r="I145" s="2135"/>
      <c r="J145" s="2134"/>
      <c r="K145" s="2134"/>
      <c r="M145" s="2114"/>
    </row>
    <row r="146" spans="1:13">
      <c r="C146" s="2127"/>
      <c r="D146" s="2535"/>
      <c r="I146" s="2091"/>
      <c r="J146" s="2136"/>
    </row>
    <row r="147" spans="1:13">
      <c r="C147" s="2108" t="s">
        <v>3328</v>
      </c>
      <c r="D147" s="2535"/>
    </row>
    <row r="148" spans="1:13" ht="15.75" customHeight="1">
      <c r="B148" s="2125" t="s">
        <v>3329</v>
      </c>
      <c r="C148" s="3243"/>
      <c r="D148" s="2695"/>
      <c r="E148" s="2695"/>
      <c r="F148" s="2695"/>
      <c r="G148" s="2695"/>
      <c r="H148" s="2695"/>
    </row>
    <row r="149" spans="1:13" ht="15.75" customHeight="1">
      <c r="B149" s="2125" t="s">
        <v>3330</v>
      </c>
      <c r="C149" s="3243"/>
      <c r="D149" s="2695"/>
      <c r="E149" s="2695"/>
      <c r="F149" s="2695"/>
      <c r="G149" s="2695"/>
      <c r="H149" s="2695"/>
    </row>
    <row r="150" spans="1:13" ht="15.75" customHeight="1">
      <c r="B150" s="2125" t="s">
        <v>3331</v>
      </c>
      <c r="C150" s="3243"/>
      <c r="D150" s="2695"/>
      <c r="E150" s="2695"/>
      <c r="F150" s="2695"/>
      <c r="G150" s="2695"/>
      <c r="H150" s="2695"/>
    </row>
    <row r="151" spans="1:13" ht="15.75" customHeight="1">
      <c r="B151" s="2125" t="s">
        <v>3332</v>
      </c>
      <c r="C151" s="3243"/>
      <c r="D151" s="2695"/>
      <c r="E151" s="2695"/>
      <c r="F151" s="2695"/>
      <c r="G151" s="2695"/>
      <c r="H151" s="2695"/>
    </row>
    <row r="152" spans="1:13" ht="15.75" customHeight="1">
      <c r="B152" s="2125" t="s">
        <v>3333</v>
      </c>
      <c r="C152" s="3243"/>
      <c r="D152" s="2695"/>
      <c r="E152" s="2695"/>
      <c r="F152" s="2695"/>
      <c r="G152" s="2695"/>
      <c r="H152" s="2695"/>
    </row>
    <row r="153" spans="1:13" ht="15.75" customHeight="1">
      <c r="B153" s="2125" t="s">
        <v>3334</v>
      </c>
      <c r="C153" s="3243"/>
      <c r="D153" s="2695"/>
      <c r="E153" s="2695"/>
      <c r="F153" s="2695"/>
      <c r="G153" s="2695"/>
      <c r="H153" s="2695"/>
    </row>
    <row r="154" spans="1:13" ht="15.75" customHeight="1">
      <c r="B154" s="2125" t="s">
        <v>3335</v>
      </c>
      <c r="C154" s="3243"/>
      <c r="D154" s="2695"/>
      <c r="E154" s="2695"/>
      <c r="F154" s="2695"/>
      <c r="G154" s="2695"/>
      <c r="H154" s="2695"/>
    </row>
    <row r="155" spans="1:13" ht="15.75" customHeight="1">
      <c r="B155" s="2125" t="s">
        <v>3336</v>
      </c>
      <c r="C155" s="3243"/>
      <c r="D155" s="2695"/>
      <c r="E155" s="2695"/>
      <c r="F155" s="2695"/>
      <c r="G155" s="2695"/>
      <c r="H155" s="2695"/>
    </row>
    <row r="156" spans="1:13" ht="15.75" customHeight="1">
      <c r="B156" s="2125" t="s">
        <v>3337</v>
      </c>
      <c r="C156" s="3243"/>
      <c r="D156" s="2695"/>
      <c r="E156" s="2695"/>
      <c r="F156" s="2695"/>
      <c r="G156" s="2695"/>
      <c r="H156" s="2695"/>
    </row>
    <row r="157" spans="1:13" ht="15.75" customHeight="1">
      <c r="B157" s="2125" t="s">
        <v>3338</v>
      </c>
      <c r="C157" s="3243"/>
      <c r="D157" s="2695"/>
      <c r="E157" s="2695"/>
      <c r="F157" s="2695"/>
      <c r="G157" s="2695"/>
      <c r="H157" s="2695"/>
    </row>
    <row r="158" spans="1:13" ht="15.75" customHeight="1">
      <c r="B158" s="2125" t="s">
        <v>3339</v>
      </c>
      <c r="C158" s="3243"/>
      <c r="D158" s="2695"/>
      <c r="E158" s="2695"/>
      <c r="F158" s="2695"/>
      <c r="G158" s="2695"/>
      <c r="H158" s="2695"/>
    </row>
    <row r="159" spans="1:13" ht="15.75" customHeight="1">
      <c r="B159" s="2125" t="s">
        <v>3340</v>
      </c>
      <c r="C159" s="3243"/>
      <c r="D159" s="2695"/>
      <c r="E159" s="2695"/>
      <c r="F159" s="2695"/>
      <c r="G159" s="2695"/>
      <c r="H159" s="2695"/>
    </row>
    <row r="160" spans="1:13" ht="15.75" customHeight="1">
      <c r="B160" s="2125" t="s">
        <v>3341</v>
      </c>
      <c r="C160" s="3243"/>
      <c r="D160" s="2695"/>
      <c r="E160" s="2695"/>
      <c r="F160" s="2695"/>
      <c r="G160" s="2695"/>
      <c r="H160" s="2695"/>
    </row>
    <row r="161" spans="1:16" ht="15.75" customHeight="1">
      <c r="B161" s="2125" t="s">
        <v>3342</v>
      </c>
      <c r="C161" s="3243"/>
      <c r="D161" s="2695"/>
      <c r="E161" s="2695"/>
      <c r="F161" s="2695"/>
      <c r="G161" s="2695"/>
      <c r="H161" s="2695"/>
    </row>
    <row r="162" spans="1:16" ht="15.75" customHeight="1">
      <c r="B162" s="2125" t="s">
        <v>3343</v>
      </c>
      <c r="C162" s="3243"/>
      <c r="D162" s="2695"/>
      <c r="E162" s="2695"/>
      <c r="F162" s="2695"/>
      <c r="G162" s="2695"/>
      <c r="H162" s="2695"/>
    </row>
    <row r="163" spans="1:16" ht="15.75" customHeight="1">
      <c r="B163" s="2125" t="s">
        <v>3344</v>
      </c>
      <c r="C163" s="3243"/>
      <c r="D163" s="2695"/>
      <c r="E163" s="2695"/>
      <c r="F163" s="2695"/>
      <c r="G163" s="2695"/>
      <c r="H163" s="2695"/>
    </row>
    <row r="164" spans="1:16" ht="15.75" customHeight="1">
      <c r="B164" s="2125" t="s">
        <v>3345</v>
      </c>
      <c r="C164" s="3243"/>
      <c r="D164" s="2695"/>
      <c r="E164" s="2695"/>
      <c r="F164" s="2695"/>
      <c r="G164" s="2695"/>
      <c r="H164" s="2695"/>
    </row>
    <row r="165" spans="1:16" ht="15.75" customHeight="1">
      <c r="B165" s="2125" t="s">
        <v>3346</v>
      </c>
      <c r="C165" s="3243"/>
      <c r="D165" s="2695"/>
      <c r="E165" s="2695"/>
      <c r="F165" s="2695"/>
      <c r="G165" s="2695"/>
      <c r="H165" s="2695"/>
    </row>
    <row r="166" spans="1:16" ht="15.75" customHeight="1">
      <c r="B166" s="2125" t="s">
        <v>3347</v>
      </c>
      <c r="C166" s="3243"/>
      <c r="D166" s="2695"/>
      <c r="E166" s="2695"/>
      <c r="F166" s="2695"/>
      <c r="G166" s="2695"/>
      <c r="H166" s="2695"/>
    </row>
    <row r="167" spans="1:16">
      <c r="C167" s="2108"/>
      <c r="D167" s="2535"/>
    </row>
    <row r="168" spans="1:16">
      <c r="B168" s="2103" t="s">
        <v>3300</v>
      </c>
      <c r="C168" s="2103"/>
      <c r="D168" s="2103"/>
      <c r="E168" s="2103"/>
      <c r="F168" s="2103"/>
      <c r="G168" s="2103"/>
      <c r="H168" s="2103"/>
      <c r="I168" s="2105"/>
    </row>
    <row r="169" spans="1:16" ht="6" customHeight="1">
      <c r="A169" s="2103"/>
      <c r="B169" s="2103"/>
      <c r="C169" s="2104"/>
      <c r="D169" s="2104"/>
      <c r="E169" s="2104"/>
      <c r="F169" s="2104"/>
      <c r="G169" s="2104"/>
      <c r="H169" s="2104"/>
      <c r="I169" s="2105"/>
    </row>
    <row r="170" spans="1:16" ht="7.9" customHeight="1">
      <c r="C170" s="1865" t="s">
        <v>3348</v>
      </c>
    </row>
    <row r="171" spans="1:16" ht="7.9" customHeight="1"/>
    <row r="172" spans="1:16" ht="13.5" thickBot="1">
      <c r="C172" s="3616" t="s">
        <v>3156</v>
      </c>
      <c r="D172" s="2535"/>
      <c r="E172" s="2535"/>
      <c r="F172" s="2535"/>
      <c r="G172" s="2535"/>
      <c r="H172" s="2114"/>
      <c r="I172" s="2138"/>
      <c r="J172" s="2114"/>
      <c r="K172" s="2114"/>
      <c r="L172" s="2114"/>
      <c r="M172" s="2114"/>
      <c r="N172" s="2114"/>
      <c r="O172" s="2114"/>
      <c r="P172" s="2114"/>
    </row>
    <row r="173" spans="1:16">
      <c r="A173" s="2139" t="s">
        <v>3349</v>
      </c>
      <c r="B173" s="119"/>
      <c r="C173" s="1865" t="s">
        <v>3158</v>
      </c>
    </row>
    <row r="174" spans="1:16">
      <c r="A174" s="2139"/>
      <c r="B174" s="119"/>
      <c r="C174" s="1865" t="s">
        <v>3159</v>
      </c>
    </row>
    <row r="175" spans="1:16">
      <c r="A175" s="2140"/>
      <c r="B175" s="2141"/>
      <c r="C175" s="2142" t="s">
        <v>3350</v>
      </c>
      <c r="D175" s="2143"/>
      <c r="E175" s="2143"/>
      <c r="F175" s="2143"/>
      <c r="G175" s="2143"/>
      <c r="H175" s="2143"/>
      <c r="I175" s="2144"/>
      <c r="J175" s="2143"/>
      <c r="K175" s="2143"/>
      <c r="L175" s="2143"/>
      <c r="M175" s="2143"/>
      <c r="N175" s="2143"/>
      <c r="O175" s="2143"/>
      <c r="P175" s="2143"/>
    </row>
    <row r="176" spans="1:16">
      <c r="A176" s="2140"/>
      <c r="B176" s="2141"/>
      <c r="C176" s="2142" t="s">
        <v>3161</v>
      </c>
      <c r="D176" s="2143"/>
      <c r="E176" s="2143"/>
      <c r="F176" s="2143"/>
      <c r="G176" s="2143"/>
      <c r="H176" s="2143"/>
      <c r="I176" s="2144"/>
      <c r="J176" s="2143"/>
      <c r="K176" s="2143"/>
      <c r="L176" s="2143"/>
      <c r="M176" s="2143"/>
      <c r="N176" s="2143"/>
      <c r="O176" s="2143"/>
      <c r="P176" s="2143"/>
    </row>
    <row r="177" spans="1:16">
      <c r="A177" s="2140"/>
      <c r="B177" s="2141"/>
      <c r="C177" s="2145"/>
      <c r="D177" s="2146"/>
      <c r="E177" s="2146"/>
      <c r="F177" s="2146"/>
      <c r="G177" s="2146"/>
      <c r="H177" s="2146"/>
      <c r="I177" s="2142"/>
      <c r="J177" s="2146"/>
      <c r="K177" s="2146"/>
      <c r="L177" s="2146"/>
      <c r="M177" s="2146"/>
      <c r="N177" s="2146"/>
      <c r="O177" s="2146"/>
      <c r="P177" s="2146"/>
    </row>
    <row r="178" spans="1:16" ht="13.5" thickBot="1">
      <c r="A178" s="2129"/>
      <c r="C178" s="2090" t="s">
        <v>2775</v>
      </c>
      <c r="E178" s="2698"/>
      <c r="F178" s="2698" t="s">
        <v>3351</v>
      </c>
      <c r="G178" s="2699"/>
      <c r="H178" s="2147" t="s">
        <v>3163</v>
      </c>
    </row>
    <row r="179" spans="1:16">
      <c r="A179" s="2129"/>
      <c r="C179" s="2148"/>
      <c r="E179" s="2700"/>
      <c r="F179" s="2700"/>
      <c r="G179" s="2701"/>
      <c r="H179" s="2149">
        <v>0</v>
      </c>
    </row>
    <row r="180" spans="1:16" ht="4.3499999999999996" customHeight="1">
      <c r="A180" s="2129"/>
      <c r="C180" s="2150"/>
      <c r="E180" s="2150"/>
      <c r="F180" s="2150"/>
      <c r="G180" s="2150"/>
      <c r="H180" s="2150"/>
    </row>
    <row r="181" spans="1:16">
      <c r="A181" s="2129"/>
      <c r="C181" s="2148"/>
      <c r="E181" s="3795"/>
      <c r="F181" s="3795"/>
      <c r="G181" s="3796"/>
      <c r="H181" s="2149">
        <v>0</v>
      </c>
      <c r="I181" s="2117"/>
    </row>
    <row r="182" spans="1:16" ht="4.3499999999999996" customHeight="1">
      <c r="A182" s="2129"/>
      <c r="C182" s="2150"/>
      <c r="E182" s="2150"/>
      <c r="F182" s="2150"/>
      <c r="G182" s="2150"/>
      <c r="H182" s="2150"/>
    </row>
    <row r="183" spans="1:16">
      <c r="A183" s="2129"/>
      <c r="C183" s="2148"/>
      <c r="E183" s="3795"/>
      <c r="F183" s="3795"/>
      <c r="G183" s="3796"/>
      <c r="H183" s="2149">
        <v>0</v>
      </c>
    </row>
    <row r="184" spans="1:16" ht="4.3499999999999996" customHeight="1">
      <c r="A184" s="2129"/>
      <c r="C184" s="2150"/>
      <c r="E184" s="2150"/>
      <c r="F184" s="2150"/>
      <c r="G184" s="2150"/>
      <c r="H184" s="2150"/>
    </row>
    <row r="185" spans="1:16">
      <c r="A185" s="2129"/>
      <c r="C185" s="2148"/>
      <c r="E185" s="3795"/>
      <c r="F185" s="3795"/>
      <c r="G185" s="3796"/>
      <c r="H185" s="2149">
        <v>0</v>
      </c>
    </row>
    <row r="186" spans="1:16" ht="4.3499999999999996" customHeight="1">
      <c r="A186" s="2129"/>
      <c r="C186" s="2150"/>
      <c r="E186" s="2150"/>
      <c r="F186" s="2150"/>
      <c r="G186" s="2150"/>
      <c r="H186" s="2150"/>
    </row>
    <row r="187" spans="1:16">
      <c r="A187" s="2129"/>
      <c r="C187" s="2148"/>
      <c r="E187" s="3795"/>
      <c r="F187" s="3795"/>
      <c r="G187" s="3796"/>
      <c r="H187" s="2149">
        <v>0</v>
      </c>
    </row>
    <row r="188" spans="1:16" ht="13.5" thickBot="1">
      <c r="A188" s="2129"/>
      <c r="D188" s="2151"/>
      <c r="E188" s="2151"/>
      <c r="F188" s="2151"/>
      <c r="G188" s="2121" t="s">
        <v>3108</v>
      </c>
      <c r="H188" s="2152">
        <f>SUM(H179:H187)</f>
        <v>0</v>
      </c>
      <c r="J188" s="2134"/>
      <c r="K188" s="2535"/>
      <c r="L188" s="2521"/>
    </row>
    <row r="189" spans="1:16" ht="13.5" thickTop="1">
      <c r="A189" s="2129"/>
      <c r="C189" s="119"/>
      <c r="N189" s="2153"/>
      <c r="O189" s="2153"/>
      <c r="P189" s="2153"/>
    </row>
    <row r="190" spans="1:16">
      <c r="A190" s="2139" t="s">
        <v>3352</v>
      </c>
      <c r="C190" s="1865" t="s">
        <v>3165</v>
      </c>
      <c r="N190" s="2153"/>
      <c r="O190" s="2153"/>
      <c r="P190" s="2153"/>
    </row>
    <row r="191" spans="1:16">
      <c r="A191" s="2129"/>
      <c r="C191" s="1865" t="s">
        <v>3166</v>
      </c>
      <c r="N191" s="2153"/>
      <c r="O191" s="2153"/>
      <c r="P191" s="2153"/>
    </row>
    <row r="192" spans="1:16">
      <c r="A192" s="2129"/>
      <c r="N192" s="2153"/>
      <c r="O192" s="2153"/>
      <c r="P192" s="2153"/>
    </row>
    <row r="193" spans="1:16">
      <c r="A193" s="2129"/>
      <c r="C193" s="2098" t="s">
        <v>3124</v>
      </c>
      <c r="D193" s="2713"/>
      <c r="E193" s="2713"/>
      <c r="F193" s="2713"/>
      <c r="G193" s="2713"/>
      <c r="H193" s="2713"/>
      <c r="I193" s="2154"/>
      <c r="J193" s="2155"/>
    </row>
    <row r="194" spans="1:16" ht="4.3499999999999996" customHeight="1">
      <c r="A194" s="743"/>
      <c r="B194" s="68"/>
      <c r="C194" s="72"/>
      <c r="D194" s="2156"/>
      <c r="E194" s="2156"/>
      <c r="F194" s="2156"/>
      <c r="G194" s="2156"/>
      <c r="H194" s="2156"/>
      <c r="I194" s="2157"/>
      <c r="J194" s="2156"/>
    </row>
    <row r="195" spans="1:16">
      <c r="A195" s="2129"/>
      <c r="C195" s="2108"/>
      <c r="D195" s="2713"/>
      <c r="E195" s="2713"/>
      <c r="F195" s="2713"/>
      <c r="G195" s="2713"/>
      <c r="H195" s="2713"/>
      <c r="I195" s="2154"/>
      <c r="J195" s="2155"/>
    </row>
    <row r="196" spans="1:16" ht="4.3499999999999996" customHeight="1">
      <c r="A196" s="2129"/>
      <c r="C196" s="2108"/>
      <c r="D196" s="2158"/>
      <c r="E196" s="2156"/>
      <c r="F196" s="2156"/>
      <c r="G196" s="2156"/>
      <c r="H196" s="2156"/>
      <c r="I196" s="2157"/>
      <c r="J196" s="2156"/>
    </row>
    <row r="197" spans="1:16">
      <c r="A197" s="2159"/>
      <c r="B197" s="2160"/>
      <c r="D197" s="2713"/>
      <c r="E197" s="2713"/>
      <c r="F197" s="2713"/>
      <c r="G197" s="2713"/>
      <c r="H197" s="2713"/>
      <c r="I197" s="2154"/>
      <c r="J197" s="2155"/>
    </row>
    <row r="198" spans="1:16">
      <c r="A198" s="2159"/>
      <c r="B198" s="2160"/>
      <c r="D198" s="68"/>
      <c r="E198" s="68"/>
      <c r="F198" s="68"/>
      <c r="G198" s="68"/>
      <c r="H198" s="68"/>
      <c r="I198" s="72"/>
      <c r="J198" s="68"/>
      <c r="K198" s="68"/>
      <c r="L198" s="68"/>
      <c r="M198" s="68"/>
      <c r="N198" s="68"/>
      <c r="O198" s="68"/>
      <c r="P198" s="68"/>
    </row>
    <row r="199" spans="1:16">
      <c r="A199" s="2129"/>
      <c r="C199" s="2137" t="s">
        <v>3167</v>
      </c>
      <c r="D199" s="2535"/>
      <c r="E199" s="2535"/>
      <c r="F199" s="2535"/>
      <c r="G199" s="2535"/>
      <c r="H199" s="2114"/>
      <c r="I199" s="2138"/>
      <c r="J199" s="2114"/>
      <c r="K199" s="2114"/>
      <c r="L199" s="2114"/>
      <c r="M199" s="2114"/>
      <c r="N199" s="2114"/>
      <c r="O199" s="2114"/>
      <c r="P199" s="2114"/>
    </row>
    <row r="200" spans="1:16">
      <c r="A200" s="2139" t="s">
        <v>3353</v>
      </c>
      <c r="B200" s="119"/>
      <c r="C200" s="129" t="s">
        <v>3354</v>
      </c>
      <c r="D200" s="129"/>
      <c r="E200" s="129"/>
      <c r="F200" s="129"/>
      <c r="G200" s="129"/>
      <c r="H200" s="129"/>
      <c r="I200" s="2117"/>
      <c r="J200" s="129"/>
      <c r="K200" s="129"/>
      <c r="L200" s="129"/>
      <c r="M200" s="129"/>
      <c r="N200" s="129"/>
      <c r="O200" s="129"/>
      <c r="P200" s="129"/>
    </row>
    <row r="201" spans="1:16">
      <c r="A201" s="2129"/>
      <c r="C201" s="129" t="s">
        <v>3355</v>
      </c>
      <c r="D201" s="129"/>
      <c r="E201" s="129"/>
      <c r="F201" s="129"/>
      <c r="G201" s="129"/>
      <c r="H201" s="129"/>
      <c r="I201" s="2117"/>
      <c r="J201" s="129"/>
      <c r="K201" s="129"/>
      <c r="L201" s="129"/>
      <c r="M201" s="129"/>
      <c r="N201" s="129"/>
      <c r="O201" s="129"/>
      <c r="P201" s="129"/>
    </row>
    <row r="202" spans="1:16">
      <c r="A202" s="2140"/>
      <c r="B202" s="2141"/>
      <c r="C202" s="2146"/>
      <c r="D202" s="2146"/>
      <c r="E202" s="2146"/>
      <c r="F202" s="2146"/>
      <c r="G202" s="2146"/>
      <c r="H202" s="2146"/>
      <c r="I202" s="2142"/>
      <c r="J202" s="2146"/>
      <c r="K202" s="2146"/>
      <c r="L202" s="2146"/>
      <c r="M202" s="2146"/>
      <c r="N202" s="2146"/>
      <c r="O202" s="2146"/>
      <c r="P202" s="2146"/>
    </row>
    <row r="203" spans="1:16" ht="13.5" thickBot="1">
      <c r="A203" s="2129"/>
      <c r="C203" s="119"/>
      <c r="D203" s="2623" t="s">
        <v>3171</v>
      </c>
      <c r="E203" s="2623"/>
      <c r="F203" s="2521"/>
      <c r="G203" s="2623" t="s">
        <v>3163</v>
      </c>
      <c r="H203" s="2623"/>
      <c r="I203" s="2522"/>
    </row>
    <row r="204" spans="1:16" ht="4.1500000000000004" customHeight="1">
      <c r="A204" s="2129"/>
      <c r="C204" s="119"/>
      <c r="D204" s="2127"/>
      <c r="E204" s="2161"/>
      <c r="F204" s="2162"/>
      <c r="G204" s="2163"/>
      <c r="H204" s="2161"/>
      <c r="I204" s="2161"/>
    </row>
    <row r="205" spans="1:16">
      <c r="A205" s="2129"/>
      <c r="C205" s="2164"/>
      <c r="D205" s="2702"/>
      <c r="E205" s="2702"/>
      <c r="F205" s="2521"/>
      <c r="G205" s="3420"/>
      <c r="H205" s="3420"/>
      <c r="I205" s="2521"/>
      <c r="J205" s="129"/>
      <c r="K205" s="129"/>
    </row>
    <row r="206" spans="1:16" ht="4.9000000000000004" customHeight="1">
      <c r="A206" s="2129"/>
      <c r="C206" s="119"/>
      <c r="D206" s="2165"/>
      <c r="E206" s="2166"/>
      <c r="F206" s="2167"/>
      <c r="G206" s="2168"/>
      <c r="H206" s="2167"/>
      <c r="I206" s="2167"/>
      <c r="J206" s="129"/>
      <c r="K206" s="129"/>
    </row>
    <row r="207" spans="1:16">
      <c r="A207" s="2129"/>
      <c r="C207" s="2164"/>
      <c r="D207" s="2702"/>
      <c r="E207" s="2702"/>
      <c r="F207" s="2521"/>
      <c r="G207" s="3420"/>
      <c r="H207" s="3420"/>
      <c r="I207" s="2521"/>
      <c r="J207" s="129"/>
      <c r="K207" s="129"/>
    </row>
    <row r="208" spans="1:16" ht="4.9000000000000004" customHeight="1">
      <c r="A208" s="2126"/>
      <c r="B208" s="129"/>
      <c r="C208" s="2117"/>
      <c r="D208" s="2165"/>
      <c r="E208" s="2166"/>
      <c r="F208" s="2167"/>
      <c r="G208" s="2169"/>
      <c r="H208" s="2167"/>
      <c r="I208" s="2167"/>
      <c r="J208" s="129"/>
      <c r="K208" s="129"/>
      <c r="L208" s="129"/>
    </row>
    <row r="209" spans="1:12" ht="12.75" customHeight="1">
      <c r="A209" s="2126"/>
      <c r="B209" s="129"/>
      <c r="C209" s="2117"/>
      <c r="D209" s="2702"/>
      <c r="E209" s="2702"/>
      <c r="F209" s="2167"/>
      <c r="G209" s="3420"/>
      <c r="H209" s="3420"/>
      <c r="I209" s="2167"/>
      <c r="J209" s="129"/>
      <c r="K209" s="129"/>
      <c r="L209" s="129"/>
    </row>
    <row r="210" spans="1:12" ht="4.9000000000000004" customHeight="1">
      <c r="A210" s="2126"/>
      <c r="B210" s="129"/>
      <c r="C210" s="2117"/>
      <c r="D210" s="2165"/>
      <c r="E210" s="2166"/>
      <c r="F210" s="2167"/>
      <c r="G210" s="2168"/>
      <c r="H210" s="2167"/>
      <c r="I210" s="2167"/>
      <c r="J210" s="129"/>
      <c r="K210" s="129"/>
      <c r="L210" s="129"/>
    </row>
    <row r="211" spans="1:12" ht="12.75" customHeight="1">
      <c r="A211" s="2126"/>
      <c r="B211" s="129"/>
      <c r="C211" s="2117"/>
      <c r="D211" s="2702"/>
      <c r="E211" s="2702"/>
      <c r="F211" s="2167"/>
      <c r="G211" s="3420"/>
      <c r="H211" s="3420"/>
      <c r="I211" s="2167"/>
      <c r="J211" s="129"/>
      <c r="K211" s="129"/>
      <c r="L211" s="129"/>
    </row>
    <row r="212" spans="1:12" ht="4.9000000000000004" customHeight="1">
      <c r="A212" s="2126"/>
      <c r="B212" s="129"/>
      <c r="C212" s="2117"/>
      <c r="D212" s="3797"/>
      <c r="E212" s="3797"/>
      <c r="F212" s="2167"/>
      <c r="G212" s="2169"/>
      <c r="H212" s="2167"/>
      <c r="I212" s="2167"/>
      <c r="J212" s="129"/>
      <c r="K212" s="129"/>
      <c r="L212" s="129"/>
    </row>
    <row r="213" spans="1:12">
      <c r="A213" s="2129"/>
      <c r="C213" s="2164"/>
      <c r="D213" s="2702"/>
      <c r="E213" s="2702"/>
      <c r="F213" s="2521"/>
      <c r="G213" s="3420"/>
      <c r="H213" s="3420"/>
      <c r="I213" s="2521"/>
      <c r="J213" s="129"/>
      <c r="K213" s="129"/>
    </row>
    <row r="214" spans="1:12" ht="4.1500000000000004" customHeight="1">
      <c r="A214" s="2129"/>
      <c r="D214" s="2153"/>
      <c r="F214" s="68"/>
      <c r="G214" s="2170"/>
      <c r="H214" s="129"/>
      <c r="I214" s="2117"/>
      <c r="J214" s="129"/>
      <c r="K214" s="129"/>
    </row>
    <row r="215" spans="1:12" ht="13.5" thickBot="1">
      <c r="A215" s="2129"/>
      <c r="D215" s="2134"/>
      <c r="E215" s="2151"/>
      <c r="F215" s="2121" t="s">
        <v>3108</v>
      </c>
      <c r="G215" s="2152">
        <f>SUM(G205:H213)</f>
        <v>0</v>
      </c>
      <c r="H215" s="2152"/>
      <c r="I215" s="2171"/>
      <c r="J215" s="129"/>
      <c r="K215" s="129"/>
    </row>
    <row r="216" spans="1:12" ht="13.5" thickTop="1">
      <c r="A216" s="2129"/>
      <c r="C216" s="119"/>
    </row>
    <row r="217" spans="1:12">
      <c r="A217" s="2139" t="s">
        <v>3356</v>
      </c>
      <c r="C217" s="1865" t="s">
        <v>3357</v>
      </c>
    </row>
    <row r="218" spans="1:12">
      <c r="A218" s="2129"/>
      <c r="C218" s="1865" t="s">
        <v>3358</v>
      </c>
    </row>
    <row r="219" spans="1:12">
      <c r="A219" s="2129"/>
    </row>
    <row r="220" spans="1:12">
      <c r="A220" s="2129"/>
      <c r="C220" s="2098" t="s">
        <v>3124</v>
      </c>
      <c r="D220" s="2713"/>
      <c r="E220" s="2713"/>
      <c r="F220" s="2713"/>
      <c r="G220" s="2713"/>
      <c r="H220" s="2713"/>
      <c r="I220" s="2154"/>
      <c r="J220" s="2172"/>
      <c r="K220" s="2172"/>
    </row>
    <row r="221" spans="1:12" ht="4.3499999999999996" customHeight="1">
      <c r="A221" s="743"/>
      <c r="B221" s="68"/>
      <c r="C221" s="72"/>
      <c r="D221" s="2156"/>
      <c r="E221" s="2156"/>
      <c r="F221" s="2156"/>
      <c r="G221" s="2156"/>
      <c r="H221" s="2156"/>
      <c r="I221" s="2157"/>
      <c r="J221" s="2156"/>
      <c r="K221" s="2156"/>
    </row>
    <row r="222" spans="1:12">
      <c r="A222" s="2129"/>
      <c r="C222" s="2108"/>
      <c r="D222" s="2713"/>
      <c r="E222" s="2713"/>
      <c r="F222" s="2713"/>
      <c r="G222" s="2713"/>
      <c r="H222" s="2713"/>
      <c r="I222" s="2154"/>
      <c r="J222" s="2172"/>
      <c r="K222" s="2172"/>
    </row>
    <row r="223" spans="1:12" ht="4.3499999999999996" customHeight="1">
      <c r="A223" s="2129"/>
      <c r="C223" s="2108"/>
      <c r="D223" s="2158"/>
      <c r="E223" s="2156"/>
      <c r="F223" s="2156"/>
      <c r="G223" s="2156"/>
      <c r="H223" s="2156"/>
      <c r="I223" s="2157"/>
      <c r="J223" s="2156"/>
      <c r="K223" s="2156"/>
    </row>
    <row r="224" spans="1:12">
      <c r="A224" s="2159"/>
      <c r="B224" s="2160"/>
      <c r="D224" s="2713"/>
      <c r="E224" s="2713"/>
      <c r="F224" s="2713"/>
      <c r="G224" s="2713"/>
      <c r="H224" s="2713"/>
      <c r="I224" s="2154"/>
      <c r="J224" s="2172"/>
      <c r="K224" s="2172"/>
    </row>
    <row r="225" spans="1:16">
      <c r="A225" s="2173"/>
      <c r="B225" s="2174"/>
      <c r="C225" s="129"/>
      <c r="D225" s="744"/>
      <c r="E225" s="744"/>
      <c r="F225" s="744"/>
      <c r="G225" s="744"/>
      <c r="H225" s="744"/>
      <c r="I225" s="742"/>
      <c r="J225" s="744"/>
      <c r="K225" s="744"/>
      <c r="L225" s="744"/>
      <c r="M225" s="744"/>
      <c r="N225" s="744"/>
      <c r="O225" s="744"/>
      <c r="P225" s="744"/>
    </row>
    <row r="226" spans="1:16">
      <c r="A226" s="2129"/>
      <c r="C226" s="450" t="s">
        <v>3175</v>
      </c>
      <c r="D226" s="2535"/>
      <c r="E226" s="2535"/>
      <c r="F226" s="2535"/>
      <c r="G226" s="2535"/>
      <c r="H226" s="2114"/>
      <c r="I226" s="2138"/>
      <c r="J226" s="2114"/>
      <c r="K226" s="2114"/>
      <c r="L226" s="2114"/>
      <c r="M226" s="2114"/>
      <c r="N226" s="2114"/>
      <c r="O226" s="2114"/>
      <c r="P226" s="2114"/>
    </row>
    <row r="227" spans="1:16">
      <c r="A227" s="2100" t="s">
        <v>3359</v>
      </c>
      <c r="B227" s="119"/>
      <c r="C227" s="1865" t="s">
        <v>3177</v>
      </c>
    </row>
    <row r="228" spans="1:16">
      <c r="A228" s="2129"/>
      <c r="C228" s="1865" t="s">
        <v>3178</v>
      </c>
    </row>
    <row r="229" spans="1:16" ht="39" customHeight="1" thickBot="1">
      <c r="A229" s="2129"/>
      <c r="C229" s="2090" t="s">
        <v>3179</v>
      </c>
      <c r="D229" s="2623" t="s">
        <v>3180</v>
      </c>
      <c r="E229" s="2175" t="s">
        <v>3181</v>
      </c>
      <c r="F229" s="2175" t="s">
        <v>3182</v>
      </c>
      <c r="G229" s="2175" t="s">
        <v>3183</v>
      </c>
      <c r="H229" s="2176" t="s">
        <v>3184</v>
      </c>
      <c r="K229" s="2555"/>
      <c r="M229" s="2555"/>
    </row>
    <row r="230" spans="1:16" ht="4.9000000000000004" customHeight="1">
      <c r="A230" s="2129"/>
      <c r="C230" s="2522"/>
      <c r="D230" s="2177"/>
      <c r="E230" s="2178"/>
      <c r="F230" s="2179"/>
      <c r="G230" s="2180"/>
      <c r="H230" s="2181"/>
      <c r="K230" s="2167"/>
      <c r="M230" s="2167"/>
    </row>
    <row r="231" spans="1:16">
      <c r="A231" s="2129"/>
      <c r="C231" s="2370"/>
      <c r="D231" s="2703"/>
      <c r="E231" s="2534"/>
      <c r="F231" s="2182"/>
      <c r="G231" s="2183"/>
      <c r="H231" s="2237">
        <f>SUM(F231:G231)</f>
        <v>0</v>
      </c>
      <c r="I231" s="2117"/>
      <c r="K231" s="2184"/>
      <c r="M231" s="2184"/>
    </row>
    <row r="232" spans="1:16" ht="4.9000000000000004" customHeight="1">
      <c r="A232" s="2129"/>
      <c r="C232" s="2522"/>
      <c r="D232" s="2185"/>
      <c r="E232" s="2186"/>
      <c r="F232" s="2187"/>
      <c r="G232" s="2188"/>
      <c r="H232" s="2189"/>
      <c r="K232" s="2190"/>
      <c r="M232" s="2190"/>
    </row>
    <row r="233" spans="1:16">
      <c r="A233" s="2129"/>
      <c r="C233" s="2370"/>
      <c r="D233" s="2703"/>
      <c r="E233" s="2534"/>
      <c r="F233" s="2182"/>
      <c r="G233" s="2183"/>
      <c r="H233" s="2237">
        <f>SUM(F233:G233)</f>
        <v>0</v>
      </c>
      <c r="K233" s="2184"/>
      <c r="M233" s="2184"/>
    </row>
    <row r="234" spans="1:16" ht="4.9000000000000004" customHeight="1">
      <c r="A234" s="2129"/>
      <c r="C234" s="2371"/>
      <c r="D234" s="2185"/>
      <c r="E234" s="2186"/>
      <c r="F234" s="2187"/>
      <c r="G234" s="2188"/>
      <c r="H234" s="2189"/>
      <c r="K234" s="2190"/>
      <c r="M234" s="2190"/>
    </row>
    <row r="235" spans="1:16">
      <c r="A235" s="2129"/>
      <c r="C235" s="2370"/>
      <c r="D235" s="2703"/>
      <c r="E235" s="2534"/>
      <c r="F235" s="2182"/>
      <c r="G235" s="2183"/>
      <c r="H235" s="2237">
        <f>SUM(F235:G235)</f>
        <v>0</v>
      </c>
      <c r="K235" s="2184"/>
      <c r="M235" s="2184"/>
    </row>
    <row r="236" spans="1:16" ht="4.9000000000000004" customHeight="1">
      <c r="A236" s="2129"/>
      <c r="C236" s="2371"/>
      <c r="D236" s="2185"/>
      <c r="E236" s="2186"/>
      <c r="F236" s="2187"/>
      <c r="G236" s="2188"/>
      <c r="H236" s="2189"/>
      <c r="K236" s="2190"/>
      <c r="M236" s="2190"/>
    </row>
    <row r="237" spans="1:16">
      <c r="A237" s="2129"/>
      <c r="C237" s="2370"/>
      <c r="D237" s="2703"/>
      <c r="E237" s="2534"/>
      <c r="F237" s="2182"/>
      <c r="G237" s="2183"/>
      <c r="H237" s="2237">
        <f>SUM(F237:G237)</f>
        <v>0</v>
      </c>
      <c r="K237" s="2184"/>
      <c r="M237" s="2184"/>
    </row>
    <row r="238" spans="1:16" ht="4.9000000000000004" customHeight="1">
      <c r="A238" s="2129"/>
      <c r="C238" s="2371"/>
      <c r="D238" s="2185"/>
      <c r="E238" s="2186"/>
      <c r="F238" s="2187"/>
      <c r="G238" s="2188"/>
      <c r="H238" s="2189"/>
      <c r="K238" s="2190"/>
      <c r="M238" s="2190"/>
    </row>
    <row r="239" spans="1:16">
      <c r="A239" s="2129"/>
      <c r="C239" s="2370"/>
      <c r="D239" s="2703"/>
      <c r="E239" s="2534"/>
      <c r="F239" s="2182"/>
      <c r="G239" s="2183"/>
      <c r="H239" s="2237">
        <f>SUM(F239:G239)</f>
        <v>0</v>
      </c>
      <c r="K239" s="2184"/>
      <c r="M239" s="2184"/>
    </row>
    <row r="240" spans="1:16" ht="4.9000000000000004" customHeight="1">
      <c r="A240" s="2129"/>
      <c r="C240" s="2371"/>
      <c r="D240" s="2185"/>
      <c r="E240" s="2186"/>
      <c r="F240" s="2187"/>
      <c r="G240" s="2188"/>
      <c r="H240" s="2189"/>
      <c r="K240" s="2190"/>
      <c r="M240" s="2190"/>
    </row>
    <row r="241" spans="1:17">
      <c r="A241" s="2129"/>
      <c r="C241" s="2370"/>
      <c r="D241" s="2703"/>
      <c r="E241" s="2534"/>
      <c r="F241" s="2182"/>
      <c r="G241" s="2183"/>
      <c r="H241" s="2237">
        <f>SUM(F241:G241)</f>
        <v>0</v>
      </c>
      <c r="K241" s="2184"/>
      <c r="M241" s="2184"/>
    </row>
    <row r="242" spans="1:17" ht="4.9000000000000004" customHeight="1">
      <c r="A242" s="2129"/>
      <c r="C242" s="2371"/>
      <c r="D242" s="2185"/>
      <c r="E242" s="2186"/>
      <c r="F242" s="2187"/>
      <c r="G242" s="2188"/>
      <c r="H242" s="2189"/>
      <c r="K242" s="2190"/>
      <c r="M242" s="2190"/>
    </row>
    <row r="243" spans="1:17">
      <c r="A243" s="2129"/>
      <c r="C243" s="2370"/>
      <c r="D243" s="2703"/>
      <c r="E243" s="2534"/>
      <c r="F243" s="2182"/>
      <c r="G243" s="2183"/>
      <c r="H243" s="2237">
        <f>SUM(F243:G243)</f>
        <v>0</v>
      </c>
      <c r="K243" s="2184"/>
      <c r="M243" s="2184"/>
    </row>
    <row r="244" spans="1:17" ht="4.9000000000000004" customHeight="1">
      <c r="A244" s="2129"/>
      <c r="C244" s="2371"/>
      <c r="D244" s="2185"/>
      <c r="E244" s="2186"/>
      <c r="F244" s="2187"/>
      <c r="G244" s="2188"/>
      <c r="H244" s="2189"/>
      <c r="K244" s="2190"/>
      <c r="M244" s="2190"/>
    </row>
    <row r="245" spans="1:17">
      <c r="A245" s="2129"/>
      <c r="C245" s="2370"/>
      <c r="D245" s="2703"/>
      <c r="E245" s="2534"/>
      <c r="F245" s="2182"/>
      <c r="G245" s="2183"/>
      <c r="H245" s="2237">
        <f>SUM(F245:G245)</f>
        <v>0</v>
      </c>
      <c r="K245" s="2184"/>
      <c r="M245" s="2184"/>
    </row>
    <row r="246" spans="1:17" ht="4.1500000000000004" customHeight="1">
      <c r="A246" s="2129"/>
      <c r="D246" s="2153"/>
      <c r="F246" s="3798"/>
      <c r="G246" s="2191"/>
      <c r="H246" s="3799"/>
      <c r="K246" s="2184"/>
      <c r="M246" s="2184"/>
    </row>
    <row r="247" spans="1:17" ht="13.5" thickBot="1">
      <c r="A247" s="2129"/>
      <c r="E247" s="2091" t="s">
        <v>3108</v>
      </c>
      <c r="F247" s="2192">
        <f>SUM(F231:F245)</f>
        <v>0</v>
      </c>
      <c r="G247" s="2193">
        <f>SUM(G231:G245)</f>
        <v>0</v>
      </c>
      <c r="H247" s="2194">
        <f>SUM(H231:H246)</f>
        <v>0</v>
      </c>
      <c r="K247" s="2184"/>
      <c r="M247" s="2184"/>
    </row>
    <row r="248" spans="1:17" ht="13.5" thickTop="1">
      <c r="A248" s="2129"/>
      <c r="C248" s="119"/>
    </row>
    <row r="249" spans="1:17">
      <c r="A249" s="2129"/>
    </row>
    <row r="250" spans="1:17">
      <c r="A250" s="2129"/>
      <c r="C250" s="450" t="s">
        <v>3186</v>
      </c>
      <c r="D250" s="2535"/>
      <c r="E250" s="2535"/>
      <c r="F250" s="2535"/>
      <c r="G250" s="2535"/>
      <c r="H250" s="2114"/>
      <c r="I250" s="2138"/>
      <c r="J250" s="2114"/>
      <c r="K250" s="2114"/>
      <c r="L250" s="2114"/>
      <c r="M250" s="2114"/>
      <c r="N250" s="2114"/>
      <c r="O250" s="2114"/>
      <c r="P250" s="2114"/>
    </row>
    <row r="251" spans="1:17" ht="26.25" customHeight="1">
      <c r="A251" s="2139" t="s">
        <v>3360</v>
      </c>
      <c r="B251" s="119"/>
      <c r="C251" s="2136" t="s">
        <v>3361</v>
      </c>
      <c r="D251" s="2136"/>
      <c r="E251" s="2136"/>
      <c r="F251" s="2136"/>
      <c r="G251" s="2136"/>
      <c r="H251" s="2136"/>
    </row>
    <row r="252" spans="1:17">
      <c r="A252" s="2129"/>
      <c r="C252" s="1865" t="s">
        <v>3362</v>
      </c>
    </row>
    <row r="253" spans="1:17">
      <c r="A253" s="2129"/>
    </row>
    <row r="254" spans="1:17">
      <c r="A254" s="2129"/>
      <c r="B254" s="119" t="s">
        <v>3190</v>
      </c>
      <c r="C254" s="3617" t="s">
        <v>3191</v>
      </c>
      <c r="G254" s="2195"/>
      <c r="H254" s="2195"/>
      <c r="I254" s="2167"/>
      <c r="J254" s="2195"/>
      <c r="K254" s="2195"/>
    </row>
    <row r="255" spans="1:17" ht="13.5" thickBot="1">
      <c r="A255" s="2129"/>
      <c r="B255" s="119"/>
      <c r="C255" s="2196"/>
      <c r="E255" s="2197"/>
      <c r="F255" s="2623"/>
      <c r="G255" s="2623"/>
      <c r="H255" s="2623"/>
      <c r="I255" s="2197"/>
      <c r="J255" s="2197"/>
      <c r="K255" s="2197"/>
      <c r="L255" s="2197"/>
      <c r="O255" s="2108"/>
      <c r="P255" s="2108"/>
    </row>
    <row r="256" spans="1:17" ht="14.25" customHeight="1" thickBot="1">
      <c r="A256" s="2129"/>
      <c r="C256" s="2090" t="s">
        <v>2775</v>
      </c>
      <c r="D256" s="2198"/>
      <c r="E256" s="3620" t="s">
        <v>3193</v>
      </c>
      <c r="F256" s="2175" t="s">
        <v>3194</v>
      </c>
      <c r="G256" s="2199" t="s">
        <v>3195</v>
      </c>
      <c r="H256" s="2200" t="s">
        <v>3196</v>
      </c>
      <c r="I256" s="3620" t="s">
        <v>3197</v>
      </c>
      <c r="J256" s="119"/>
      <c r="P256" s="2521"/>
      <c r="Q256" s="2521"/>
    </row>
    <row r="257" spans="1:17" ht="4.3499999999999996" customHeight="1">
      <c r="A257" s="2129"/>
      <c r="C257" s="2127"/>
      <c r="D257" s="2167"/>
      <c r="E257" s="3618"/>
      <c r="F257" s="2201"/>
      <c r="G257" s="2202"/>
      <c r="H257" s="2167"/>
      <c r="I257" s="2203"/>
      <c r="J257" s="119"/>
      <c r="P257" s="72"/>
      <c r="Q257" s="72"/>
    </row>
    <row r="258" spans="1:17">
      <c r="A258" s="2129"/>
      <c r="C258" s="2370"/>
      <c r="D258" s="2198"/>
      <c r="E258" s="2205"/>
      <c r="F258" s="2204"/>
      <c r="G258" s="2205"/>
      <c r="H258" s="2204"/>
      <c r="I258" s="2182"/>
      <c r="J258" s="2117"/>
      <c r="P258" s="2206"/>
      <c r="Q258" s="2206"/>
    </row>
    <row r="259" spans="1:17" ht="4.3499999999999996" customHeight="1">
      <c r="A259" s="2129"/>
      <c r="C259" s="2522"/>
      <c r="D259" s="2167"/>
      <c r="E259" s="2208"/>
      <c r="F259" s="2207"/>
      <c r="G259" s="2208"/>
      <c r="H259" s="2209"/>
      <c r="I259" s="2189"/>
      <c r="J259" s="119"/>
      <c r="P259" s="2206"/>
      <c r="Q259" s="2206"/>
    </row>
    <row r="260" spans="1:17">
      <c r="A260" s="2129"/>
      <c r="C260" s="2370"/>
      <c r="D260" s="2198"/>
      <c r="E260" s="2205"/>
      <c r="F260" s="2204"/>
      <c r="G260" s="2205"/>
      <c r="H260" s="2204"/>
      <c r="I260" s="2182"/>
      <c r="J260" s="119"/>
      <c r="P260" s="2206"/>
      <c r="Q260" s="2206"/>
    </row>
    <row r="261" spans="1:17" ht="4.3499999999999996" customHeight="1">
      <c r="A261" s="2129"/>
      <c r="C261" s="2522"/>
      <c r="D261" s="2167"/>
      <c r="E261" s="2208"/>
      <c r="F261" s="2207"/>
      <c r="G261" s="2208"/>
      <c r="H261" s="2209"/>
      <c r="I261" s="2189"/>
      <c r="J261" s="119"/>
      <c r="P261" s="2206"/>
      <c r="Q261" s="2206"/>
    </row>
    <row r="262" spans="1:17">
      <c r="A262" s="2129"/>
      <c r="C262" s="2372"/>
      <c r="D262" s="2198"/>
      <c r="E262" s="2205"/>
      <c r="F262" s="2204"/>
      <c r="G262" s="2205"/>
      <c r="H262" s="2204"/>
      <c r="I262" s="2182"/>
      <c r="J262" s="119"/>
      <c r="P262" s="2206"/>
      <c r="Q262" s="2206"/>
    </row>
    <row r="263" spans="1:17" ht="4.3499999999999996" customHeight="1">
      <c r="A263" s="2129"/>
      <c r="C263" s="2373"/>
      <c r="D263" s="2211"/>
      <c r="E263" s="2212"/>
      <c r="F263" s="2213"/>
      <c r="G263" s="2212"/>
      <c r="H263" s="2213"/>
      <c r="I263" s="2212"/>
      <c r="J263" s="119"/>
      <c r="P263" s="2206"/>
      <c r="Q263" s="2206"/>
    </row>
    <row r="264" spans="1:17">
      <c r="A264" s="2129"/>
      <c r="C264" s="2372"/>
      <c r="D264" s="2198"/>
      <c r="E264" s="2205"/>
      <c r="F264" s="2204"/>
      <c r="G264" s="2205"/>
      <c r="H264" s="2204"/>
      <c r="I264" s="2182"/>
      <c r="J264" s="119"/>
      <c r="P264" s="2206"/>
      <c r="Q264" s="2206"/>
    </row>
    <row r="265" spans="1:17" ht="13.5" thickBot="1">
      <c r="A265" s="2129"/>
      <c r="D265" s="2153"/>
      <c r="E265" s="3619">
        <f>SUM(E258,E260,E262,E264)</f>
        <v>0</v>
      </c>
      <c r="F265" s="68"/>
      <c r="G265" s="68"/>
      <c r="H265" s="68"/>
      <c r="I265" s="72"/>
      <c r="J265" s="68"/>
      <c r="K265" s="68"/>
      <c r="L265" s="2535"/>
      <c r="O265" s="2535"/>
      <c r="P265" s="2206"/>
    </row>
    <row r="266" spans="1:17" ht="13.5" thickTop="1">
      <c r="A266" s="2129"/>
      <c r="C266" s="119"/>
      <c r="D266" s="2151"/>
      <c r="E266" s="2151"/>
      <c r="F266" s="2151"/>
      <c r="G266" s="2223"/>
      <c r="H266" s="2223"/>
      <c r="I266" s="2223"/>
      <c r="J266" s="2223"/>
      <c r="K266" s="2223"/>
      <c r="L266" s="2151"/>
      <c r="M266" s="2151"/>
      <c r="N266" s="2134"/>
      <c r="O266" s="2134"/>
      <c r="P266" s="2134"/>
    </row>
    <row r="267" spans="1:17" ht="13.5" thickBot="1">
      <c r="A267" s="2129"/>
      <c r="B267" s="119" t="s">
        <v>3199</v>
      </c>
      <c r="C267" s="3617" t="s">
        <v>3200</v>
      </c>
      <c r="N267" s="2214"/>
      <c r="O267" s="2214"/>
      <c r="P267" s="2214"/>
    </row>
    <row r="268" spans="1:17" ht="13.5" thickBot="1">
      <c r="A268" s="2129"/>
      <c r="C268" s="2090" t="s">
        <v>2775</v>
      </c>
      <c r="D268" s="2198"/>
      <c r="E268" s="3621"/>
      <c r="F268" s="3622" t="s">
        <v>3201</v>
      </c>
      <c r="G268" s="3623"/>
      <c r="H268" s="3624" t="s">
        <v>3163</v>
      </c>
      <c r="L268" s="2521"/>
      <c r="M268" s="2521"/>
    </row>
    <row r="269" spans="1:17" ht="9.75" customHeight="1">
      <c r="A269" s="2129"/>
      <c r="C269" s="2127"/>
      <c r="D269" s="2167"/>
      <c r="E269" s="3625"/>
      <c r="F269" s="2197"/>
      <c r="G269" s="2197"/>
      <c r="H269" s="2215"/>
      <c r="L269" s="2167"/>
      <c r="M269" s="2167"/>
      <c r="N269" s="2216"/>
    </row>
    <row r="270" spans="1:17">
      <c r="A270" s="2129"/>
      <c r="C270" s="2370"/>
      <c r="D270" s="2198"/>
      <c r="E270" s="2703"/>
      <c r="F270" s="2707"/>
      <c r="G270" s="2704"/>
      <c r="H270" s="2182"/>
      <c r="I270" s="2117"/>
      <c r="J270" s="129"/>
      <c r="K270" s="129"/>
      <c r="L270" s="2708"/>
      <c r="M270" s="2708"/>
    </row>
    <row r="271" spans="1:17" ht="4.3499999999999996" customHeight="1">
      <c r="A271" s="2129"/>
      <c r="C271" s="2522"/>
      <c r="D271" s="2167"/>
      <c r="E271" s="3626"/>
      <c r="F271" s="2217"/>
      <c r="G271" s="2217"/>
      <c r="H271" s="2218"/>
      <c r="I271" s="2117"/>
      <c r="J271" s="129"/>
      <c r="K271" s="129"/>
      <c r="L271" s="2195"/>
      <c r="M271" s="2195"/>
      <c r="N271" s="2219"/>
    </row>
    <row r="272" spans="1:17">
      <c r="A272" s="2129"/>
      <c r="C272" s="2370"/>
      <c r="D272" s="2198"/>
      <c r="E272" s="2703"/>
      <c r="F272" s="2707"/>
      <c r="G272" s="2704"/>
      <c r="H272" s="2182"/>
      <c r="I272" s="2117"/>
      <c r="J272" s="129"/>
      <c r="K272" s="129"/>
      <c r="L272" s="2708"/>
      <c r="M272" s="2708"/>
    </row>
    <row r="273" spans="1:16" ht="4.3499999999999996" customHeight="1">
      <c r="A273" s="2129"/>
      <c r="C273" s="2522"/>
      <c r="D273" s="2167"/>
      <c r="E273" s="3627"/>
      <c r="F273" s="2158"/>
      <c r="G273" s="2158"/>
      <c r="H273" s="2218"/>
      <c r="I273" s="2117"/>
      <c r="J273" s="129"/>
      <c r="K273" s="129"/>
      <c r="L273" s="2195"/>
      <c r="M273" s="2195"/>
      <c r="N273" s="2219"/>
    </row>
    <row r="274" spans="1:16">
      <c r="A274" s="2129"/>
      <c r="C274" s="2372"/>
      <c r="D274" s="2198"/>
      <c r="E274" s="2703"/>
      <c r="F274" s="2707"/>
      <c r="G274" s="2704"/>
      <c r="H274" s="2182"/>
      <c r="I274" s="2117"/>
      <c r="J274" s="129"/>
      <c r="K274" s="129"/>
      <c r="L274" s="2708"/>
      <c r="M274" s="2708"/>
    </row>
    <row r="275" spans="1:16" ht="4.3499999999999996" customHeight="1">
      <c r="A275" s="2129"/>
      <c r="C275" s="2210"/>
      <c r="D275" s="2211"/>
      <c r="E275" s="3628"/>
      <c r="F275" s="2220"/>
      <c r="G275" s="2220"/>
      <c r="H275" s="2218"/>
      <c r="I275" s="2117"/>
      <c r="J275" s="129"/>
      <c r="K275" s="129"/>
      <c r="L275" s="68"/>
      <c r="M275" s="68"/>
      <c r="N275" s="2221"/>
    </row>
    <row r="276" spans="1:16">
      <c r="A276" s="2129"/>
      <c r="C276" s="2372"/>
      <c r="D276" s="2198"/>
      <c r="E276" s="3629"/>
      <c r="F276" s="2711"/>
      <c r="G276" s="2712"/>
      <c r="H276" s="2222"/>
      <c r="I276" s="2117"/>
      <c r="J276" s="129"/>
      <c r="K276" s="129"/>
      <c r="L276" s="2198"/>
      <c r="M276" s="2198"/>
    </row>
    <row r="277" spans="1:16" ht="13.5" thickBot="1">
      <c r="A277" s="2129"/>
      <c r="D277" s="2151"/>
      <c r="E277" s="2151"/>
      <c r="F277" s="2151"/>
      <c r="G277" s="119" t="s">
        <v>3108</v>
      </c>
      <c r="H277" s="2152">
        <f>SUM(H270:H276)</f>
        <v>0</v>
      </c>
      <c r="I277" s="2117"/>
      <c r="J277" s="2223"/>
      <c r="K277" s="2223"/>
      <c r="L277" s="2151"/>
      <c r="M277" s="2151"/>
    </row>
    <row r="278" spans="1:16" ht="13.5" thickTop="1">
      <c r="A278" s="2129"/>
      <c r="C278" s="119"/>
      <c r="D278" s="2151"/>
      <c r="E278" s="2151"/>
      <c r="F278" s="2151"/>
      <c r="G278" s="2224"/>
      <c r="H278" s="2224"/>
      <c r="I278" s="2224"/>
      <c r="J278" s="2224"/>
      <c r="K278" s="2224"/>
      <c r="L278" s="2151"/>
      <c r="M278" s="2151"/>
      <c r="N278" s="2535"/>
      <c r="O278" s="2535"/>
      <c r="P278" s="2535"/>
    </row>
    <row r="279" spans="1:16" ht="13.5" thickBot="1">
      <c r="A279" s="2129"/>
      <c r="B279" s="119" t="s">
        <v>3202</v>
      </c>
      <c r="C279" s="3617" t="s">
        <v>3203</v>
      </c>
      <c r="I279" s="2117"/>
      <c r="J279" s="129"/>
      <c r="K279" s="129"/>
      <c r="N279" s="2214"/>
      <c r="O279" s="2214"/>
      <c r="P279" s="2214"/>
    </row>
    <row r="280" spans="1:16" ht="13.9" customHeight="1" thickBot="1">
      <c r="A280" s="2129"/>
      <c r="C280" s="2090" t="s">
        <v>2775</v>
      </c>
      <c r="D280" s="2198"/>
      <c r="E280" s="3621"/>
      <c r="F280" s="3630" t="s">
        <v>3203</v>
      </c>
      <c r="G280" s="3638"/>
      <c r="H280" s="3639" t="s">
        <v>3163</v>
      </c>
      <c r="I280" s="2117"/>
      <c r="J280" s="2521"/>
      <c r="K280" s="2521"/>
    </row>
    <row r="281" spans="1:16" ht="12" customHeight="1">
      <c r="A281" s="2129"/>
      <c r="C281" s="2127"/>
      <c r="D281" s="2167"/>
      <c r="E281" s="3625"/>
      <c r="F281" s="2197"/>
      <c r="G281" s="2197"/>
      <c r="H281" s="2225"/>
      <c r="I281" s="2117"/>
      <c r="J281" s="2167"/>
      <c r="K281" s="2167"/>
    </row>
    <row r="282" spans="1:16">
      <c r="A282" s="2129"/>
      <c r="C282" s="2370"/>
      <c r="D282" s="2198"/>
      <c r="E282" s="3632"/>
      <c r="F282" s="3633"/>
      <c r="G282" s="3633"/>
      <c r="H282" s="3640"/>
      <c r="I282" s="2117"/>
      <c r="J282" s="2708"/>
      <c r="K282" s="2708"/>
    </row>
    <row r="283" spans="1:16" ht="4.3499999999999996" customHeight="1">
      <c r="A283" s="2129"/>
      <c r="C283" s="2522"/>
      <c r="D283" s="2167"/>
      <c r="E283" s="3634"/>
      <c r="F283" s="2226"/>
      <c r="G283" s="2226"/>
      <c r="H283" s="2227"/>
      <c r="I283" s="2117"/>
      <c r="J283" s="2195"/>
      <c r="K283" s="2195"/>
    </row>
    <row r="284" spans="1:16">
      <c r="A284" s="2129"/>
      <c r="C284" s="2370"/>
      <c r="D284" s="2198"/>
      <c r="E284" s="3635"/>
      <c r="F284" s="2709"/>
      <c r="G284" s="2709"/>
      <c r="H284" s="2182"/>
      <c r="I284" s="2117"/>
      <c r="J284" s="2708"/>
      <c r="K284" s="2708"/>
    </row>
    <row r="285" spans="1:16" ht="4.3499999999999996" customHeight="1">
      <c r="A285" s="2129"/>
      <c r="C285" s="2522"/>
      <c r="D285" s="2167"/>
      <c r="E285" s="3636"/>
      <c r="F285" s="2228"/>
      <c r="G285" s="2228"/>
      <c r="H285" s="2227"/>
      <c r="I285" s="2117"/>
      <c r="J285" s="2195"/>
      <c r="K285" s="2195"/>
    </row>
    <row r="286" spans="1:16">
      <c r="A286" s="2129"/>
      <c r="C286" s="2372"/>
      <c r="D286" s="2198"/>
      <c r="E286" s="3635"/>
      <c r="F286" s="2709"/>
      <c r="G286" s="2709"/>
      <c r="H286" s="2182"/>
      <c r="I286" s="2117"/>
      <c r="J286" s="2708"/>
      <c r="K286" s="2708"/>
    </row>
    <row r="287" spans="1:16" ht="4.3499999999999996" customHeight="1">
      <c r="A287" s="2129"/>
      <c r="C287" s="2210"/>
      <c r="D287" s="2211"/>
      <c r="E287" s="3637"/>
      <c r="F287" s="68"/>
      <c r="G287" s="68"/>
      <c r="H287" s="2227"/>
      <c r="I287" s="2117"/>
      <c r="J287" s="68"/>
      <c r="K287" s="68"/>
    </row>
    <row r="288" spans="1:16">
      <c r="A288" s="2129"/>
      <c r="C288" s="2372"/>
      <c r="D288" s="2198"/>
      <c r="E288" s="3635"/>
      <c r="F288" s="2709"/>
      <c r="G288" s="2709"/>
      <c r="H288" s="2182"/>
      <c r="I288" s="2117"/>
      <c r="J288" s="2708"/>
      <c r="K288" s="2708"/>
    </row>
    <row r="289" spans="1:16" ht="13.5" thickBot="1">
      <c r="A289" s="2129"/>
      <c r="D289" s="2151"/>
      <c r="E289" s="2151"/>
      <c r="F289" s="2151"/>
      <c r="G289" s="119" t="s">
        <v>3108</v>
      </c>
      <c r="H289" s="2152">
        <f>SUM(H282:H288)</f>
        <v>0</v>
      </c>
      <c r="I289" s="2117"/>
      <c r="J289" s="2151"/>
      <c r="K289" s="2151"/>
    </row>
    <row r="290" spans="1:16" ht="13.5" thickTop="1">
      <c r="A290" s="2129"/>
      <c r="C290" s="119"/>
      <c r="D290" s="2151"/>
      <c r="E290" s="2151"/>
      <c r="F290" s="2151"/>
      <c r="G290" s="2224"/>
      <c r="H290" s="2224"/>
      <c r="I290" s="2224"/>
      <c r="J290" s="2224"/>
      <c r="K290" s="2224"/>
      <c r="L290" s="2151"/>
      <c r="M290" s="2151"/>
      <c r="N290" s="2535"/>
      <c r="O290" s="2535"/>
      <c r="P290" s="2535"/>
    </row>
    <row r="291" spans="1:16">
      <c r="A291" s="2129"/>
      <c r="B291" s="119" t="s">
        <v>3205</v>
      </c>
      <c r="C291" s="3617" t="s">
        <v>3206</v>
      </c>
      <c r="I291" s="2117"/>
      <c r="J291" s="129"/>
      <c r="K291" s="129"/>
    </row>
    <row r="292" spans="1:16" ht="13.9" customHeight="1" thickBot="1">
      <c r="A292" s="2129"/>
      <c r="C292" s="2090" t="s">
        <v>2775</v>
      </c>
      <c r="D292" s="2198"/>
      <c r="E292" s="2705"/>
      <c r="F292" s="3631" t="s">
        <v>3207</v>
      </c>
      <c r="G292" s="2706"/>
      <c r="H292" s="2147" t="s">
        <v>3163</v>
      </c>
      <c r="I292" s="2117"/>
      <c r="J292" s="2521"/>
      <c r="K292" s="2521"/>
    </row>
    <row r="293" spans="1:16" ht="4.3499999999999996" customHeight="1">
      <c r="A293" s="2129"/>
      <c r="C293" s="2127"/>
      <c r="D293" s="2167"/>
      <c r="E293" s="2197"/>
      <c r="F293" s="2197"/>
      <c r="G293" s="2197"/>
      <c r="H293" s="2229"/>
      <c r="I293" s="2117"/>
      <c r="J293" s="2167"/>
      <c r="K293" s="2167"/>
    </row>
    <row r="294" spans="1:16">
      <c r="A294" s="2129"/>
      <c r="C294" s="2370"/>
      <c r="D294" s="2198"/>
      <c r="E294" s="2709"/>
      <c r="F294" s="2709"/>
      <c r="G294" s="2710"/>
      <c r="H294" s="2182"/>
      <c r="I294" s="2117"/>
      <c r="J294" s="2708"/>
      <c r="K294" s="2708"/>
    </row>
    <row r="295" spans="1:16" ht="4.3499999999999996" customHeight="1">
      <c r="A295" s="2129"/>
      <c r="C295" s="2522"/>
      <c r="D295" s="2167"/>
      <c r="E295" s="2226"/>
      <c r="F295" s="2226"/>
      <c r="G295" s="2226"/>
      <c r="H295" s="2227"/>
      <c r="I295" s="2117"/>
      <c r="J295" s="2195"/>
      <c r="K295" s="2195"/>
    </row>
    <row r="296" spans="1:16">
      <c r="A296" s="2129"/>
      <c r="C296" s="2370"/>
      <c r="D296" s="2198"/>
      <c r="E296" s="2709"/>
      <c r="F296" s="2709"/>
      <c r="G296" s="2710"/>
      <c r="H296" s="2182"/>
      <c r="J296" s="2708"/>
      <c r="K296" s="2708"/>
    </row>
    <row r="297" spans="1:16" ht="4.3499999999999996" customHeight="1">
      <c r="A297" s="2129"/>
      <c r="C297" s="2522"/>
      <c r="D297" s="2167"/>
      <c r="E297" s="2228"/>
      <c r="F297" s="2228"/>
      <c r="G297" s="2228"/>
      <c r="H297" s="2227"/>
      <c r="J297" s="2195"/>
      <c r="K297" s="2195"/>
    </row>
    <row r="298" spans="1:16">
      <c r="A298" s="2129"/>
      <c r="C298" s="2372"/>
      <c r="D298" s="2198"/>
      <c r="E298" s="2709"/>
      <c r="F298" s="2709"/>
      <c r="G298" s="2710"/>
      <c r="H298" s="2182"/>
      <c r="J298" s="2708"/>
      <c r="K298" s="2708"/>
    </row>
    <row r="299" spans="1:16" ht="4.3499999999999996" customHeight="1">
      <c r="A299" s="2129"/>
      <c r="C299" s="2210"/>
      <c r="D299" s="2211"/>
      <c r="E299" s="68"/>
      <c r="F299" s="68"/>
      <c r="G299" s="68"/>
      <c r="H299" s="2227"/>
      <c r="J299" s="68"/>
      <c r="K299" s="68"/>
    </row>
    <row r="300" spans="1:16">
      <c r="A300" s="2129"/>
      <c r="C300" s="2372"/>
      <c r="D300" s="2198"/>
      <c r="E300" s="2709"/>
      <c r="F300" s="2709"/>
      <c r="G300" s="2710"/>
      <c r="H300" s="2182"/>
      <c r="J300" s="2708"/>
      <c r="K300" s="2708"/>
    </row>
    <row r="301" spans="1:16" ht="13.5" thickBot="1">
      <c r="A301" s="2129"/>
      <c r="D301" s="2151"/>
      <c r="E301" s="2151"/>
      <c r="F301" s="2151"/>
      <c r="G301" s="119" t="s">
        <v>3108</v>
      </c>
      <c r="H301" s="2152">
        <f>SUM(H294:H300)</f>
        <v>0</v>
      </c>
      <c r="J301" s="2151"/>
      <c r="K301" s="2151"/>
    </row>
    <row r="302" spans="1:16" ht="13.5" thickTop="1">
      <c r="A302" s="2129"/>
    </row>
    <row r="303" spans="1:16">
      <c r="A303" s="2139" t="s">
        <v>3363</v>
      </c>
      <c r="C303" s="1865" t="s">
        <v>3209</v>
      </c>
    </row>
    <row r="304" spans="1:16">
      <c r="A304" s="2129"/>
      <c r="C304" s="1865" t="s">
        <v>3210</v>
      </c>
    </row>
    <row r="305" spans="1:16">
      <c r="A305" s="2129"/>
      <c r="C305" s="119"/>
      <c r="N305" s="2153"/>
      <c r="O305" s="2153"/>
      <c r="P305" s="2153"/>
    </row>
    <row r="306" spans="1:16" ht="15" customHeight="1">
      <c r="A306" s="2129"/>
      <c r="C306" s="2098" t="s">
        <v>3124</v>
      </c>
      <c r="D306" s="2713"/>
      <c r="E306" s="2713"/>
      <c r="F306" s="2713"/>
      <c r="G306" s="2713"/>
      <c r="H306" s="2713"/>
      <c r="I306" s="2230"/>
      <c r="J306" s="2155"/>
      <c r="K306" s="2155"/>
      <c r="L306" s="2155"/>
      <c r="M306" s="2155"/>
      <c r="N306" s="2155"/>
      <c r="O306" s="2155"/>
    </row>
    <row r="307" spans="1:16" ht="5.25" customHeight="1">
      <c r="A307" s="743"/>
      <c r="B307" s="68"/>
      <c r="C307" s="72"/>
      <c r="D307" s="2156"/>
      <c r="E307" s="2156"/>
      <c r="F307" s="2156"/>
      <c r="G307" s="2156"/>
      <c r="H307" s="2156"/>
      <c r="I307" s="2157"/>
      <c r="J307" s="2156"/>
      <c r="K307" s="2156"/>
      <c r="L307" s="2156"/>
      <c r="M307" s="2156"/>
      <c r="N307" s="2156"/>
      <c r="O307" s="2156"/>
    </row>
    <row r="308" spans="1:16" ht="12.75" customHeight="1">
      <c r="A308" s="2129"/>
      <c r="C308" s="2108"/>
      <c r="D308" s="2713"/>
      <c r="E308" s="2713"/>
      <c r="F308" s="2713"/>
      <c r="G308" s="2713"/>
      <c r="H308" s="2713"/>
      <c r="I308" s="2230"/>
      <c r="J308" s="2155"/>
      <c r="K308" s="2155"/>
      <c r="L308" s="2155"/>
      <c r="M308" s="2155"/>
      <c r="N308" s="2155"/>
      <c r="O308" s="2155"/>
    </row>
    <row r="309" spans="1:16" ht="4.3499999999999996" customHeight="1">
      <c r="A309" s="2129"/>
      <c r="C309" s="2108"/>
      <c r="D309" s="2158"/>
      <c r="E309" s="2156"/>
      <c r="F309" s="2156"/>
      <c r="G309" s="2156"/>
      <c r="H309" s="2156"/>
      <c r="I309" s="2157"/>
      <c r="J309" s="2156"/>
      <c r="K309" s="2156"/>
      <c r="L309" s="2156"/>
      <c r="M309" s="2156"/>
      <c r="N309" s="2156"/>
      <c r="O309" s="2156"/>
    </row>
    <row r="310" spans="1:16">
      <c r="A310" s="2159"/>
      <c r="B310" s="2160"/>
      <c r="D310" s="2713"/>
      <c r="E310" s="2713"/>
      <c r="F310" s="2713"/>
      <c r="G310" s="2713"/>
      <c r="H310" s="2713"/>
      <c r="I310" s="2230"/>
      <c r="J310" s="2155"/>
      <c r="K310" s="2155"/>
      <c r="L310" s="2155"/>
      <c r="M310" s="2155"/>
      <c r="N310" s="2155"/>
      <c r="O310" s="2155"/>
    </row>
    <row r="311" spans="1:16" ht="9" customHeight="1">
      <c r="A311" s="2159"/>
      <c r="B311" s="2160"/>
      <c r="D311" s="2156"/>
      <c r="E311" s="2156"/>
      <c r="F311" s="2156"/>
      <c r="G311" s="2156"/>
      <c r="H311" s="2156"/>
      <c r="I311" s="2230"/>
      <c r="J311" s="2155"/>
      <c r="K311" s="2155"/>
      <c r="L311" s="2155"/>
      <c r="M311" s="2155"/>
      <c r="N311" s="2155"/>
      <c r="O311" s="2155"/>
    </row>
    <row r="312" spans="1:16">
      <c r="A312" s="2159"/>
      <c r="B312" s="2160"/>
      <c r="D312" s="2713"/>
      <c r="E312" s="2713"/>
      <c r="F312" s="2713"/>
      <c r="G312" s="2713"/>
      <c r="H312" s="2713"/>
      <c r="I312" s="2230"/>
      <c r="J312" s="2155"/>
      <c r="K312" s="2155"/>
      <c r="L312" s="2155"/>
      <c r="M312" s="2155"/>
      <c r="N312" s="2155"/>
      <c r="O312" s="2155"/>
    </row>
    <row r="313" spans="1:16" s="1872" customFormat="1">
      <c r="A313" s="3645"/>
      <c r="B313" s="3646"/>
      <c r="D313" s="3647"/>
      <c r="E313" s="3647"/>
      <c r="F313" s="3647"/>
      <c r="G313" s="3647"/>
      <c r="H313" s="3647"/>
      <c r="I313" s="3648"/>
      <c r="J313" s="3649"/>
      <c r="K313" s="3649"/>
      <c r="L313" s="3649"/>
      <c r="M313" s="3649"/>
      <c r="N313" s="3649"/>
      <c r="O313" s="3649"/>
    </row>
    <row r="314" spans="1:16">
      <c r="A314" s="2159"/>
      <c r="B314" s="2160"/>
      <c r="D314" s="2713"/>
      <c r="E314" s="2713"/>
      <c r="F314" s="2713"/>
      <c r="G314" s="2713"/>
      <c r="H314" s="2713"/>
      <c r="I314" s="2230"/>
      <c r="J314" s="2155"/>
      <c r="K314" s="2155"/>
      <c r="L314" s="2155"/>
      <c r="M314" s="2155"/>
      <c r="N314" s="2155"/>
      <c r="O314" s="2155"/>
    </row>
    <row r="315" spans="1:16">
      <c r="A315" s="2173"/>
      <c r="B315" s="2174"/>
      <c r="C315" s="129"/>
      <c r="D315" s="744"/>
      <c r="E315" s="744"/>
      <c r="F315" s="744"/>
      <c r="G315" s="744"/>
      <c r="H315" s="744"/>
      <c r="I315" s="742"/>
      <c r="J315" s="744"/>
      <c r="K315" s="744"/>
      <c r="L315" s="744"/>
      <c r="M315" s="744"/>
      <c r="N315" s="744"/>
      <c r="O315" s="744"/>
      <c r="P315" s="744"/>
    </row>
    <row r="316" spans="1:16">
      <c r="A316" s="2129"/>
      <c r="C316" s="450" t="s">
        <v>3211</v>
      </c>
      <c r="D316" s="2535"/>
      <c r="E316" s="2535"/>
      <c r="F316" s="2535"/>
      <c r="G316" s="2535"/>
      <c r="H316" s="2114"/>
      <c r="I316" s="2138"/>
      <c r="J316" s="2114"/>
      <c r="K316" s="2114"/>
      <c r="L316" s="2114"/>
      <c r="M316" s="2114"/>
      <c r="N316" s="2114"/>
      <c r="O316" s="2114"/>
      <c r="P316" s="2114"/>
    </row>
    <row r="317" spans="1:16">
      <c r="A317" s="2139" t="s">
        <v>3364</v>
      </c>
      <c r="B317" s="119"/>
      <c r="C317" s="1865" t="s">
        <v>3213</v>
      </c>
    </row>
    <row r="318" spans="1:16" ht="13.9" customHeight="1" thickBot="1">
      <c r="A318" s="2129"/>
      <c r="C318" s="2090" t="s">
        <v>2775</v>
      </c>
      <c r="D318" s="2198"/>
      <c r="E318" s="3641"/>
      <c r="F318" s="3631" t="s">
        <v>3127</v>
      </c>
      <c r="G318" s="2699"/>
      <c r="H318" s="2231" t="s">
        <v>3214</v>
      </c>
      <c r="J318" s="2232"/>
      <c r="K318" s="2232"/>
      <c r="L318" s="2521"/>
      <c r="M318" s="2521"/>
    </row>
    <row r="319" spans="1:16" ht="4.3499999999999996" customHeight="1">
      <c r="A319" s="2129"/>
      <c r="C319" s="2522"/>
      <c r="D319" s="2167"/>
      <c r="E319" s="3625"/>
      <c r="F319" s="2197"/>
      <c r="G319" s="3642"/>
      <c r="H319" s="2233"/>
      <c r="J319" s="2234"/>
      <c r="K319" s="2234"/>
      <c r="L319" s="2167"/>
      <c r="M319" s="2167"/>
    </row>
    <row r="320" spans="1:16">
      <c r="A320" s="2129"/>
      <c r="C320" s="2148"/>
      <c r="D320" s="2155"/>
      <c r="E320" s="2703"/>
      <c r="F320" s="2707"/>
      <c r="G320" s="2704"/>
      <c r="H320" s="2182"/>
      <c r="I320" s="2117"/>
      <c r="J320" s="2235"/>
      <c r="K320" s="2235"/>
      <c r="L320" s="2198"/>
      <c r="M320" s="2198"/>
    </row>
    <row r="321" spans="1:16" ht="4.3499999999999996" customHeight="1">
      <c r="A321" s="2129"/>
      <c r="C321" s="2165"/>
      <c r="D321" s="2236"/>
      <c r="E321" s="3626"/>
      <c r="F321" s="2217"/>
      <c r="G321" s="3643"/>
      <c r="H321" s="2227"/>
      <c r="J321" s="2184"/>
      <c r="K321" s="2184"/>
      <c r="L321" s="2167"/>
      <c r="M321" s="2167"/>
    </row>
    <row r="322" spans="1:16">
      <c r="A322" s="2129"/>
      <c r="C322" s="2148"/>
      <c r="D322" s="2155"/>
      <c r="E322" s="2703"/>
      <c r="F322" s="2707"/>
      <c r="G322" s="2704"/>
      <c r="H322" s="2182"/>
      <c r="J322" s="2235"/>
      <c r="K322" s="2235"/>
      <c r="L322" s="2198"/>
      <c r="M322" s="2198"/>
    </row>
    <row r="323" spans="1:16" ht="4.3499999999999996" customHeight="1">
      <c r="A323" s="2129"/>
      <c r="C323" s="2165"/>
      <c r="D323" s="2236"/>
      <c r="E323" s="3627"/>
      <c r="F323" s="2158"/>
      <c r="G323" s="3644"/>
      <c r="H323" s="2227"/>
      <c r="J323" s="2184"/>
      <c r="K323" s="2184"/>
      <c r="L323" s="2167"/>
      <c r="M323" s="2167"/>
    </row>
    <row r="324" spans="1:16">
      <c r="A324" s="2129"/>
      <c r="C324" s="2148"/>
      <c r="D324" s="2155"/>
      <c r="E324" s="2703"/>
      <c r="F324" s="2707"/>
      <c r="G324" s="2704"/>
      <c r="H324" s="2182"/>
      <c r="J324" s="2235"/>
      <c r="K324" s="2235"/>
      <c r="L324" s="2198"/>
      <c r="M324" s="2198"/>
    </row>
    <row r="325" spans="1:16" ht="13.5" thickBot="1">
      <c r="A325" s="2129"/>
      <c r="D325" s="2151"/>
      <c r="E325" s="2151"/>
      <c r="F325" s="2151"/>
      <c r="G325" s="119" t="s">
        <v>3108</v>
      </c>
      <c r="H325" s="2152">
        <f>SUM(H320:H324)</f>
        <v>0</v>
      </c>
      <c r="J325" s="2169"/>
      <c r="K325" s="2169"/>
      <c r="L325" s="2151"/>
      <c r="M325" s="2151"/>
    </row>
    <row r="326" spans="1:16" ht="13.5" thickTop="1">
      <c r="A326" s="2129"/>
      <c r="C326" s="119"/>
      <c r="N326" s="2153"/>
      <c r="O326" s="2153"/>
      <c r="P326" s="2153"/>
    </row>
    <row r="327" spans="1:16">
      <c r="A327" s="2100" t="s">
        <v>3365</v>
      </c>
      <c r="C327" s="1865" t="s">
        <v>3216</v>
      </c>
      <c r="N327" s="2153"/>
      <c r="O327" s="2153"/>
      <c r="P327" s="2153"/>
    </row>
    <row r="328" spans="1:16">
      <c r="A328" s="2129"/>
      <c r="C328" s="1865" t="s">
        <v>3217</v>
      </c>
      <c r="N328" s="2153"/>
      <c r="O328" s="2153"/>
      <c r="P328" s="2153"/>
    </row>
    <row r="329" spans="1:16">
      <c r="A329" s="2129"/>
      <c r="N329" s="2153"/>
      <c r="O329" s="2153"/>
      <c r="P329" s="2153"/>
    </row>
    <row r="330" spans="1:16">
      <c r="A330" s="2129"/>
      <c r="C330" s="2098" t="s">
        <v>3124</v>
      </c>
      <c r="D330" s="2713"/>
      <c r="E330" s="2713"/>
      <c r="F330" s="2713"/>
      <c r="G330" s="2713"/>
      <c r="H330" s="2713"/>
      <c r="I330" s="2230"/>
      <c r="J330" s="2155"/>
      <c r="K330" s="2155"/>
      <c r="L330" s="2155"/>
      <c r="M330" s="2155"/>
      <c r="N330" s="2155"/>
      <c r="O330" s="2155"/>
    </row>
    <row r="331" spans="1:16" ht="4.3499999999999996" customHeight="1">
      <c r="A331" s="743"/>
      <c r="B331" s="68"/>
      <c r="C331" s="72"/>
      <c r="D331" s="2156"/>
      <c r="E331" s="2156"/>
      <c r="F331" s="2156"/>
      <c r="G331" s="2156"/>
      <c r="H331" s="2156"/>
      <c r="I331" s="2157"/>
      <c r="J331" s="2156"/>
      <c r="K331" s="2156"/>
      <c r="L331" s="2156"/>
      <c r="M331" s="2156"/>
      <c r="N331" s="2156"/>
      <c r="O331" s="2156"/>
    </row>
    <row r="332" spans="1:16">
      <c r="A332" s="2129"/>
      <c r="C332" s="2108"/>
      <c r="D332" s="2713"/>
      <c r="E332" s="2713"/>
      <c r="F332" s="2713"/>
      <c r="G332" s="2713"/>
      <c r="H332" s="2713"/>
      <c r="I332" s="2230"/>
      <c r="J332" s="2155"/>
      <c r="K332" s="2155"/>
      <c r="L332" s="2155"/>
      <c r="M332" s="2155"/>
      <c r="N332" s="2155"/>
      <c r="O332" s="2155"/>
    </row>
    <row r="333" spans="1:16" ht="4.3499999999999996" customHeight="1">
      <c r="A333" s="2129"/>
      <c r="C333" s="2108"/>
      <c r="D333" s="2158"/>
      <c r="E333" s="2156"/>
      <c r="F333" s="2156"/>
      <c r="G333" s="2156"/>
      <c r="H333" s="2156"/>
      <c r="I333" s="2157"/>
      <c r="J333" s="2156"/>
      <c r="K333" s="2156"/>
      <c r="L333" s="2156"/>
      <c r="M333" s="2156"/>
      <c r="N333" s="2156"/>
      <c r="O333" s="2156"/>
    </row>
    <row r="334" spans="1:16">
      <c r="A334" s="2159"/>
      <c r="B334" s="2160"/>
      <c r="D334" s="2713"/>
      <c r="E334" s="2713"/>
      <c r="F334" s="2713"/>
      <c r="G334" s="2713"/>
      <c r="H334" s="2713"/>
      <c r="I334" s="2230"/>
      <c r="J334" s="2155"/>
      <c r="K334" s="2155"/>
      <c r="L334" s="2155"/>
      <c r="M334" s="2155"/>
      <c r="N334" s="2155"/>
      <c r="O334" s="2155"/>
    </row>
    <row r="335" spans="1:16">
      <c r="A335" s="2160"/>
      <c r="B335" s="2160"/>
      <c r="D335" s="3800"/>
      <c r="E335" s="3800"/>
      <c r="F335" s="3800"/>
      <c r="G335" s="3800"/>
      <c r="H335" s="3800"/>
      <c r="I335" s="72"/>
      <c r="J335" s="68"/>
      <c r="K335" s="68"/>
      <c r="L335" s="68"/>
      <c r="M335" s="68"/>
      <c r="N335" s="68"/>
      <c r="O335" s="68"/>
      <c r="P335" s="68"/>
    </row>
  </sheetData>
  <sheetProtection algorithmName="SHA-512" hashValue="gr27sD806IMB3CW4dkPHf1+JyElWQkKy9IQzuWoOXceg4Biokk06MnR6jP4iUorDK25787xLoTKkkab3HahTNA==" saltValue="7s/NLsJ6ybVrmR0IHFb9JA==" spinCount="100000" sheet="1" objects="1" scenarios="1"/>
  <pageMargins left="0.25" right="0.25" top="0.25" bottom="0.25" header="0.3" footer="0.3"/>
  <pageSetup scale="3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AV141"/>
  <sheetViews>
    <sheetView zoomScale="110" zoomScaleNormal="110" zoomScaleSheetLayoutView="110" workbookViewId="0">
      <selection activeCell="A12" sqref="A12"/>
    </sheetView>
  </sheetViews>
  <sheetFormatPr defaultColWidth="9.28515625" defaultRowHeight="12.75"/>
  <cols>
    <col min="1" max="1" width="11.7109375" style="4196" customWidth="1"/>
    <col min="2" max="2" width="0.7109375" style="4196" customWidth="1"/>
    <col min="3" max="3" width="4.7109375" style="4196" customWidth="1"/>
    <col min="4" max="4" width="2.42578125" style="4196" customWidth="1"/>
    <col min="5" max="5" width="4.7109375" style="4196" customWidth="1"/>
    <col min="6" max="6" width="0.7109375" style="4196" customWidth="1"/>
    <col min="7" max="7" width="3.85546875" style="4196" customWidth="1"/>
    <col min="8" max="8" width="0.5703125" style="4196" customWidth="1"/>
    <col min="9" max="9" width="4.7109375" style="4196" customWidth="1"/>
    <col min="10" max="10" width="6" style="4196" customWidth="1"/>
    <col min="11" max="11" width="2.28515625" style="4196" customWidth="1"/>
    <col min="12" max="12" width="2.5703125" style="4196" customWidth="1"/>
    <col min="13" max="13" width="5" style="4196" customWidth="1"/>
    <col min="14" max="14" width="1.7109375" style="4196" customWidth="1"/>
    <col min="15" max="15" width="2" style="4196" customWidth="1"/>
    <col min="16" max="16" width="4.7109375" style="4196" customWidth="1"/>
    <col min="17" max="17" width="1.28515625" style="4196" customWidth="1"/>
    <col min="18" max="18" width="2" style="4196" customWidth="1"/>
    <col min="19" max="19" width="1.7109375" style="4196" customWidth="1"/>
    <col min="20" max="20" width="1.42578125" style="4196" customWidth="1"/>
    <col min="21" max="21" width="3.28515625" style="4196" customWidth="1"/>
    <col min="22" max="22" width="16.5703125" style="4196" customWidth="1"/>
    <col min="23" max="23" width="0.7109375" style="4196" customWidth="1"/>
    <col min="24" max="24" width="23" style="4199" customWidth="1"/>
    <col min="25" max="25" width="0.7109375" style="4196" customWidth="1"/>
    <col min="26" max="26" width="14.28515625" style="4199" customWidth="1"/>
    <col min="27" max="27" width="5" style="4199" customWidth="1"/>
    <col min="28" max="28" width="5.7109375" style="4199" customWidth="1"/>
    <col min="29" max="29" width="9.28515625" style="4196"/>
    <col min="30" max="30" width="8.28515625" style="4196" customWidth="1"/>
    <col min="31" max="46" width="9.28515625" style="4196"/>
    <col min="47" max="47" width="9.7109375" style="4196" hidden="1" customWidth="1"/>
    <col min="48" max="48" width="10.7109375" style="4196" hidden="1" customWidth="1"/>
    <col min="49" max="16384" width="9.28515625" style="4196"/>
  </cols>
  <sheetData>
    <row r="1" spans="1:48" ht="15.75">
      <c r="A1" s="4278" t="s">
        <v>3057</v>
      </c>
      <c r="B1" s="4278"/>
      <c r="C1" s="4278"/>
      <c r="D1" s="4278"/>
      <c r="E1" s="4278"/>
      <c r="F1" s="4278"/>
      <c r="G1" s="4278"/>
      <c r="H1" s="4278"/>
      <c r="I1" s="4278"/>
      <c r="J1" s="4278"/>
      <c r="K1" s="4278"/>
      <c r="L1" s="4278"/>
      <c r="M1" s="4278"/>
      <c r="N1" s="4278"/>
      <c r="O1" s="4278"/>
      <c r="P1" s="4278"/>
      <c r="Q1" s="4278"/>
      <c r="R1" s="4278"/>
      <c r="S1" s="4278"/>
      <c r="T1" s="4278"/>
      <c r="U1" s="4278"/>
      <c r="V1" s="4278"/>
      <c r="W1" s="4278"/>
      <c r="X1" s="4278"/>
      <c r="Y1" s="4278"/>
      <c r="Z1" s="4278"/>
      <c r="AA1" s="4278"/>
      <c r="AB1" s="4278"/>
      <c r="AC1" s="4278"/>
      <c r="AD1" s="4278"/>
    </row>
    <row r="2" spans="1:48" ht="15.75">
      <c r="A2" s="4278" t="s">
        <v>4239</v>
      </c>
      <c r="B2" s="4278"/>
      <c r="C2" s="4278"/>
      <c r="D2" s="4278"/>
      <c r="E2" s="4278"/>
      <c r="F2" s="4278"/>
      <c r="G2" s="4278"/>
      <c r="H2" s="4278"/>
      <c r="I2" s="4278"/>
      <c r="J2" s="4278"/>
      <c r="K2" s="4278"/>
      <c r="L2" s="4278"/>
      <c r="M2" s="4278"/>
      <c r="N2" s="4278"/>
      <c r="O2" s="4278"/>
      <c r="P2" s="4278"/>
      <c r="Q2" s="4278"/>
      <c r="R2" s="4278"/>
      <c r="S2" s="4278"/>
      <c r="T2" s="4278"/>
      <c r="U2" s="4278"/>
      <c r="V2" s="4278"/>
      <c r="W2" s="4278"/>
      <c r="X2" s="4278"/>
      <c r="Y2" s="4278"/>
      <c r="Z2" s="4278"/>
      <c r="AA2" s="4278"/>
      <c r="AB2" s="4278"/>
      <c r="AC2" s="4278"/>
      <c r="AD2" s="4278"/>
    </row>
    <row r="3" spans="1:48" ht="16.5" thickBot="1">
      <c r="A3" s="4279">
        <v>44377</v>
      </c>
      <c r="B3" s="4279"/>
      <c r="C3" s="4279"/>
      <c r="D3" s="4279"/>
      <c r="E3" s="4279"/>
      <c r="F3" s="4279"/>
      <c r="G3" s="4279"/>
      <c r="H3" s="4279"/>
      <c r="I3" s="4279"/>
      <c r="J3" s="4279"/>
      <c r="K3" s="4279"/>
      <c r="L3" s="4279"/>
      <c r="M3" s="4279"/>
      <c r="N3" s="4279"/>
      <c r="O3" s="4279"/>
      <c r="P3" s="4279"/>
      <c r="Q3" s="4279"/>
      <c r="R3" s="4279"/>
      <c r="S3" s="4279"/>
      <c r="T3" s="4279"/>
      <c r="U3" s="4279"/>
      <c r="V3" s="4279"/>
      <c r="W3" s="4279"/>
      <c r="X3" s="4279"/>
      <c r="Y3" s="4279"/>
      <c r="Z3" s="4279"/>
      <c r="AA3" s="4279"/>
      <c r="AB3" s="4279"/>
      <c r="AC3" s="4279"/>
      <c r="AD3" s="4279"/>
    </row>
    <row r="4" spans="1:48">
      <c r="X4" s="4197"/>
      <c r="Y4" s="4198"/>
      <c r="Z4" s="4280" t="s">
        <v>4240</v>
      </c>
      <c r="AA4" s="4281"/>
      <c r="AB4" s="4281"/>
      <c r="AC4" s="4282"/>
      <c r="AD4" s="4283"/>
    </row>
    <row r="5" spans="1:48" ht="13.5" thickBot="1">
      <c r="Z5" s="4284" t="s">
        <v>110</v>
      </c>
      <c r="AA5" s="4285"/>
      <c r="AB5" s="4285"/>
      <c r="AC5" s="4285"/>
      <c r="AD5" s="4286"/>
    </row>
    <row r="6" spans="1:48" ht="15">
      <c r="A6" s="4200"/>
      <c r="B6" s="4200"/>
      <c r="C6" s="4200"/>
      <c r="D6" s="4201"/>
      <c r="E6" s="4202" t="s">
        <v>4241</v>
      </c>
      <c r="F6" s="4291"/>
      <c r="G6" s="4291"/>
      <c r="H6" s="4291"/>
      <c r="I6" s="4292"/>
      <c r="J6" s="4292"/>
      <c r="K6" s="4292"/>
      <c r="L6" s="4292"/>
      <c r="M6" s="4292"/>
      <c r="N6" s="4292"/>
      <c r="O6" s="4203"/>
      <c r="P6" s="4203"/>
      <c r="Q6" s="4203"/>
      <c r="R6" s="4203"/>
      <c r="S6" s="4203"/>
      <c r="T6" s="4203"/>
      <c r="U6" s="4203"/>
      <c r="V6" s="4203"/>
      <c r="W6" s="4203"/>
    </row>
    <row r="7" spans="1:48">
      <c r="C7" s="4204"/>
      <c r="D7" s="4204"/>
      <c r="E7" s="4204"/>
      <c r="F7" s="4204" t="s">
        <v>4242</v>
      </c>
      <c r="G7" s="4204"/>
      <c r="H7" s="4204"/>
      <c r="J7" s="4204"/>
      <c r="K7" s="4204"/>
      <c r="L7" s="4204"/>
      <c r="M7" s="4204"/>
      <c r="N7" s="4204"/>
      <c r="O7" s="4204"/>
      <c r="P7" s="4204"/>
      <c r="Q7" s="4204"/>
      <c r="R7" s="4204"/>
      <c r="S7" s="4204"/>
      <c r="T7" s="4204"/>
      <c r="U7" s="4204"/>
      <c r="V7" s="4204"/>
      <c r="W7" s="4204"/>
    </row>
    <row r="8" spans="1:48" ht="15" customHeight="1">
      <c r="AC8" s="4290" t="s">
        <v>4243</v>
      </c>
      <c r="AD8" s="4290"/>
    </row>
    <row r="9" spans="1:48" ht="15" customHeight="1">
      <c r="A9" s="4205" t="str">
        <f>IF(AND($A$133="",$A$135=""),"G/L Code",IF(AND($A$133&lt;&gt;"",$A$135=""),"G/L Code(2)",IF(AND($A$133="",$A$135&lt;&gt;""),"G/L Code(3)","G/L Code(2)(3)")))</f>
        <v>G/L Code</v>
      </c>
      <c r="C9" s="4293" t="s">
        <v>4244</v>
      </c>
      <c r="D9" s="4293"/>
      <c r="E9" s="4293"/>
      <c r="G9" s="4206" t="s">
        <v>4245</v>
      </c>
      <c r="I9" s="4293" t="s">
        <v>12</v>
      </c>
      <c r="J9" s="4293"/>
      <c r="K9" s="4293"/>
      <c r="L9" s="4293"/>
      <c r="M9" s="4293"/>
      <c r="N9" s="4293"/>
      <c r="O9" s="4293"/>
      <c r="P9" s="4293"/>
      <c r="Q9" s="4293"/>
      <c r="R9" s="4293"/>
      <c r="S9" s="4293"/>
      <c r="T9" s="4293"/>
      <c r="U9" s="4293"/>
      <c r="V9" s="4293"/>
      <c r="W9" s="4207"/>
      <c r="X9" s="4208" t="s">
        <v>13</v>
      </c>
      <c r="Z9" s="4293" t="s">
        <v>14</v>
      </c>
      <c r="AA9" s="4293"/>
      <c r="AB9" s="4293"/>
      <c r="AC9" s="4290" t="s">
        <v>4246</v>
      </c>
      <c r="AD9" s="4290"/>
    </row>
    <row r="10" spans="1:48" ht="5.25" customHeight="1">
      <c r="X10" s="4209"/>
    </row>
    <row r="11" spans="1:48" ht="12.75" customHeight="1">
      <c r="A11" s="4210"/>
      <c r="B11" s="4208"/>
      <c r="C11" s="4287"/>
      <c r="D11" s="4287"/>
      <c r="E11" s="4287"/>
      <c r="F11" s="4208"/>
      <c r="G11" s="4210"/>
      <c r="H11" s="4208"/>
      <c r="I11" s="4288" t="str">
        <f>IF(ISERROR(VLOOKUP($A11,'[3]Table GL Code'!$A$1:$B$1215,2,0)), "", VLOOKUP($A11,'[3]Table GL Code'!$A$1:$B$1215,2,0))</f>
        <v/>
      </c>
      <c r="J11" s="4288"/>
      <c r="K11" s="4288"/>
      <c r="L11" s="4288"/>
      <c r="M11" s="4288"/>
      <c r="N11" s="4288"/>
      <c r="O11" s="4288"/>
      <c r="P11" s="4288"/>
      <c r="Q11" s="4288"/>
      <c r="R11" s="4288"/>
      <c r="S11" s="4288"/>
      <c r="T11" s="4288"/>
      <c r="U11" s="4288"/>
      <c r="V11" s="4288"/>
      <c r="W11" s="4208"/>
      <c r="X11" s="4211"/>
      <c r="Z11" s="4289"/>
      <c r="AA11" s="4289"/>
      <c r="AB11" s="4289"/>
      <c r="AC11" s="4290" t="str">
        <f t="shared" ref="AC11:AC42" si="0">IF(OR(RIGHT($AA$129,1)="5",RIGHT($AA$129,1)="8"),IF(ISERROR(VLOOKUP(--LEFT($A11,3),CUFormsList,2,0)),"",VLOOKUP(--LEFT($A11,3),CUFormsList,2,0)),IF(AND(LEFT($A11,3)="789",OR($AA$129="50",$AA$129="60",$AA$129="71",$AA$129="73",$AA$129="76")),"Form 2",IF(AND(LEFT($A11,3)="278",OR($AA$129="50",$AA$129="60")),"Form 24 &amp; P5",IF(ISERROR(VLOOKUP(--LEFT($A11,3),FormsList,2,0)),"",IF(AND(VLOOKUP(--LEFT($A11,3),FormsList,2,0)="Form 24",$AA$129&lt;&gt;"50",$AA$129&lt;&gt;"60"),"",IF($AA$129="74",VLOOKUP(--LEFT($A11,3),FormsList,3,0),VLOOKUP(--LEFT($A11,3),FormsList,2,0)))))))</f>
        <v/>
      </c>
      <c r="AD11" s="4290"/>
      <c r="AE11" s="4196" t="str">
        <f>IF($AA$129="74",VLOOKUP(--LEFT($A11,3),FormsList,3,0),"")</f>
        <v/>
      </c>
      <c r="AU11" s="4196" t="str">
        <f t="shared" ref="AU11:AU23" si="1">IF(OR($AA$129="71",$AA$129="73",$AA$129="74",$AA$129="76",$AA$129="79"),"",IF(ISERROR(--LEFT($A11,3)),"",IF(OR(--LEFT($A11,3)="725",--LEFT($A11,3)="775"),--LEFT($A11,3),IF(ISERROR(VLOOKUP(--LEFT($A11,3),ChangeCA,1,0)),"",VLOOKUP(--LEFT($A11,3),ChangeCA,1,0)))))</f>
        <v/>
      </c>
      <c r="AV11" s="4196" t="str">
        <f t="shared" ref="AV11:AV23" si="2">IF(OR($AA$129="71",$AA$129="73",$AA$129="74",$AA$129="76",$AA$129="79"),"",IF(ISERROR(VLOOKUP(--LEFT($A11,3),ChangeLTL,1,0)),"",VLOOKUP(--LEFT($A11,3),ChangeLTL,1,0)))</f>
        <v/>
      </c>
    </row>
    <row r="12" spans="1:48" ht="12.75" customHeight="1">
      <c r="A12" s="4210"/>
      <c r="B12" s="4208"/>
      <c r="C12" s="4287"/>
      <c r="D12" s="4287"/>
      <c r="E12" s="4287"/>
      <c r="F12" s="4208"/>
      <c r="G12" s="4210"/>
      <c r="H12" s="4208"/>
      <c r="I12" s="4288" t="str">
        <f>IF(ISERROR(VLOOKUP($A12,'[3]Table GL Code'!$A$1:$B$1215,2,0)), "", VLOOKUP($A12,'[3]Table GL Code'!$A$1:$B$1215,2,0))</f>
        <v/>
      </c>
      <c r="J12" s="4288"/>
      <c r="K12" s="4288"/>
      <c r="L12" s="4288"/>
      <c r="M12" s="4288"/>
      <c r="N12" s="4288"/>
      <c r="O12" s="4288"/>
      <c r="P12" s="4288"/>
      <c r="Q12" s="4288"/>
      <c r="R12" s="4288"/>
      <c r="S12" s="4288"/>
      <c r="T12" s="4288"/>
      <c r="U12" s="4288"/>
      <c r="V12" s="4288"/>
      <c r="W12" s="4208"/>
      <c r="X12" s="4211"/>
      <c r="Z12" s="4289"/>
      <c r="AA12" s="4289"/>
      <c r="AB12" s="4289"/>
      <c r="AC12" s="4290" t="str">
        <f t="shared" si="0"/>
        <v/>
      </c>
      <c r="AD12" s="4290"/>
      <c r="AU12" s="4196" t="str">
        <f t="shared" si="1"/>
        <v/>
      </c>
      <c r="AV12" s="4196" t="str">
        <f t="shared" si="2"/>
        <v/>
      </c>
    </row>
    <row r="13" spans="1:48" ht="12.75" customHeight="1">
      <c r="A13" s="4210"/>
      <c r="B13" s="4208"/>
      <c r="C13" s="4287"/>
      <c r="D13" s="4287"/>
      <c r="E13" s="4287"/>
      <c r="F13" s="4208"/>
      <c r="G13" s="4210"/>
      <c r="H13" s="4208"/>
      <c r="I13" s="4288" t="str">
        <f>IF(ISERROR(VLOOKUP($A13,'[3]Table GL Code'!$A$1:$B$1215,2,0)), "", VLOOKUP($A13,'[3]Table GL Code'!$A$1:$B$1215,2,0))</f>
        <v/>
      </c>
      <c r="J13" s="4288"/>
      <c r="K13" s="4288"/>
      <c r="L13" s="4288"/>
      <c r="M13" s="4288"/>
      <c r="N13" s="4288"/>
      <c r="O13" s="4288"/>
      <c r="P13" s="4288"/>
      <c r="Q13" s="4288"/>
      <c r="R13" s="4288"/>
      <c r="S13" s="4288"/>
      <c r="T13" s="4288"/>
      <c r="U13" s="4288"/>
      <c r="V13" s="4288"/>
      <c r="W13" s="4208"/>
      <c r="X13" s="4211"/>
      <c r="Z13" s="4289"/>
      <c r="AA13" s="4289"/>
      <c r="AB13" s="4289"/>
      <c r="AC13" s="4290" t="str">
        <f t="shared" si="0"/>
        <v/>
      </c>
      <c r="AD13" s="4290"/>
      <c r="AU13" s="4196" t="str">
        <f t="shared" si="1"/>
        <v/>
      </c>
      <c r="AV13" s="4196" t="str">
        <f t="shared" si="2"/>
        <v/>
      </c>
    </row>
    <row r="14" spans="1:48" ht="12.75" customHeight="1">
      <c r="A14" s="4210"/>
      <c r="B14" s="4208"/>
      <c r="C14" s="4287"/>
      <c r="D14" s="4287"/>
      <c r="E14" s="4287"/>
      <c r="F14" s="4208"/>
      <c r="G14" s="4210"/>
      <c r="H14" s="4208"/>
      <c r="I14" s="4288" t="str">
        <f>IF(ISERROR(VLOOKUP($A14,'[3]Table GL Code'!$A$1:$B$1215,2,0)), "", VLOOKUP($A14,'[3]Table GL Code'!$A$1:$B$1215,2,0))</f>
        <v/>
      </c>
      <c r="J14" s="4288"/>
      <c r="K14" s="4288"/>
      <c r="L14" s="4288"/>
      <c r="M14" s="4288"/>
      <c r="N14" s="4288"/>
      <c r="O14" s="4288"/>
      <c r="P14" s="4288"/>
      <c r="Q14" s="4288"/>
      <c r="R14" s="4288"/>
      <c r="S14" s="4288"/>
      <c r="T14" s="4288"/>
      <c r="U14" s="4288"/>
      <c r="V14" s="4288"/>
      <c r="W14" s="4208"/>
      <c r="X14" s="4211"/>
      <c r="Z14" s="4289"/>
      <c r="AA14" s="4289"/>
      <c r="AB14" s="4289"/>
      <c r="AC14" s="4290" t="str">
        <f t="shared" si="0"/>
        <v/>
      </c>
      <c r="AD14" s="4290"/>
      <c r="AU14" s="4196" t="str">
        <f t="shared" si="1"/>
        <v/>
      </c>
      <c r="AV14" s="4196" t="str">
        <f t="shared" si="2"/>
        <v/>
      </c>
    </row>
    <row r="15" spans="1:48" ht="12.75" customHeight="1">
      <c r="A15" s="4210"/>
      <c r="B15" s="4208"/>
      <c r="C15" s="4287"/>
      <c r="D15" s="4287"/>
      <c r="E15" s="4287"/>
      <c r="F15" s="4208"/>
      <c r="G15" s="4210"/>
      <c r="H15" s="4208"/>
      <c r="I15" s="4288" t="str">
        <f>IF(ISERROR(VLOOKUP($A15,'[3]Table GL Code'!$A$1:$B$1215,2,0)), "", VLOOKUP($A15,'[3]Table GL Code'!$A$1:$B$1215,2,0))</f>
        <v/>
      </c>
      <c r="J15" s="4288"/>
      <c r="K15" s="4288"/>
      <c r="L15" s="4288"/>
      <c r="M15" s="4288"/>
      <c r="N15" s="4288"/>
      <c r="O15" s="4288"/>
      <c r="P15" s="4288"/>
      <c r="Q15" s="4288"/>
      <c r="R15" s="4288"/>
      <c r="S15" s="4288"/>
      <c r="T15" s="4288"/>
      <c r="U15" s="4288"/>
      <c r="V15" s="4288"/>
      <c r="W15" s="4208"/>
      <c r="X15" s="4211"/>
      <c r="Z15" s="4289"/>
      <c r="AA15" s="4289"/>
      <c r="AB15" s="4289"/>
      <c r="AC15" s="4290" t="str">
        <f t="shared" si="0"/>
        <v/>
      </c>
      <c r="AD15" s="4290"/>
      <c r="AU15" s="4196" t="str">
        <f t="shared" si="1"/>
        <v/>
      </c>
      <c r="AV15" s="4196" t="str">
        <f t="shared" si="2"/>
        <v/>
      </c>
    </row>
    <row r="16" spans="1:48" ht="12.75" customHeight="1">
      <c r="A16" s="4210"/>
      <c r="B16" s="4208"/>
      <c r="C16" s="4287"/>
      <c r="D16" s="4287"/>
      <c r="E16" s="4287"/>
      <c r="F16" s="4208"/>
      <c r="G16" s="4210"/>
      <c r="H16" s="4208"/>
      <c r="I16" s="4288" t="str">
        <f>IF(ISERROR(VLOOKUP($A16,'[3]Table GL Code'!$A$1:$B$1215,2,0)), "", VLOOKUP($A16,'[3]Table GL Code'!$A$1:$B$1215,2,0))</f>
        <v/>
      </c>
      <c r="J16" s="4288"/>
      <c r="K16" s="4288"/>
      <c r="L16" s="4288"/>
      <c r="M16" s="4288"/>
      <c r="N16" s="4288"/>
      <c r="O16" s="4288"/>
      <c r="P16" s="4288"/>
      <c r="Q16" s="4288"/>
      <c r="R16" s="4288"/>
      <c r="S16" s="4288"/>
      <c r="T16" s="4288"/>
      <c r="U16" s="4288"/>
      <c r="V16" s="4288"/>
      <c r="W16" s="4208"/>
      <c r="X16" s="4211"/>
      <c r="Z16" s="4289"/>
      <c r="AA16" s="4289"/>
      <c r="AB16" s="4289"/>
      <c r="AC16" s="4290" t="str">
        <f t="shared" si="0"/>
        <v/>
      </c>
      <c r="AD16" s="4290"/>
      <c r="AU16" s="4196" t="str">
        <f t="shared" si="1"/>
        <v/>
      </c>
      <c r="AV16" s="4196" t="str">
        <f t="shared" si="2"/>
        <v/>
      </c>
    </row>
    <row r="17" spans="1:48" ht="12.75" customHeight="1">
      <c r="A17" s="4210"/>
      <c r="B17" s="4208"/>
      <c r="C17" s="4287"/>
      <c r="D17" s="4287"/>
      <c r="E17" s="4287"/>
      <c r="F17" s="4208"/>
      <c r="G17" s="4210"/>
      <c r="H17" s="4208"/>
      <c r="I17" s="4288" t="str">
        <f>IF(ISERROR(VLOOKUP($A17,'[3]Table GL Code'!$A$1:$B$1215,2,0)), "", VLOOKUP($A17,'[3]Table GL Code'!$A$1:$B$1215,2,0))</f>
        <v/>
      </c>
      <c r="J17" s="4288"/>
      <c r="K17" s="4288"/>
      <c r="L17" s="4288"/>
      <c r="M17" s="4288"/>
      <c r="N17" s="4288"/>
      <c r="O17" s="4288"/>
      <c r="P17" s="4288"/>
      <c r="Q17" s="4288"/>
      <c r="R17" s="4288"/>
      <c r="S17" s="4288"/>
      <c r="T17" s="4288"/>
      <c r="U17" s="4288"/>
      <c r="V17" s="4288"/>
      <c r="W17" s="4208"/>
      <c r="X17" s="4211"/>
      <c r="Z17" s="4289"/>
      <c r="AA17" s="4289"/>
      <c r="AB17" s="4289"/>
      <c r="AC17" s="4290" t="str">
        <f t="shared" si="0"/>
        <v/>
      </c>
      <c r="AD17" s="4290"/>
      <c r="AU17" s="4196" t="str">
        <f t="shared" si="1"/>
        <v/>
      </c>
      <c r="AV17" s="4196" t="str">
        <f t="shared" si="2"/>
        <v/>
      </c>
    </row>
    <row r="18" spans="1:48" ht="12.75" customHeight="1">
      <c r="A18" s="4210"/>
      <c r="B18" s="4208"/>
      <c r="C18" s="4287"/>
      <c r="D18" s="4287"/>
      <c r="E18" s="4287"/>
      <c r="F18" s="4208"/>
      <c r="G18" s="4210"/>
      <c r="H18" s="4208"/>
      <c r="I18" s="4288" t="str">
        <f>IF(ISERROR(VLOOKUP($A18,'[3]Table GL Code'!$A$1:$B$1215,2,0)), "", VLOOKUP($A18,'[3]Table GL Code'!$A$1:$B$1215,2,0))</f>
        <v/>
      </c>
      <c r="J18" s="4288"/>
      <c r="K18" s="4288"/>
      <c r="L18" s="4288"/>
      <c r="M18" s="4288"/>
      <c r="N18" s="4288"/>
      <c r="O18" s="4288"/>
      <c r="P18" s="4288"/>
      <c r="Q18" s="4288"/>
      <c r="R18" s="4288"/>
      <c r="S18" s="4288"/>
      <c r="T18" s="4288"/>
      <c r="U18" s="4288"/>
      <c r="V18" s="4288"/>
      <c r="W18" s="4208"/>
      <c r="X18" s="4211"/>
      <c r="Z18" s="4289"/>
      <c r="AA18" s="4289"/>
      <c r="AB18" s="4289"/>
      <c r="AC18" s="4290" t="str">
        <f t="shared" si="0"/>
        <v/>
      </c>
      <c r="AD18" s="4290"/>
      <c r="AU18" s="4196" t="str">
        <f t="shared" si="1"/>
        <v/>
      </c>
      <c r="AV18" s="4196" t="str">
        <f t="shared" si="2"/>
        <v/>
      </c>
    </row>
    <row r="19" spans="1:48" ht="12.75" customHeight="1">
      <c r="A19" s="4210"/>
      <c r="B19" s="4208"/>
      <c r="C19" s="4287"/>
      <c r="D19" s="4287"/>
      <c r="E19" s="4287"/>
      <c r="F19" s="4208"/>
      <c r="G19" s="4210"/>
      <c r="H19" s="4208"/>
      <c r="I19" s="4288" t="str">
        <f>IF(ISERROR(VLOOKUP($A19,'[3]Table GL Code'!$A$1:$B$1215,2,0)), "", VLOOKUP($A19,'[3]Table GL Code'!$A$1:$B$1215,2,0))</f>
        <v/>
      </c>
      <c r="J19" s="4288"/>
      <c r="K19" s="4288"/>
      <c r="L19" s="4288"/>
      <c r="M19" s="4288"/>
      <c r="N19" s="4288"/>
      <c r="O19" s="4288"/>
      <c r="P19" s="4288"/>
      <c r="Q19" s="4288"/>
      <c r="R19" s="4288"/>
      <c r="S19" s="4288"/>
      <c r="T19" s="4288"/>
      <c r="U19" s="4288"/>
      <c r="V19" s="4288"/>
      <c r="W19" s="4208"/>
      <c r="X19" s="4211"/>
      <c r="Z19" s="4289"/>
      <c r="AA19" s="4289"/>
      <c r="AB19" s="4289"/>
      <c r="AC19" s="4290" t="str">
        <f t="shared" si="0"/>
        <v/>
      </c>
      <c r="AD19" s="4290"/>
      <c r="AU19" s="4196" t="str">
        <f t="shared" si="1"/>
        <v/>
      </c>
      <c r="AV19" s="4196" t="str">
        <f t="shared" si="2"/>
        <v/>
      </c>
    </row>
    <row r="20" spans="1:48" ht="12.75" customHeight="1">
      <c r="A20" s="4210"/>
      <c r="B20" s="4208"/>
      <c r="C20" s="4287"/>
      <c r="D20" s="4287"/>
      <c r="E20" s="4287"/>
      <c r="F20" s="4208"/>
      <c r="G20" s="4210"/>
      <c r="H20" s="4208"/>
      <c r="I20" s="4288" t="str">
        <f>IF(ISERROR(VLOOKUP($A20,'[3]Table GL Code'!$A$1:$B$1215,2,0)), "", VLOOKUP($A20,'[3]Table GL Code'!$A$1:$B$1215,2,0))</f>
        <v/>
      </c>
      <c r="J20" s="4288"/>
      <c r="K20" s="4288"/>
      <c r="L20" s="4288"/>
      <c r="M20" s="4288"/>
      <c r="N20" s="4288"/>
      <c r="O20" s="4288"/>
      <c r="P20" s="4288"/>
      <c r="Q20" s="4288"/>
      <c r="R20" s="4288"/>
      <c r="S20" s="4288"/>
      <c r="T20" s="4288"/>
      <c r="U20" s="4288"/>
      <c r="V20" s="4288"/>
      <c r="W20" s="4208"/>
      <c r="X20" s="4211"/>
      <c r="Z20" s="4289"/>
      <c r="AA20" s="4289"/>
      <c r="AB20" s="4289"/>
      <c r="AC20" s="4290" t="str">
        <f t="shared" si="0"/>
        <v/>
      </c>
      <c r="AD20" s="4290"/>
      <c r="AE20" s="4196" t="str">
        <f>IF(ISERROR(VLOOKUP(--LEFT(A20,3),FormsList,2,0)), "",VLOOKUP(--LEFT(A20,3),FormsList,2,0))</f>
        <v/>
      </c>
      <c r="AU20" s="4196" t="str">
        <f t="shared" si="1"/>
        <v/>
      </c>
      <c r="AV20" s="4196" t="str">
        <f t="shared" si="2"/>
        <v/>
      </c>
    </row>
    <row r="21" spans="1:48" ht="12.75" customHeight="1">
      <c r="A21" s="4210"/>
      <c r="B21" s="4208"/>
      <c r="C21" s="4287"/>
      <c r="D21" s="4287"/>
      <c r="E21" s="4287"/>
      <c r="F21" s="4208"/>
      <c r="G21" s="4210"/>
      <c r="H21" s="4208"/>
      <c r="I21" s="4288" t="str">
        <f>IF(ISERROR(VLOOKUP($A21,'[3]Table GL Code'!$A$1:$B$1215,2,0)), "", VLOOKUP($A21,'[3]Table GL Code'!$A$1:$B$1215,2,0))</f>
        <v/>
      </c>
      <c r="J21" s="4288"/>
      <c r="K21" s="4288"/>
      <c r="L21" s="4288"/>
      <c r="M21" s="4288"/>
      <c r="N21" s="4288"/>
      <c r="O21" s="4288"/>
      <c r="P21" s="4288"/>
      <c r="Q21" s="4288"/>
      <c r="R21" s="4288"/>
      <c r="S21" s="4288"/>
      <c r="T21" s="4288"/>
      <c r="U21" s="4288"/>
      <c r="V21" s="4288"/>
      <c r="W21" s="4208"/>
      <c r="X21" s="4211"/>
      <c r="Z21" s="4289"/>
      <c r="AA21" s="4289"/>
      <c r="AB21" s="4289"/>
      <c r="AC21" s="4290" t="str">
        <f t="shared" si="0"/>
        <v/>
      </c>
      <c r="AD21" s="4290"/>
      <c r="AE21" s="4196" t="str">
        <f>IF(ISERROR(VLOOKUP(--LEFT(A21,3),FormsList,2,0)), "",VLOOKUP(--LEFT(A21,3),FormsList,2,0))</f>
        <v/>
      </c>
      <c r="AU21" s="4196" t="str">
        <f t="shared" si="1"/>
        <v/>
      </c>
      <c r="AV21" s="4196" t="str">
        <f t="shared" si="2"/>
        <v/>
      </c>
    </row>
    <row r="22" spans="1:48" ht="12.75" customHeight="1">
      <c r="A22" s="4210"/>
      <c r="B22" s="4208"/>
      <c r="C22" s="4287"/>
      <c r="D22" s="4287"/>
      <c r="E22" s="4287"/>
      <c r="F22" s="4208"/>
      <c r="G22" s="4210"/>
      <c r="H22" s="4208"/>
      <c r="I22" s="4288" t="str">
        <f>IF(ISERROR(VLOOKUP($A22,'[3]Table GL Code'!$A$1:$B$1215,2,0)), "", VLOOKUP($A22,'[3]Table GL Code'!$A$1:$B$1215,2,0))</f>
        <v/>
      </c>
      <c r="J22" s="4288"/>
      <c r="K22" s="4288"/>
      <c r="L22" s="4288"/>
      <c r="M22" s="4288"/>
      <c r="N22" s="4288"/>
      <c r="O22" s="4288"/>
      <c r="P22" s="4288"/>
      <c r="Q22" s="4288"/>
      <c r="R22" s="4288"/>
      <c r="S22" s="4288"/>
      <c r="T22" s="4288"/>
      <c r="U22" s="4288"/>
      <c r="V22" s="4288"/>
      <c r="W22" s="4208"/>
      <c r="X22" s="4211"/>
      <c r="Z22" s="4289"/>
      <c r="AA22" s="4289"/>
      <c r="AB22" s="4289"/>
      <c r="AC22" s="4290" t="str">
        <f t="shared" si="0"/>
        <v/>
      </c>
      <c r="AD22" s="4290"/>
      <c r="AE22" s="4196" t="str">
        <f>IF(ISERROR(VLOOKUP(--LEFT(A22,3),FormsList,2,0)), "",VLOOKUP(--LEFT(A22,3),FormsList,2,0))</f>
        <v/>
      </c>
      <c r="AU22" s="4196" t="str">
        <f t="shared" si="1"/>
        <v/>
      </c>
      <c r="AV22" s="4196" t="str">
        <f t="shared" si="2"/>
        <v/>
      </c>
    </row>
    <row r="23" spans="1:48" ht="12.75" customHeight="1">
      <c r="A23" s="4210"/>
      <c r="B23" s="4208"/>
      <c r="C23" s="4287"/>
      <c r="D23" s="4287"/>
      <c r="E23" s="4287"/>
      <c r="F23" s="4208"/>
      <c r="G23" s="4210"/>
      <c r="H23" s="4208"/>
      <c r="I23" s="4288" t="str">
        <f>IF(ISERROR(VLOOKUP($A23,'[3]Table GL Code'!$A$1:$B$1215,2,0)), "", VLOOKUP($A23,'[3]Table GL Code'!$A$1:$B$1215,2,0))</f>
        <v/>
      </c>
      <c r="J23" s="4288"/>
      <c r="K23" s="4288"/>
      <c r="L23" s="4288"/>
      <c r="M23" s="4288"/>
      <c r="N23" s="4288"/>
      <c r="O23" s="4288"/>
      <c r="P23" s="4288"/>
      <c r="Q23" s="4288"/>
      <c r="R23" s="4288"/>
      <c r="S23" s="4288"/>
      <c r="T23" s="4288"/>
      <c r="U23" s="4288"/>
      <c r="V23" s="4288"/>
      <c r="W23" s="4208"/>
      <c r="X23" s="4211"/>
      <c r="Z23" s="4289"/>
      <c r="AA23" s="4289"/>
      <c r="AB23" s="4289"/>
      <c r="AC23" s="4290" t="str">
        <f t="shared" si="0"/>
        <v/>
      </c>
      <c r="AD23" s="4290"/>
      <c r="AE23" s="4196" t="str">
        <f>IF(ISERROR(VLOOKUP(--LEFT(A23,3),FormsList,2,0)), "",VLOOKUP(--LEFT(A23,3),FormsList,2,0))</f>
        <v/>
      </c>
      <c r="AU23" s="4196" t="str">
        <f t="shared" si="1"/>
        <v/>
      </c>
      <c r="AV23" s="4196" t="str">
        <f t="shared" si="2"/>
        <v/>
      </c>
    </row>
    <row r="24" spans="1:48" ht="12.75" customHeight="1">
      <c r="A24" s="4210"/>
      <c r="B24" s="4208"/>
      <c r="C24" s="4287"/>
      <c r="D24" s="4287"/>
      <c r="E24" s="4287"/>
      <c r="F24" s="4208"/>
      <c r="G24" s="4210"/>
      <c r="H24" s="4208"/>
      <c r="I24" s="4288" t="str">
        <f>IF(ISERROR(VLOOKUP($A24,'[3]Table GL Code'!$A$1:$B$1215,2,0)), "", VLOOKUP($A24,'[3]Table GL Code'!$A$1:$B$1215,2,0))</f>
        <v/>
      </c>
      <c r="J24" s="4288"/>
      <c r="K24" s="4288"/>
      <c r="L24" s="4288"/>
      <c r="M24" s="4288"/>
      <c r="N24" s="4288"/>
      <c r="O24" s="4288"/>
      <c r="P24" s="4288"/>
      <c r="Q24" s="4288"/>
      <c r="R24" s="4288"/>
      <c r="S24" s="4288"/>
      <c r="T24" s="4288"/>
      <c r="U24" s="4288"/>
      <c r="V24" s="4288"/>
      <c r="W24" s="4208"/>
      <c r="X24" s="4211"/>
      <c r="Z24" s="4289"/>
      <c r="AA24" s="4289"/>
      <c r="AB24" s="4289"/>
      <c r="AC24" s="4290" t="str">
        <f t="shared" si="0"/>
        <v/>
      </c>
      <c r="AD24" s="4290"/>
    </row>
    <row r="25" spans="1:48" ht="12.75" customHeight="1">
      <c r="A25" s="4210"/>
      <c r="B25" s="4208"/>
      <c r="C25" s="4287"/>
      <c r="D25" s="4287"/>
      <c r="E25" s="4287"/>
      <c r="F25" s="4208"/>
      <c r="G25" s="4210"/>
      <c r="H25" s="4208"/>
      <c r="I25" s="4288" t="str">
        <f>IF(ISERROR(VLOOKUP($A25,'[3]Table GL Code'!$A$1:$B$1215,2,0)), "", VLOOKUP($A25,'[3]Table GL Code'!$A$1:$B$1215,2,0))</f>
        <v/>
      </c>
      <c r="J25" s="4288"/>
      <c r="K25" s="4288"/>
      <c r="L25" s="4288"/>
      <c r="M25" s="4288"/>
      <c r="N25" s="4288"/>
      <c r="O25" s="4288"/>
      <c r="P25" s="4288"/>
      <c r="Q25" s="4288"/>
      <c r="R25" s="4288"/>
      <c r="S25" s="4288"/>
      <c r="T25" s="4288"/>
      <c r="U25" s="4288"/>
      <c r="V25" s="4288"/>
      <c r="W25" s="4208"/>
      <c r="X25" s="4211"/>
      <c r="Z25" s="4289"/>
      <c r="AA25" s="4289"/>
      <c r="AB25" s="4289"/>
      <c r="AC25" s="4290" t="str">
        <f t="shared" si="0"/>
        <v/>
      </c>
      <c r="AD25" s="4290"/>
    </row>
    <row r="26" spans="1:48" ht="12.75" customHeight="1">
      <c r="A26" s="4210"/>
      <c r="B26" s="4208"/>
      <c r="C26" s="4287"/>
      <c r="D26" s="4287"/>
      <c r="E26" s="4287"/>
      <c r="F26" s="4208"/>
      <c r="G26" s="4210"/>
      <c r="H26" s="4208"/>
      <c r="I26" s="4288" t="str">
        <f>IF(ISERROR(VLOOKUP($A26,'[3]Table GL Code'!$A$1:$B$1215,2,0)), "", VLOOKUP($A26,'[3]Table GL Code'!$A$1:$B$1215,2,0))</f>
        <v/>
      </c>
      <c r="J26" s="4288"/>
      <c r="K26" s="4288"/>
      <c r="L26" s="4288"/>
      <c r="M26" s="4288"/>
      <c r="N26" s="4288"/>
      <c r="O26" s="4288"/>
      <c r="P26" s="4288"/>
      <c r="Q26" s="4288"/>
      <c r="R26" s="4288"/>
      <c r="S26" s="4288"/>
      <c r="T26" s="4288"/>
      <c r="U26" s="4288"/>
      <c r="V26" s="4288"/>
      <c r="W26" s="4208"/>
      <c r="X26" s="4211"/>
      <c r="Z26" s="4289"/>
      <c r="AA26" s="4289"/>
      <c r="AB26" s="4289"/>
      <c r="AC26" s="4290" t="str">
        <f t="shared" si="0"/>
        <v/>
      </c>
      <c r="AD26" s="4290"/>
    </row>
    <row r="27" spans="1:48" ht="12.75" customHeight="1">
      <c r="A27" s="4210"/>
      <c r="B27" s="4208"/>
      <c r="C27" s="4287"/>
      <c r="D27" s="4287"/>
      <c r="E27" s="4287"/>
      <c r="F27" s="4208"/>
      <c r="G27" s="4210"/>
      <c r="H27" s="4208"/>
      <c r="I27" s="4288" t="str">
        <f>IF(ISERROR(VLOOKUP($A27,'[3]Table GL Code'!$A$1:$B$1215,2,0)), "", VLOOKUP($A27,'[3]Table GL Code'!$A$1:$B$1215,2,0))</f>
        <v/>
      </c>
      <c r="J27" s="4288"/>
      <c r="K27" s="4288"/>
      <c r="L27" s="4288"/>
      <c r="M27" s="4288"/>
      <c r="N27" s="4288"/>
      <c r="O27" s="4288"/>
      <c r="P27" s="4288"/>
      <c r="Q27" s="4288"/>
      <c r="R27" s="4288"/>
      <c r="S27" s="4288"/>
      <c r="T27" s="4288"/>
      <c r="U27" s="4288"/>
      <c r="V27" s="4288"/>
      <c r="W27" s="4208"/>
      <c r="X27" s="4211"/>
      <c r="Z27" s="4289"/>
      <c r="AA27" s="4289"/>
      <c r="AB27" s="4289"/>
      <c r="AC27" s="4290" t="str">
        <f t="shared" si="0"/>
        <v/>
      </c>
      <c r="AD27" s="4290"/>
    </row>
    <row r="28" spans="1:48" ht="12.75" customHeight="1">
      <c r="A28" s="4210"/>
      <c r="B28" s="4208"/>
      <c r="C28" s="4287"/>
      <c r="D28" s="4287"/>
      <c r="E28" s="4287"/>
      <c r="F28" s="4208"/>
      <c r="G28" s="4210"/>
      <c r="H28" s="4208"/>
      <c r="I28" s="4288" t="str">
        <f>IF(ISERROR(VLOOKUP($A28,'[3]Table GL Code'!$A$1:$B$1215,2,0)), "", VLOOKUP($A28,'[3]Table GL Code'!$A$1:$B$1215,2,0))</f>
        <v/>
      </c>
      <c r="J28" s="4288"/>
      <c r="K28" s="4288"/>
      <c r="L28" s="4288"/>
      <c r="M28" s="4288"/>
      <c r="N28" s="4288"/>
      <c r="O28" s="4288"/>
      <c r="P28" s="4288"/>
      <c r="Q28" s="4288"/>
      <c r="R28" s="4288"/>
      <c r="S28" s="4288"/>
      <c r="T28" s="4288"/>
      <c r="U28" s="4288"/>
      <c r="V28" s="4288"/>
      <c r="W28" s="4208"/>
      <c r="X28" s="4211"/>
      <c r="Z28" s="4289"/>
      <c r="AA28" s="4289"/>
      <c r="AB28" s="4289"/>
      <c r="AC28" s="4290" t="str">
        <f t="shared" si="0"/>
        <v/>
      </c>
      <c r="AD28" s="4290"/>
    </row>
    <row r="29" spans="1:48" ht="12.75" customHeight="1">
      <c r="A29" s="4210"/>
      <c r="B29" s="4208"/>
      <c r="C29" s="4287"/>
      <c r="D29" s="4287"/>
      <c r="E29" s="4287"/>
      <c r="F29" s="4208"/>
      <c r="G29" s="4210"/>
      <c r="H29" s="4208"/>
      <c r="I29" s="4288" t="str">
        <f>IF(ISERROR(VLOOKUP($A29,'[3]Table GL Code'!$A$1:$B$1215,2,0)), "", VLOOKUP($A29,'[3]Table GL Code'!$A$1:$B$1215,2,0))</f>
        <v/>
      </c>
      <c r="J29" s="4288"/>
      <c r="K29" s="4288"/>
      <c r="L29" s="4288"/>
      <c r="M29" s="4288"/>
      <c r="N29" s="4288"/>
      <c r="O29" s="4288"/>
      <c r="P29" s="4288"/>
      <c r="Q29" s="4288"/>
      <c r="R29" s="4288"/>
      <c r="S29" s="4288"/>
      <c r="T29" s="4288"/>
      <c r="U29" s="4288"/>
      <c r="V29" s="4288"/>
      <c r="W29" s="4208"/>
      <c r="X29" s="4211"/>
      <c r="Z29" s="4289"/>
      <c r="AA29" s="4289"/>
      <c r="AB29" s="4289"/>
      <c r="AC29" s="4290" t="str">
        <f t="shared" si="0"/>
        <v/>
      </c>
      <c r="AD29" s="4290"/>
    </row>
    <row r="30" spans="1:48" ht="12.75" customHeight="1">
      <c r="A30" s="4210"/>
      <c r="B30" s="4208"/>
      <c r="C30" s="4287"/>
      <c r="D30" s="4287"/>
      <c r="E30" s="4287"/>
      <c r="F30" s="4208"/>
      <c r="G30" s="4210"/>
      <c r="H30" s="4208"/>
      <c r="I30" s="4288" t="str">
        <f>IF(ISERROR(VLOOKUP($A30,'[3]Table GL Code'!$A$1:$B$1215,2,0)), "", VLOOKUP($A30,'[3]Table GL Code'!$A$1:$B$1215,2,0))</f>
        <v/>
      </c>
      <c r="J30" s="4288"/>
      <c r="K30" s="4288"/>
      <c r="L30" s="4288"/>
      <c r="M30" s="4288"/>
      <c r="N30" s="4288"/>
      <c r="O30" s="4288"/>
      <c r="P30" s="4288"/>
      <c r="Q30" s="4288"/>
      <c r="R30" s="4288"/>
      <c r="S30" s="4288"/>
      <c r="T30" s="4288"/>
      <c r="U30" s="4288"/>
      <c r="V30" s="4288"/>
      <c r="W30" s="4208"/>
      <c r="X30" s="4211"/>
      <c r="Z30" s="4289"/>
      <c r="AA30" s="4289"/>
      <c r="AB30" s="4289"/>
      <c r="AC30" s="4290" t="str">
        <f t="shared" si="0"/>
        <v/>
      </c>
      <c r="AD30" s="4290"/>
    </row>
    <row r="31" spans="1:48" ht="12.75" customHeight="1">
      <c r="A31" s="4210"/>
      <c r="B31" s="4208"/>
      <c r="C31" s="4287"/>
      <c r="D31" s="4287"/>
      <c r="E31" s="4287"/>
      <c r="F31" s="4208"/>
      <c r="G31" s="4210"/>
      <c r="H31" s="4208"/>
      <c r="I31" s="4288" t="str">
        <f>IF(ISERROR(VLOOKUP($A31,'[3]Table GL Code'!$A$1:$B$1215,2,0)), "", VLOOKUP($A31,'[3]Table GL Code'!$A$1:$B$1215,2,0))</f>
        <v/>
      </c>
      <c r="J31" s="4288"/>
      <c r="K31" s="4288"/>
      <c r="L31" s="4288"/>
      <c r="M31" s="4288"/>
      <c r="N31" s="4288"/>
      <c r="O31" s="4288"/>
      <c r="P31" s="4288"/>
      <c r="Q31" s="4288"/>
      <c r="R31" s="4288"/>
      <c r="S31" s="4288"/>
      <c r="T31" s="4288"/>
      <c r="U31" s="4288"/>
      <c r="V31" s="4288"/>
      <c r="W31" s="4208"/>
      <c r="X31" s="4211"/>
      <c r="Z31" s="4289"/>
      <c r="AA31" s="4289"/>
      <c r="AB31" s="4289"/>
      <c r="AC31" s="4290" t="str">
        <f t="shared" si="0"/>
        <v/>
      </c>
      <c r="AD31" s="4290"/>
    </row>
    <row r="32" spans="1:48" ht="12.75" customHeight="1">
      <c r="A32" s="4210"/>
      <c r="B32" s="4208"/>
      <c r="C32" s="4287"/>
      <c r="D32" s="4287"/>
      <c r="E32" s="4287"/>
      <c r="F32" s="4208"/>
      <c r="G32" s="4210"/>
      <c r="H32" s="4208"/>
      <c r="I32" s="4288" t="str">
        <f>IF(ISERROR(VLOOKUP($A32,'[3]Table GL Code'!$A$1:$B$1215,2,0)), "", VLOOKUP($A32,'[3]Table GL Code'!$A$1:$B$1215,2,0))</f>
        <v/>
      </c>
      <c r="J32" s="4288"/>
      <c r="K32" s="4288"/>
      <c r="L32" s="4288"/>
      <c r="M32" s="4288"/>
      <c r="N32" s="4288"/>
      <c r="O32" s="4288"/>
      <c r="P32" s="4288"/>
      <c r="Q32" s="4288"/>
      <c r="R32" s="4288"/>
      <c r="S32" s="4288"/>
      <c r="T32" s="4288"/>
      <c r="U32" s="4288"/>
      <c r="V32" s="4288"/>
      <c r="W32" s="4208"/>
      <c r="X32" s="4211"/>
      <c r="Z32" s="4289"/>
      <c r="AA32" s="4289"/>
      <c r="AB32" s="4289"/>
      <c r="AC32" s="4290" t="str">
        <f t="shared" si="0"/>
        <v/>
      </c>
      <c r="AD32" s="4290"/>
    </row>
    <row r="33" spans="1:30" ht="12.75" customHeight="1">
      <c r="A33" s="4210"/>
      <c r="B33" s="4208"/>
      <c r="C33" s="4287"/>
      <c r="D33" s="4287"/>
      <c r="E33" s="4287"/>
      <c r="F33" s="4208"/>
      <c r="G33" s="4210"/>
      <c r="H33" s="4208"/>
      <c r="I33" s="4288" t="str">
        <f>IF(ISERROR(VLOOKUP($A33,'[3]Table GL Code'!$A$1:$B$1215,2,0)), "", VLOOKUP($A33,'[3]Table GL Code'!$A$1:$B$1215,2,0))</f>
        <v/>
      </c>
      <c r="J33" s="4288"/>
      <c r="K33" s="4288"/>
      <c r="L33" s="4288"/>
      <c r="M33" s="4288"/>
      <c r="N33" s="4288"/>
      <c r="O33" s="4288"/>
      <c r="P33" s="4288"/>
      <c r="Q33" s="4288"/>
      <c r="R33" s="4288"/>
      <c r="S33" s="4288"/>
      <c r="T33" s="4288"/>
      <c r="U33" s="4288"/>
      <c r="V33" s="4288"/>
      <c r="W33" s="4208"/>
      <c r="X33" s="4211"/>
      <c r="Z33" s="4289"/>
      <c r="AA33" s="4289"/>
      <c r="AB33" s="4289"/>
      <c r="AC33" s="4290" t="str">
        <f t="shared" si="0"/>
        <v/>
      </c>
      <c r="AD33" s="4290"/>
    </row>
    <row r="34" spans="1:30" ht="12.75" customHeight="1">
      <c r="A34" s="4210"/>
      <c r="B34" s="4208"/>
      <c r="C34" s="4287"/>
      <c r="D34" s="4287"/>
      <c r="E34" s="4287"/>
      <c r="F34" s="4208"/>
      <c r="G34" s="4210"/>
      <c r="H34" s="4208"/>
      <c r="I34" s="4288" t="str">
        <f>IF(ISERROR(VLOOKUP($A34,'[3]Table GL Code'!$A$1:$B$1215,2,0)), "", VLOOKUP($A34,'[3]Table GL Code'!$A$1:$B$1215,2,0))</f>
        <v/>
      </c>
      <c r="J34" s="4288"/>
      <c r="K34" s="4288"/>
      <c r="L34" s="4288"/>
      <c r="M34" s="4288"/>
      <c r="N34" s="4288"/>
      <c r="O34" s="4288"/>
      <c r="P34" s="4288"/>
      <c r="Q34" s="4288"/>
      <c r="R34" s="4288"/>
      <c r="S34" s="4288"/>
      <c r="T34" s="4288"/>
      <c r="U34" s="4288"/>
      <c r="V34" s="4288"/>
      <c r="W34" s="4208"/>
      <c r="X34" s="4211"/>
      <c r="Z34" s="4289"/>
      <c r="AA34" s="4289"/>
      <c r="AB34" s="4289"/>
      <c r="AC34" s="4290" t="str">
        <f t="shared" si="0"/>
        <v/>
      </c>
      <c r="AD34" s="4290"/>
    </row>
    <row r="35" spans="1:30" ht="12.75" customHeight="1">
      <c r="A35" s="4210"/>
      <c r="B35" s="4208"/>
      <c r="C35" s="4287"/>
      <c r="D35" s="4287"/>
      <c r="E35" s="4287"/>
      <c r="F35" s="4208"/>
      <c r="G35" s="4210"/>
      <c r="H35" s="4208"/>
      <c r="I35" s="4288" t="str">
        <f>IF(ISERROR(VLOOKUP($A35,'[3]Table GL Code'!$A$1:$B$1215,2,0)), "", VLOOKUP($A35,'[3]Table GL Code'!$A$1:$B$1215,2,0))</f>
        <v/>
      </c>
      <c r="J35" s="4288"/>
      <c r="K35" s="4288"/>
      <c r="L35" s="4288"/>
      <c r="M35" s="4288"/>
      <c r="N35" s="4288"/>
      <c r="O35" s="4288"/>
      <c r="P35" s="4288"/>
      <c r="Q35" s="4288"/>
      <c r="R35" s="4288"/>
      <c r="S35" s="4288"/>
      <c r="T35" s="4288"/>
      <c r="U35" s="4288"/>
      <c r="V35" s="4288"/>
      <c r="W35" s="4208"/>
      <c r="X35" s="4211"/>
      <c r="Z35" s="4289"/>
      <c r="AA35" s="4289"/>
      <c r="AB35" s="4289"/>
      <c r="AC35" s="4290" t="str">
        <f t="shared" si="0"/>
        <v/>
      </c>
      <c r="AD35" s="4290"/>
    </row>
    <row r="36" spans="1:30" ht="12.75" customHeight="1">
      <c r="A36" s="4210"/>
      <c r="B36" s="4208"/>
      <c r="C36" s="4287"/>
      <c r="D36" s="4287"/>
      <c r="E36" s="4287"/>
      <c r="F36" s="4208"/>
      <c r="G36" s="4210"/>
      <c r="H36" s="4208"/>
      <c r="I36" s="4288" t="str">
        <f>IF(ISERROR(VLOOKUP($A36,'[3]Table GL Code'!$A$1:$B$1215,2,0)), "", VLOOKUP($A36,'[3]Table GL Code'!$A$1:$B$1215,2,0))</f>
        <v/>
      </c>
      <c r="J36" s="4288"/>
      <c r="K36" s="4288"/>
      <c r="L36" s="4288"/>
      <c r="M36" s="4288"/>
      <c r="N36" s="4288"/>
      <c r="O36" s="4288"/>
      <c r="P36" s="4288"/>
      <c r="Q36" s="4288"/>
      <c r="R36" s="4288"/>
      <c r="S36" s="4288"/>
      <c r="T36" s="4288"/>
      <c r="U36" s="4288"/>
      <c r="V36" s="4288"/>
      <c r="W36" s="4208"/>
      <c r="X36" s="4211"/>
      <c r="Z36" s="4289"/>
      <c r="AA36" s="4289"/>
      <c r="AB36" s="4289"/>
      <c r="AC36" s="4290" t="str">
        <f t="shared" si="0"/>
        <v/>
      </c>
      <c r="AD36" s="4290"/>
    </row>
    <row r="37" spans="1:30" ht="12.75" customHeight="1">
      <c r="A37" s="4210"/>
      <c r="B37" s="4208"/>
      <c r="C37" s="4287"/>
      <c r="D37" s="4287"/>
      <c r="E37" s="4287"/>
      <c r="F37" s="4208"/>
      <c r="G37" s="4210"/>
      <c r="H37" s="4208"/>
      <c r="I37" s="4288" t="str">
        <f>IF(ISERROR(VLOOKUP($A37,'[3]Table GL Code'!$A$1:$B$1215,2,0)), "", VLOOKUP($A37,'[3]Table GL Code'!$A$1:$B$1215,2,0))</f>
        <v/>
      </c>
      <c r="J37" s="4288"/>
      <c r="K37" s="4288"/>
      <c r="L37" s="4288"/>
      <c r="M37" s="4288"/>
      <c r="N37" s="4288"/>
      <c r="O37" s="4288"/>
      <c r="P37" s="4288"/>
      <c r="Q37" s="4288"/>
      <c r="R37" s="4288"/>
      <c r="S37" s="4288"/>
      <c r="T37" s="4288"/>
      <c r="U37" s="4288"/>
      <c r="V37" s="4288"/>
      <c r="W37" s="4208"/>
      <c r="X37" s="4211"/>
      <c r="Z37" s="4289"/>
      <c r="AA37" s="4289"/>
      <c r="AB37" s="4289"/>
      <c r="AC37" s="4290" t="str">
        <f t="shared" si="0"/>
        <v/>
      </c>
      <c r="AD37" s="4290"/>
    </row>
    <row r="38" spans="1:30" ht="12.75" customHeight="1">
      <c r="A38" s="4210"/>
      <c r="B38" s="4208"/>
      <c r="C38" s="4287"/>
      <c r="D38" s="4287"/>
      <c r="E38" s="4287"/>
      <c r="F38" s="4208"/>
      <c r="G38" s="4210"/>
      <c r="H38" s="4208"/>
      <c r="I38" s="4288" t="str">
        <f>IF(ISERROR(VLOOKUP($A38,'[3]Table GL Code'!$A$1:$B$1215,2,0)), "", VLOOKUP($A38,'[3]Table GL Code'!$A$1:$B$1215,2,0))</f>
        <v/>
      </c>
      <c r="J38" s="4288"/>
      <c r="K38" s="4288"/>
      <c r="L38" s="4288"/>
      <c r="M38" s="4288"/>
      <c r="N38" s="4288"/>
      <c r="O38" s="4288"/>
      <c r="P38" s="4288"/>
      <c r="Q38" s="4288"/>
      <c r="R38" s="4288"/>
      <c r="S38" s="4288"/>
      <c r="T38" s="4288"/>
      <c r="U38" s="4288"/>
      <c r="V38" s="4288"/>
      <c r="W38" s="4208"/>
      <c r="X38" s="4211"/>
      <c r="Z38" s="4289"/>
      <c r="AA38" s="4289"/>
      <c r="AB38" s="4289"/>
      <c r="AC38" s="4290" t="str">
        <f t="shared" si="0"/>
        <v/>
      </c>
      <c r="AD38" s="4290"/>
    </row>
    <row r="39" spans="1:30" ht="12.75" customHeight="1">
      <c r="A39" s="4210"/>
      <c r="B39" s="4208"/>
      <c r="C39" s="4287"/>
      <c r="D39" s="4287"/>
      <c r="E39" s="4287"/>
      <c r="F39" s="4208"/>
      <c r="G39" s="4210"/>
      <c r="H39" s="4208"/>
      <c r="I39" s="4288" t="str">
        <f>IF(ISERROR(VLOOKUP($A39,'[3]Table GL Code'!$A$1:$B$1215,2,0)), "", VLOOKUP($A39,'[3]Table GL Code'!$A$1:$B$1215,2,0))</f>
        <v/>
      </c>
      <c r="J39" s="4288"/>
      <c r="K39" s="4288"/>
      <c r="L39" s="4288"/>
      <c r="M39" s="4288"/>
      <c r="N39" s="4288"/>
      <c r="O39" s="4288"/>
      <c r="P39" s="4288"/>
      <c r="Q39" s="4288"/>
      <c r="R39" s="4288"/>
      <c r="S39" s="4288"/>
      <c r="T39" s="4288"/>
      <c r="U39" s="4288"/>
      <c r="V39" s="4288"/>
      <c r="W39" s="4208"/>
      <c r="X39" s="4211"/>
      <c r="Z39" s="4289"/>
      <c r="AA39" s="4289"/>
      <c r="AB39" s="4289"/>
      <c r="AC39" s="4290" t="str">
        <f t="shared" si="0"/>
        <v/>
      </c>
      <c r="AD39" s="4290"/>
    </row>
    <row r="40" spans="1:30" ht="12.75" customHeight="1">
      <c r="A40" s="4210"/>
      <c r="B40" s="4208"/>
      <c r="C40" s="4287"/>
      <c r="D40" s="4287"/>
      <c r="E40" s="4287"/>
      <c r="F40" s="4208"/>
      <c r="G40" s="4210"/>
      <c r="H40" s="4208"/>
      <c r="I40" s="4288" t="str">
        <f>IF(ISERROR(VLOOKUP($A40,'[3]Table GL Code'!$A$1:$B$1215,2,0)), "", VLOOKUP($A40,'[3]Table GL Code'!$A$1:$B$1215,2,0))</f>
        <v/>
      </c>
      <c r="J40" s="4288"/>
      <c r="K40" s="4288"/>
      <c r="L40" s="4288"/>
      <c r="M40" s="4288"/>
      <c r="N40" s="4288"/>
      <c r="O40" s="4288"/>
      <c r="P40" s="4288"/>
      <c r="Q40" s="4288"/>
      <c r="R40" s="4288"/>
      <c r="S40" s="4288"/>
      <c r="T40" s="4288"/>
      <c r="U40" s="4288"/>
      <c r="V40" s="4288"/>
      <c r="W40" s="4208"/>
      <c r="X40" s="4211"/>
      <c r="Z40" s="4289"/>
      <c r="AA40" s="4289"/>
      <c r="AB40" s="4289"/>
      <c r="AC40" s="4290" t="str">
        <f t="shared" si="0"/>
        <v/>
      </c>
      <c r="AD40" s="4290"/>
    </row>
    <row r="41" spans="1:30" ht="12.75" customHeight="1">
      <c r="A41" s="4210"/>
      <c r="B41" s="4208"/>
      <c r="C41" s="4287"/>
      <c r="D41" s="4287"/>
      <c r="E41" s="4287"/>
      <c r="F41" s="4208"/>
      <c r="G41" s="4210"/>
      <c r="H41" s="4208"/>
      <c r="I41" s="4288" t="str">
        <f>IF(ISERROR(VLOOKUP($A41,'[3]Table GL Code'!$A$1:$B$1215,2,0)), "", VLOOKUP($A41,'[3]Table GL Code'!$A$1:$B$1215,2,0))</f>
        <v/>
      </c>
      <c r="J41" s="4288"/>
      <c r="K41" s="4288"/>
      <c r="L41" s="4288"/>
      <c r="M41" s="4288"/>
      <c r="N41" s="4288"/>
      <c r="O41" s="4288"/>
      <c r="P41" s="4288"/>
      <c r="Q41" s="4288"/>
      <c r="R41" s="4288"/>
      <c r="S41" s="4288"/>
      <c r="T41" s="4288"/>
      <c r="U41" s="4288"/>
      <c r="V41" s="4288"/>
      <c r="W41" s="4208"/>
      <c r="X41" s="4211"/>
      <c r="Z41" s="4289"/>
      <c r="AA41" s="4289"/>
      <c r="AB41" s="4289"/>
      <c r="AC41" s="4290" t="str">
        <f t="shared" si="0"/>
        <v/>
      </c>
      <c r="AD41" s="4290"/>
    </row>
    <row r="42" spans="1:30" ht="12.75" customHeight="1">
      <c r="A42" s="4210"/>
      <c r="B42" s="4208"/>
      <c r="C42" s="4287"/>
      <c r="D42" s="4287"/>
      <c r="E42" s="4287"/>
      <c r="F42" s="4208"/>
      <c r="G42" s="4210"/>
      <c r="H42" s="4208"/>
      <c r="I42" s="4288" t="str">
        <f>IF(ISERROR(VLOOKUP($A42,'[3]Table GL Code'!$A$1:$B$1215,2,0)), "", VLOOKUP($A42,'[3]Table GL Code'!$A$1:$B$1215,2,0))</f>
        <v/>
      </c>
      <c r="J42" s="4288"/>
      <c r="K42" s="4288"/>
      <c r="L42" s="4288"/>
      <c r="M42" s="4288"/>
      <c r="N42" s="4288"/>
      <c r="O42" s="4288"/>
      <c r="P42" s="4288"/>
      <c r="Q42" s="4288"/>
      <c r="R42" s="4288"/>
      <c r="S42" s="4288"/>
      <c r="T42" s="4288"/>
      <c r="U42" s="4288"/>
      <c r="V42" s="4288"/>
      <c r="W42" s="4208"/>
      <c r="X42" s="4211"/>
      <c r="Z42" s="4289"/>
      <c r="AA42" s="4289"/>
      <c r="AB42" s="4289"/>
      <c r="AC42" s="4290" t="str">
        <f t="shared" si="0"/>
        <v/>
      </c>
      <c r="AD42" s="4290"/>
    </row>
    <row r="43" spans="1:30" ht="12.75" customHeight="1">
      <c r="A43" s="4210"/>
      <c r="B43" s="4208"/>
      <c r="C43" s="4287"/>
      <c r="D43" s="4287"/>
      <c r="E43" s="4287"/>
      <c r="F43" s="4208"/>
      <c r="G43" s="4210"/>
      <c r="H43" s="4208"/>
      <c r="I43" s="4288" t="str">
        <f>IF(ISERROR(VLOOKUP($A43,'[3]Table GL Code'!$A$1:$B$1215,2,0)), "", VLOOKUP($A43,'[3]Table GL Code'!$A$1:$B$1215,2,0))</f>
        <v/>
      </c>
      <c r="J43" s="4288"/>
      <c r="K43" s="4288"/>
      <c r="L43" s="4288"/>
      <c r="M43" s="4288"/>
      <c r="N43" s="4288"/>
      <c r="O43" s="4288"/>
      <c r="P43" s="4288"/>
      <c r="Q43" s="4288"/>
      <c r="R43" s="4288"/>
      <c r="S43" s="4288"/>
      <c r="T43" s="4288"/>
      <c r="U43" s="4288"/>
      <c r="V43" s="4288"/>
      <c r="W43" s="4208"/>
      <c r="X43" s="4211"/>
      <c r="Z43" s="4289"/>
      <c r="AA43" s="4289"/>
      <c r="AB43" s="4289"/>
      <c r="AC43" s="4290" t="str">
        <f t="shared" ref="AC43:AC74" si="3">IF(OR(RIGHT($AA$129,1)="5",RIGHT($AA$129,1)="8"),IF(ISERROR(VLOOKUP(--LEFT($A43,3),CUFormsList,2,0)),"",VLOOKUP(--LEFT($A43,3),CUFormsList,2,0)),IF(AND(LEFT($A43,3)="789",OR($AA$129="50",$AA$129="60",$AA$129="71",$AA$129="73",$AA$129="76")),"Form 2",IF(AND(LEFT($A43,3)="278",OR($AA$129="50",$AA$129="60")),"Form 24 &amp; P5",IF(ISERROR(VLOOKUP(--LEFT($A43,3),FormsList,2,0)),"",IF(AND(VLOOKUP(--LEFT($A43,3),FormsList,2,0)="Form 24",$AA$129&lt;&gt;"50",$AA$129&lt;&gt;"60"),"",IF($AA$129="74",VLOOKUP(--LEFT($A43,3),FormsList,3,0),VLOOKUP(--LEFT($A43,3),FormsList,2,0)))))))</f>
        <v/>
      </c>
      <c r="AD43" s="4290"/>
    </row>
    <row r="44" spans="1:30" ht="12.75" customHeight="1">
      <c r="A44" s="4210"/>
      <c r="B44" s="4208"/>
      <c r="C44" s="4287"/>
      <c r="D44" s="4287"/>
      <c r="E44" s="4287"/>
      <c r="F44" s="4208"/>
      <c r="G44" s="4210"/>
      <c r="H44" s="4208"/>
      <c r="I44" s="4288" t="str">
        <f>IF(ISERROR(VLOOKUP($A44,'[3]Table GL Code'!$A$1:$B$1215,2,0)), "", VLOOKUP($A44,'[3]Table GL Code'!$A$1:$B$1215,2,0))</f>
        <v/>
      </c>
      <c r="J44" s="4288"/>
      <c r="K44" s="4288"/>
      <c r="L44" s="4288"/>
      <c r="M44" s="4288"/>
      <c r="N44" s="4288"/>
      <c r="O44" s="4288"/>
      <c r="P44" s="4288"/>
      <c r="Q44" s="4288"/>
      <c r="R44" s="4288"/>
      <c r="S44" s="4288"/>
      <c r="T44" s="4288"/>
      <c r="U44" s="4288"/>
      <c r="V44" s="4288"/>
      <c r="W44" s="4208"/>
      <c r="X44" s="4211"/>
      <c r="Z44" s="4289"/>
      <c r="AA44" s="4289"/>
      <c r="AB44" s="4289"/>
      <c r="AC44" s="4290" t="str">
        <f t="shared" si="3"/>
        <v/>
      </c>
      <c r="AD44" s="4290"/>
    </row>
    <row r="45" spans="1:30" ht="12.75" customHeight="1">
      <c r="A45" s="4210"/>
      <c r="B45" s="4208"/>
      <c r="C45" s="4287"/>
      <c r="D45" s="4287"/>
      <c r="E45" s="4287"/>
      <c r="F45" s="4208"/>
      <c r="G45" s="4210"/>
      <c r="H45" s="4208"/>
      <c r="I45" s="4288" t="str">
        <f>IF(ISERROR(VLOOKUP($A45,'[3]Table GL Code'!$A$1:$B$1215,2,0)), "", VLOOKUP($A45,'[3]Table GL Code'!$A$1:$B$1215,2,0))</f>
        <v/>
      </c>
      <c r="J45" s="4288"/>
      <c r="K45" s="4288"/>
      <c r="L45" s="4288"/>
      <c r="M45" s="4288"/>
      <c r="N45" s="4288"/>
      <c r="O45" s="4288"/>
      <c r="P45" s="4288"/>
      <c r="Q45" s="4288"/>
      <c r="R45" s="4288"/>
      <c r="S45" s="4288"/>
      <c r="T45" s="4288"/>
      <c r="U45" s="4288"/>
      <c r="V45" s="4288"/>
      <c r="W45" s="4208"/>
      <c r="X45" s="4211"/>
      <c r="Z45" s="4289"/>
      <c r="AA45" s="4289"/>
      <c r="AB45" s="4289"/>
      <c r="AC45" s="4290" t="str">
        <f t="shared" si="3"/>
        <v/>
      </c>
      <c r="AD45" s="4290"/>
    </row>
    <row r="46" spans="1:30" ht="12.75" customHeight="1">
      <c r="A46" s="4210"/>
      <c r="B46" s="4208"/>
      <c r="C46" s="4287"/>
      <c r="D46" s="4287"/>
      <c r="E46" s="4287"/>
      <c r="F46" s="4208"/>
      <c r="G46" s="4210"/>
      <c r="H46" s="4208"/>
      <c r="I46" s="4288" t="str">
        <f>IF(ISERROR(VLOOKUP($A46,'[3]Table GL Code'!$A$1:$B$1215,2,0)), "", VLOOKUP($A46,'[3]Table GL Code'!$A$1:$B$1215,2,0))</f>
        <v/>
      </c>
      <c r="J46" s="4288"/>
      <c r="K46" s="4288"/>
      <c r="L46" s="4288"/>
      <c r="M46" s="4288"/>
      <c r="N46" s="4288"/>
      <c r="O46" s="4288"/>
      <c r="P46" s="4288"/>
      <c r="Q46" s="4288"/>
      <c r="R46" s="4288"/>
      <c r="S46" s="4288"/>
      <c r="T46" s="4288"/>
      <c r="U46" s="4288"/>
      <c r="V46" s="4288"/>
      <c r="W46" s="4208"/>
      <c r="X46" s="4211"/>
      <c r="Z46" s="4289"/>
      <c r="AA46" s="4289"/>
      <c r="AB46" s="4289"/>
      <c r="AC46" s="4290" t="str">
        <f t="shared" si="3"/>
        <v/>
      </c>
      <c r="AD46" s="4290"/>
    </row>
    <row r="47" spans="1:30" ht="12.75" customHeight="1">
      <c r="A47" s="4210"/>
      <c r="B47" s="4208"/>
      <c r="C47" s="4287"/>
      <c r="D47" s="4287"/>
      <c r="E47" s="4287"/>
      <c r="F47" s="4208"/>
      <c r="G47" s="4210"/>
      <c r="H47" s="4208"/>
      <c r="I47" s="4288" t="str">
        <f>IF(ISERROR(VLOOKUP($A47,'[3]Table GL Code'!$A$1:$B$1215,2,0)), "", VLOOKUP($A47,'[3]Table GL Code'!$A$1:$B$1215,2,0))</f>
        <v/>
      </c>
      <c r="J47" s="4288"/>
      <c r="K47" s="4288"/>
      <c r="L47" s="4288"/>
      <c r="M47" s="4288"/>
      <c r="N47" s="4288"/>
      <c r="O47" s="4288"/>
      <c r="P47" s="4288"/>
      <c r="Q47" s="4288"/>
      <c r="R47" s="4288"/>
      <c r="S47" s="4288"/>
      <c r="T47" s="4288"/>
      <c r="U47" s="4288"/>
      <c r="V47" s="4288"/>
      <c r="W47" s="4208"/>
      <c r="X47" s="4211"/>
      <c r="Z47" s="4289"/>
      <c r="AA47" s="4289"/>
      <c r="AB47" s="4289"/>
      <c r="AC47" s="4290" t="str">
        <f t="shared" si="3"/>
        <v/>
      </c>
      <c r="AD47" s="4290"/>
    </row>
    <row r="48" spans="1:30" ht="12.75" customHeight="1">
      <c r="A48" s="4210"/>
      <c r="B48" s="4208"/>
      <c r="C48" s="4287"/>
      <c r="D48" s="4287"/>
      <c r="E48" s="4287"/>
      <c r="F48" s="4208"/>
      <c r="G48" s="4210"/>
      <c r="H48" s="4208"/>
      <c r="I48" s="4288" t="str">
        <f>IF(ISERROR(VLOOKUP($A48,'[3]Table GL Code'!$A$1:$B$1215,2,0)), "", VLOOKUP($A48,'[3]Table GL Code'!$A$1:$B$1215,2,0))</f>
        <v/>
      </c>
      <c r="J48" s="4288"/>
      <c r="K48" s="4288"/>
      <c r="L48" s="4288"/>
      <c r="M48" s="4288"/>
      <c r="N48" s="4288"/>
      <c r="O48" s="4288"/>
      <c r="P48" s="4288"/>
      <c r="Q48" s="4288"/>
      <c r="R48" s="4288"/>
      <c r="S48" s="4288"/>
      <c r="T48" s="4288"/>
      <c r="U48" s="4288"/>
      <c r="V48" s="4288"/>
      <c r="W48" s="4208"/>
      <c r="X48" s="4211"/>
      <c r="Z48" s="4289"/>
      <c r="AA48" s="4289"/>
      <c r="AB48" s="4289"/>
      <c r="AC48" s="4290" t="str">
        <f t="shared" si="3"/>
        <v/>
      </c>
      <c r="AD48" s="4290"/>
    </row>
    <row r="49" spans="1:30" ht="12.75" customHeight="1">
      <c r="A49" s="4210"/>
      <c r="B49" s="4208"/>
      <c r="C49" s="4287"/>
      <c r="D49" s="4287"/>
      <c r="E49" s="4287"/>
      <c r="F49" s="4208"/>
      <c r="G49" s="4210"/>
      <c r="H49" s="4208"/>
      <c r="I49" s="4288" t="str">
        <f>IF(ISERROR(VLOOKUP($A49,'[3]Table GL Code'!$A$1:$B$1215,2,0)), "", VLOOKUP($A49,'[3]Table GL Code'!$A$1:$B$1215,2,0))</f>
        <v/>
      </c>
      <c r="J49" s="4288"/>
      <c r="K49" s="4288"/>
      <c r="L49" s="4288"/>
      <c r="M49" s="4288"/>
      <c r="N49" s="4288"/>
      <c r="O49" s="4288"/>
      <c r="P49" s="4288"/>
      <c r="Q49" s="4288"/>
      <c r="R49" s="4288"/>
      <c r="S49" s="4288"/>
      <c r="T49" s="4288"/>
      <c r="U49" s="4288"/>
      <c r="V49" s="4288"/>
      <c r="W49" s="4208"/>
      <c r="X49" s="4211"/>
      <c r="Z49" s="4289"/>
      <c r="AA49" s="4289"/>
      <c r="AB49" s="4289"/>
      <c r="AC49" s="4290" t="str">
        <f t="shared" si="3"/>
        <v/>
      </c>
      <c r="AD49" s="4290"/>
    </row>
    <row r="50" spans="1:30" ht="12.75" customHeight="1">
      <c r="A50" s="4210"/>
      <c r="B50" s="4208"/>
      <c r="C50" s="4287"/>
      <c r="D50" s="4287"/>
      <c r="E50" s="4287"/>
      <c r="F50" s="4208"/>
      <c r="G50" s="4210"/>
      <c r="H50" s="4208"/>
      <c r="I50" s="4288" t="str">
        <f>IF(ISERROR(VLOOKUP($A50,'[3]Table GL Code'!$A$1:$B$1215,2,0)), "", VLOOKUP($A50,'[3]Table GL Code'!$A$1:$B$1215,2,0))</f>
        <v/>
      </c>
      <c r="J50" s="4288"/>
      <c r="K50" s="4288"/>
      <c r="L50" s="4288"/>
      <c r="M50" s="4288"/>
      <c r="N50" s="4288"/>
      <c r="O50" s="4288"/>
      <c r="P50" s="4288"/>
      <c r="Q50" s="4288"/>
      <c r="R50" s="4288"/>
      <c r="S50" s="4288"/>
      <c r="T50" s="4288"/>
      <c r="U50" s="4288"/>
      <c r="V50" s="4288"/>
      <c r="W50" s="4208"/>
      <c r="X50" s="4211"/>
      <c r="Z50" s="4289"/>
      <c r="AA50" s="4289"/>
      <c r="AB50" s="4289"/>
      <c r="AC50" s="4290" t="str">
        <f t="shared" si="3"/>
        <v/>
      </c>
      <c r="AD50" s="4290"/>
    </row>
    <row r="51" spans="1:30" ht="12.75" customHeight="1">
      <c r="A51" s="4210"/>
      <c r="B51" s="4208"/>
      <c r="C51" s="4287"/>
      <c r="D51" s="4287"/>
      <c r="E51" s="4287"/>
      <c r="F51" s="4208"/>
      <c r="G51" s="4210"/>
      <c r="H51" s="4208"/>
      <c r="I51" s="4288" t="str">
        <f>IF(ISERROR(VLOOKUP($A51,'[3]Table GL Code'!$A$1:$B$1215,2,0)), "", VLOOKUP($A51,'[3]Table GL Code'!$A$1:$B$1215,2,0))</f>
        <v/>
      </c>
      <c r="J51" s="4288"/>
      <c r="K51" s="4288"/>
      <c r="L51" s="4288"/>
      <c r="M51" s="4288"/>
      <c r="N51" s="4288"/>
      <c r="O51" s="4288"/>
      <c r="P51" s="4288"/>
      <c r="Q51" s="4288"/>
      <c r="R51" s="4288"/>
      <c r="S51" s="4288"/>
      <c r="T51" s="4288"/>
      <c r="U51" s="4288"/>
      <c r="V51" s="4288"/>
      <c r="W51" s="4208"/>
      <c r="X51" s="4211"/>
      <c r="Z51" s="4289"/>
      <c r="AA51" s="4289"/>
      <c r="AB51" s="4289"/>
      <c r="AC51" s="4290" t="str">
        <f t="shared" si="3"/>
        <v/>
      </c>
      <c r="AD51" s="4290"/>
    </row>
    <row r="52" spans="1:30" ht="12.75" customHeight="1">
      <c r="A52" s="4210"/>
      <c r="B52" s="4208"/>
      <c r="C52" s="4287"/>
      <c r="D52" s="4287"/>
      <c r="E52" s="4287"/>
      <c r="F52" s="4208"/>
      <c r="G52" s="4210"/>
      <c r="H52" s="4208"/>
      <c r="I52" s="4288" t="str">
        <f>IF(ISERROR(VLOOKUP($A52,'[3]Table GL Code'!$A$1:$B$1215,2,0)), "", VLOOKUP($A52,'[3]Table GL Code'!$A$1:$B$1215,2,0))</f>
        <v/>
      </c>
      <c r="J52" s="4288"/>
      <c r="K52" s="4288"/>
      <c r="L52" s="4288"/>
      <c r="M52" s="4288"/>
      <c r="N52" s="4288"/>
      <c r="O52" s="4288"/>
      <c r="P52" s="4288"/>
      <c r="Q52" s="4288"/>
      <c r="R52" s="4288"/>
      <c r="S52" s="4288"/>
      <c r="T52" s="4288"/>
      <c r="U52" s="4288"/>
      <c r="V52" s="4288"/>
      <c r="W52" s="4208"/>
      <c r="X52" s="4211"/>
      <c r="Z52" s="4289"/>
      <c r="AA52" s="4289"/>
      <c r="AB52" s="4289"/>
      <c r="AC52" s="4290" t="str">
        <f t="shared" si="3"/>
        <v/>
      </c>
      <c r="AD52" s="4290"/>
    </row>
    <row r="53" spans="1:30" ht="12.75" customHeight="1">
      <c r="A53" s="4210"/>
      <c r="B53" s="4208"/>
      <c r="C53" s="4287"/>
      <c r="D53" s="4287"/>
      <c r="E53" s="4287"/>
      <c r="F53" s="4208"/>
      <c r="G53" s="4210"/>
      <c r="H53" s="4208"/>
      <c r="I53" s="4288" t="str">
        <f>IF(ISERROR(VLOOKUP($A53,'[3]Table GL Code'!$A$1:$B$1215,2,0)), "", VLOOKUP($A53,'[3]Table GL Code'!$A$1:$B$1215,2,0))</f>
        <v/>
      </c>
      <c r="J53" s="4288"/>
      <c r="K53" s="4288"/>
      <c r="L53" s="4288"/>
      <c r="M53" s="4288"/>
      <c r="N53" s="4288"/>
      <c r="O53" s="4288"/>
      <c r="P53" s="4288"/>
      <c r="Q53" s="4288"/>
      <c r="R53" s="4288"/>
      <c r="S53" s="4288"/>
      <c r="T53" s="4288"/>
      <c r="U53" s="4288"/>
      <c r="V53" s="4288"/>
      <c r="W53" s="4208"/>
      <c r="X53" s="4211"/>
      <c r="Z53" s="4289"/>
      <c r="AA53" s="4289"/>
      <c r="AB53" s="4289"/>
      <c r="AC53" s="4290" t="str">
        <f t="shared" si="3"/>
        <v/>
      </c>
      <c r="AD53" s="4290"/>
    </row>
    <row r="54" spans="1:30" ht="12.75" customHeight="1">
      <c r="A54" s="4210"/>
      <c r="B54" s="4208"/>
      <c r="C54" s="4287"/>
      <c r="D54" s="4287"/>
      <c r="E54" s="4287"/>
      <c r="F54" s="4208"/>
      <c r="G54" s="4210"/>
      <c r="H54" s="4208"/>
      <c r="I54" s="4288" t="str">
        <f>IF(ISERROR(VLOOKUP($A54,'[3]Table GL Code'!$A$1:$B$1215,2,0)), "", VLOOKUP($A54,'[3]Table GL Code'!$A$1:$B$1215,2,0))</f>
        <v/>
      </c>
      <c r="J54" s="4288"/>
      <c r="K54" s="4288"/>
      <c r="L54" s="4288"/>
      <c r="M54" s="4288"/>
      <c r="N54" s="4288"/>
      <c r="O54" s="4288"/>
      <c r="P54" s="4288"/>
      <c r="Q54" s="4288"/>
      <c r="R54" s="4288"/>
      <c r="S54" s="4288"/>
      <c r="T54" s="4288"/>
      <c r="U54" s="4288"/>
      <c r="V54" s="4288"/>
      <c r="W54" s="4208"/>
      <c r="X54" s="4211"/>
      <c r="Z54" s="4289"/>
      <c r="AA54" s="4289"/>
      <c r="AB54" s="4289"/>
      <c r="AC54" s="4290" t="str">
        <f t="shared" si="3"/>
        <v/>
      </c>
      <c r="AD54" s="4290"/>
    </row>
    <row r="55" spans="1:30" ht="12.75" customHeight="1">
      <c r="A55" s="4210"/>
      <c r="B55" s="4208"/>
      <c r="C55" s="4287"/>
      <c r="D55" s="4287"/>
      <c r="E55" s="4287"/>
      <c r="F55" s="4208"/>
      <c r="G55" s="4210"/>
      <c r="H55" s="4208"/>
      <c r="I55" s="4288" t="str">
        <f>IF(ISERROR(VLOOKUP($A55,'[3]Table GL Code'!$A$1:$B$1215,2,0)), "", VLOOKUP($A55,'[3]Table GL Code'!$A$1:$B$1215,2,0))</f>
        <v/>
      </c>
      <c r="J55" s="4288"/>
      <c r="K55" s="4288"/>
      <c r="L55" s="4288"/>
      <c r="M55" s="4288"/>
      <c r="N55" s="4288"/>
      <c r="O55" s="4288"/>
      <c r="P55" s="4288"/>
      <c r="Q55" s="4288"/>
      <c r="R55" s="4288"/>
      <c r="S55" s="4288"/>
      <c r="T55" s="4288"/>
      <c r="U55" s="4288"/>
      <c r="V55" s="4288"/>
      <c r="W55" s="4208"/>
      <c r="X55" s="4211"/>
      <c r="Z55" s="4289"/>
      <c r="AA55" s="4289"/>
      <c r="AB55" s="4289"/>
      <c r="AC55" s="4290" t="str">
        <f t="shared" si="3"/>
        <v/>
      </c>
      <c r="AD55" s="4290"/>
    </row>
    <row r="56" spans="1:30" ht="12.75" customHeight="1">
      <c r="A56" s="4210"/>
      <c r="B56" s="4208"/>
      <c r="C56" s="4287"/>
      <c r="D56" s="4287"/>
      <c r="E56" s="4287"/>
      <c r="F56" s="4208"/>
      <c r="G56" s="4210"/>
      <c r="H56" s="4208"/>
      <c r="I56" s="4288" t="str">
        <f>IF(ISERROR(VLOOKUP($A56,'[3]Table GL Code'!$A$1:$B$1215,2,0)), "", VLOOKUP($A56,'[3]Table GL Code'!$A$1:$B$1215,2,0))</f>
        <v/>
      </c>
      <c r="J56" s="4288"/>
      <c r="K56" s="4288"/>
      <c r="L56" s="4288"/>
      <c r="M56" s="4288"/>
      <c r="N56" s="4288"/>
      <c r="O56" s="4288"/>
      <c r="P56" s="4288"/>
      <c r="Q56" s="4288"/>
      <c r="R56" s="4288"/>
      <c r="S56" s="4288"/>
      <c r="T56" s="4288"/>
      <c r="U56" s="4288"/>
      <c r="V56" s="4288"/>
      <c r="W56" s="4208"/>
      <c r="X56" s="4211"/>
      <c r="Z56" s="4289"/>
      <c r="AA56" s="4289"/>
      <c r="AB56" s="4289"/>
      <c r="AC56" s="4290" t="str">
        <f t="shared" si="3"/>
        <v/>
      </c>
      <c r="AD56" s="4290"/>
    </row>
    <row r="57" spans="1:30" ht="12.75" customHeight="1">
      <c r="A57" s="4210"/>
      <c r="B57" s="4208"/>
      <c r="C57" s="4287"/>
      <c r="D57" s="4287"/>
      <c r="E57" s="4287"/>
      <c r="F57" s="4208"/>
      <c r="G57" s="4210"/>
      <c r="H57" s="4208"/>
      <c r="I57" s="4288" t="str">
        <f>IF(ISERROR(VLOOKUP($A57,'[3]Table GL Code'!$A$1:$B$1215,2,0)), "", VLOOKUP($A57,'[3]Table GL Code'!$A$1:$B$1215,2,0))</f>
        <v/>
      </c>
      <c r="J57" s="4288"/>
      <c r="K57" s="4288"/>
      <c r="L57" s="4288"/>
      <c r="M57" s="4288"/>
      <c r="N57" s="4288"/>
      <c r="O57" s="4288"/>
      <c r="P57" s="4288"/>
      <c r="Q57" s="4288"/>
      <c r="R57" s="4288"/>
      <c r="S57" s="4288"/>
      <c r="T57" s="4288"/>
      <c r="U57" s="4288"/>
      <c r="V57" s="4288"/>
      <c r="W57" s="4208"/>
      <c r="X57" s="4211"/>
      <c r="Z57" s="4289"/>
      <c r="AA57" s="4289"/>
      <c r="AB57" s="4289"/>
      <c r="AC57" s="4290" t="str">
        <f t="shared" si="3"/>
        <v/>
      </c>
      <c r="AD57" s="4290"/>
    </row>
    <row r="58" spans="1:30" ht="12.75" customHeight="1">
      <c r="A58" s="4210"/>
      <c r="B58" s="4208"/>
      <c r="C58" s="4287"/>
      <c r="D58" s="4287"/>
      <c r="E58" s="4287"/>
      <c r="F58" s="4208"/>
      <c r="G58" s="4210"/>
      <c r="H58" s="4208"/>
      <c r="I58" s="4288" t="str">
        <f>IF(ISERROR(VLOOKUP($A58,'[3]Table GL Code'!$A$1:$B$1215,2,0)), "", VLOOKUP($A58,'[3]Table GL Code'!$A$1:$B$1215,2,0))</f>
        <v/>
      </c>
      <c r="J58" s="4288"/>
      <c r="K58" s="4288"/>
      <c r="L58" s="4288"/>
      <c r="M58" s="4288"/>
      <c r="N58" s="4288"/>
      <c r="O58" s="4288"/>
      <c r="P58" s="4288"/>
      <c r="Q58" s="4288"/>
      <c r="R58" s="4288"/>
      <c r="S58" s="4288"/>
      <c r="T58" s="4288"/>
      <c r="U58" s="4288"/>
      <c r="V58" s="4288"/>
      <c r="W58" s="4208"/>
      <c r="X58" s="4211"/>
      <c r="Z58" s="4289"/>
      <c r="AA58" s="4289"/>
      <c r="AB58" s="4289"/>
      <c r="AC58" s="4290" t="str">
        <f t="shared" si="3"/>
        <v/>
      </c>
      <c r="AD58" s="4290"/>
    </row>
    <row r="59" spans="1:30" ht="12.75" customHeight="1">
      <c r="A59" s="4210"/>
      <c r="B59" s="4208"/>
      <c r="C59" s="4287"/>
      <c r="D59" s="4287"/>
      <c r="E59" s="4287"/>
      <c r="F59" s="4208"/>
      <c r="G59" s="4210"/>
      <c r="H59" s="4208"/>
      <c r="I59" s="4288" t="str">
        <f>IF(ISERROR(VLOOKUP($A59,'[3]Table GL Code'!$A$1:$B$1215,2,0)), "", VLOOKUP($A59,'[3]Table GL Code'!$A$1:$B$1215,2,0))</f>
        <v/>
      </c>
      <c r="J59" s="4288"/>
      <c r="K59" s="4288"/>
      <c r="L59" s="4288"/>
      <c r="M59" s="4288"/>
      <c r="N59" s="4288"/>
      <c r="O59" s="4288"/>
      <c r="P59" s="4288"/>
      <c r="Q59" s="4288"/>
      <c r="R59" s="4288"/>
      <c r="S59" s="4288"/>
      <c r="T59" s="4288"/>
      <c r="U59" s="4288"/>
      <c r="V59" s="4288"/>
      <c r="W59" s="4208"/>
      <c r="X59" s="4211"/>
      <c r="Z59" s="4289"/>
      <c r="AA59" s="4289"/>
      <c r="AB59" s="4289"/>
      <c r="AC59" s="4290" t="str">
        <f t="shared" si="3"/>
        <v/>
      </c>
      <c r="AD59" s="4290"/>
    </row>
    <row r="60" spans="1:30" ht="12.75" customHeight="1">
      <c r="A60" s="4210"/>
      <c r="B60" s="4208"/>
      <c r="C60" s="4287"/>
      <c r="D60" s="4287"/>
      <c r="E60" s="4287"/>
      <c r="F60" s="4208"/>
      <c r="G60" s="4210"/>
      <c r="H60" s="4208"/>
      <c r="I60" s="4288" t="str">
        <f>IF(ISERROR(VLOOKUP($A60,'[3]Table GL Code'!$A$1:$B$1215,2,0)), "", VLOOKUP($A60,'[3]Table GL Code'!$A$1:$B$1215,2,0))</f>
        <v/>
      </c>
      <c r="J60" s="4288"/>
      <c r="K60" s="4288"/>
      <c r="L60" s="4288"/>
      <c r="M60" s="4288"/>
      <c r="N60" s="4288"/>
      <c r="O60" s="4288"/>
      <c r="P60" s="4288"/>
      <c r="Q60" s="4288"/>
      <c r="R60" s="4288"/>
      <c r="S60" s="4288"/>
      <c r="T60" s="4288"/>
      <c r="U60" s="4288"/>
      <c r="V60" s="4288"/>
      <c r="W60" s="4208"/>
      <c r="X60" s="4211"/>
      <c r="Z60" s="4289"/>
      <c r="AA60" s="4289"/>
      <c r="AB60" s="4289"/>
      <c r="AC60" s="4290" t="str">
        <f t="shared" si="3"/>
        <v/>
      </c>
      <c r="AD60" s="4290"/>
    </row>
    <row r="61" spans="1:30" ht="12.75" customHeight="1">
      <c r="A61" s="4210"/>
      <c r="B61" s="4208"/>
      <c r="C61" s="4287"/>
      <c r="D61" s="4287"/>
      <c r="E61" s="4287"/>
      <c r="F61" s="4208"/>
      <c r="G61" s="4210"/>
      <c r="H61" s="4208"/>
      <c r="I61" s="4288" t="str">
        <f>IF(ISERROR(VLOOKUP($A61,'[3]Table GL Code'!$A$1:$B$1215,2,0)), "", VLOOKUP($A61,'[3]Table GL Code'!$A$1:$B$1215,2,0))</f>
        <v/>
      </c>
      <c r="J61" s="4288"/>
      <c r="K61" s="4288"/>
      <c r="L61" s="4288"/>
      <c r="M61" s="4288"/>
      <c r="N61" s="4288"/>
      <c r="O61" s="4288"/>
      <c r="P61" s="4288"/>
      <c r="Q61" s="4288"/>
      <c r="R61" s="4288"/>
      <c r="S61" s="4288"/>
      <c r="T61" s="4288"/>
      <c r="U61" s="4288"/>
      <c r="V61" s="4288"/>
      <c r="W61" s="4208"/>
      <c r="X61" s="4211"/>
      <c r="Z61" s="4289"/>
      <c r="AA61" s="4289"/>
      <c r="AB61" s="4289"/>
      <c r="AC61" s="4290" t="str">
        <f t="shared" si="3"/>
        <v/>
      </c>
      <c r="AD61" s="4290"/>
    </row>
    <row r="62" spans="1:30" ht="12.75" customHeight="1">
      <c r="A62" s="4210"/>
      <c r="B62" s="4208"/>
      <c r="C62" s="4287"/>
      <c r="D62" s="4287"/>
      <c r="E62" s="4287"/>
      <c r="F62" s="4208"/>
      <c r="G62" s="4210"/>
      <c r="H62" s="4208"/>
      <c r="I62" s="4288" t="str">
        <f>IF(ISERROR(VLOOKUP($A62,'[3]Table GL Code'!$A$1:$B$1215,2,0)), "", VLOOKUP($A62,'[3]Table GL Code'!$A$1:$B$1215,2,0))</f>
        <v/>
      </c>
      <c r="J62" s="4288"/>
      <c r="K62" s="4288"/>
      <c r="L62" s="4288"/>
      <c r="M62" s="4288"/>
      <c r="N62" s="4288"/>
      <c r="O62" s="4288"/>
      <c r="P62" s="4288"/>
      <c r="Q62" s="4288"/>
      <c r="R62" s="4288"/>
      <c r="S62" s="4288"/>
      <c r="T62" s="4288"/>
      <c r="U62" s="4288"/>
      <c r="V62" s="4288"/>
      <c r="W62" s="4208"/>
      <c r="X62" s="4211"/>
      <c r="Z62" s="4289"/>
      <c r="AA62" s="4289"/>
      <c r="AB62" s="4289"/>
      <c r="AC62" s="4290" t="str">
        <f t="shared" si="3"/>
        <v/>
      </c>
      <c r="AD62" s="4290"/>
    </row>
    <row r="63" spans="1:30" ht="12.75" customHeight="1">
      <c r="A63" s="4210"/>
      <c r="B63" s="4208"/>
      <c r="C63" s="4287"/>
      <c r="D63" s="4287"/>
      <c r="E63" s="4287"/>
      <c r="F63" s="4208"/>
      <c r="G63" s="4210"/>
      <c r="H63" s="4208"/>
      <c r="I63" s="4288" t="str">
        <f>IF(ISERROR(VLOOKUP($A63,'[3]Table GL Code'!$A$1:$B$1215,2,0)), "", VLOOKUP($A63,'[3]Table GL Code'!$A$1:$B$1215,2,0))</f>
        <v/>
      </c>
      <c r="J63" s="4288"/>
      <c r="K63" s="4288"/>
      <c r="L63" s="4288"/>
      <c r="M63" s="4288"/>
      <c r="N63" s="4288"/>
      <c r="O63" s="4288"/>
      <c r="P63" s="4288"/>
      <c r="Q63" s="4288"/>
      <c r="R63" s="4288"/>
      <c r="S63" s="4288"/>
      <c r="T63" s="4288"/>
      <c r="U63" s="4288"/>
      <c r="V63" s="4288"/>
      <c r="W63" s="4208"/>
      <c r="X63" s="4211"/>
      <c r="Z63" s="4289"/>
      <c r="AA63" s="4289"/>
      <c r="AB63" s="4289"/>
      <c r="AC63" s="4290" t="str">
        <f t="shared" si="3"/>
        <v/>
      </c>
      <c r="AD63" s="4290"/>
    </row>
    <row r="64" spans="1:30" ht="12.75" customHeight="1">
      <c r="A64" s="4210"/>
      <c r="B64" s="4208"/>
      <c r="C64" s="4287"/>
      <c r="D64" s="4287"/>
      <c r="E64" s="4287"/>
      <c r="F64" s="4208"/>
      <c r="G64" s="4210"/>
      <c r="H64" s="4208"/>
      <c r="I64" s="4288" t="str">
        <f>IF(ISERROR(VLOOKUP($A64,'[3]Table GL Code'!$A$1:$B$1215,2,0)), "", VLOOKUP($A64,'[3]Table GL Code'!$A$1:$B$1215,2,0))</f>
        <v/>
      </c>
      <c r="J64" s="4288"/>
      <c r="K64" s="4288"/>
      <c r="L64" s="4288"/>
      <c r="M64" s="4288"/>
      <c r="N64" s="4288"/>
      <c r="O64" s="4288"/>
      <c r="P64" s="4288"/>
      <c r="Q64" s="4288"/>
      <c r="R64" s="4288"/>
      <c r="S64" s="4288"/>
      <c r="T64" s="4288"/>
      <c r="U64" s="4288"/>
      <c r="V64" s="4288"/>
      <c r="W64" s="4208"/>
      <c r="X64" s="4211"/>
      <c r="Z64" s="4289"/>
      <c r="AA64" s="4289"/>
      <c r="AB64" s="4289"/>
      <c r="AC64" s="4290" t="str">
        <f t="shared" si="3"/>
        <v/>
      </c>
      <c r="AD64" s="4290"/>
    </row>
    <row r="65" spans="1:30" ht="12.75" customHeight="1">
      <c r="A65" s="4210"/>
      <c r="B65" s="4208"/>
      <c r="C65" s="4287"/>
      <c r="D65" s="4287"/>
      <c r="E65" s="4287"/>
      <c r="F65" s="4208"/>
      <c r="G65" s="4210"/>
      <c r="H65" s="4208"/>
      <c r="I65" s="4288" t="str">
        <f>IF(ISERROR(VLOOKUP($A65,'[3]Table GL Code'!$A$1:$B$1215,2,0)), "", VLOOKUP($A65,'[3]Table GL Code'!$A$1:$B$1215,2,0))</f>
        <v/>
      </c>
      <c r="J65" s="4288"/>
      <c r="K65" s="4288"/>
      <c r="L65" s="4288"/>
      <c r="M65" s="4288"/>
      <c r="N65" s="4288"/>
      <c r="O65" s="4288"/>
      <c r="P65" s="4288"/>
      <c r="Q65" s="4288"/>
      <c r="R65" s="4288"/>
      <c r="S65" s="4288"/>
      <c r="T65" s="4288"/>
      <c r="U65" s="4288"/>
      <c r="V65" s="4288"/>
      <c r="W65" s="4208"/>
      <c r="X65" s="4211"/>
      <c r="Z65" s="4289"/>
      <c r="AA65" s="4289"/>
      <c r="AB65" s="4289"/>
      <c r="AC65" s="4290" t="str">
        <f t="shared" si="3"/>
        <v/>
      </c>
      <c r="AD65" s="4290"/>
    </row>
    <row r="66" spans="1:30" ht="12.75" customHeight="1">
      <c r="A66" s="4210"/>
      <c r="B66" s="4208"/>
      <c r="C66" s="4287"/>
      <c r="D66" s="4287"/>
      <c r="E66" s="4287"/>
      <c r="F66" s="4208"/>
      <c r="G66" s="4210"/>
      <c r="H66" s="4208"/>
      <c r="I66" s="4288" t="str">
        <f>IF(ISERROR(VLOOKUP($A66,'[3]Table GL Code'!$A$1:$B$1215,2,0)), "", VLOOKUP($A66,'[3]Table GL Code'!$A$1:$B$1215,2,0))</f>
        <v/>
      </c>
      <c r="J66" s="4288"/>
      <c r="K66" s="4288"/>
      <c r="L66" s="4288"/>
      <c r="M66" s="4288"/>
      <c r="N66" s="4288"/>
      <c r="O66" s="4288"/>
      <c r="P66" s="4288"/>
      <c r="Q66" s="4288"/>
      <c r="R66" s="4288"/>
      <c r="S66" s="4288"/>
      <c r="T66" s="4288"/>
      <c r="U66" s="4288"/>
      <c r="V66" s="4288"/>
      <c r="W66" s="4208"/>
      <c r="X66" s="4211"/>
      <c r="Z66" s="4289"/>
      <c r="AA66" s="4289"/>
      <c r="AB66" s="4289"/>
      <c r="AC66" s="4290" t="str">
        <f t="shared" si="3"/>
        <v/>
      </c>
      <c r="AD66" s="4290"/>
    </row>
    <row r="67" spans="1:30" ht="12.75" customHeight="1">
      <c r="A67" s="4210"/>
      <c r="B67" s="4208"/>
      <c r="C67" s="4287"/>
      <c r="D67" s="4287"/>
      <c r="E67" s="4287"/>
      <c r="F67" s="4208"/>
      <c r="G67" s="4210"/>
      <c r="H67" s="4208"/>
      <c r="I67" s="4288" t="str">
        <f>IF(ISERROR(VLOOKUP($A67,'[3]Table GL Code'!$A$1:$B$1215,2,0)), "", VLOOKUP($A67,'[3]Table GL Code'!$A$1:$B$1215,2,0))</f>
        <v/>
      </c>
      <c r="J67" s="4288"/>
      <c r="K67" s="4288"/>
      <c r="L67" s="4288"/>
      <c r="M67" s="4288"/>
      <c r="N67" s="4288"/>
      <c r="O67" s="4288"/>
      <c r="P67" s="4288"/>
      <c r="Q67" s="4288"/>
      <c r="R67" s="4288"/>
      <c r="S67" s="4288"/>
      <c r="T67" s="4288"/>
      <c r="U67" s="4288"/>
      <c r="V67" s="4288"/>
      <c r="W67" s="4208"/>
      <c r="X67" s="4211"/>
      <c r="Z67" s="4289"/>
      <c r="AA67" s="4289"/>
      <c r="AB67" s="4289"/>
      <c r="AC67" s="4290" t="str">
        <f t="shared" si="3"/>
        <v/>
      </c>
      <c r="AD67" s="4290"/>
    </row>
    <row r="68" spans="1:30" ht="12.75" customHeight="1">
      <c r="A68" s="4210"/>
      <c r="B68" s="4208"/>
      <c r="C68" s="4287"/>
      <c r="D68" s="4287"/>
      <c r="E68" s="4287"/>
      <c r="F68" s="4208"/>
      <c r="G68" s="4210"/>
      <c r="H68" s="4208"/>
      <c r="I68" s="4288" t="str">
        <f>IF(ISERROR(VLOOKUP($A68,'[3]Table GL Code'!$A$1:$B$1215,2,0)), "", VLOOKUP($A68,'[3]Table GL Code'!$A$1:$B$1215,2,0))</f>
        <v/>
      </c>
      <c r="J68" s="4288"/>
      <c r="K68" s="4288"/>
      <c r="L68" s="4288"/>
      <c r="M68" s="4288"/>
      <c r="N68" s="4288"/>
      <c r="O68" s="4288"/>
      <c r="P68" s="4288"/>
      <c r="Q68" s="4288"/>
      <c r="R68" s="4288"/>
      <c r="S68" s="4288"/>
      <c r="T68" s="4288"/>
      <c r="U68" s="4288"/>
      <c r="V68" s="4288"/>
      <c r="W68" s="4208"/>
      <c r="X68" s="4211"/>
      <c r="Z68" s="4289"/>
      <c r="AA68" s="4289"/>
      <c r="AB68" s="4289"/>
      <c r="AC68" s="4290" t="str">
        <f t="shared" si="3"/>
        <v/>
      </c>
      <c r="AD68" s="4290"/>
    </row>
    <row r="69" spans="1:30" ht="12.75" customHeight="1">
      <c r="A69" s="4210"/>
      <c r="B69" s="4208"/>
      <c r="C69" s="4287"/>
      <c r="D69" s="4287"/>
      <c r="E69" s="4287"/>
      <c r="F69" s="4208"/>
      <c r="G69" s="4210"/>
      <c r="H69" s="4208"/>
      <c r="I69" s="4288" t="str">
        <f>IF(ISERROR(VLOOKUP($A69,'[3]Table GL Code'!$A$1:$B$1215,2,0)), "", VLOOKUP($A69,'[3]Table GL Code'!$A$1:$B$1215,2,0))</f>
        <v/>
      </c>
      <c r="J69" s="4288"/>
      <c r="K69" s="4288"/>
      <c r="L69" s="4288"/>
      <c r="M69" s="4288"/>
      <c r="N69" s="4288"/>
      <c r="O69" s="4288"/>
      <c r="P69" s="4288"/>
      <c r="Q69" s="4288"/>
      <c r="R69" s="4288"/>
      <c r="S69" s="4288"/>
      <c r="T69" s="4288"/>
      <c r="U69" s="4288"/>
      <c r="V69" s="4288"/>
      <c r="W69" s="4208"/>
      <c r="X69" s="4211"/>
      <c r="Z69" s="4289"/>
      <c r="AA69" s="4289"/>
      <c r="AB69" s="4289"/>
      <c r="AC69" s="4290" t="str">
        <f t="shared" si="3"/>
        <v/>
      </c>
      <c r="AD69" s="4290"/>
    </row>
    <row r="70" spans="1:30" ht="12.75" customHeight="1">
      <c r="A70" s="4210"/>
      <c r="B70" s="4208"/>
      <c r="C70" s="4287"/>
      <c r="D70" s="4287"/>
      <c r="E70" s="4287"/>
      <c r="F70" s="4208"/>
      <c r="G70" s="4210"/>
      <c r="H70" s="4208"/>
      <c r="I70" s="4288" t="str">
        <f>IF(ISERROR(VLOOKUP($A70,'[3]Table GL Code'!$A$1:$B$1215,2,0)), "", VLOOKUP($A70,'[3]Table GL Code'!$A$1:$B$1215,2,0))</f>
        <v/>
      </c>
      <c r="J70" s="4288"/>
      <c r="K70" s="4288"/>
      <c r="L70" s="4288"/>
      <c r="M70" s="4288"/>
      <c r="N70" s="4288"/>
      <c r="O70" s="4288"/>
      <c r="P70" s="4288"/>
      <c r="Q70" s="4288"/>
      <c r="R70" s="4288"/>
      <c r="S70" s="4288"/>
      <c r="T70" s="4288"/>
      <c r="U70" s="4288"/>
      <c r="V70" s="4288"/>
      <c r="W70" s="4208"/>
      <c r="X70" s="4211"/>
      <c r="Z70" s="4289"/>
      <c r="AA70" s="4289"/>
      <c r="AB70" s="4289"/>
      <c r="AC70" s="4290" t="str">
        <f t="shared" si="3"/>
        <v/>
      </c>
      <c r="AD70" s="4290"/>
    </row>
    <row r="71" spans="1:30" ht="12.75" customHeight="1">
      <c r="A71" s="4210"/>
      <c r="B71" s="4208"/>
      <c r="C71" s="4287"/>
      <c r="D71" s="4287"/>
      <c r="E71" s="4287"/>
      <c r="F71" s="4208"/>
      <c r="G71" s="4210"/>
      <c r="H71" s="4208"/>
      <c r="I71" s="4288" t="str">
        <f>IF(ISERROR(VLOOKUP($A71,'[3]Table GL Code'!$A$1:$B$1215,2,0)), "", VLOOKUP($A71,'[3]Table GL Code'!$A$1:$B$1215,2,0))</f>
        <v/>
      </c>
      <c r="J71" s="4288"/>
      <c r="K71" s="4288"/>
      <c r="L71" s="4288"/>
      <c r="M71" s="4288"/>
      <c r="N71" s="4288"/>
      <c r="O71" s="4288"/>
      <c r="P71" s="4288"/>
      <c r="Q71" s="4288"/>
      <c r="R71" s="4288"/>
      <c r="S71" s="4288"/>
      <c r="T71" s="4288"/>
      <c r="U71" s="4288"/>
      <c r="V71" s="4288"/>
      <c r="W71" s="4208"/>
      <c r="X71" s="4211"/>
      <c r="Z71" s="4289"/>
      <c r="AA71" s="4289"/>
      <c r="AB71" s="4289"/>
      <c r="AC71" s="4290" t="str">
        <f t="shared" si="3"/>
        <v/>
      </c>
      <c r="AD71" s="4290"/>
    </row>
    <row r="72" spans="1:30" ht="12.75" customHeight="1">
      <c r="A72" s="4210"/>
      <c r="B72" s="4208"/>
      <c r="C72" s="4287"/>
      <c r="D72" s="4287"/>
      <c r="E72" s="4287"/>
      <c r="F72" s="4208"/>
      <c r="G72" s="4210"/>
      <c r="H72" s="4208"/>
      <c r="I72" s="4288" t="str">
        <f>IF(ISERROR(VLOOKUP($A72,'[3]Table GL Code'!$A$1:$B$1215,2,0)), "", VLOOKUP($A72,'[3]Table GL Code'!$A$1:$B$1215,2,0))</f>
        <v/>
      </c>
      <c r="J72" s="4288"/>
      <c r="K72" s="4288"/>
      <c r="L72" s="4288"/>
      <c r="M72" s="4288"/>
      <c r="N72" s="4288"/>
      <c r="O72" s="4288"/>
      <c r="P72" s="4288"/>
      <c r="Q72" s="4288"/>
      <c r="R72" s="4288"/>
      <c r="S72" s="4288"/>
      <c r="T72" s="4288"/>
      <c r="U72" s="4288"/>
      <c r="V72" s="4288"/>
      <c r="W72" s="4208"/>
      <c r="X72" s="4211"/>
      <c r="Z72" s="4289"/>
      <c r="AA72" s="4289"/>
      <c r="AB72" s="4289"/>
      <c r="AC72" s="4290" t="str">
        <f t="shared" si="3"/>
        <v/>
      </c>
      <c r="AD72" s="4290"/>
    </row>
    <row r="73" spans="1:30" ht="12.75" customHeight="1">
      <c r="A73" s="4210"/>
      <c r="B73" s="4208"/>
      <c r="C73" s="4287"/>
      <c r="D73" s="4287"/>
      <c r="E73" s="4287"/>
      <c r="F73" s="4208"/>
      <c r="G73" s="4210"/>
      <c r="H73" s="4208"/>
      <c r="I73" s="4288" t="str">
        <f>IF(ISERROR(VLOOKUP($A73,'[3]Table GL Code'!$A$1:$B$1215,2,0)), "", VLOOKUP($A73,'[3]Table GL Code'!$A$1:$B$1215,2,0))</f>
        <v/>
      </c>
      <c r="J73" s="4288"/>
      <c r="K73" s="4288"/>
      <c r="L73" s="4288"/>
      <c r="M73" s="4288"/>
      <c r="N73" s="4288"/>
      <c r="O73" s="4288"/>
      <c r="P73" s="4288"/>
      <c r="Q73" s="4288"/>
      <c r="R73" s="4288"/>
      <c r="S73" s="4288"/>
      <c r="T73" s="4288"/>
      <c r="U73" s="4288"/>
      <c r="V73" s="4288"/>
      <c r="W73" s="4208"/>
      <c r="X73" s="4211"/>
      <c r="Z73" s="4289"/>
      <c r="AA73" s="4289"/>
      <c r="AB73" s="4289"/>
      <c r="AC73" s="4290" t="str">
        <f t="shared" si="3"/>
        <v/>
      </c>
      <c r="AD73" s="4290"/>
    </row>
    <row r="74" spans="1:30" ht="12.75" customHeight="1">
      <c r="A74" s="4210"/>
      <c r="B74" s="4208"/>
      <c r="C74" s="4287"/>
      <c r="D74" s="4287"/>
      <c r="E74" s="4287"/>
      <c r="F74" s="4208"/>
      <c r="G74" s="4210"/>
      <c r="H74" s="4208"/>
      <c r="I74" s="4288" t="str">
        <f>IF(ISERROR(VLOOKUP($A74,'[3]Table GL Code'!$A$1:$B$1215,2,0)), "", VLOOKUP($A74,'[3]Table GL Code'!$A$1:$B$1215,2,0))</f>
        <v/>
      </c>
      <c r="J74" s="4288"/>
      <c r="K74" s="4288"/>
      <c r="L74" s="4288"/>
      <c r="M74" s="4288"/>
      <c r="N74" s="4288"/>
      <c r="O74" s="4288"/>
      <c r="P74" s="4288"/>
      <c r="Q74" s="4288"/>
      <c r="R74" s="4288"/>
      <c r="S74" s="4288"/>
      <c r="T74" s="4288"/>
      <c r="U74" s="4288"/>
      <c r="V74" s="4288"/>
      <c r="W74" s="4208"/>
      <c r="X74" s="4211"/>
      <c r="Z74" s="4289"/>
      <c r="AA74" s="4289"/>
      <c r="AB74" s="4289"/>
      <c r="AC74" s="4290" t="str">
        <f t="shared" si="3"/>
        <v/>
      </c>
      <c r="AD74" s="4290"/>
    </row>
    <row r="75" spans="1:30" ht="12.75" customHeight="1">
      <c r="A75" s="4210"/>
      <c r="B75" s="4208"/>
      <c r="C75" s="4287"/>
      <c r="D75" s="4287"/>
      <c r="E75" s="4287"/>
      <c r="F75" s="4208"/>
      <c r="G75" s="4210"/>
      <c r="H75" s="4208"/>
      <c r="I75" s="4288" t="str">
        <f>IF(ISERROR(VLOOKUP($A75,'[3]Table GL Code'!$A$1:$B$1215,2,0)), "", VLOOKUP($A75,'[3]Table GL Code'!$A$1:$B$1215,2,0))</f>
        <v/>
      </c>
      <c r="J75" s="4288"/>
      <c r="K75" s="4288"/>
      <c r="L75" s="4288"/>
      <c r="M75" s="4288"/>
      <c r="N75" s="4288"/>
      <c r="O75" s="4288"/>
      <c r="P75" s="4288"/>
      <c r="Q75" s="4288"/>
      <c r="R75" s="4288"/>
      <c r="S75" s="4288"/>
      <c r="T75" s="4288"/>
      <c r="U75" s="4288"/>
      <c r="V75" s="4288"/>
      <c r="W75" s="4208"/>
      <c r="X75" s="4211"/>
      <c r="Z75" s="4289"/>
      <c r="AA75" s="4289"/>
      <c r="AB75" s="4289"/>
      <c r="AC75" s="4290" t="str">
        <f t="shared" ref="AC75:AC106" si="4">IF(OR(RIGHT($AA$129,1)="5",RIGHT($AA$129,1)="8"),IF(ISERROR(VLOOKUP(--LEFT($A75,3),CUFormsList,2,0)),"",VLOOKUP(--LEFT($A75,3),CUFormsList,2,0)),IF(AND(LEFT($A75,3)="789",OR($AA$129="50",$AA$129="60",$AA$129="71",$AA$129="73",$AA$129="76")),"Form 2",IF(AND(LEFT($A75,3)="278",OR($AA$129="50",$AA$129="60")),"Form 24 &amp; P5",IF(ISERROR(VLOOKUP(--LEFT($A75,3),FormsList,2,0)),"",IF(AND(VLOOKUP(--LEFT($A75,3),FormsList,2,0)="Form 24",$AA$129&lt;&gt;"50",$AA$129&lt;&gt;"60"),"",IF($AA$129="74",VLOOKUP(--LEFT($A75,3),FormsList,3,0),VLOOKUP(--LEFT($A75,3),FormsList,2,0)))))))</f>
        <v/>
      </c>
      <c r="AD75" s="4290"/>
    </row>
    <row r="76" spans="1:30" ht="12.75" customHeight="1">
      <c r="A76" s="4210"/>
      <c r="B76" s="4208"/>
      <c r="C76" s="4287"/>
      <c r="D76" s="4287"/>
      <c r="E76" s="4287"/>
      <c r="F76" s="4208"/>
      <c r="G76" s="4210"/>
      <c r="H76" s="4208"/>
      <c r="I76" s="4288" t="str">
        <f>IF(ISERROR(VLOOKUP($A76,'[3]Table GL Code'!$A$1:$B$1215,2,0)), "", VLOOKUP($A76,'[3]Table GL Code'!$A$1:$B$1215,2,0))</f>
        <v/>
      </c>
      <c r="J76" s="4288"/>
      <c r="K76" s="4288"/>
      <c r="L76" s="4288"/>
      <c r="M76" s="4288"/>
      <c r="N76" s="4288"/>
      <c r="O76" s="4288"/>
      <c r="P76" s="4288"/>
      <c r="Q76" s="4288"/>
      <c r="R76" s="4288"/>
      <c r="S76" s="4288"/>
      <c r="T76" s="4288"/>
      <c r="U76" s="4288"/>
      <c r="V76" s="4288"/>
      <c r="W76" s="4208"/>
      <c r="X76" s="4211"/>
      <c r="Z76" s="4289"/>
      <c r="AA76" s="4289"/>
      <c r="AB76" s="4289"/>
      <c r="AC76" s="4290" t="str">
        <f t="shared" si="4"/>
        <v/>
      </c>
      <c r="AD76" s="4290"/>
    </row>
    <row r="77" spans="1:30" ht="12.75" customHeight="1">
      <c r="A77" s="4210"/>
      <c r="B77" s="4208"/>
      <c r="C77" s="4287"/>
      <c r="D77" s="4287"/>
      <c r="E77" s="4287"/>
      <c r="F77" s="4208"/>
      <c r="G77" s="4210"/>
      <c r="H77" s="4208"/>
      <c r="I77" s="4288" t="str">
        <f>IF(ISERROR(VLOOKUP($A77,'[3]Table GL Code'!$A$1:$B$1215,2,0)), "", VLOOKUP($A77,'[3]Table GL Code'!$A$1:$B$1215,2,0))</f>
        <v/>
      </c>
      <c r="J77" s="4288"/>
      <c r="K77" s="4288"/>
      <c r="L77" s="4288"/>
      <c r="M77" s="4288"/>
      <c r="N77" s="4288"/>
      <c r="O77" s="4288"/>
      <c r="P77" s="4288"/>
      <c r="Q77" s="4288"/>
      <c r="R77" s="4288"/>
      <c r="S77" s="4288"/>
      <c r="T77" s="4288"/>
      <c r="U77" s="4288"/>
      <c r="V77" s="4288"/>
      <c r="W77" s="4208"/>
      <c r="X77" s="4211"/>
      <c r="Z77" s="4289"/>
      <c r="AA77" s="4289"/>
      <c r="AB77" s="4289"/>
      <c r="AC77" s="4290" t="str">
        <f t="shared" si="4"/>
        <v/>
      </c>
      <c r="AD77" s="4290"/>
    </row>
    <row r="78" spans="1:30" ht="12.75" customHeight="1">
      <c r="A78" s="4210"/>
      <c r="B78" s="4208"/>
      <c r="C78" s="4287"/>
      <c r="D78" s="4287"/>
      <c r="E78" s="4287"/>
      <c r="F78" s="4208"/>
      <c r="G78" s="4210"/>
      <c r="H78" s="4208"/>
      <c r="I78" s="4288" t="str">
        <f>IF(ISERROR(VLOOKUP($A78,'[3]Table GL Code'!$A$1:$B$1215,2,0)), "", VLOOKUP($A78,'[3]Table GL Code'!$A$1:$B$1215,2,0))</f>
        <v/>
      </c>
      <c r="J78" s="4288"/>
      <c r="K78" s="4288"/>
      <c r="L78" s="4288"/>
      <c r="M78" s="4288"/>
      <c r="N78" s="4288"/>
      <c r="O78" s="4288"/>
      <c r="P78" s="4288"/>
      <c r="Q78" s="4288"/>
      <c r="R78" s="4288"/>
      <c r="S78" s="4288"/>
      <c r="T78" s="4288"/>
      <c r="U78" s="4288"/>
      <c r="V78" s="4288"/>
      <c r="W78" s="4208"/>
      <c r="X78" s="4211"/>
      <c r="Z78" s="4289"/>
      <c r="AA78" s="4289"/>
      <c r="AB78" s="4289"/>
      <c r="AC78" s="4290" t="str">
        <f t="shared" si="4"/>
        <v/>
      </c>
      <c r="AD78" s="4290"/>
    </row>
    <row r="79" spans="1:30" ht="12.75" customHeight="1">
      <c r="A79" s="4210"/>
      <c r="B79" s="4208"/>
      <c r="C79" s="4287"/>
      <c r="D79" s="4287"/>
      <c r="E79" s="4287"/>
      <c r="F79" s="4208"/>
      <c r="G79" s="4210"/>
      <c r="H79" s="4208"/>
      <c r="I79" s="4288" t="str">
        <f>IF(ISERROR(VLOOKUP($A79,'[3]Table GL Code'!$A$1:$B$1215,2,0)), "", VLOOKUP($A79,'[3]Table GL Code'!$A$1:$B$1215,2,0))</f>
        <v/>
      </c>
      <c r="J79" s="4288"/>
      <c r="K79" s="4288"/>
      <c r="L79" s="4288"/>
      <c r="M79" s="4288"/>
      <c r="N79" s="4288"/>
      <c r="O79" s="4288"/>
      <c r="P79" s="4288"/>
      <c r="Q79" s="4288"/>
      <c r="R79" s="4288"/>
      <c r="S79" s="4288"/>
      <c r="T79" s="4288"/>
      <c r="U79" s="4288"/>
      <c r="V79" s="4288"/>
      <c r="W79" s="4208"/>
      <c r="X79" s="4211"/>
      <c r="Z79" s="4289"/>
      <c r="AA79" s="4289"/>
      <c r="AB79" s="4289"/>
      <c r="AC79" s="4290" t="str">
        <f t="shared" si="4"/>
        <v/>
      </c>
      <c r="AD79" s="4290"/>
    </row>
    <row r="80" spans="1:30" ht="12.75" customHeight="1">
      <c r="A80" s="4210"/>
      <c r="B80" s="4208"/>
      <c r="C80" s="4287"/>
      <c r="D80" s="4287"/>
      <c r="E80" s="4287"/>
      <c r="F80" s="4208"/>
      <c r="G80" s="4210"/>
      <c r="H80" s="4208"/>
      <c r="I80" s="4288" t="str">
        <f>IF(ISERROR(VLOOKUP($A80,'[3]Table GL Code'!$A$1:$B$1215,2,0)), "", VLOOKUP($A80,'[3]Table GL Code'!$A$1:$B$1215,2,0))</f>
        <v/>
      </c>
      <c r="J80" s="4288"/>
      <c r="K80" s="4288"/>
      <c r="L80" s="4288"/>
      <c r="M80" s="4288"/>
      <c r="N80" s="4288"/>
      <c r="O80" s="4288"/>
      <c r="P80" s="4288"/>
      <c r="Q80" s="4288"/>
      <c r="R80" s="4288"/>
      <c r="S80" s="4288"/>
      <c r="T80" s="4288"/>
      <c r="U80" s="4288"/>
      <c r="V80" s="4288"/>
      <c r="W80" s="4208"/>
      <c r="X80" s="4211"/>
      <c r="Z80" s="4289"/>
      <c r="AA80" s="4289"/>
      <c r="AB80" s="4289"/>
      <c r="AC80" s="4290" t="str">
        <f t="shared" si="4"/>
        <v/>
      </c>
      <c r="AD80" s="4290"/>
    </row>
    <row r="81" spans="1:30" ht="12.75" customHeight="1">
      <c r="A81" s="4210"/>
      <c r="B81" s="4208"/>
      <c r="C81" s="4287"/>
      <c r="D81" s="4287"/>
      <c r="E81" s="4287"/>
      <c r="F81" s="4208"/>
      <c r="G81" s="4210"/>
      <c r="H81" s="4208"/>
      <c r="I81" s="4288" t="str">
        <f>IF(ISERROR(VLOOKUP($A81,'[3]Table GL Code'!$A$1:$B$1215,2,0)), "", VLOOKUP($A81,'[3]Table GL Code'!$A$1:$B$1215,2,0))</f>
        <v/>
      </c>
      <c r="J81" s="4288"/>
      <c r="K81" s="4288"/>
      <c r="L81" s="4288"/>
      <c r="M81" s="4288"/>
      <c r="N81" s="4288"/>
      <c r="O81" s="4288"/>
      <c r="P81" s="4288"/>
      <c r="Q81" s="4288"/>
      <c r="R81" s="4288"/>
      <c r="S81" s="4288"/>
      <c r="T81" s="4288"/>
      <c r="U81" s="4288"/>
      <c r="V81" s="4288"/>
      <c r="W81" s="4208"/>
      <c r="X81" s="4211"/>
      <c r="Z81" s="4289"/>
      <c r="AA81" s="4289"/>
      <c r="AB81" s="4289"/>
      <c r="AC81" s="4290" t="str">
        <f t="shared" si="4"/>
        <v/>
      </c>
      <c r="AD81" s="4290"/>
    </row>
    <row r="82" spans="1:30" ht="12.75" customHeight="1">
      <c r="A82" s="4210"/>
      <c r="B82" s="4208"/>
      <c r="C82" s="4287"/>
      <c r="D82" s="4287"/>
      <c r="E82" s="4287"/>
      <c r="F82" s="4208"/>
      <c r="G82" s="4210"/>
      <c r="H82" s="4208"/>
      <c r="I82" s="4288" t="str">
        <f>IF(ISERROR(VLOOKUP($A82,'[3]Table GL Code'!$A$1:$B$1215,2,0)), "", VLOOKUP($A82,'[3]Table GL Code'!$A$1:$B$1215,2,0))</f>
        <v/>
      </c>
      <c r="J82" s="4288"/>
      <c r="K82" s="4288"/>
      <c r="L82" s="4288"/>
      <c r="M82" s="4288"/>
      <c r="N82" s="4288"/>
      <c r="O82" s="4288"/>
      <c r="P82" s="4288"/>
      <c r="Q82" s="4288"/>
      <c r="R82" s="4288"/>
      <c r="S82" s="4288"/>
      <c r="T82" s="4288"/>
      <c r="U82" s="4288"/>
      <c r="V82" s="4288"/>
      <c r="W82" s="4208"/>
      <c r="X82" s="4211"/>
      <c r="Z82" s="4289"/>
      <c r="AA82" s="4289"/>
      <c r="AB82" s="4289"/>
      <c r="AC82" s="4290" t="str">
        <f t="shared" si="4"/>
        <v/>
      </c>
      <c r="AD82" s="4290"/>
    </row>
    <row r="83" spans="1:30" ht="12.75" customHeight="1">
      <c r="A83" s="4210"/>
      <c r="B83" s="4208"/>
      <c r="C83" s="4287"/>
      <c r="D83" s="4287"/>
      <c r="E83" s="4287"/>
      <c r="F83" s="4208"/>
      <c r="G83" s="4210"/>
      <c r="H83" s="4208"/>
      <c r="I83" s="4288" t="str">
        <f>IF(ISERROR(VLOOKUP($A83,'[3]Table GL Code'!$A$1:$B$1215,2,0)), "", VLOOKUP($A83,'[3]Table GL Code'!$A$1:$B$1215,2,0))</f>
        <v/>
      </c>
      <c r="J83" s="4288"/>
      <c r="K83" s="4288"/>
      <c r="L83" s="4288"/>
      <c r="M83" s="4288"/>
      <c r="N83" s="4288"/>
      <c r="O83" s="4288"/>
      <c r="P83" s="4288"/>
      <c r="Q83" s="4288"/>
      <c r="R83" s="4288"/>
      <c r="S83" s="4288"/>
      <c r="T83" s="4288"/>
      <c r="U83" s="4288"/>
      <c r="V83" s="4288"/>
      <c r="W83" s="4208"/>
      <c r="X83" s="4211"/>
      <c r="Z83" s="4289"/>
      <c r="AA83" s="4289"/>
      <c r="AB83" s="4289"/>
      <c r="AC83" s="4290" t="str">
        <f t="shared" si="4"/>
        <v/>
      </c>
      <c r="AD83" s="4290"/>
    </row>
    <row r="84" spans="1:30" ht="12.75" customHeight="1">
      <c r="A84" s="4210"/>
      <c r="B84" s="4208"/>
      <c r="C84" s="4287"/>
      <c r="D84" s="4287"/>
      <c r="E84" s="4287"/>
      <c r="F84" s="4208"/>
      <c r="G84" s="4210"/>
      <c r="H84" s="4208"/>
      <c r="I84" s="4288" t="str">
        <f>IF(ISERROR(VLOOKUP($A84,'[3]Table GL Code'!$A$1:$B$1215,2,0)), "", VLOOKUP($A84,'[3]Table GL Code'!$A$1:$B$1215,2,0))</f>
        <v/>
      </c>
      <c r="J84" s="4288"/>
      <c r="K84" s="4288"/>
      <c r="L84" s="4288"/>
      <c r="M84" s="4288"/>
      <c r="N84" s="4288"/>
      <c r="O84" s="4288"/>
      <c r="P84" s="4288"/>
      <c r="Q84" s="4288"/>
      <c r="R84" s="4288"/>
      <c r="S84" s="4288"/>
      <c r="T84" s="4288"/>
      <c r="U84" s="4288"/>
      <c r="V84" s="4288"/>
      <c r="W84" s="4208"/>
      <c r="X84" s="4211"/>
      <c r="Z84" s="4289"/>
      <c r="AA84" s="4289"/>
      <c r="AB84" s="4289"/>
      <c r="AC84" s="4290" t="str">
        <f t="shared" si="4"/>
        <v/>
      </c>
      <c r="AD84" s="4290"/>
    </row>
    <row r="85" spans="1:30" ht="12.75" customHeight="1">
      <c r="A85" s="4210"/>
      <c r="B85" s="4208"/>
      <c r="C85" s="4287"/>
      <c r="D85" s="4287"/>
      <c r="E85" s="4287"/>
      <c r="F85" s="4208"/>
      <c r="G85" s="4210"/>
      <c r="H85" s="4208"/>
      <c r="I85" s="4288" t="str">
        <f>IF(ISERROR(VLOOKUP($A85,'[3]Table GL Code'!$A$1:$B$1215,2,0)), "", VLOOKUP($A85,'[3]Table GL Code'!$A$1:$B$1215,2,0))</f>
        <v/>
      </c>
      <c r="J85" s="4288"/>
      <c r="K85" s="4288"/>
      <c r="L85" s="4288"/>
      <c r="M85" s="4288"/>
      <c r="N85" s="4288"/>
      <c r="O85" s="4288"/>
      <c r="P85" s="4288"/>
      <c r="Q85" s="4288"/>
      <c r="R85" s="4288"/>
      <c r="S85" s="4288"/>
      <c r="T85" s="4288"/>
      <c r="U85" s="4288"/>
      <c r="V85" s="4288"/>
      <c r="W85" s="4208"/>
      <c r="X85" s="4211"/>
      <c r="Z85" s="4289"/>
      <c r="AA85" s="4289"/>
      <c r="AB85" s="4289"/>
      <c r="AC85" s="4290" t="str">
        <f t="shared" si="4"/>
        <v/>
      </c>
      <c r="AD85" s="4290"/>
    </row>
    <row r="86" spans="1:30" ht="12.75" customHeight="1">
      <c r="A86" s="4210"/>
      <c r="B86" s="4208"/>
      <c r="C86" s="4287"/>
      <c r="D86" s="4287"/>
      <c r="E86" s="4287"/>
      <c r="F86" s="4208"/>
      <c r="G86" s="4210"/>
      <c r="H86" s="4208"/>
      <c r="I86" s="4288" t="str">
        <f>IF(ISERROR(VLOOKUP($A86,'[3]Table GL Code'!$A$1:$B$1215,2,0)), "", VLOOKUP($A86,'[3]Table GL Code'!$A$1:$B$1215,2,0))</f>
        <v/>
      </c>
      <c r="J86" s="4288"/>
      <c r="K86" s="4288"/>
      <c r="L86" s="4288"/>
      <c r="M86" s="4288"/>
      <c r="N86" s="4288"/>
      <c r="O86" s="4288"/>
      <c r="P86" s="4288"/>
      <c r="Q86" s="4288"/>
      <c r="R86" s="4288"/>
      <c r="S86" s="4288"/>
      <c r="T86" s="4288"/>
      <c r="U86" s="4288"/>
      <c r="V86" s="4288"/>
      <c r="W86" s="4208"/>
      <c r="X86" s="4211"/>
      <c r="Z86" s="4289"/>
      <c r="AA86" s="4289"/>
      <c r="AB86" s="4289"/>
      <c r="AC86" s="4290" t="str">
        <f t="shared" si="4"/>
        <v/>
      </c>
      <c r="AD86" s="4290"/>
    </row>
    <row r="87" spans="1:30" ht="12.75" customHeight="1">
      <c r="A87" s="4210"/>
      <c r="B87" s="4208"/>
      <c r="C87" s="4287"/>
      <c r="D87" s="4287"/>
      <c r="E87" s="4287"/>
      <c r="F87" s="4208"/>
      <c r="G87" s="4210"/>
      <c r="H87" s="4208"/>
      <c r="I87" s="4288" t="str">
        <f>IF(ISERROR(VLOOKUP($A87,'[3]Table GL Code'!$A$1:$B$1215,2,0)), "", VLOOKUP($A87,'[3]Table GL Code'!$A$1:$B$1215,2,0))</f>
        <v/>
      </c>
      <c r="J87" s="4288"/>
      <c r="K87" s="4288"/>
      <c r="L87" s="4288"/>
      <c r="M87" s="4288"/>
      <c r="N87" s="4288"/>
      <c r="O87" s="4288"/>
      <c r="P87" s="4288"/>
      <c r="Q87" s="4288"/>
      <c r="R87" s="4288"/>
      <c r="S87" s="4288"/>
      <c r="T87" s="4288"/>
      <c r="U87" s="4288"/>
      <c r="V87" s="4288"/>
      <c r="W87" s="4208"/>
      <c r="X87" s="4211"/>
      <c r="Z87" s="4289"/>
      <c r="AA87" s="4289"/>
      <c r="AB87" s="4289"/>
      <c r="AC87" s="4290" t="str">
        <f t="shared" si="4"/>
        <v/>
      </c>
      <c r="AD87" s="4290"/>
    </row>
    <row r="88" spans="1:30" ht="12.75" customHeight="1">
      <c r="A88" s="4210"/>
      <c r="B88" s="4208"/>
      <c r="C88" s="4287"/>
      <c r="D88" s="4287"/>
      <c r="E88" s="4287"/>
      <c r="F88" s="4208"/>
      <c r="G88" s="4210"/>
      <c r="H88" s="4208"/>
      <c r="I88" s="4288" t="str">
        <f>IF(ISERROR(VLOOKUP($A88,'[3]Table GL Code'!$A$1:$B$1215,2,0)), "", VLOOKUP($A88,'[3]Table GL Code'!$A$1:$B$1215,2,0))</f>
        <v/>
      </c>
      <c r="J88" s="4288"/>
      <c r="K88" s="4288"/>
      <c r="L88" s="4288"/>
      <c r="M88" s="4288"/>
      <c r="N88" s="4288"/>
      <c r="O88" s="4288"/>
      <c r="P88" s="4288"/>
      <c r="Q88" s="4288"/>
      <c r="R88" s="4288"/>
      <c r="S88" s="4288"/>
      <c r="T88" s="4288"/>
      <c r="U88" s="4288"/>
      <c r="V88" s="4288"/>
      <c r="W88" s="4208"/>
      <c r="X88" s="4211"/>
      <c r="Z88" s="4289"/>
      <c r="AA88" s="4289"/>
      <c r="AB88" s="4289"/>
      <c r="AC88" s="4290" t="str">
        <f t="shared" si="4"/>
        <v/>
      </c>
      <c r="AD88" s="4290"/>
    </row>
    <row r="89" spans="1:30" ht="12.75" customHeight="1">
      <c r="A89" s="4210"/>
      <c r="B89" s="4208"/>
      <c r="C89" s="4287"/>
      <c r="D89" s="4287"/>
      <c r="E89" s="4287"/>
      <c r="F89" s="4208"/>
      <c r="G89" s="4210"/>
      <c r="H89" s="4208"/>
      <c r="I89" s="4288" t="str">
        <f>IF(ISERROR(VLOOKUP($A89,'[3]Table GL Code'!$A$1:$B$1215,2,0)), "", VLOOKUP($A89,'[3]Table GL Code'!$A$1:$B$1215,2,0))</f>
        <v/>
      </c>
      <c r="J89" s="4288"/>
      <c r="K89" s="4288"/>
      <c r="L89" s="4288"/>
      <c r="M89" s="4288"/>
      <c r="N89" s="4288"/>
      <c r="O89" s="4288"/>
      <c r="P89" s="4288"/>
      <c r="Q89" s="4288"/>
      <c r="R89" s="4288"/>
      <c r="S89" s="4288"/>
      <c r="T89" s="4288"/>
      <c r="U89" s="4288"/>
      <c r="V89" s="4288"/>
      <c r="W89" s="4208"/>
      <c r="X89" s="4211"/>
      <c r="Z89" s="4289"/>
      <c r="AA89" s="4289"/>
      <c r="AB89" s="4289"/>
      <c r="AC89" s="4290" t="str">
        <f t="shared" si="4"/>
        <v/>
      </c>
      <c r="AD89" s="4290"/>
    </row>
    <row r="90" spans="1:30" ht="12.75" customHeight="1">
      <c r="A90" s="4210"/>
      <c r="B90" s="4208"/>
      <c r="C90" s="4287"/>
      <c r="D90" s="4287"/>
      <c r="E90" s="4287"/>
      <c r="F90" s="4208"/>
      <c r="G90" s="4210"/>
      <c r="H90" s="4208"/>
      <c r="I90" s="4288" t="str">
        <f>IF(ISERROR(VLOOKUP($A90,'[3]Table GL Code'!$A$1:$B$1215,2,0)), "", VLOOKUP($A90,'[3]Table GL Code'!$A$1:$B$1215,2,0))</f>
        <v/>
      </c>
      <c r="J90" s="4288"/>
      <c r="K90" s="4288"/>
      <c r="L90" s="4288"/>
      <c r="M90" s="4288"/>
      <c r="N90" s="4288"/>
      <c r="O90" s="4288"/>
      <c r="P90" s="4288"/>
      <c r="Q90" s="4288"/>
      <c r="R90" s="4288"/>
      <c r="S90" s="4288"/>
      <c r="T90" s="4288"/>
      <c r="U90" s="4288"/>
      <c r="V90" s="4288"/>
      <c r="W90" s="4208"/>
      <c r="X90" s="4211"/>
      <c r="Z90" s="4289"/>
      <c r="AA90" s="4289"/>
      <c r="AB90" s="4289"/>
      <c r="AC90" s="4290" t="str">
        <f t="shared" si="4"/>
        <v/>
      </c>
      <c r="AD90" s="4290"/>
    </row>
    <row r="91" spans="1:30" ht="12.75" customHeight="1">
      <c r="A91" s="4210"/>
      <c r="B91" s="4208"/>
      <c r="C91" s="4287"/>
      <c r="D91" s="4287"/>
      <c r="E91" s="4287"/>
      <c r="F91" s="4208"/>
      <c r="G91" s="4210"/>
      <c r="H91" s="4208"/>
      <c r="I91" s="4288" t="str">
        <f>IF(ISERROR(VLOOKUP($A91,'[3]Table GL Code'!$A$1:$B$1215,2,0)), "", VLOOKUP($A91,'[3]Table GL Code'!$A$1:$B$1215,2,0))</f>
        <v/>
      </c>
      <c r="J91" s="4288"/>
      <c r="K91" s="4288"/>
      <c r="L91" s="4288"/>
      <c r="M91" s="4288"/>
      <c r="N91" s="4288"/>
      <c r="O91" s="4288"/>
      <c r="P91" s="4288"/>
      <c r="Q91" s="4288"/>
      <c r="R91" s="4288"/>
      <c r="S91" s="4288"/>
      <c r="T91" s="4288"/>
      <c r="U91" s="4288"/>
      <c r="V91" s="4288"/>
      <c r="W91" s="4208"/>
      <c r="X91" s="4211"/>
      <c r="Z91" s="4289"/>
      <c r="AA91" s="4289"/>
      <c r="AB91" s="4289"/>
      <c r="AC91" s="4290" t="str">
        <f t="shared" si="4"/>
        <v/>
      </c>
      <c r="AD91" s="4290"/>
    </row>
    <row r="92" spans="1:30" ht="12.75" customHeight="1">
      <c r="A92" s="4210"/>
      <c r="B92" s="4208"/>
      <c r="C92" s="4287"/>
      <c r="D92" s="4287"/>
      <c r="E92" s="4287"/>
      <c r="F92" s="4208"/>
      <c r="G92" s="4210"/>
      <c r="H92" s="4208"/>
      <c r="I92" s="4288" t="str">
        <f>IF(ISERROR(VLOOKUP($A92,'[3]Table GL Code'!$A$1:$B$1215,2,0)), "", VLOOKUP($A92,'[3]Table GL Code'!$A$1:$B$1215,2,0))</f>
        <v/>
      </c>
      <c r="J92" s="4288"/>
      <c r="K92" s="4288"/>
      <c r="L92" s="4288"/>
      <c r="M92" s="4288"/>
      <c r="N92" s="4288"/>
      <c r="O92" s="4288"/>
      <c r="P92" s="4288"/>
      <c r="Q92" s="4288"/>
      <c r="R92" s="4288"/>
      <c r="S92" s="4288"/>
      <c r="T92" s="4288"/>
      <c r="U92" s="4288"/>
      <c r="V92" s="4288"/>
      <c r="W92" s="4208"/>
      <c r="X92" s="4211"/>
      <c r="Z92" s="4289"/>
      <c r="AA92" s="4289"/>
      <c r="AB92" s="4289"/>
      <c r="AC92" s="4290" t="str">
        <f t="shared" si="4"/>
        <v/>
      </c>
      <c r="AD92" s="4290"/>
    </row>
    <row r="93" spans="1:30" ht="12.75" customHeight="1">
      <c r="A93" s="4210"/>
      <c r="B93" s="4208"/>
      <c r="C93" s="4287"/>
      <c r="D93" s="4287"/>
      <c r="E93" s="4287"/>
      <c r="F93" s="4208"/>
      <c r="G93" s="4210"/>
      <c r="H93" s="4208"/>
      <c r="I93" s="4288" t="str">
        <f>IF(ISERROR(VLOOKUP($A93,'[3]Table GL Code'!$A$1:$B$1215,2,0)), "", VLOOKUP($A93,'[3]Table GL Code'!$A$1:$B$1215,2,0))</f>
        <v/>
      </c>
      <c r="J93" s="4288"/>
      <c r="K93" s="4288"/>
      <c r="L93" s="4288"/>
      <c r="M93" s="4288"/>
      <c r="N93" s="4288"/>
      <c r="O93" s="4288"/>
      <c r="P93" s="4288"/>
      <c r="Q93" s="4288"/>
      <c r="R93" s="4288"/>
      <c r="S93" s="4288"/>
      <c r="T93" s="4288"/>
      <c r="U93" s="4288"/>
      <c r="V93" s="4288"/>
      <c r="W93" s="4208"/>
      <c r="X93" s="4211"/>
      <c r="Z93" s="4289"/>
      <c r="AA93" s="4289"/>
      <c r="AB93" s="4289"/>
      <c r="AC93" s="4290" t="str">
        <f t="shared" si="4"/>
        <v/>
      </c>
      <c r="AD93" s="4290"/>
    </row>
    <row r="94" spans="1:30" ht="12.75" customHeight="1">
      <c r="A94" s="4210"/>
      <c r="B94" s="4208"/>
      <c r="C94" s="4287"/>
      <c r="D94" s="4287"/>
      <c r="E94" s="4287"/>
      <c r="F94" s="4208"/>
      <c r="G94" s="4210"/>
      <c r="H94" s="4208"/>
      <c r="I94" s="4288" t="str">
        <f>IF(ISERROR(VLOOKUP($A94,'[3]Table GL Code'!$A$1:$B$1215,2,0)), "", VLOOKUP($A94,'[3]Table GL Code'!$A$1:$B$1215,2,0))</f>
        <v/>
      </c>
      <c r="J94" s="4288"/>
      <c r="K94" s="4288"/>
      <c r="L94" s="4288"/>
      <c r="M94" s="4288"/>
      <c r="N94" s="4288"/>
      <c r="O94" s="4288"/>
      <c r="P94" s="4288"/>
      <c r="Q94" s="4288"/>
      <c r="R94" s="4288"/>
      <c r="S94" s="4288"/>
      <c r="T94" s="4288"/>
      <c r="U94" s="4288"/>
      <c r="V94" s="4288"/>
      <c r="W94" s="4208"/>
      <c r="X94" s="4211"/>
      <c r="Z94" s="4289"/>
      <c r="AA94" s="4289"/>
      <c r="AB94" s="4289"/>
      <c r="AC94" s="4290" t="str">
        <f t="shared" si="4"/>
        <v/>
      </c>
      <c r="AD94" s="4290"/>
    </row>
    <row r="95" spans="1:30" ht="12.75" customHeight="1">
      <c r="A95" s="4210"/>
      <c r="B95" s="4208"/>
      <c r="C95" s="4287"/>
      <c r="D95" s="4287"/>
      <c r="E95" s="4287"/>
      <c r="F95" s="4208"/>
      <c r="G95" s="4210"/>
      <c r="H95" s="4208"/>
      <c r="I95" s="4288" t="str">
        <f>IF(ISERROR(VLOOKUP($A95,'[3]Table GL Code'!$A$1:$B$1215,2,0)), "", VLOOKUP($A95,'[3]Table GL Code'!$A$1:$B$1215,2,0))</f>
        <v/>
      </c>
      <c r="J95" s="4288"/>
      <c r="K95" s="4288"/>
      <c r="L95" s="4288"/>
      <c r="M95" s="4288"/>
      <c r="N95" s="4288"/>
      <c r="O95" s="4288"/>
      <c r="P95" s="4288"/>
      <c r="Q95" s="4288"/>
      <c r="R95" s="4288"/>
      <c r="S95" s="4288"/>
      <c r="T95" s="4288"/>
      <c r="U95" s="4288"/>
      <c r="V95" s="4288"/>
      <c r="W95" s="4208"/>
      <c r="X95" s="4211"/>
      <c r="Z95" s="4289"/>
      <c r="AA95" s="4289"/>
      <c r="AB95" s="4289"/>
      <c r="AC95" s="4290" t="str">
        <f t="shared" si="4"/>
        <v/>
      </c>
      <c r="AD95" s="4290"/>
    </row>
    <row r="96" spans="1:30" ht="12.75" customHeight="1">
      <c r="A96" s="4210"/>
      <c r="B96" s="4208"/>
      <c r="C96" s="4287"/>
      <c r="D96" s="4287"/>
      <c r="E96" s="4287"/>
      <c r="F96" s="4208"/>
      <c r="G96" s="4210"/>
      <c r="H96" s="4208"/>
      <c r="I96" s="4288" t="str">
        <f>IF(ISERROR(VLOOKUP($A96,'[3]Table GL Code'!$A$1:$B$1215,2,0)), "", VLOOKUP($A96,'[3]Table GL Code'!$A$1:$B$1215,2,0))</f>
        <v/>
      </c>
      <c r="J96" s="4288"/>
      <c r="K96" s="4288"/>
      <c r="L96" s="4288"/>
      <c r="M96" s="4288"/>
      <c r="N96" s="4288"/>
      <c r="O96" s="4288"/>
      <c r="P96" s="4288"/>
      <c r="Q96" s="4288"/>
      <c r="R96" s="4288"/>
      <c r="S96" s="4288"/>
      <c r="T96" s="4288"/>
      <c r="U96" s="4288"/>
      <c r="V96" s="4288"/>
      <c r="W96" s="4208"/>
      <c r="X96" s="4211"/>
      <c r="Z96" s="4289"/>
      <c r="AA96" s="4289"/>
      <c r="AB96" s="4289"/>
      <c r="AC96" s="4290" t="str">
        <f t="shared" si="4"/>
        <v/>
      </c>
      <c r="AD96" s="4290"/>
    </row>
    <row r="97" spans="1:30" ht="12.75" customHeight="1">
      <c r="A97" s="4210"/>
      <c r="B97" s="4208"/>
      <c r="C97" s="4287"/>
      <c r="D97" s="4287"/>
      <c r="E97" s="4287"/>
      <c r="F97" s="4208"/>
      <c r="G97" s="4210"/>
      <c r="H97" s="4208"/>
      <c r="I97" s="4288" t="str">
        <f>IF(ISERROR(VLOOKUP($A97,'[3]Table GL Code'!$A$1:$B$1215,2,0)), "", VLOOKUP($A97,'[3]Table GL Code'!$A$1:$B$1215,2,0))</f>
        <v/>
      </c>
      <c r="J97" s="4288"/>
      <c r="K97" s="4288"/>
      <c r="L97" s="4288"/>
      <c r="M97" s="4288"/>
      <c r="N97" s="4288"/>
      <c r="O97" s="4288"/>
      <c r="P97" s="4288"/>
      <c r="Q97" s="4288"/>
      <c r="R97" s="4288"/>
      <c r="S97" s="4288"/>
      <c r="T97" s="4288"/>
      <c r="U97" s="4288"/>
      <c r="V97" s="4288"/>
      <c r="W97" s="4208"/>
      <c r="X97" s="4211"/>
      <c r="Z97" s="4289"/>
      <c r="AA97" s="4289"/>
      <c r="AB97" s="4289"/>
      <c r="AC97" s="4290" t="str">
        <f t="shared" si="4"/>
        <v/>
      </c>
      <c r="AD97" s="4290"/>
    </row>
    <row r="98" spans="1:30" ht="12.75" customHeight="1">
      <c r="A98" s="4210"/>
      <c r="B98" s="4208"/>
      <c r="C98" s="4287"/>
      <c r="D98" s="4287"/>
      <c r="E98" s="4287"/>
      <c r="F98" s="4208"/>
      <c r="G98" s="4210"/>
      <c r="H98" s="4208"/>
      <c r="I98" s="4288" t="str">
        <f>IF(ISERROR(VLOOKUP($A98,'[3]Table GL Code'!$A$1:$B$1215,2,0)), "", VLOOKUP($A98,'[3]Table GL Code'!$A$1:$B$1215,2,0))</f>
        <v/>
      </c>
      <c r="J98" s="4288"/>
      <c r="K98" s="4288"/>
      <c r="L98" s="4288"/>
      <c r="M98" s="4288"/>
      <c r="N98" s="4288"/>
      <c r="O98" s="4288"/>
      <c r="P98" s="4288"/>
      <c r="Q98" s="4288"/>
      <c r="R98" s="4288"/>
      <c r="S98" s="4288"/>
      <c r="T98" s="4288"/>
      <c r="U98" s="4288"/>
      <c r="V98" s="4288"/>
      <c r="W98" s="4208"/>
      <c r="X98" s="4211"/>
      <c r="Z98" s="4289"/>
      <c r="AA98" s="4289"/>
      <c r="AB98" s="4289"/>
      <c r="AC98" s="4290" t="str">
        <f t="shared" si="4"/>
        <v/>
      </c>
      <c r="AD98" s="4290"/>
    </row>
    <row r="99" spans="1:30" ht="12.75" customHeight="1">
      <c r="A99" s="4210"/>
      <c r="B99" s="4208"/>
      <c r="C99" s="4287"/>
      <c r="D99" s="4287"/>
      <c r="E99" s="4287"/>
      <c r="F99" s="4208"/>
      <c r="G99" s="4210"/>
      <c r="H99" s="4208"/>
      <c r="I99" s="4288" t="str">
        <f>IF(ISERROR(VLOOKUP($A99,'[3]Table GL Code'!$A$1:$B$1215,2,0)), "", VLOOKUP($A99,'[3]Table GL Code'!$A$1:$B$1215,2,0))</f>
        <v/>
      </c>
      <c r="J99" s="4288"/>
      <c r="K99" s="4288"/>
      <c r="L99" s="4288"/>
      <c r="M99" s="4288"/>
      <c r="N99" s="4288"/>
      <c r="O99" s="4288"/>
      <c r="P99" s="4288"/>
      <c r="Q99" s="4288"/>
      <c r="R99" s="4288"/>
      <c r="S99" s="4288"/>
      <c r="T99" s="4288"/>
      <c r="U99" s="4288"/>
      <c r="V99" s="4288"/>
      <c r="W99" s="4208"/>
      <c r="X99" s="4211"/>
      <c r="Z99" s="4289"/>
      <c r="AA99" s="4289"/>
      <c r="AB99" s="4289"/>
      <c r="AC99" s="4290" t="str">
        <f t="shared" si="4"/>
        <v/>
      </c>
      <c r="AD99" s="4290"/>
    </row>
    <row r="100" spans="1:30" ht="12.75" customHeight="1">
      <c r="A100" s="4210"/>
      <c r="B100" s="4208"/>
      <c r="C100" s="4287"/>
      <c r="D100" s="4287"/>
      <c r="E100" s="4287"/>
      <c r="F100" s="4208"/>
      <c r="G100" s="4210"/>
      <c r="H100" s="4208"/>
      <c r="I100" s="4288" t="str">
        <f>IF(ISERROR(VLOOKUP($A100,'[3]Table GL Code'!$A$1:$B$1215,2,0)), "", VLOOKUP($A100,'[3]Table GL Code'!$A$1:$B$1215,2,0))</f>
        <v/>
      </c>
      <c r="J100" s="4288"/>
      <c r="K100" s="4288"/>
      <c r="L100" s="4288"/>
      <c r="M100" s="4288"/>
      <c r="N100" s="4288"/>
      <c r="O100" s="4288"/>
      <c r="P100" s="4288"/>
      <c r="Q100" s="4288"/>
      <c r="R100" s="4288"/>
      <c r="S100" s="4288"/>
      <c r="T100" s="4288"/>
      <c r="U100" s="4288"/>
      <c r="V100" s="4288"/>
      <c r="W100" s="4208"/>
      <c r="X100" s="4211"/>
      <c r="Z100" s="4289"/>
      <c r="AA100" s="4289"/>
      <c r="AB100" s="4289"/>
      <c r="AC100" s="4290" t="str">
        <f t="shared" si="4"/>
        <v/>
      </c>
      <c r="AD100" s="4290"/>
    </row>
    <row r="101" spans="1:30" ht="12.75" customHeight="1">
      <c r="A101" s="4210"/>
      <c r="B101" s="4208"/>
      <c r="C101" s="4287"/>
      <c r="D101" s="4287"/>
      <c r="E101" s="4287"/>
      <c r="F101" s="4208"/>
      <c r="G101" s="4210"/>
      <c r="H101" s="4208"/>
      <c r="I101" s="4288" t="str">
        <f>IF(ISERROR(VLOOKUP($A101,'[3]Table GL Code'!$A$1:$B$1215,2,0)), "", VLOOKUP($A101,'[3]Table GL Code'!$A$1:$B$1215,2,0))</f>
        <v/>
      </c>
      <c r="J101" s="4288"/>
      <c r="K101" s="4288"/>
      <c r="L101" s="4288"/>
      <c r="M101" s="4288"/>
      <c r="N101" s="4288"/>
      <c r="O101" s="4288"/>
      <c r="P101" s="4288"/>
      <c r="Q101" s="4288"/>
      <c r="R101" s="4288"/>
      <c r="S101" s="4288"/>
      <c r="T101" s="4288"/>
      <c r="U101" s="4288"/>
      <c r="V101" s="4288"/>
      <c r="W101" s="4208"/>
      <c r="X101" s="4211"/>
      <c r="Z101" s="4289"/>
      <c r="AA101" s="4289"/>
      <c r="AB101" s="4289"/>
      <c r="AC101" s="4290" t="str">
        <f t="shared" si="4"/>
        <v/>
      </c>
      <c r="AD101" s="4290"/>
    </row>
    <row r="102" spans="1:30" ht="12.75" customHeight="1">
      <c r="A102" s="4210"/>
      <c r="B102" s="4208"/>
      <c r="C102" s="4287"/>
      <c r="D102" s="4287"/>
      <c r="E102" s="4287"/>
      <c r="F102" s="4208"/>
      <c r="G102" s="4210"/>
      <c r="H102" s="4208"/>
      <c r="I102" s="4288" t="str">
        <f>IF(ISERROR(VLOOKUP($A102,'[3]Table GL Code'!$A$1:$B$1215,2,0)), "", VLOOKUP($A102,'[3]Table GL Code'!$A$1:$B$1215,2,0))</f>
        <v/>
      </c>
      <c r="J102" s="4288"/>
      <c r="K102" s="4288"/>
      <c r="L102" s="4288"/>
      <c r="M102" s="4288"/>
      <c r="N102" s="4288"/>
      <c r="O102" s="4288"/>
      <c r="P102" s="4288"/>
      <c r="Q102" s="4288"/>
      <c r="R102" s="4288"/>
      <c r="S102" s="4288"/>
      <c r="T102" s="4288"/>
      <c r="U102" s="4288"/>
      <c r="V102" s="4288"/>
      <c r="W102" s="4208"/>
      <c r="X102" s="4211"/>
      <c r="Z102" s="4289"/>
      <c r="AA102" s="4289"/>
      <c r="AB102" s="4289"/>
      <c r="AC102" s="4290" t="str">
        <f t="shared" si="4"/>
        <v/>
      </c>
      <c r="AD102" s="4290"/>
    </row>
    <row r="103" spans="1:30" ht="12.75" customHeight="1">
      <c r="A103" s="4210"/>
      <c r="B103" s="4208"/>
      <c r="C103" s="4287"/>
      <c r="D103" s="4287"/>
      <c r="E103" s="4287"/>
      <c r="F103" s="4208"/>
      <c r="G103" s="4210"/>
      <c r="H103" s="4208"/>
      <c r="I103" s="4288" t="str">
        <f>IF(ISERROR(VLOOKUP($A103,'[3]Table GL Code'!$A$1:$B$1215,2,0)), "", VLOOKUP($A103,'[3]Table GL Code'!$A$1:$B$1215,2,0))</f>
        <v/>
      </c>
      <c r="J103" s="4288"/>
      <c r="K103" s="4288"/>
      <c r="L103" s="4288"/>
      <c r="M103" s="4288"/>
      <c r="N103" s="4288"/>
      <c r="O103" s="4288"/>
      <c r="P103" s="4288"/>
      <c r="Q103" s="4288"/>
      <c r="R103" s="4288"/>
      <c r="S103" s="4288"/>
      <c r="T103" s="4288"/>
      <c r="U103" s="4288"/>
      <c r="V103" s="4288"/>
      <c r="W103" s="4208"/>
      <c r="X103" s="4211"/>
      <c r="Z103" s="4289"/>
      <c r="AA103" s="4289"/>
      <c r="AB103" s="4289"/>
      <c r="AC103" s="4290" t="str">
        <f t="shared" si="4"/>
        <v/>
      </c>
      <c r="AD103" s="4290"/>
    </row>
    <row r="104" spans="1:30" ht="12.75" customHeight="1">
      <c r="A104" s="4210"/>
      <c r="B104" s="4208"/>
      <c r="C104" s="4287"/>
      <c r="D104" s="4287"/>
      <c r="E104" s="4287"/>
      <c r="F104" s="4208"/>
      <c r="G104" s="4210"/>
      <c r="H104" s="4208"/>
      <c r="I104" s="4288" t="str">
        <f>IF(ISERROR(VLOOKUP($A104,'[3]Table GL Code'!$A$1:$B$1215,2,0)), "", VLOOKUP($A104,'[3]Table GL Code'!$A$1:$B$1215,2,0))</f>
        <v/>
      </c>
      <c r="J104" s="4288"/>
      <c r="K104" s="4288"/>
      <c r="L104" s="4288"/>
      <c r="M104" s="4288"/>
      <c r="N104" s="4288"/>
      <c r="O104" s="4288"/>
      <c r="P104" s="4288"/>
      <c r="Q104" s="4288"/>
      <c r="R104" s="4288"/>
      <c r="S104" s="4288"/>
      <c r="T104" s="4288"/>
      <c r="U104" s="4288"/>
      <c r="V104" s="4288"/>
      <c r="W104" s="4208"/>
      <c r="X104" s="4211"/>
      <c r="Z104" s="4289"/>
      <c r="AA104" s="4289"/>
      <c r="AB104" s="4289"/>
      <c r="AC104" s="4290" t="str">
        <f t="shared" si="4"/>
        <v/>
      </c>
      <c r="AD104" s="4290"/>
    </row>
    <row r="105" spans="1:30" ht="12.75" customHeight="1">
      <c r="A105" s="4210"/>
      <c r="B105" s="4208"/>
      <c r="C105" s="4287"/>
      <c r="D105" s="4287"/>
      <c r="E105" s="4287"/>
      <c r="F105" s="4208"/>
      <c r="G105" s="4210"/>
      <c r="H105" s="4208"/>
      <c r="I105" s="4288" t="str">
        <f>IF(ISERROR(VLOOKUP($A105,'[3]Table GL Code'!$A$1:$B$1215,2,0)), "", VLOOKUP($A105,'[3]Table GL Code'!$A$1:$B$1215,2,0))</f>
        <v/>
      </c>
      <c r="J105" s="4288"/>
      <c r="K105" s="4288"/>
      <c r="L105" s="4288"/>
      <c r="M105" s="4288"/>
      <c r="N105" s="4288"/>
      <c r="O105" s="4288"/>
      <c r="P105" s="4288"/>
      <c r="Q105" s="4288"/>
      <c r="R105" s="4288"/>
      <c r="S105" s="4288"/>
      <c r="T105" s="4288"/>
      <c r="U105" s="4288"/>
      <c r="V105" s="4288"/>
      <c r="W105" s="4208"/>
      <c r="X105" s="4211"/>
      <c r="Z105" s="4289"/>
      <c r="AA105" s="4289"/>
      <c r="AB105" s="4289"/>
      <c r="AC105" s="4290" t="str">
        <f t="shared" si="4"/>
        <v/>
      </c>
      <c r="AD105" s="4290"/>
    </row>
    <row r="106" spans="1:30" ht="12.75" customHeight="1">
      <c r="A106" s="4210"/>
      <c r="B106" s="4208"/>
      <c r="C106" s="4287"/>
      <c r="D106" s="4287"/>
      <c r="E106" s="4287"/>
      <c r="F106" s="4208"/>
      <c r="G106" s="4210"/>
      <c r="H106" s="4208"/>
      <c r="I106" s="4288" t="str">
        <f>IF(ISERROR(VLOOKUP($A106,'[3]Table GL Code'!$A$1:$B$1215,2,0)), "", VLOOKUP($A106,'[3]Table GL Code'!$A$1:$B$1215,2,0))</f>
        <v/>
      </c>
      <c r="J106" s="4288"/>
      <c r="K106" s="4288"/>
      <c r="L106" s="4288"/>
      <c r="M106" s="4288"/>
      <c r="N106" s="4288"/>
      <c r="O106" s="4288"/>
      <c r="P106" s="4288"/>
      <c r="Q106" s="4288"/>
      <c r="R106" s="4288"/>
      <c r="S106" s="4288"/>
      <c r="T106" s="4288"/>
      <c r="U106" s="4288"/>
      <c r="V106" s="4288"/>
      <c r="W106" s="4208"/>
      <c r="X106" s="4211"/>
      <c r="Z106" s="4289"/>
      <c r="AA106" s="4289"/>
      <c r="AB106" s="4289"/>
      <c r="AC106" s="4290" t="str">
        <f t="shared" si="4"/>
        <v/>
      </c>
      <c r="AD106" s="4290"/>
    </row>
    <row r="107" spans="1:30" ht="12.75" customHeight="1">
      <c r="A107" s="4210"/>
      <c r="B107" s="4208"/>
      <c r="C107" s="4287"/>
      <c r="D107" s="4287"/>
      <c r="E107" s="4287"/>
      <c r="F107" s="4208"/>
      <c r="G107" s="4210"/>
      <c r="H107" s="4208"/>
      <c r="I107" s="4288" t="str">
        <f>IF(ISERROR(VLOOKUP($A107,'[3]Table GL Code'!$A$1:$B$1215,2,0)), "", VLOOKUP($A107,'[3]Table GL Code'!$A$1:$B$1215,2,0))</f>
        <v/>
      </c>
      <c r="J107" s="4288"/>
      <c r="K107" s="4288"/>
      <c r="L107" s="4288"/>
      <c r="M107" s="4288"/>
      <c r="N107" s="4288"/>
      <c r="O107" s="4288"/>
      <c r="P107" s="4288"/>
      <c r="Q107" s="4288"/>
      <c r="R107" s="4288"/>
      <c r="S107" s="4288"/>
      <c r="T107" s="4288"/>
      <c r="U107" s="4288"/>
      <c r="V107" s="4288"/>
      <c r="W107" s="4208"/>
      <c r="X107" s="4211"/>
      <c r="Z107" s="4289"/>
      <c r="AA107" s="4289"/>
      <c r="AB107" s="4289"/>
      <c r="AC107" s="4290" t="str">
        <f t="shared" ref="AC107:AC120" si="5">IF(OR(RIGHT($AA$129,1)="5",RIGHT($AA$129,1)="8"),IF(ISERROR(VLOOKUP(--LEFT($A107,3),CUFormsList,2,0)),"",VLOOKUP(--LEFT($A107,3),CUFormsList,2,0)),IF(AND(LEFT($A107,3)="789",OR($AA$129="50",$AA$129="60",$AA$129="71",$AA$129="73",$AA$129="76")),"Form 2",IF(AND(LEFT($A107,3)="278",OR($AA$129="50",$AA$129="60")),"Form 24 &amp; P5",IF(ISERROR(VLOOKUP(--LEFT($A107,3),FormsList,2,0)),"",IF(AND(VLOOKUP(--LEFT($A107,3),FormsList,2,0)="Form 24",$AA$129&lt;&gt;"50",$AA$129&lt;&gt;"60"),"",IF($AA$129="74",VLOOKUP(--LEFT($A107,3),FormsList,3,0),VLOOKUP(--LEFT($A107,3),FormsList,2,0)))))))</f>
        <v/>
      </c>
      <c r="AD107" s="4290"/>
    </row>
    <row r="108" spans="1:30" ht="12.75" customHeight="1">
      <c r="A108" s="4210"/>
      <c r="B108" s="4208"/>
      <c r="C108" s="4287"/>
      <c r="D108" s="4287"/>
      <c r="E108" s="4287"/>
      <c r="F108" s="4208"/>
      <c r="G108" s="4210"/>
      <c r="H108" s="4208"/>
      <c r="I108" s="4288" t="str">
        <f>IF(ISERROR(VLOOKUP($A108,'[3]Table GL Code'!$A$1:$B$1215,2,0)), "", VLOOKUP($A108,'[3]Table GL Code'!$A$1:$B$1215,2,0))</f>
        <v/>
      </c>
      <c r="J108" s="4288"/>
      <c r="K108" s="4288"/>
      <c r="L108" s="4288"/>
      <c r="M108" s="4288"/>
      <c r="N108" s="4288"/>
      <c r="O108" s="4288"/>
      <c r="P108" s="4288"/>
      <c r="Q108" s="4288"/>
      <c r="R108" s="4288"/>
      <c r="S108" s="4288"/>
      <c r="T108" s="4288"/>
      <c r="U108" s="4288"/>
      <c r="V108" s="4288"/>
      <c r="W108" s="4208"/>
      <c r="X108" s="4211"/>
      <c r="Z108" s="4289"/>
      <c r="AA108" s="4289"/>
      <c r="AB108" s="4289"/>
      <c r="AC108" s="4290" t="str">
        <f t="shared" si="5"/>
        <v/>
      </c>
      <c r="AD108" s="4290"/>
    </row>
    <row r="109" spans="1:30" ht="12.75" customHeight="1">
      <c r="A109" s="4210"/>
      <c r="B109" s="4208"/>
      <c r="C109" s="4287"/>
      <c r="D109" s="4287"/>
      <c r="E109" s="4287"/>
      <c r="F109" s="4208"/>
      <c r="G109" s="4210"/>
      <c r="H109" s="4208"/>
      <c r="I109" s="4288" t="str">
        <f>IF(ISERROR(VLOOKUP($A109,'[3]Table GL Code'!$A$1:$B$1215,2,0)), "", VLOOKUP($A109,'[3]Table GL Code'!$A$1:$B$1215,2,0))</f>
        <v/>
      </c>
      <c r="J109" s="4288"/>
      <c r="K109" s="4288"/>
      <c r="L109" s="4288"/>
      <c r="M109" s="4288"/>
      <c r="N109" s="4288"/>
      <c r="O109" s="4288"/>
      <c r="P109" s="4288"/>
      <c r="Q109" s="4288"/>
      <c r="R109" s="4288"/>
      <c r="S109" s="4288"/>
      <c r="T109" s="4288"/>
      <c r="U109" s="4288"/>
      <c r="V109" s="4288"/>
      <c r="W109" s="4208"/>
      <c r="X109" s="4211"/>
      <c r="Z109" s="4289"/>
      <c r="AA109" s="4289"/>
      <c r="AB109" s="4289"/>
      <c r="AC109" s="4290" t="str">
        <f t="shared" si="5"/>
        <v/>
      </c>
      <c r="AD109" s="4290"/>
    </row>
    <row r="110" spans="1:30" ht="12.75" customHeight="1">
      <c r="A110" s="4210"/>
      <c r="B110" s="4208"/>
      <c r="C110" s="4287"/>
      <c r="D110" s="4287"/>
      <c r="E110" s="4287"/>
      <c r="F110" s="4208"/>
      <c r="G110" s="4210"/>
      <c r="H110" s="4208"/>
      <c r="I110" s="4288" t="str">
        <f>IF(ISERROR(VLOOKUP($A110,'[3]Table GL Code'!$A$1:$B$1215,2,0)), "", VLOOKUP($A110,'[3]Table GL Code'!$A$1:$B$1215,2,0))</f>
        <v/>
      </c>
      <c r="J110" s="4288"/>
      <c r="K110" s="4288"/>
      <c r="L110" s="4288"/>
      <c r="M110" s="4288"/>
      <c r="N110" s="4288"/>
      <c r="O110" s="4288"/>
      <c r="P110" s="4288"/>
      <c r="Q110" s="4288"/>
      <c r="R110" s="4288"/>
      <c r="S110" s="4288"/>
      <c r="T110" s="4288"/>
      <c r="U110" s="4288"/>
      <c r="V110" s="4288"/>
      <c r="W110" s="4208"/>
      <c r="X110" s="4211"/>
      <c r="Z110" s="4289"/>
      <c r="AA110" s="4289"/>
      <c r="AB110" s="4289"/>
      <c r="AC110" s="4290" t="str">
        <f t="shared" si="5"/>
        <v/>
      </c>
      <c r="AD110" s="4290"/>
    </row>
    <row r="111" spans="1:30" ht="12.75" customHeight="1">
      <c r="A111" s="4210"/>
      <c r="B111" s="4208"/>
      <c r="C111" s="4287"/>
      <c r="D111" s="4287"/>
      <c r="E111" s="4287"/>
      <c r="F111" s="4208"/>
      <c r="G111" s="4210"/>
      <c r="H111" s="4208"/>
      <c r="I111" s="4288" t="str">
        <f>IF(ISERROR(VLOOKUP($A111,'[3]Table GL Code'!$A$1:$B$1215,2,0)), "", VLOOKUP($A111,'[3]Table GL Code'!$A$1:$B$1215,2,0))</f>
        <v/>
      </c>
      <c r="J111" s="4288"/>
      <c r="K111" s="4288"/>
      <c r="L111" s="4288"/>
      <c r="M111" s="4288"/>
      <c r="N111" s="4288"/>
      <c r="O111" s="4288"/>
      <c r="P111" s="4288"/>
      <c r="Q111" s="4288"/>
      <c r="R111" s="4288"/>
      <c r="S111" s="4288"/>
      <c r="T111" s="4288"/>
      <c r="U111" s="4288"/>
      <c r="V111" s="4288"/>
      <c r="W111" s="4208"/>
      <c r="X111" s="4211"/>
      <c r="Z111" s="4289"/>
      <c r="AA111" s="4289"/>
      <c r="AB111" s="4289"/>
      <c r="AC111" s="4290" t="str">
        <f t="shared" si="5"/>
        <v/>
      </c>
      <c r="AD111" s="4290"/>
    </row>
    <row r="112" spans="1:30" ht="12.75" customHeight="1">
      <c r="A112" s="4210"/>
      <c r="B112" s="4208"/>
      <c r="C112" s="4287"/>
      <c r="D112" s="4287"/>
      <c r="E112" s="4287"/>
      <c r="F112" s="4208"/>
      <c r="G112" s="4210"/>
      <c r="H112" s="4208"/>
      <c r="I112" s="4288" t="str">
        <f>IF(ISERROR(VLOOKUP($A112,'[3]Table GL Code'!$A$1:$B$1215,2,0)), "", VLOOKUP($A112,'[3]Table GL Code'!$A$1:$B$1215,2,0))</f>
        <v/>
      </c>
      <c r="J112" s="4288"/>
      <c r="K112" s="4288"/>
      <c r="L112" s="4288"/>
      <c r="M112" s="4288"/>
      <c r="N112" s="4288"/>
      <c r="O112" s="4288"/>
      <c r="P112" s="4288"/>
      <c r="Q112" s="4288"/>
      <c r="R112" s="4288"/>
      <c r="S112" s="4288"/>
      <c r="T112" s="4288"/>
      <c r="U112" s="4288"/>
      <c r="V112" s="4288"/>
      <c r="W112" s="4208"/>
      <c r="X112" s="4211"/>
      <c r="Z112" s="4289"/>
      <c r="AA112" s="4289"/>
      <c r="AB112" s="4289"/>
      <c r="AC112" s="4290" t="str">
        <f t="shared" si="5"/>
        <v/>
      </c>
      <c r="AD112" s="4290"/>
    </row>
    <row r="113" spans="1:48" ht="12.75" customHeight="1">
      <c r="A113" s="4210"/>
      <c r="B113" s="4208"/>
      <c r="C113" s="4287"/>
      <c r="D113" s="4287"/>
      <c r="E113" s="4287"/>
      <c r="F113" s="4208"/>
      <c r="G113" s="4210"/>
      <c r="H113" s="4208"/>
      <c r="I113" s="4288" t="str">
        <f>IF(ISERROR(VLOOKUP($A113,'[3]Table GL Code'!$A$1:$B$1215,2,0)), "", VLOOKUP($A113,'[3]Table GL Code'!$A$1:$B$1215,2,0))</f>
        <v/>
      </c>
      <c r="J113" s="4288"/>
      <c r="K113" s="4288"/>
      <c r="L113" s="4288"/>
      <c r="M113" s="4288"/>
      <c r="N113" s="4288"/>
      <c r="O113" s="4288"/>
      <c r="P113" s="4288"/>
      <c r="Q113" s="4288"/>
      <c r="R113" s="4288"/>
      <c r="S113" s="4288"/>
      <c r="T113" s="4288"/>
      <c r="U113" s="4288"/>
      <c r="V113" s="4288"/>
      <c r="W113" s="4208"/>
      <c r="X113" s="4211"/>
      <c r="Z113" s="4289"/>
      <c r="AA113" s="4289"/>
      <c r="AB113" s="4289"/>
      <c r="AC113" s="4290" t="str">
        <f t="shared" si="5"/>
        <v/>
      </c>
      <c r="AD113" s="4290"/>
    </row>
    <row r="114" spans="1:48" ht="12.75" customHeight="1">
      <c r="A114" s="4210"/>
      <c r="B114" s="4208"/>
      <c r="C114" s="4287"/>
      <c r="D114" s="4287"/>
      <c r="E114" s="4287"/>
      <c r="F114" s="4208"/>
      <c r="G114" s="4210"/>
      <c r="H114" s="4208"/>
      <c r="I114" s="4288" t="str">
        <f>IF(ISERROR(VLOOKUP($A114,'[3]Table GL Code'!$A$1:$B$1215,2,0)), "", VLOOKUP($A114,'[3]Table GL Code'!$A$1:$B$1215,2,0))</f>
        <v/>
      </c>
      <c r="J114" s="4288"/>
      <c r="K114" s="4288"/>
      <c r="L114" s="4288"/>
      <c r="M114" s="4288"/>
      <c r="N114" s="4288"/>
      <c r="O114" s="4288"/>
      <c r="P114" s="4288"/>
      <c r="Q114" s="4288"/>
      <c r="R114" s="4288"/>
      <c r="S114" s="4288"/>
      <c r="T114" s="4288"/>
      <c r="U114" s="4288"/>
      <c r="V114" s="4288"/>
      <c r="W114" s="4208"/>
      <c r="X114" s="4211"/>
      <c r="Z114" s="4289"/>
      <c r="AA114" s="4289"/>
      <c r="AB114" s="4289"/>
      <c r="AC114" s="4290" t="str">
        <f t="shared" si="5"/>
        <v/>
      </c>
      <c r="AD114" s="4290"/>
    </row>
    <row r="115" spans="1:48" ht="12.75" customHeight="1">
      <c r="A115" s="4210"/>
      <c r="B115" s="4208"/>
      <c r="C115" s="4287"/>
      <c r="D115" s="4287"/>
      <c r="E115" s="4287"/>
      <c r="F115" s="4208"/>
      <c r="G115" s="4210"/>
      <c r="H115" s="4208"/>
      <c r="I115" s="4288" t="str">
        <f>IF(ISERROR(VLOOKUP($A115,'[3]Table GL Code'!$A$1:$B$1215,2,0)), "", VLOOKUP($A115,'[3]Table GL Code'!$A$1:$B$1215,2,0))</f>
        <v/>
      </c>
      <c r="J115" s="4288"/>
      <c r="K115" s="4288"/>
      <c r="L115" s="4288"/>
      <c r="M115" s="4288"/>
      <c r="N115" s="4288"/>
      <c r="O115" s="4288"/>
      <c r="P115" s="4288"/>
      <c r="Q115" s="4288"/>
      <c r="R115" s="4288"/>
      <c r="S115" s="4288"/>
      <c r="T115" s="4288"/>
      <c r="U115" s="4288"/>
      <c r="V115" s="4288"/>
      <c r="W115" s="4208"/>
      <c r="X115" s="4211"/>
      <c r="Z115" s="4289"/>
      <c r="AA115" s="4289"/>
      <c r="AB115" s="4289"/>
      <c r="AC115" s="4290" t="str">
        <f t="shared" si="5"/>
        <v/>
      </c>
      <c r="AD115" s="4290"/>
    </row>
    <row r="116" spans="1:48" ht="12.75" customHeight="1">
      <c r="A116" s="4210"/>
      <c r="B116" s="4208"/>
      <c r="C116" s="4287"/>
      <c r="D116" s="4287"/>
      <c r="E116" s="4287"/>
      <c r="F116" s="4208"/>
      <c r="G116" s="4210"/>
      <c r="H116" s="4208"/>
      <c r="I116" s="4288" t="str">
        <f>IF(ISERROR(VLOOKUP($A116,'[3]Table GL Code'!$A$1:$B$1215,2,0)), "", VLOOKUP($A116,'[3]Table GL Code'!$A$1:$B$1215,2,0))</f>
        <v/>
      </c>
      <c r="J116" s="4288"/>
      <c r="K116" s="4288"/>
      <c r="L116" s="4288"/>
      <c r="M116" s="4288"/>
      <c r="N116" s="4288"/>
      <c r="O116" s="4288"/>
      <c r="P116" s="4288"/>
      <c r="Q116" s="4288"/>
      <c r="R116" s="4288"/>
      <c r="S116" s="4288"/>
      <c r="T116" s="4288"/>
      <c r="U116" s="4288"/>
      <c r="V116" s="4288"/>
      <c r="W116" s="4208"/>
      <c r="X116" s="4211"/>
      <c r="Z116" s="4289"/>
      <c r="AA116" s="4289"/>
      <c r="AB116" s="4289"/>
      <c r="AC116" s="4290" t="str">
        <f t="shared" si="5"/>
        <v/>
      </c>
      <c r="AD116" s="4290"/>
    </row>
    <row r="117" spans="1:48" ht="12.75" customHeight="1">
      <c r="A117" s="4210"/>
      <c r="B117" s="4208"/>
      <c r="C117" s="4287"/>
      <c r="D117" s="4287"/>
      <c r="E117" s="4287"/>
      <c r="F117" s="4208"/>
      <c r="G117" s="4210"/>
      <c r="H117" s="4208"/>
      <c r="I117" s="4288" t="str">
        <f>IF(ISERROR(VLOOKUP($A117,'[3]Table GL Code'!$A$1:$B$1215,2,0)), "", VLOOKUP($A117,'[3]Table GL Code'!$A$1:$B$1215,2,0))</f>
        <v/>
      </c>
      <c r="J117" s="4288"/>
      <c r="K117" s="4288"/>
      <c r="L117" s="4288"/>
      <c r="M117" s="4288"/>
      <c r="N117" s="4288"/>
      <c r="O117" s="4288"/>
      <c r="P117" s="4288"/>
      <c r="Q117" s="4288"/>
      <c r="R117" s="4288"/>
      <c r="S117" s="4288"/>
      <c r="T117" s="4288"/>
      <c r="U117" s="4288"/>
      <c r="V117" s="4288"/>
      <c r="W117" s="4208"/>
      <c r="X117" s="4211"/>
      <c r="Z117" s="4289"/>
      <c r="AA117" s="4289"/>
      <c r="AB117" s="4289"/>
      <c r="AC117" s="4290" t="str">
        <f t="shared" si="5"/>
        <v/>
      </c>
      <c r="AD117" s="4290"/>
    </row>
    <row r="118" spans="1:48" ht="12.75" customHeight="1">
      <c r="A118" s="4210"/>
      <c r="B118" s="4208"/>
      <c r="C118" s="4287"/>
      <c r="D118" s="4287"/>
      <c r="E118" s="4287"/>
      <c r="F118" s="4208"/>
      <c r="G118" s="4210"/>
      <c r="H118" s="4208"/>
      <c r="I118" s="4288" t="str">
        <f>IF(ISERROR(VLOOKUP($A118,'[3]Table GL Code'!$A$1:$B$1215,2,0)), "", VLOOKUP($A118,'[3]Table GL Code'!$A$1:$B$1215,2,0))</f>
        <v/>
      </c>
      <c r="J118" s="4288"/>
      <c r="K118" s="4288"/>
      <c r="L118" s="4288"/>
      <c r="M118" s="4288"/>
      <c r="N118" s="4288"/>
      <c r="O118" s="4288"/>
      <c r="P118" s="4288"/>
      <c r="Q118" s="4288"/>
      <c r="R118" s="4288"/>
      <c r="S118" s="4288"/>
      <c r="T118" s="4288"/>
      <c r="U118" s="4288"/>
      <c r="V118" s="4288"/>
      <c r="W118" s="4208"/>
      <c r="X118" s="4211"/>
      <c r="Z118" s="4289"/>
      <c r="AA118" s="4289"/>
      <c r="AB118" s="4289"/>
      <c r="AC118" s="4290" t="str">
        <f t="shared" si="5"/>
        <v/>
      </c>
      <c r="AD118" s="4290"/>
    </row>
    <row r="119" spans="1:48" ht="12.75" customHeight="1">
      <c r="A119" s="4210"/>
      <c r="B119" s="4208"/>
      <c r="C119" s="4287"/>
      <c r="D119" s="4287"/>
      <c r="E119" s="4287"/>
      <c r="F119" s="4208"/>
      <c r="G119" s="4210"/>
      <c r="H119" s="4208"/>
      <c r="I119" s="4288" t="str">
        <f>IF(ISERROR(VLOOKUP($A119,'[3]Table GL Code'!$A$1:$B$1215,2,0)), "", VLOOKUP($A119,'[3]Table GL Code'!$A$1:$B$1215,2,0))</f>
        <v/>
      </c>
      <c r="J119" s="4288"/>
      <c r="K119" s="4288"/>
      <c r="L119" s="4288"/>
      <c r="M119" s="4288"/>
      <c r="N119" s="4288"/>
      <c r="O119" s="4288"/>
      <c r="P119" s="4288"/>
      <c r="Q119" s="4288"/>
      <c r="R119" s="4288"/>
      <c r="S119" s="4288"/>
      <c r="T119" s="4288"/>
      <c r="U119" s="4288"/>
      <c r="V119" s="4288"/>
      <c r="W119" s="4208"/>
      <c r="X119" s="4211"/>
      <c r="Z119" s="4289"/>
      <c r="AA119" s="4289"/>
      <c r="AB119" s="4289"/>
      <c r="AC119" s="4290" t="str">
        <f t="shared" si="5"/>
        <v/>
      </c>
      <c r="AD119" s="4290"/>
    </row>
    <row r="120" spans="1:48" ht="12.75" customHeight="1" thickBot="1">
      <c r="A120" s="4210"/>
      <c r="B120" s="4208"/>
      <c r="C120" s="4287"/>
      <c r="D120" s="4287"/>
      <c r="E120" s="4287"/>
      <c r="F120" s="4208"/>
      <c r="G120" s="4210"/>
      <c r="H120" s="4208"/>
      <c r="I120" s="4288" t="str">
        <f>IF(ISERROR(VLOOKUP($A120,'[3]Table GL Code'!$A$1:$B$1215,2,0)), "", VLOOKUP($A120,'[3]Table GL Code'!$A$1:$B$1215,2,0))</f>
        <v/>
      </c>
      <c r="J120" s="4288"/>
      <c r="K120" s="4288"/>
      <c r="L120" s="4288"/>
      <c r="M120" s="4288"/>
      <c r="N120" s="4288"/>
      <c r="O120" s="4288"/>
      <c r="P120" s="4288"/>
      <c r="Q120" s="4288"/>
      <c r="R120" s="4288"/>
      <c r="S120" s="4288"/>
      <c r="T120" s="4288"/>
      <c r="U120" s="4288"/>
      <c r="V120" s="4288"/>
      <c r="W120" s="4208"/>
      <c r="X120" s="4211"/>
      <c r="Z120" s="4289"/>
      <c r="AA120" s="4289"/>
      <c r="AB120" s="4289"/>
      <c r="AC120" s="4290" t="str">
        <f t="shared" si="5"/>
        <v/>
      </c>
      <c r="AD120" s="4290"/>
      <c r="AE120" s="4196" t="str">
        <f>IF(ISERROR(VLOOKUP(--LEFT(A120,3),FormsList,2,0)), "",VLOOKUP(--LEFT(A120,3),FormsList,2,0))</f>
        <v/>
      </c>
      <c r="AU120" s="4196" t="str">
        <f>IF(OR($AA$129="71",$AA$129="73",$AA$129="74",$AA$129="76",$AA$129="79"),"",IF(ISERROR(--LEFT($A120,3)),"",IF(OR(--LEFT($A120,3)="725",--LEFT($A120,3)="775"),--LEFT($A120,3),IF(ISERROR(VLOOKUP(--LEFT($A120,3),ChangeCA,1,0)),"",VLOOKUP(--LEFT($A120,3),ChangeCA,1,0)))))</f>
        <v/>
      </c>
      <c r="AV120" s="4196" t="str">
        <f>IF(OR($AA$129="71",$AA$129="73",$AA$129="74",$AA$129="76",$AA$129="79"),"",IF(ISERROR(VLOOKUP(--LEFT($A120,3),ChangeLTL,1,0)),"",VLOOKUP(--LEFT($A120,3),ChangeLTL,1,0)))</f>
        <v/>
      </c>
    </row>
    <row r="121" spans="1:48" ht="15" customHeight="1" thickBot="1">
      <c r="X121" s="4212">
        <f>SUM(X11:X120)</f>
        <v>0</v>
      </c>
      <c r="Z121" s="4294">
        <f>SUM(Z11:Z120)</f>
        <v>0</v>
      </c>
      <c r="AA121" s="4294"/>
      <c r="AB121" s="4294"/>
      <c r="AU121" s="4213" t="str">
        <f>IF(COUNTIF($AU$11:$AU$120,"")&lt;14,"ChangeCA","")</f>
        <v/>
      </c>
      <c r="AV121" s="4213" t="str">
        <f>IF(COUNTIF($AV$11:$AV$120,"")&lt;14,"ChangeLTL","")</f>
        <v/>
      </c>
    </row>
    <row r="122" spans="1:48" ht="13.5" thickTop="1">
      <c r="A122" s="4214" t="s">
        <v>4247</v>
      </c>
      <c r="C122" s="4295"/>
      <c r="D122" s="4296"/>
      <c r="E122" s="4296"/>
      <c r="F122" s="4296"/>
      <c r="G122" s="4296"/>
      <c r="H122" s="4296"/>
      <c r="I122" s="4296"/>
      <c r="J122" s="4296"/>
      <c r="K122" s="4296"/>
      <c r="L122" s="4296"/>
    </row>
    <row r="123" spans="1:48">
      <c r="A123" s="4214" t="s">
        <v>4248</v>
      </c>
      <c r="C123" s="4297"/>
      <c r="D123" s="4297"/>
      <c r="E123" s="4297"/>
      <c r="X123" s="4298" t="str">
        <f>IF($X$121=$Z$121,"",IF(ABS($X$121)=ABS($Z$121),"","Debit and credit amounts MUST equal."))</f>
        <v/>
      </c>
      <c r="Y123" s="4298"/>
      <c r="Z123" s="4298"/>
      <c r="AA123" s="4298"/>
      <c r="AB123" s="4298"/>
    </row>
    <row r="124" spans="1:48">
      <c r="A124" s="4214" t="s">
        <v>4249</v>
      </c>
      <c r="C124" s="4210"/>
      <c r="D124" s="4215" t="s">
        <v>4250</v>
      </c>
      <c r="E124" s="4210"/>
    </row>
    <row r="125" spans="1:48" ht="4.5" customHeight="1" thickBot="1">
      <c r="Y125" s="4216"/>
      <c r="Z125" s="4216"/>
      <c r="AA125" s="4216"/>
      <c r="AB125" s="4216"/>
    </row>
    <row r="126" spans="1:48">
      <c r="A126" s="4214" t="s">
        <v>4251</v>
      </c>
      <c r="C126" s="4299"/>
      <c r="D126" s="4300"/>
      <c r="E126" s="4300"/>
      <c r="F126" s="4300"/>
      <c r="G126" s="4300"/>
      <c r="H126" s="4300"/>
      <c r="I126" s="4300"/>
      <c r="J126" s="4300"/>
      <c r="K126" s="4300"/>
      <c r="L126" s="4300"/>
      <c r="M126" s="4300"/>
      <c r="N126" s="4300"/>
      <c r="O126" s="4300"/>
      <c r="P126" s="4300"/>
      <c r="Q126" s="4300"/>
      <c r="R126" s="4300"/>
      <c r="S126" s="4300"/>
      <c r="T126" s="4300"/>
      <c r="U126" s="4300"/>
      <c r="V126" s="4300"/>
      <c r="W126" s="4300"/>
      <c r="X126" s="4301"/>
      <c r="Y126" s="4217"/>
      <c r="Z126" s="4308" t="s">
        <v>110</v>
      </c>
      <c r="AA126" s="4309"/>
      <c r="AB126" s="4309"/>
      <c r="AC126" s="4309"/>
      <c r="AD126" s="4310"/>
    </row>
    <row r="127" spans="1:48" ht="6.75" customHeight="1">
      <c r="C127" s="4302"/>
      <c r="D127" s="4303"/>
      <c r="E127" s="4303"/>
      <c r="F127" s="4303"/>
      <c r="G127" s="4303"/>
      <c r="H127" s="4303"/>
      <c r="I127" s="4303"/>
      <c r="J127" s="4303"/>
      <c r="K127" s="4303"/>
      <c r="L127" s="4303"/>
      <c r="M127" s="4303"/>
      <c r="N127" s="4303"/>
      <c r="O127" s="4303"/>
      <c r="P127" s="4303"/>
      <c r="Q127" s="4303"/>
      <c r="R127" s="4303"/>
      <c r="S127" s="4303"/>
      <c r="T127" s="4303"/>
      <c r="U127" s="4303"/>
      <c r="V127" s="4303"/>
      <c r="W127" s="4303"/>
      <c r="X127" s="4304"/>
      <c r="Y127" s="4216"/>
      <c r="Z127" s="4311" t="s">
        <v>4252</v>
      </c>
      <c r="AA127" s="4312"/>
      <c r="AB127" s="4312"/>
      <c r="AC127" s="4312"/>
      <c r="AD127" s="4313"/>
    </row>
    <row r="128" spans="1:48" ht="9.75" customHeight="1">
      <c r="C128" s="4302"/>
      <c r="D128" s="4303"/>
      <c r="E128" s="4303"/>
      <c r="F128" s="4303"/>
      <c r="G128" s="4303"/>
      <c r="H128" s="4303"/>
      <c r="I128" s="4303"/>
      <c r="J128" s="4303"/>
      <c r="K128" s="4303"/>
      <c r="L128" s="4303"/>
      <c r="M128" s="4303"/>
      <c r="N128" s="4303"/>
      <c r="O128" s="4303"/>
      <c r="P128" s="4303"/>
      <c r="Q128" s="4303"/>
      <c r="R128" s="4303"/>
      <c r="S128" s="4303"/>
      <c r="T128" s="4303"/>
      <c r="U128" s="4303"/>
      <c r="V128" s="4303"/>
      <c r="W128" s="4303"/>
      <c r="X128" s="4304"/>
      <c r="Y128" s="4218"/>
      <c r="Z128" s="4314" t="s">
        <v>112</v>
      </c>
      <c r="AA128" s="4315"/>
      <c r="AB128" s="4315"/>
      <c r="AC128" s="4315"/>
      <c r="AD128" s="4316"/>
    </row>
    <row r="129" spans="1:30" ht="18.75" customHeight="1">
      <c r="B129" s="4207"/>
      <c r="C129" s="4302"/>
      <c r="D129" s="4303"/>
      <c r="E129" s="4303"/>
      <c r="F129" s="4303"/>
      <c r="G129" s="4303"/>
      <c r="H129" s="4303"/>
      <c r="I129" s="4303"/>
      <c r="J129" s="4303"/>
      <c r="K129" s="4303"/>
      <c r="L129" s="4303"/>
      <c r="M129" s="4303"/>
      <c r="N129" s="4303"/>
      <c r="O129" s="4303"/>
      <c r="P129" s="4303"/>
      <c r="Q129" s="4303"/>
      <c r="R129" s="4303"/>
      <c r="S129" s="4303"/>
      <c r="T129" s="4303"/>
      <c r="U129" s="4303"/>
      <c r="V129" s="4303"/>
      <c r="W129" s="4303"/>
      <c r="X129" s="4304"/>
      <c r="Z129" s="4219" t="s">
        <v>113</v>
      </c>
      <c r="AA129" s="4220" t="str">
        <f>MID(AC129,1,2)</f>
        <v/>
      </c>
      <c r="AB129" s="4218" t="s">
        <v>114</v>
      </c>
      <c r="AC129" s="4317" t="str">
        <f>IF(ISERROR(VLOOKUP($F$6,FundsList,2,0)), "", VLOOKUP($F$6,FundsList,2,0))</f>
        <v/>
      </c>
      <c r="AD129" s="4318"/>
    </row>
    <row r="130" spans="1:30" ht="12.75" customHeight="1">
      <c r="C130" s="4302"/>
      <c r="D130" s="4303"/>
      <c r="E130" s="4303"/>
      <c r="F130" s="4303"/>
      <c r="G130" s="4303"/>
      <c r="H130" s="4303"/>
      <c r="I130" s="4303"/>
      <c r="J130" s="4303"/>
      <c r="K130" s="4303"/>
      <c r="L130" s="4303"/>
      <c r="M130" s="4303"/>
      <c r="N130" s="4303"/>
      <c r="O130" s="4303"/>
      <c r="P130" s="4303"/>
      <c r="Q130" s="4303"/>
      <c r="R130" s="4303"/>
      <c r="S130" s="4303"/>
      <c r="T130" s="4303"/>
      <c r="U130" s="4303"/>
      <c r="V130" s="4303"/>
      <c r="W130" s="4303"/>
      <c r="X130" s="4304"/>
      <c r="Y130" s="4199"/>
      <c r="Z130" s="4221"/>
      <c r="AA130" s="4218"/>
      <c r="AB130" s="4217"/>
      <c r="AC130" s="4290"/>
      <c r="AD130" s="4319"/>
    </row>
    <row r="131" spans="1:30">
      <c r="C131" s="4305"/>
      <c r="D131" s="4306"/>
      <c r="E131" s="4306"/>
      <c r="F131" s="4306"/>
      <c r="G131" s="4306"/>
      <c r="H131" s="4306"/>
      <c r="I131" s="4306"/>
      <c r="J131" s="4306"/>
      <c r="K131" s="4306"/>
      <c r="L131" s="4306"/>
      <c r="M131" s="4306"/>
      <c r="N131" s="4306"/>
      <c r="O131" s="4306"/>
      <c r="P131" s="4306"/>
      <c r="Q131" s="4306"/>
      <c r="R131" s="4306"/>
      <c r="S131" s="4306"/>
      <c r="T131" s="4306"/>
      <c r="U131" s="4306"/>
      <c r="V131" s="4306"/>
      <c r="W131" s="4306"/>
      <c r="X131" s="4307"/>
      <c r="Y131" s="4217"/>
      <c r="Z131" s="4314" t="s">
        <v>115</v>
      </c>
      <c r="AA131" s="4315"/>
      <c r="AB131" s="4222"/>
      <c r="AC131" s="4206"/>
      <c r="AD131" s="4223"/>
    </row>
    <row r="132" spans="1:30" ht="15" customHeight="1">
      <c r="A132" s="4322" t="str">
        <f>IF(OR(AND(OR(LEFT(A11,3)="611",LEFT(A11,1)="8"),C11=""),AND(OR(LEFT(A12,3)="611",LEFT(A12,1)="8"),C12=""),AND(OR(LEFT(A13,3)="611",LEFT(A13,1)="8"),C13=""),AND(OR(LEFT(A14,3)="611",LEFT(A14,1)="8"),C14=""),AND(OR(LEFT(A15,3)="611",LEFT(A15,1)="8"),C15=""),AND(OR(LEFT(A16,3)="611",LEFT(A16,1)="8"),C16=""),AND(OR(LEFT(A17,3)="611",LEFT(A17,1)="8"),C17=""),AND(OR(LEFT(A18,3)="611",LEFT(A18,1)="8"),C18=""),AND(OR(LEFT(A19,3)="611",LEFT(A19,1)="8"),C19=""),AND(OR(LEFT(A20,3)="611",LEFT(A20,1)="8"),C20=""),AND(OR(LEFT(A21,3)="611",LEFT(A21,1)="8"),C21=""),AND(OR(LEFT(A22,3)="611",LEFT(A22,1)="8"),C22=""),AND(OR(LEFT(A23,3)="611",LEFT(A23,1)="8"),C23=""),AND(OR(LEFT(A120,3)="611",LEFT(A120,1)="8"),C120="")),"(1) ERROR: A CATEGORY IS REQUIRED FOR THE HIGHLIGHTED CELL(S).","(1) Required when G/L - 611XX or 8XXXX is used")</f>
        <v>(1) Required when G/L - 611XX or 8XXXX is used</v>
      </c>
      <c r="B132" s="4322"/>
      <c r="C132" s="4322"/>
      <c r="D132" s="4322"/>
      <c r="E132" s="4322"/>
      <c r="F132" s="4322"/>
      <c r="G132" s="4322"/>
      <c r="H132" s="4322"/>
      <c r="I132" s="4322"/>
      <c r="J132" s="4322"/>
      <c r="K132" s="4322"/>
      <c r="L132" s="4322"/>
      <c r="M132" s="4322"/>
      <c r="N132" s="4322"/>
      <c r="O132" s="4322"/>
      <c r="P132" s="4322"/>
      <c r="Q132" s="4322"/>
      <c r="R132" s="4322"/>
      <c r="S132" s="4322"/>
      <c r="T132" s="4322"/>
      <c r="U132" s="4322"/>
      <c r="V132" s="4322"/>
      <c r="W132" s="4224"/>
      <c r="X132" s="4323"/>
      <c r="Y132" s="4207"/>
      <c r="Z132" s="4225"/>
      <c r="AD132" s="4226"/>
    </row>
    <row r="133" spans="1:30" ht="12.75" customHeight="1">
      <c r="A133" s="4325" t="str">
        <f>IF(ISERROR(AA129), "", IF(OR(AA129="50", AA129="60"), "(2) Since this is an adjustment to a proprietary fund, please consider if an update to your Cash Flow Form (Form 30) is needed.",IF(AA129="74","(2) Since this is an adjustment to an agency fund (SWGF 74), please consider if an update to your Agency Fund Change Statement Form is needed.","")))</f>
        <v/>
      </c>
      <c r="B133" s="4325"/>
      <c r="C133" s="4325"/>
      <c r="D133" s="4325"/>
      <c r="E133" s="4325"/>
      <c r="F133" s="4325"/>
      <c r="G133" s="4325"/>
      <c r="H133" s="4325"/>
      <c r="I133" s="4325"/>
      <c r="J133" s="4325"/>
      <c r="K133" s="4325"/>
      <c r="L133" s="4325"/>
      <c r="M133" s="4325"/>
      <c r="N133" s="4325"/>
      <c r="O133" s="4325"/>
      <c r="P133" s="4325"/>
      <c r="Q133" s="4325"/>
      <c r="R133" s="4325"/>
      <c r="S133" s="4325"/>
      <c r="T133" s="4325"/>
      <c r="U133" s="4325"/>
      <c r="V133" s="4325"/>
      <c r="W133" s="4227"/>
      <c r="X133" s="4324"/>
      <c r="Y133" s="4217"/>
      <c r="Z133" s="4314" t="s">
        <v>116</v>
      </c>
      <c r="AA133" s="4315"/>
      <c r="AB133" s="4222"/>
      <c r="AC133" s="4206"/>
      <c r="AD133" s="4223"/>
    </row>
    <row r="134" spans="1:30" ht="15" customHeight="1">
      <c r="A134" s="4325"/>
      <c r="B134" s="4325"/>
      <c r="C134" s="4325"/>
      <c r="D134" s="4325"/>
      <c r="E134" s="4325"/>
      <c r="F134" s="4325"/>
      <c r="G134" s="4325"/>
      <c r="H134" s="4325"/>
      <c r="I134" s="4325"/>
      <c r="J134" s="4325"/>
      <c r="K134" s="4325"/>
      <c r="L134" s="4325"/>
      <c r="M134" s="4325"/>
      <c r="N134" s="4325"/>
      <c r="O134" s="4325"/>
      <c r="P134" s="4325"/>
      <c r="Q134" s="4325"/>
      <c r="R134" s="4325"/>
      <c r="S134" s="4325"/>
      <c r="T134" s="4325"/>
      <c r="U134" s="4325"/>
      <c r="V134" s="4325"/>
      <c r="W134" s="4227"/>
      <c r="X134" s="4324"/>
      <c r="Y134" s="4207"/>
      <c r="Z134" s="4225"/>
      <c r="AD134" s="4226"/>
    </row>
    <row r="135" spans="1:30">
      <c r="A135" s="4326" t="str">
        <f>IF(AND($AU$121="ChangeCA",$AV$121="ChangeLTL"),"(3) The G/L code(s) used on this adjustment form will require an update to be made to both the Changes in Capital Assets and the Changes in Long-term Liabilities workbooks.",IF(AND($AU$121="ChangeCA",$AV$121=""),"(3) The G/L code(s) used on this adjustment form will require an update to be made to the Changes in Capital Assets workbook.",IF(AND($AU$121="",$AV$121="ChangeLTL"),"(3) The G/L code(s) used on this adjustment form will require an update to be made to the Changes in Long-term Liabilities workbook.","")))</f>
        <v/>
      </c>
      <c r="B135" s="4326"/>
      <c r="C135" s="4326"/>
      <c r="D135" s="4326"/>
      <c r="E135" s="4326"/>
      <c r="F135" s="4326"/>
      <c r="G135" s="4326"/>
      <c r="H135" s="4326"/>
      <c r="I135" s="4326"/>
      <c r="J135" s="4326"/>
      <c r="K135" s="4326"/>
      <c r="L135" s="4326"/>
      <c r="M135" s="4326"/>
      <c r="N135" s="4326"/>
      <c r="O135" s="4326"/>
      <c r="P135" s="4326"/>
      <c r="Q135" s="4326"/>
      <c r="R135" s="4326"/>
      <c r="S135" s="4326"/>
      <c r="T135" s="4326"/>
      <c r="U135" s="4326"/>
      <c r="V135" s="4326"/>
      <c r="W135" s="4227"/>
      <c r="X135" s="4324"/>
      <c r="Y135" s="4217"/>
      <c r="Z135" s="4314" t="s">
        <v>117</v>
      </c>
      <c r="AA135" s="4315"/>
      <c r="AB135" s="4222"/>
      <c r="AC135" s="4206"/>
      <c r="AD135" s="4223"/>
    </row>
    <row r="136" spans="1:30" ht="15" customHeight="1" thickBot="1">
      <c r="A136" s="4326"/>
      <c r="B136" s="4326"/>
      <c r="C136" s="4326"/>
      <c r="D136" s="4326"/>
      <c r="E136" s="4326"/>
      <c r="F136" s="4326"/>
      <c r="G136" s="4326"/>
      <c r="H136" s="4326"/>
      <c r="I136" s="4326"/>
      <c r="J136" s="4326"/>
      <c r="K136" s="4326"/>
      <c r="L136" s="4326"/>
      <c r="M136" s="4326"/>
      <c r="N136" s="4326"/>
      <c r="O136" s="4326"/>
      <c r="P136" s="4326"/>
      <c r="Q136" s="4326"/>
      <c r="R136" s="4326"/>
      <c r="S136" s="4326"/>
      <c r="T136" s="4326"/>
      <c r="U136" s="4326"/>
      <c r="V136" s="4326"/>
      <c r="W136" s="4227"/>
      <c r="X136" s="4324"/>
      <c r="Y136" s="4207"/>
      <c r="Z136" s="4228"/>
      <c r="AA136" s="4229"/>
      <c r="AB136" s="4229"/>
      <c r="AC136" s="4230"/>
      <c r="AD136" s="4231"/>
    </row>
    <row r="137" spans="1:30">
      <c r="A137" s="4327" t="s">
        <v>4253</v>
      </c>
      <c r="B137" s="4328"/>
      <c r="C137" s="4328"/>
      <c r="D137" s="4328"/>
      <c r="E137" s="4328"/>
      <c r="F137" s="4328"/>
      <c r="G137" s="4328"/>
      <c r="H137" s="4328"/>
      <c r="I137" s="4328"/>
      <c r="J137" s="4328"/>
      <c r="K137" s="4328"/>
      <c r="L137" s="4328"/>
      <c r="M137" s="4328"/>
      <c r="N137" s="4328"/>
      <c r="O137" s="4328"/>
      <c r="P137" s="4328"/>
      <c r="Q137" s="4328"/>
      <c r="R137" s="4328"/>
      <c r="S137" s="4328"/>
      <c r="T137" s="4328"/>
      <c r="U137" s="4328"/>
      <c r="V137" s="4329"/>
      <c r="X137" s="4324"/>
      <c r="Y137" s="4217"/>
      <c r="AC137" s="4320"/>
      <c r="AD137" s="4320"/>
    </row>
    <row r="138" spans="1:30">
      <c r="A138" s="4330"/>
      <c r="B138" s="4331"/>
      <c r="C138" s="4331"/>
      <c r="D138" s="4331"/>
      <c r="E138" s="4331"/>
      <c r="F138" s="4331"/>
      <c r="G138" s="4331"/>
      <c r="H138" s="4331"/>
      <c r="I138" s="4331"/>
      <c r="J138" s="4331"/>
      <c r="K138" s="4331"/>
      <c r="L138" s="4331"/>
      <c r="M138" s="4331"/>
      <c r="N138" s="4331"/>
      <c r="O138" s="4331"/>
      <c r="P138" s="4331"/>
      <c r="Q138" s="4331"/>
      <c r="R138" s="4331"/>
      <c r="S138" s="4331"/>
      <c r="T138" s="4331"/>
      <c r="U138" s="4331"/>
      <c r="V138" s="4332"/>
      <c r="W138" s="4217"/>
      <c r="X138" s="4324"/>
      <c r="Z138" s="4196"/>
      <c r="AA138" s="4196"/>
      <c r="AB138" s="4196"/>
      <c r="AC138" s="4321"/>
      <c r="AD138" s="4321"/>
    </row>
    <row r="139" spans="1:30">
      <c r="A139" s="4330"/>
      <c r="B139" s="4331"/>
      <c r="C139" s="4331"/>
      <c r="D139" s="4331"/>
      <c r="E139" s="4331"/>
      <c r="F139" s="4331"/>
      <c r="G139" s="4331"/>
      <c r="H139" s="4331"/>
      <c r="I139" s="4331"/>
      <c r="J139" s="4331"/>
      <c r="K139" s="4331"/>
      <c r="L139" s="4331"/>
      <c r="M139" s="4331"/>
      <c r="N139" s="4331"/>
      <c r="O139" s="4331"/>
      <c r="P139" s="4331"/>
      <c r="Q139" s="4331"/>
      <c r="R139" s="4331"/>
      <c r="S139" s="4331"/>
      <c r="T139" s="4331"/>
      <c r="U139" s="4331"/>
      <c r="V139" s="4332"/>
      <c r="Z139" s="4196"/>
      <c r="AA139" s="4196"/>
      <c r="AB139" s="4196"/>
    </row>
    <row r="140" spans="1:30">
      <c r="A140" s="4330"/>
      <c r="B140" s="4331"/>
      <c r="C140" s="4331"/>
      <c r="D140" s="4331"/>
      <c r="E140" s="4331"/>
      <c r="F140" s="4331"/>
      <c r="G140" s="4331"/>
      <c r="H140" s="4331"/>
      <c r="I140" s="4331"/>
      <c r="J140" s="4331"/>
      <c r="K140" s="4331"/>
      <c r="L140" s="4331"/>
      <c r="M140" s="4331"/>
      <c r="N140" s="4331"/>
      <c r="O140" s="4331"/>
      <c r="P140" s="4331"/>
      <c r="Q140" s="4331"/>
      <c r="R140" s="4331"/>
      <c r="S140" s="4331"/>
      <c r="T140" s="4331"/>
      <c r="U140" s="4331"/>
      <c r="V140" s="4332"/>
    </row>
    <row r="141" spans="1:30" ht="13.5" thickBot="1">
      <c r="A141" s="4333"/>
      <c r="B141" s="4334"/>
      <c r="C141" s="4334"/>
      <c r="D141" s="4334"/>
      <c r="E141" s="4334"/>
      <c r="F141" s="4334"/>
      <c r="G141" s="4334"/>
      <c r="H141" s="4334"/>
      <c r="I141" s="4334"/>
      <c r="J141" s="4334"/>
      <c r="K141" s="4334"/>
      <c r="L141" s="4334"/>
      <c r="M141" s="4334"/>
      <c r="N141" s="4334"/>
      <c r="O141" s="4334"/>
      <c r="P141" s="4334"/>
      <c r="Q141" s="4334"/>
      <c r="R141" s="4334"/>
      <c r="S141" s="4334"/>
      <c r="T141" s="4334"/>
      <c r="U141" s="4334"/>
      <c r="V141" s="4335"/>
    </row>
  </sheetData>
  <sheetProtection algorithmName="SHA-512" hashValue="CbhEZxZyo+gzFtXSn8sdb5qCvFrRto/eHzRHaOcnH1ySgWhU2uFb5HFj/q28/zqIXsrMvqkmHk/YHkCDy9Ni3g==" saltValue="cfrcq29i/cQ8hXbqGax+6Q==" spinCount="100000" sheet="1" formatRows="0" selectLockedCells="1"/>
  <mergeCells count="472">
    <mergeCell ref="AC137:AD137"/>
    <mergeCell ref="AC138:AD138"/>
    <mergeCell ref="Z131:AA131"/>
    <mergeCell ref="A132:V132"/>
    <mergeCell ref="X132:X138"/>
    <mergeCell ref="A133:V134"/>
    <mergeCell ref="Z133:AA133"/>
    <mergeCell ref="A135:V136"/>
    <mergeCell ref="Z135:AA135"/>
    <mergeCell ref="A137:V141"/>
    <mergeCell ref="Z121:AB121"/>
    <mergeCell ref="C122:L122"/>
    <mergeCell ref="C123:E123"/>
    <mergeCell ref="X123:AB123"/>
    <mergeCell ref="C126:X131"/>
    <mergeCell ref="Z126:AD126"/>
    <mergeCell ref="Z127:AD127"/>
    <mergeCell ref="Z128:AD128"/>
    <mergeCell ref="AC129:AD129"/>
    <mergeCell ref="AC130:AD130"/>
    <mergeCell ref="C119:E119"/>
    <mergeCell ref="I119:V119"/>
    <mergeCell ref="Z119:AB119"/>
    <mergeCell ref="AC119:AD119"/>
    <mergeCell ref="C120:E120"/>
    <mergeCell ref="I120:V120"/>
    <mergeCell ref="Z120:AB120"/>
    <mergeCell ref="AC120:AD120"/>
    <mergeCell ref="C117:E117"/>
    <mergeCell ref="I117:V117"/>
    <mergeCell ref="Z117:AB117"/>
    <mergeCell ref="AC117:AD117"/>
    <mergeCell ref="C118:E118"/>
    <mergeCell ref="I118:V118"/>
    <mergeCell ref="Z118:AB118"/>
    <mergeCell ref="AC118:AD118"/>
    <mergeCell ref="C115:E115"/>
    <mergeCell ref="I115:V115"/>
    <mergeCell ref="Z115:AB115"/>
    <mergeCell ref="AC115:AD115"/>
    <mergeCell ref="C116:E116"/>
    <mergeCell ref="I116:V116"/>
    <mergeCell ref="Z116:AB116"/>
    <mergeCell ref="AC116:AD116"/>
    <mergeCell ref="C113:E113"/>
    <mergeCell ref="I113:V113"/>
    <mergeCell ref="Z113:AB113"/>
    <mergeCell ref="AC113:AD113"/>
    <mergeCell ref="C114:E114"/>
    <mergeCell ref="I114:V114"/>
    <mergeCell ref="Z114:AB114"/>
    <mergeCell ref="AC114:AD114"/>
    <mergeCell ref="C111:E111"/>
    <mergeCell ref="I111:V111"/>
    <mergeCell ref="Z111:AB111"/>
    <mergeCell ref="AC111:AD111"/>
    <mergeCell ref="C112:E112"/>
    <mergeCell ref="I112:V112"/>
    <mergeCell ref="Z112:AB112"/>
    <mergeCell ref="AC112:AD112"/>
    <mergeCell ref="C109:E109"/>
    <mergeCell ref="I109:V109"/>
    <mergeCell ref="Z109:AB109"/>
    <mergeCell ref="AC109:AD109"/>
    <mergeCell ref="C110:E110"/>
    <mergeCell ref="I110:V110"/>
    <mergeCell ref="Z110:AB110"/>
    <mergeCell ref="AC110:AD110"/>
    <mergeCell ref="C107:E107"/>
    <mergeCell ref="I107:V107"/>
    <mergeCell ref="Z107:AB107"/>
    <mergeCell ref="AC107:AD107"/>
    <mergeCell ref="C108:E108"/>
    <mergeCell ref="I108:V108"/>
    <mergeCell ref="Z108:AB108"/>
    <mergeCell ref="AC108:AD108"/>
    <mergeCell ref="C105:E105"/>
    <mergeCell ref="I105:V105"/>
    <mergeCell ref="Z105:AB105"/>
    <mergeCell ref="AC105:AD105"/>
    <mergeCell ref="C106:E106"/>
    <mergeCell ref="I106:V106"/>
    <mergeCell ref="Z106:AB106"/>
    <mergeCell ref="AC106:AD106"/>
    <mergeCell ref="C103:E103"/>
    <mergeCell ref="I103:V103"/>
    <mergeCell ref="Z103:AB103"/>
    <mergeCell ref="AC103:AD103"/>
    <mergeCell ref="C104:E104"/>
    <mergeCell ref="I104:V104"/>
    <mergeCell ref="Z104:AB104"/>
    <mergeCell ref="AC104:AD104"/>
    <mergeCell ref="C101:E101"/>
    <mergeCell ref="I101:V101"/>
    <mergeCell ref="Z101:AB101"/>
    <mergeCell ref="AC101:AD101"/>
    <mergeCell ref="C102:E102"/>
    <mergeCell ref="I102:V102"/>
    <mergeCell ref="Z102:AB102"/>
    <mergeCell ref="AC102:AD102"/>
    <mergeCell ref="C99:E99"/>
    <mergeCell ref="I99:V99"/>
    <mergeCell ref="Z99:AB99"/>
    <mergeCell ref="AC99:AD99"/>
    <mergeCell ref="C100:E100"/>
    <mergeCell ref="I100:V100"/>
    <mergeCell ref="Z100:AB100"/>
    <mergeCell ref="AC100:AD100"/>
    <mergeCell ref="C97:E97"/>
    <mergeCell ref="I97:V97"/>
    <mergeCell ref="Z97:AB97"/>
    <mergeCell ref="AC97:AD97"/>
    <mergeCell ref="C98:E98"/>
    <mergeCell ref="I98:V98"/>
    <mergeCell ref="Z98:AB98"/>
    <mergeCell ref="AC98:AD98"/>
    <mergeCell ref="C95:E95"/>
    <mergeCell ref="I95:V95"/>
    <mergeCell ref="Z95:AB95"/>
    <mergeCell ref="AC95:AD95"/>
    <mergeCell ref="C96:E96"/>
    <mergeCell ref="I96:V96"/>
    <mergeCell ref="Z96:AB96"/>
    <mergeCell ref="AC96:AD96"/>
    <mergeCell ref="C93:E93"/>
    <mergeCell ref="I93:V93"/>
    <mergeCell ref="Z93:AB93"/>
    <mergeCell ref="AC93:AD93"/>
    <mergeCell ref="C94:E94"/>
    <mergeCell ref="I94:V94"/>
    <mergeCell ref="Z94:AB94"/>
    <mergeCell ref="AC94:AD94"/>
    <mergeCell ref="C91:E91"/>
    <mergeCell ref="I91:V91"/>
    <mergeCell ref="Z91:AB91"/>
    <mergeCell ref="AC91:AD91"/>
    <mergeCell ref="C92:E92"/>
    <mergeCell ref="I92:V92"/>
    <mergeCell ref="Z92:AB92"/>
    <mergeCell ref="AC92:AD92"/>
    <mergeCell ref="C89:E89"/>
    <mergeCell ref="I89:V89"/>
    <mergeCell ref="Z89:AB89"/>
    <mergeCell ref="AC89:AD89"/>
    <mergeCell ref="C90:E90"/>
    <mergeCell ref="I90:V90"/>
    <mergeCell ref="Z90:AB90"/>
    <mergeCell ref="AC90:AD90"/>
    <mergeCell ref="C87:E87"/>
    <mergeCell ref="I87:V87"/>
    <mergeCell ref="Z87:AB87"/>
    <mergeCell ref="AC87:AD87"/>
    <mergeCell ref="C88:E88"/>
    <mergeCell ref="I88:V88"/>
    <mergeCell ref="Z88:AB88"/>
    <mergeCell ref="AC88:AD88"/>
    <mergeCell ref="C85:E85"/>
    <mergeCell ref="I85:V85"/>
    <mergeCell ref="Z85:AB85"/>
    <mergeCell ref="AC85:AD85"/>
    <mergeCell ref="C86:E86"/>
    <mergeCell ref="I86:V86"/>
    <mergeCell ref="Z86:AB86"/>
    <mergeCell ref="AC86:AD86"/>
    <mergeCell ref="C83:E83"/>
    <mergeCell ref="I83:V83"/>
    <mergeCell ref="Z83:AB83"/>
    <mergeCell ref="AC83:AD83"/>
    <mergeCell ref="C84:E84"/>
    <mergeCell ref="I84:V84"/>
    <mergeCell ref="Z84:AB84"/>
    <mergeCell ref="AC84:AD84"/>
    <mergeCell ref="C81:E81"/>
    <mergeCell ref="I81:V81"/>
    <mergeCell ref="Z81:AB81"/>
    <mergeCell ref="AC81:AD81"/>
    <mergeCell ref="C82:E82"/>
    <mergeCell ref="I82:V82"/>
    <mergeCell ref="Z82:AB82"/>
    <mergeCell ref="AC82:AD82"/>
    <mergeCell ref="C79:E79"/>
    <mergeCell ref="I79:V79"/>
    <mergeCell ref="Z79:AB79"/>
    <mergeCell ref="AC79:AD79"/>
    <mergeCell ref="C80:E80"/>
    <mergeCell ref="I80:V80"/>
    <mergeCell ref="Z80:AB80"/>
    <mergeCell ref="AC80:AD80"/>
    <mergeCell ref="C77:E77"/>
    <mergeCell ref="I77:V77"/>
    <mergeCell ref="Z77:AB77"/>
    <mergeCell ref="AC77:AD77"/>
    <mergeCell ref="C78:E78"/>
    <mergeCell ref="I78:V78"/>
    <mergeCell ref="Z78:AB78"/>
    <mergeCell ref="AC78:AD78"/>
    <mergeCell ref="C75:E75"/>
    <mergeCell ref="I75:V75"/>
    <mergeCell ref="Z75:AB75"/>
    <mergeCell ref="AC75:AD75"/>
    <mergeCell ref="C76:E76"/>
    <mergeCell ref="I76:V76"/>
    <mergeCell ref="Z76:AB76"/>
    <mergeCell ref="AC76:AD76"/>
    <mergeCell ref="C73:E73"/>
    <mergeCell ref="I73:V73"/>
    <mergeCell ref="Z73:AB73"/>
    <mergeCell ref="AC73:AD73"/>
    <mergeCell ref="C74:E74"/>
    <mergeCell ref="I74:V74"/>
    <mergeCell ref="Z74:AB74"/>
    <mergeCell ref="AC74:AD74"/>
    <mergeCell ref="C71:E71"/>
    <mergeCell ref="I71:V71"/>
    <mergeCell ref="Z71:AB71"/>
    <mergeCell ref="AC71:AD71"/>
    <mergeCell ref="C72:E72"/>
    <mergeCell ref="I72:V72"/>
    <mergeCell ref="Z72:AB72"/>
    <mergeCell ref="AC72:AD72"/>
    <mergeCell ref="C69:E69"/>
    <mergeCell ref="I69:V69"/>
    <mergeCell ref="Z69:AB69"/>
    <mergeCell ref="AC69:AD69"/>
    <mergeCell ref="C70:E70"/>
    <mergeCell ref="I70:V70"/>
    <mergeCell ref="Z70:AB70"/>
    <mergeCell ref="AC70:AD70"/>
    <mergeCell ref="C67:E67"/>
    <mergeCell ref="I67:V67"/>
    <mergeCell ref="Z67:AB67"/>
    <mergeCell ref="AC67:AD67"/>
    <mergeCell ref="C68:E68"/>
    <mergeCell ref="I68:V68"/>
    <mergeCell ref="Z68:AB68"/>
    <mergeCell ref="AC68:AD68"/>
    <mergeCell ref="C65:E65"/>
    <mergeCell ref="I65:V65"/>
    <mergeCell ref="Z65:AB65"/>
    <mergeCell ref="AC65:AD65"/>
    <mergeCell ref="C66:E66"/>
    <mergeCell ref="I66:V66"/>
    <mergeCell ref="Z66:AB66"/>
    <mergeCell ref="AC66:AD66"/>
    <mergeCell ref="C63:E63"/>
    <mergeCell ref="I63:V63"/>
    <mergeCell ref="Z63:AB63"/>
    <mergeCell ref="AC63:AD63"/>
    <mergeCell ref="C64:E64"/>
    <mergeCell ref="I64:V64"/>
    <mergeCell ref="Z64:AB64"/>
    <mergeCell ref="AC64:AD64"/>
    <mergeCell ref="C61:E61"/>
    <mergeCell ref="I61:V61"/>
    <mergeCell ref="Z61:AB61"/>
    <mergeCell ref="AC61:AD61"/>
    <mergeCell ref="C62:E62"/>
    <mergeCell ref="I62:V62"/>
    <mergeCell ref="Z62:AB62"/>
    <mergeCell ref="AC62:AD62"/>
    <mergeCell ref="C59:E59"/>
    <mergeCell ref="I59:V59"/>
    <mergeCell ref="Z59:AB59"/>
    <mergeCell ref="AC59:AD59"/>
    <mergeCell ref="C60:E60"/>
    <mergeCell ref="I60:V60"/>
    <mergeCell ref="Z60:AB60"/>
    <mergeCell ref="AC60:AD60"/>
    <mergeCell ref="C57:E57"/>
    <mergeCell ref="I57:V57"/>
    <mergeCell ref="Z57:AB57"/>
    <mergeCell ref="AC57:AD57"/>
    <mergeCell ref="C58:E58"/>
    <mergeCell ref="I58:V58"/>
    <mergeCell ref="Z58:AB58"/>
    <mergeCell ref="AC58:AD58"/>
    <mergeCell ref="C55:E55"/>
    <mergeCell ref="I55:V55"/>
    <mergeCell ref="Z55:AB55"/>
    <mergeCell ref="AC55:AD55"/>
    <mergeCell ref="C56:E56"/>
    <mergeCell ref="I56:V56"/>
    <mergeCell ref="Z56:AB56"/>
    <mergeCell ref="AC56:AD56"/>
    <mergeCell ref="C53:E53"/>
    <mergeCell ref="I53:V53"/>
    <mergeCell ref="Z53:AB53"/>
    <mergeCell ref="AC53:AD53"/>
    <mergeCell ref="C54:E54"/>
    <mergeCell ref="I54:V54"/>
    <mergeCell ref="Z54:AB54"/>
    <mergeCell ref="AC54:AD54"/>
    <mergeCell ref="C51:E51"/>
    <mergeCell ref="I51:V51"/>
    <mergeCell ref="Z51:AB51"/>
    <mergeCell ref="AC51:AD51"/>
    <mergeCell ref="C52:E52"/>
    <mergeCell ref="I52:V52"/>
    <mergeCell ref="Z52:AB52"/>
    <mergeCell ref="AC52:AD52"/>
    <mergeCell ref="C49:E49"/>
    <mergeCell ref="I49:V49"/>
    <mergeCell ref="Z49:AB49"/>
    <mergeCell ref="AC49:AD49"/>
    <mergeCell ref="C50:E50"/>
    <mergeCell ref="I50:V50"/>
    <mergeCell ref="Z50:AB50"/>
    <mergeCell ref="AC50:AD50"/>
    <mergeCell ref="C47:E47"/>
    <mergeCell ref="I47:V47"/>
    <mergeCell ref="Z47:AB47"/>
    <mergeCell ref="AC47:AD47"/>
    <mergeCell ref="C48:E48"/>
    <mergeCell ref="I48:V48"/>
    <mergeCell ref="Z48:AB48"/>
    <mergeCell ref="AC48:AD48"/>
    <mergeCell ref="C45:E45"/>
    <mergeCell ref="I45:V45"/>
    <mergeCell ref="Z45:AB45"/>
    <mergeCell ref="AC45:AD45"/>
    <mergeCell ref="C46:E46"/>
    <mergeCell ref="I46:V46"/>
    <mergeCell ref="Z46:AB46"/>
    <mergeCell ref="AC46:AD46"/>
    <mergeCell ref="C43:E43"/>
    <mergeCell ref="I43:V43"/>
    <mergeCell ref="Z43:AB43"/>
    <mergeCell ref="AC43:AD43"/>
    <mergeCell ref="C44:E44"/>
    <mergeCell ref="I44:V44"/>
    <mergeCell ref="Z44:AB44"/>
    <mergeCell ref="AC44:AD44"/>
    <mergeCell ref="C41:E41"/>
    <mergeCell ref="I41:V41"/>
    <mergeCell ref="Z41:AB41"/>
    <mergeCell ref="AC41:AD41"/>
    <mergeCell ref="C42:E42"/>
    <mergeCell ref="I42:V42"/>
    <mergeCell ref="Z42:AB42"/>
    <mergeCell ref="AC42:AD42"/>
    <mergeCell ref="C39:E39"/>
    <mergeCell ref="I39:V39"/>
    <mergeCell ref="Z39:AB39"/>
    <mergeCell ref="AC39:AD39"/>
    <mergeCell ref="C40:E40"/>
    <mergeCell ref="I40:V40"/>
    <mergeCell ref="Z40:AB40"/>
    <mergeCell ref="AC40:AD40"/>
    <mergeCell ref="C37:E37"/>
    <mergeCell ref="I37:V37"/>
    <mergeCell ref="Z37:AB37"/>
    <mergeCell ref="AC37:AD37"/>
    <mergeCell ref="C38:E38"/>
    <mergeCell ref="I38:V38"/>
    <mergeCell ref="Z38:AB38"/>
    <mergeCell ref="AC38:AD38"/>
    <mergeCell ref="C35:E35"/>
    <mergeCell ref="I35:V35"/>
    <mergeCell ref="Z35:AB35"/>
    <mergeCell ref="AC35:AD35"/>
    <mergeCell ref="C36:E36"/>
    <mergeCell ref="I36:V36"/>
    <mergeCell ref="Z36:AB36"/>
    <mergeCell ref="AC36:AD36"/>
    <mergeCell ref="C33:E33"/>
    <mergeCell ref="I33:V33"/>
    <mergeCell ref="Z33:AB33"/>
    <mergeCell ref="AC33:AD33"/>
    <mergeCell ref="C34:E34"/>
    <mergeCell ref="I34:V34"/>
    <mergeCell ref="Z34:AB34"/>
    <mergeCell ref="AC34:AD34"/>
    <mergeCell ref="C31:E31"/>
    <mergeCell ref="I31:V31"/>
    <mergeCell ref="Z31:AB31"/>
    <mergeCell ref="AC31:AD31"/>
    <mergeCell ref="C32:E32"/>
    <mergeCell ref="I32:V32"/>
    <mergeCell ref="Z32:AB32"/>
    <mergeCell ref="AC32:AD32"/>
    <mergeCell ref="C29:E29"/>
    <mergeCell ref="I29:V29"/>
    <mergeCell ref="Z29:AB29"/>
    <mergeCell ref="AC29:AD29"/>
    <mergeCell ref="C30:E30"/>
    <mergeCell ref="I30:V30"/>
    <mergeCell ref="Z30:AB30"/>
    <mergeCell ref="AC30:AD30"/>
    <mergeCell ref="C27:E27"/>
    <mergeCell ref="I27:V27"/>
    <mergeCell ref="Z27:AB27"/>
    <mergeCell ref="AC27:AD27"/>
    <mergeCell ref="C28:E28"/>
    <mergeCell ref="I28:V28"/>
    <mergeCell ref="Z28:AB28"/>
    <mergeCell ref="AC28:AD28"/>
    <mergeCell ref="C25:E25"/>
    <mergeCell ref="I25:V25"/>
    <mergeCell ref="Z25:AB25"/>
    <mergeCell ref="AC25:AD25"/>
    <mergeCell ref="C26:E26"/>
    <mergeCell ref="I26:V26"/>
    <mergeCell ref="Z26:AB26"/>
    <mergeCell ref="AC26:AD26"/>
    <mergeCell ref="C23:E23"/>
    <mergeCell ref="I23:V23"/>
    <mergeCell ref="Z23:AB23"/>
    <mergeCell ref="AC23:AD23"/>
    <mergeCell ref="C24:E24"/>
    <mergeCell ref="I24:V24"/>
    <mergeCell ref="Z24:AB24"/>
    <mergeCell ref="AC24:AD24"/>
    <mergeCell ref="C21:E21"/>
    <mergeCell ref="I21:V21"/>
    <mergeCell ref="Z21:AB21"/>
    <mergeCell ref="AC21:AD21"/>
    <mergeCell ref="C22:E22"/>
    <mergeCell ref="I22:V22"/>
    <mergeCell ref="Z22:AB22"/>
    <mergeCell ref="AC22:AD22"/>
    <mergeCell ref="C19:E19"/>
    <mergeCell ref="I19:V19"/>
    <mergeCell ref="Z19:AB19"/>
    <mergeCell ref="AC19:AD19"/>
    <mergeCell ref="C20:E20"/>
    <mergeCell ref="I20:V20"/>
    <mergeCell ref="Z20:AB20"/>
    <mergeCell ref="AC20:AD20"/>
    <mergeCell ref="C17:E17"/>
    <mergeCell ref="I17:V17"/>
    <mergeCell ref="Z17:AB17"/>
    <mergeCell ref="AC17:AD17"/>
    <mergeCell ref="C18:E18"/>
    <mergeCell ref="I18:V18"/>
    <mergeCell ref="Z18:AB18"/>
    <mergeCell ref="AC18:AD18"/>
    <mergeCell ref="C15:E15"/>
    <mergeCell ref="I15:V15"/>
    <mergeCell ref="Z15:AB15"/>
    <mergeCell ref="AC15:AD15"/>
    <mergeCell ref="C16:E16"/>
    <mergeCell ref="I16:V16"/>
    <mergeCell ref="Z16:AB16"/>
    <mergeCell ref="AC16:AD16"/>
    <mergeCell ref="C13:E13"/>
    <mergeCell ref="I13:V13"/>
    <mergeCell ref="Z13:AB13"/>
    <mergeCell ref="AC13:AD13"/>
    <mergeCell ref="C14:E14"/>
    <mergeCell ref="I14:V14"/>
    <mergeCell ref="Z14:AB14"/>
    <mergeCell ref="AC14:AD14"/>
    <mergeCell ref="C12:E12"/>
    <mergeCell ref="I12:V12"/>
    <mergeCell ref="Z12:AB12"/>
    <mergeCell ref="AC12:AD12"/>
    <mergeCell ref="F6:N6"/>
    <mergeCell ref="AC8:AD8"/>
    <mergeCell ref="C9:E9"/>
    <mergeCell ref="I9:V9"/>
    <mergeCell ref="Z9:AB9"/>
    <mergeCell ref="AC9:AD9"/>
    <mergeCell ref="A1:AD1"/>
    <mergeCell ref="A2:AD2"/>
    <mergeCell ref="A3:AD3"/>
    <mergeCell ref="Z4:AB4"/>
    <mergeCell ref="AC4:AD4"/>
    <mergeCell ref="Z5:AD5"/>
    <mergeCell ref="C11:E11"/>
    <mergeCell ref="I11:V11"/>
    <mergeCell ref="Z11:AB11"/>
    <mergeCell ref="AC11:AD11"/>
  </mergeCells>
  <conditionalFormatting sqref="C11:E11">
    <cfRule type="expression" priority="12" stopIfTrue="1">
      <formula>AND(OR(LEFT($A11,3)="611",LEFT($A11,1)="8"),$C11&lt;&gt;"")</formula>
    </cfRule>
    <cfRule type="expression" dxfId="448" priority="13" stopIfTrue="1">
      <formula>OR(LEFT($A11,3)="611",LEFT($A11,1)="8")</formula>
    </cfRule>
  </conditionalFormatting>
  <conditionalFormatting sqref="X121 Z121 X123">
    <cfRule type="expression" dxfId="447" priority="11" stopIfTrue="1">
      <formula>$X$123="Debit and credit amounts MUST equal."</formula>
    </cfRule>
  </conditionalFormatting>
  <conditionalFormatting sqref="A11">
    <cfRule type="expression" priority="9" stopIfTrue="1">
      <formula>AND(OR(LEFT($A11,3)="611",LEFT($A11,1)="8"),$C11&lt;&gt;"")</formula>
    </cfRule>
    <cfRule type="expression" dxfId="446" priority="10" stopIfTrue="1">
      <formula>OR(LEFT($A11,3)="611",LEFT($A11,1)="8")</formula>
    </cfRule>
  </conditionalFormatting>
  <conditionalFormatting sqref="A132">
    <cfRule type="expression" priority="14" stopIfTrue="1">
      <formula>AND(OR(LEFT($A11,3)="611",LEFT($A11,1)="8"),$C11&lt;&gt;"")</formula>
    </cfRule>
    <cfRule type="expression" dxfId="445" priority="15" stopIfTrue="1">
      <formula>OR(LEFT($A11:$A120,3)="611",LEFT($A11:$A120,1)="8")</formula>
    </cfRule>
  </conditionalFormatting>
  <conditionalFormatting sqref="G11">
    <cfRule type="expression" priority="7" stopIfTrue="1">
      <formula>AND(OR(LEFT($A11,3)="611",LEFT($A11,1)="8"),$C11&lt;&gt;"")</formula>
    </cfRule>
    <cfRule type="expression" dxfId="444" priority="8" stopIfTrue="1">
      <formula>OR(LEFT($A11,3)="611",LEFT($A11,1)="8")</formula>
    </cfRule>
  </conditionalFormatting>
  <conditionalFormatting sqref="C12:E120">
    <cfRule type="expression" priority="5" stopIfTrue="1">
      <formula>AND(OR(LEFT($A12,3)="611",LEFT($A12,1)="8"),$C12&lt;&gt;"")</formula>
    </cfRule>
    <cfRule type="expression" dxfId="443" priority="6" stopIfTrue="1">
      <formula>OR(LEFT($A12,3)="611",LEFT($A12,1)="8")</formula>
    </cfRule>
  </conditionalFormatting>
  <conditionalFormatting sqref="A12:A120">
    <cfRule type="expression" priority="3" stopIfTrue="1">
      <formula>AND(OR(LEFT($A12,3)="611",LEFT($A12,1)="8"),$C12&lt;&gt;"")</formula>
    </cfRule>
    <cfRule type="expression" dxfId="442" priority="4" stopIfTrue="1">
      <formula>OR(LEFT($A12,3)="611",LEFT($A12,1)="8")</formula>
    </cfRule>
  </conditionalFormatting>
  <conditionalFormatting sqref="G12:G120">
    <cfRule type="expression" priority="1" stopIfTrue="1">
      <formula>AND(OR(LEFT($A12,3)="611",LEFT($A12,1)="8"),$C12&lt;&gt;"")</formula>
    </cfRule>
    <cfRule type="expression" dxfId="441" priority="2" stopIfTrue="1">
      <formula>OR(LEFT($A12,3)="611",LEFT($A12,1)="8")</formula>
    </cfRule>
  </conditionalFormatting>
  <dataValidations count="1">
    <dataValidation type="list" allowBlank="1" showInputMessage="1" showErrorMessage="1" sqref="A11:A120">
      <formula1>GLcode</formula1>
    </dataValidation>
  </dataValidations>
  <printOptions horizontalCentered="1"/>
  <pageMargins left="0.25" right="0.25" top="0.5" bottom="0.5" header="0" footer="0"/>
  <pageSetup scale="90" fitToHeight="0" orientation="landscape" r:id="rId1"/>
  <headerFooter alignWithMargins="0">
    <oddFooter>&amp;L&amp;9DFS-A1-1835
Rev. 4/2021
&amp;R&amp;P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66FF99"/>
    <pageSetUpPr fitToPage="1"/>
  </sheetPr>
  <dimension ref="T1:Y27"/>
  <sheetViews>
    <sheetView workbookViewId="0"/>
  </sheetViews>
  <sheetFormatPr defaultColWidth="9.140625" defaultRowHeight="15"/>
  <cols>
    <col min="1" max="16384" width="9.140625" style="1863"/>
  </cols>
  <sheetData>
    <row r="1" spans="20:25">
      <c r="T1" s="2117"/>
      <c r="U1" s="1789"/>
      <c r="V1" s="1789"/>
      <c r="W1" s="1789"/>
      <c r="X1" s="1789"/>
      <c r="Y1" s="1789"/>
    </row>
    <row r="2" spans="20:25">
      <c r="T2" s="1789"/>
      <c r="U2" s="1789"/>
      <c r="V2" s="1789"/>
      <c r="W2" s="1789"/>
      <c r="X2" s="1789"/>
      <c r="Y2" s="1789"/>
    </row>
    <row r="3" spans="20:25">
      <c r="T3" s="2117"/>
      <c r="U3" s="1789"/>
      <c r="V3" s="1789"/>
      <c r="W3" s="1789"/>
      <c r="X3" s="1789"/>
      <c r="Y3" s="1789"/>
    </row>
    <row r="27" spans="21:21">
      <c r="U27" s="119"/>
    </row>
  </sheetData>
  <sheetProtection algorithmName="SHA-512" hashValue="SCGbSzmW4LW4m8HP/QFhBuVtbFgDt6MTerJWYmwfUIg5Ptk4I2+naRY+JxiY9fhaUXIXhMO7XhgB6CP0eSYr0w==" saltValue="yH92C1EzExD+TUKurQzGqg==" spinCount="100000" sheet="1" objects="1" scenarios="1"/>
  <pageMargins left="0.7" right="0.7" top="0.75" bottom="0.75" header="0.3" footer="0.3"/>
  <pageSetup scale="51"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66FF99"/>
    <pageSetUpPr fitToPage="1"/>
  </sheetPr>
  <dimension ref="A1:E50"/>
  <sheetViews>
    <sheetView workbookViewId="0"/>
  </sheetViews>
  <sheetFormatPr defaultColWidth="9.140625" defaultRowHeight="12.75"/>
  <cols>
    <col min="1" max="1" width="6.28515625" style="1469" customWidth="1"/>
    <col min="2" max="2" width="28.7109375" style="1469" customWidth="1"/>
    <col min="3" max="3" width="3.7109375" style="1469" customWidth="1"/>
    <col min="4" max="4" width="104.140625" style="1469" customWidth="1"/>
    <col min="5" max="5" width="5.140625" style="1469" customWidth="1"/>
    <col min="6" max="16384" width="9.140625" style="1469"/>
  </cols>
  <sheetData>
    <row r="1" spans="1:5" ht="15.75">
      <c r="B1" s="2536"/>
      <c r="C1" s="2690"/>
      <c r="D1" s="3028" t="s">
        <v>3098</v>
      </c>
    </row>
    <row r="2" spans="1:5" ht="15.75">
      <c r="B2" s="3035"/>
      <c r="C2" s="2536"/>
      <c r="D2" s="3028" t="s">
        <v>3366</v>
      </c>
    </row>
    <row r="3" spans="1:5" ht="15.75">
      <c r="B3" s="2980"/>
      <c r="C3" s="2714"/>
      <c r="D3" s="3028" t="s">
        <v>3367</v>
      </c>
    </row>
    <row r="4" spans="1:5" ht="15.75">
      <c r="B4" s="2980"/>
      <c r="C4" s="2714"/>
      <c r="D4" s="3034" t="s">
        <v>4072</v>
      </c>
    </row>
    <row r="5" spans="1:5" ht="15.75">
      <c r="B5" s="1502"/>
      <c r="C5" s="1502"/>
      <c r="D5" s="1502"/>
    </row>
    <row r="6" spans="1:5" ht="15.75">
      <c r="B6" s="1502"/>
      <c r="C6" s="1502"/>
      <c r="D6" s="1502"/>
    </row>
    <row r="7" spans="1:5" ht="15">
      <c r="D7" s="1468"/>
    </row>
    <row r="8" spans="1:5" ht="15.75">
      <c r="A8" s="2536" t="s">
        <v>3101</v>
      </c>
      <c r="B8" s="2537"/>
      <c r="C8" s="1511"/>
      <c r="D8" s="1512" t="str">
        <f>'CU1-Deposits'!F7</f>
        <v>SAMPLE STATE COLLEGE</v>
      </c>
    </row>
    <row r="9" spans="1:5" ht="5.25" customHeight="1">
      <c r="A9" s="1468"/>
      <c r="B9" s="1504"/>
      <c r="C9" s="1504"/>
      <c r="D9" s="1504"/>
    </row>
    <row r="10" spans="1:5" ht="15.75">
      <c r="A10" s="2536" t="s">
        <v>3102</v>
      </c>
      <c r="B10" s="2537"/>
      <c r="C10" s="2537"/>
      <c r="D10" s="1513" t="e">
        <f>'CU1-Deposits'!F9</f>
        <v>#N/A</v>
      </c>
    </row>
    <row r="11" spans="1:5" s="1489" customFormat="1" ht="15.75">
      <c r="A11" s="3923"/>
      <c r="B11" s="3924"/>
      <c r="C11" s="3924"/>
      <c r="D11" s="3925"/>
    </row>
    <row r="12" spans="1:5" ht="21.6" customHeight="1">
      <c r="A12" s="1468" t="s">
        <v>4210</v>
      </c>
      <c r="B12" s="1511"/>
      <c r="C12" s="1511"/>
      <c r="D12" s="1468"/>
      <c r="E12" s="4135"/>
    </row>
    <row r="13" spans="1:5" s="1489" customFormat="1" ht="21.6" customHeight="1">
      <c r="A13" s="4124"/>
      <c r="B13" s="4125"/>
      <c r="C13" s="4125"/>
      <c r="D13" s="4126"/>
      <c r="E13" s="4126"/>
    </row>
    <row r="14" spans="1:5" ht="20.45" customHeight="1">
      <c r="A14" s="1514" t="s">
        <v>3368</v>
      </c>
      <c r="B14" s="1515"/>
      <c r="C14" s="1515"/>
      <c r="D14" s="1468"/>
    </row>
    <row r="15" spans="1:5" ht="16.899999999999999" customHeight="1">
      <c r="A15" s="1468"/>
      <c r="B15" s="1515"/>
      <c r="C15" s="1515"/>
      <c r="D15" s="1468"/>
    </row>
    <row r="16" spans="1:5" ht="14.25" customHeight="1">
      <c r="A16" s="1516" t="s">
        <v>2838</v>
      </c>
      <c r="B16" s="1517" t="s">
        <v>3369</v>
      </c>
      <c r="C16" s="1518"/>
      <c r="D16" s="1468"/>
    </row>
    <row r="17" spans="1:4" ht="14.25" customHeight="1">
      <c r="A17" s="1516" t="s">
        <v>3112</v>
      </c>
      <c r="B17" s="1517" t="s">
        <v>3370</v>
      </c>
      <c r="C17" s="1518"/>
      <c r="D17" s="1468"/>
    </row>
    <row r="18" spans="1:4" ht="14.25" customHeight="1">
      <c r="A18" s="1516" t="s">
        <v>3119</v>
      </c>
      <c r="B18" s="1517" t="s">
        <v>3371</v>
      </c>
      <c r="C18" s="1518"/>
      <c r="D18" s="1468"/>
    </row>
    <row r="19" spans="1:4" ht="15">
      <c r="A19" s="1468"/>
      <c r="B19" s="1517"/>
      <c r="C19" s="1518"/>
      <c r="D19" s="1468"/>
    </row>
    <row r="20" spans="1:4" ht="18.75">
      <c r="A20" s="1468"/>
      <c r="B20" s="1470" t="s">
        <v>3372</v>
      </c>
      <c r="C20" s="1517" t="s">
        <v>3373</v>
      </c>
      <c r="D20" s="2455">
        <f>+'Accounts by GL'!D554</f>
        <v>0</v>
      </c>
    </row>
    <row r="21" spans="1:4" ht="15">
      <c r="A21" s="1468"/>
      <c r="B21" s="1519"/>
      <c r="C21" s="1519"/>
      <c r="D21" s="1519"/>
    </row>
    <row r="22" spans="1:4" ht="18.75">
      <c r="A22" s="1468"/>
      <c r="B22" s="1520" t="s">
        <v>3374</v>
      </c>
      <c r="C22" s="1521"/>
      <c r="D22" s="3421"/>
    </row>
    <row r="23" spans="1:4" ht="15">
      <c r="A23" s="1468"/>
      <c r="B23" s="1521"/>
      <c r="C23" s="1521"/>
      <c r="D23" s="1521"/>
    </row>
    <row r="24" spans="1:4" ht="15">
      <c r="A24" s="1468"/>
      <c r="B24" s="1521"/>
      <c r="C24" s="1521"/>
      <c r="D24" s="3421"/>
    </row>
    <row r="25" spans="1:4" ht="15">
      <c r="A25" s="1468"/>
      <c r="B25" s="1521"/>
      <c r="C25" s="1521"/>
      <c r="D25" s="1521"/>
    </row>
    <row r="26" spans="1:4" ht="15">
      <c r="A26" s="1468"/>
      <c r="B26" s="1521"/>
      <c r="C26" s="1521"/>
      <c r="D26" s="3421"/>
    </row>
    <row r="27" spans="1:4" ht="15">
      <c r="A27" s="1468"/>
      <c r="B27" s="1521"/>
      <c r="C27" s="1521"/>
      <c r="D27" s="1521"/>
    </row>
    <row r="28" spans="1:4" ht="15">
      <c r="A28" s="1468"/>
      <c r="B28" s="1521"/>
      <c r="C28" s="1521"/>
      <c r="D28" s="3421"/>
    </row>
    <row r="29" spans="1:4" ht="15">
      <c r="A29" s="1468"/>
      <c r="B29" s="1521"/>
      <c r="C29" s="1521"/>
      <c r="D29" s="1521"/>
    </row>
    <row r="30" spans="1:4" ht="15">
      <c r="A30" s="1468"/>
      <c r="B30" s="1521"/>
      <c r="C30" s="1521"/>
      <c r="D30" s="3421"/>
    </row>
    <row r="31" spans="1:4" ht="15">
      <c r="A31" s="1468"/>
      <c r="B31" s="1521"/>
      <c r="C31" s="1521"/>
      <c r="D31" s="1521"/>
    </row>
    <row r="32" spans="1:4" ht="15">
      <c r="A32" s="1468"/>
      <c r="B32" s="1521"/>
      <c r="C32" s="1521"/>
      <c r="D32" s="3421"/>
    </row>
    <row r="33" spans="1:4" ht="15">
      <c r="A33" s="1468"/>
      <c r="B33" s="1521"/>
      <c r="C33" s="1521"/>
      <c r="D33" s="1521"/>
    </row>
    <row r="34" spans="1:4" ht="18.75">
      <c r="A34" s="1468"/>
      <c r="B34" s="1504" t="s">
        <v>3375</v>
      </c>
      <c r="C34" s="1468"/>
      <c r="D34" s="3421"/>
    </row>
    <row r="35" spans="1:4" ht="15">
      <c r="A35" s="1468"/>
      <c r="B35" s="1468"/>
      <c r="C35" s="1468"/>
      <c r="D35" s="1521"/>
    </row>
    <row r="36" spans="1:4" ht="15">
      <c r="A36" s="1468"/>
      <c r="B36" s="1468"/>
      <c r="C36" s="1468"/>
      <c r="D36" s="3421"/>
    </row>
    <row r="37" spans="1:4" ht="15">
      <c r="A37" s="1468"/>
      <c r="B37" s="1468"/>
      <c r="C37" s="1468"/>
      <c r="D37" s="1521"/>
    </row>
    <row r="38" spans="1:4" ht="15">
      <c r="A38" s="1468"/>
      <c r="B38" s="1468"/>
      <c r="C38" s="1468"/>
      <c r="D38" s="3421"/>
    </row>
    <row r="39" spans="1:4" ht="15">
      <c r="A39" s="1468"/>
      <c r="B39" s="1468"/>
      <c r="C39" s="1468"/>
      <c r="D39" s="1521"/>
    </row>
    <row r="40" spans="1:4" ht="15">
      <c r="A40" s="1468"/>
      <c r="B40" s="1468"/>
      <c r="C40" s="1468"/>
      <c r="D40" s="3421"/>
    </row>
    <row r="41" spans="1:4" ht="15">
      <c r="A41" s="1468"/>
      <c r="B41" s="1468"/>
      <c r="C41" s="1468"/>
      <c r="D41" s="1521"/>
    </row>
    <row r="42" spans="1:4" ht="15">
      <c r="A42" s="1468"/>
      <c r="B42" s="1468"/>
      <c r="C42" s="1468"/>
      <c r="D42" s="3421"/>
    </row>
    <row r="43" spans="1:4" ht="15">
      <c r="A43" s="1468"/>
      <c r="B43" s="1468"/>
      <c r="C43" s="1468"/>
      <c r="D43" s="1468"/>
    </row>
    <row r="44" spans="1:4" ht="15">
      <c r="A44" s="1468"/>
      <c r="B44" s="1468"/>
      <c r="C44" s="1468"/>
      <c r="D44" s="3421"/>
    </row>
    <row r="45" spans="1:4" ht="15">
      <c r="A45" s="1468"/>
      <c r="B45" s="1468"/>
      <c r="C45" s="1468"/>
      <c r="D45" s="1468"/>
    </row>
    <row r="46" spans="1:4" ht="15">
      <c r="A46" s="1468"/>
      <c r="B46" s="1468"/>
      <c r="C46" s="1468"/>
      <c r="D46" s="3421"/>
    </row>
    <row r="47" spans="1:4" ht="15">
      <c r="A47" s="1468"/>
      <c r="B47" s="1468"/>
      <c r="C47" s="1468"/>
      <c r="D47" s="1468"/>
    </row>
    <row r="48" spans="1:4" ht="15">
      <c r="A48" s="1468"/>
      <c r="B48" s="1468"/>
      <c r="C48" s="1468"/>
      <c r="D48" s="3421"/>
    </row>
    <row r="49" spans="1:4" ht="15">
      <c r="A49" s="1468"/>
      <c r="B49" s="1468"/>
      <c r="C49" s="1468"/>
      <c r="D49" s="1468"/>
    </row>
    <row r="50" spans="1:4" ht="15">
      <c r="A50" s="1468"/>
      <c r="B50" s="1468"/>
      <c r="C50" s="1468"/>
      <c r="D50" s="1468"/>
    </row>
  </sheetData>
  <sheetProtection algorithmName="SHA-512" hashValue="15LRwJxHVOT7X4rqxgYU4/XPgisxeYsuQGB8QTNZxkNVj74OTUpAUi3vu49Ax0rYI3AEUJaoOwUDAlC1BF/A7Q==" saltValue="lNSppJ5aqK3GjazzyYsx5w==" spinCount="100000" sheet="1" objects="1" scenarios="1"/>
  <printOptions horizontalCentered="1"/>
  <pageMargins left="0.25" right="0.25" top="0.75" bottom="0.75" header="0.3" footer="0.3"/>
  <pageSetup scale="68" orientation="portrait" r:id="rId1"/>
  <headerFooter alignWithMargins="0">
    <oddFooter>&amp;LDFS-A1-1890</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66FF99"/>
    <pageSetUpPr fitToPage="1"/>
  </sheetPr>
  <dimension ref="A1:BE61"/>
  <sheetViews>
    <sheetView workbookViewId="0">
      <selection activeCell="AH20" sqref="AH20:AL21"/>
    </sheetView>
  </sheetViews>
  <sheetFormatPr defaultColWidth="2.5703125" defaultRowHeight="15"/>
  <cols>
    <col min="1" max="1" width="14.7109375" style="2429" customWidth="1"/>
    <col min="2" max="2" width="2.5703125" style="2429" customWidth="1"/>
    <col min="3" max="3" width="1.28515625" style="2429" customWidth="1"/>
    <col min="4" max="4" width="3" style="2429" customWidth="1"/>
    <col min="5" max="5" width="1.28515625" style="2429" customWidth="1"/>
    <col min="6" max="6" width="2.5703125" style="2429" customWidth="1"/>
    <col min="7" max="7" width="1.28515625" style="2429" customWidth="1"/>
    <col min="8" max="8" width="2.5703125" style="2429" customWidth="1"/>
    <col min="9" max="9" width="1.28515625" style="2429" customWidth="1"/>
    <col min="10" max="10" width="2.5703125" style="2429" customWidth="1"/>
    <col min="11" max="11" width="1.28515625" style="2429" customWidth="1"/>
    <col min="12" max="12" width="2.5703125" style="2429" customWidth="1"/>
    <col min="13" max="13" width="1.28515625" style="2429" customWidth="1"/>
    <col min="14" max="14" width="2.5703125" style="2429" customWidth="1"/>
    <col min="15" max="15" width="1.28515625" style="2429" customWidth="1"/>
    <col min="16" max="16" width="2.5703125" style="2429" customWidth="1"/>
    <col min="17" max="17" width="1.28515625" style="2429" customWidth="1"/>
    <col min="18" max="18" width="3.28515625" style="2429" customWidth="1"/>
    <col min="19" max="19" width="1.7109375" style="2429" customWidth="1"/>
    <col min="20" max="20" width="2.5703125" style="2429" customWidth="1"/>
    <col min="21" max="21" width="1.28515625" style="2429" customWidth="1"/>
    <col min="22" max="22" width="2.5703125" style="2429" customWidth="1"/>
    <col min="23" max="23" width="1.28515625" style="2429" customWidth="1"/>
    <col min="24" max="24" width="2.5703125" style="2429" customWidth="1"/>
    <col min="25" max="25" width="1.28515625" style="2429" customWidth="1"/>
    <col min="26" max="26" width="2.5703125" style="2429" customWidth="1"/>
    <col min="27" max="27" width="1.28515625" style="2429" customWidth="1"/>
    <col min="28" max="28" width="4.28515625" style="2429" customWidth="1"/>
    <col min="29" max="32" width="2.5703125" style="2429" customWidth="1"/>
    <col min="33" max="33" width="1.28515625" style="2429" customWidth="1"/>
    <col min="34" max="34" width="4" style="2429" customWidth="1"/>
    <col min="35" max="38" width="2.5703125" style="2429" customWidth="1"/>
    <col min="39" max="39" width="1.28515625" style="2429" customWidth="1"/>
    <col min="40" max="43" width="2.5703125" style="2429" customWidth="1"/>
    <col min="44" max="44" width="8.85546875" style="2429" customWidth="1"/>
    <col min="45" max="45" width="1.28515625" style="2429" customWidth="1"/>
    <col min="46" max="50" width="2.5703125" style="2429"/>
    <col min="51" max="51" width="9.140625" style="2429" customWidth="1"/>
    <col min="52" max="52" width="10.42578125" style="2429" customWidth="1"/>
    <col min="53" max="54" width="2.5703125" style="2429" customWidth="1"/>
    <col min="55" max="55" width="28.85546875" style="2429" customWidth="1"/>
    <col min="56" max="60" width="2.5703125" style="2429" customWidth="1"/>
    <col min="61" max="16384" width="2.5703125" style="2429"/>
  </cols>
  <sheetData>
    <row r="1" spans="1:57" ht="15.75">
      <c r="A1" s="4387" t="s">
        <v>3098</v>
      </c>
      <c r="B1" s="4387"/>
      <c r="C1" s="4387"/>
      <c r="D1" s="4387"/>
      <c r="E1" s="4387"/>
      <c r="F1" s="4387"/>
      <c r="G1" s="4387"/>
      <c r="H1" s="4387"/>
      <c r="I1" s="4387"/>
      <c r="J1" s="4387"/>
      <c r="K1" s="4387"/>
      <c r="L1" s="4387"/>
      <c r="M1" s="4387"/>
      <c r="N1" s="4387"/>
      <c r="O1" s="4387"/>
      <c r="P1" s="4387"/>
      <c r="Q1" s="4387"/>
      <c r="R1" s="4387"/>
      <c r="S1" s="4387"/>
      <c r="T1" s="4387"/>
      <c r="U1" s="4387"/>
      <c r="V1" s="4387"/>
      <c r="W1" s="4387"/>
      <c r="X1" s="4387"/>
      <c r="Y1" s="4387"/>
      <c r="Z1" s="4387"/>
      <c r="AA1" s="4387"/>
      <c r="AB1" s="4387"/>
      <c r="AC1" s="4387"/>
      <c r="AD1" s="4387"/>
      <c r="AE1" s="4387"/>
      <c r="AF1" s="4387"/>
      <c r="AG1" s="4387"/>
      <c r="AH1" s="4387"/>
      <c r="AI1" s="4387"/>
      <c r="AJ1" s="4387"/>
      <c r="AK1" s="4387"/>
      <c r="AL1" s="4387"/>
      <c r="AM1" s="4387"/>
      <c r="AN1" s="4387"/>
      <c r="AO1" s="4387"/>
      <c r="AP1" s="4387"/>
      <c r="AQ1" s="4387"/>
      <c r="AR1" s="4387"/>
      <c r="AS1" s="4387"/>
      <c r="AT1" s="4387"/>
      <c r="AU1" s="4387"/>
      <c r="AV1" s="4387"/>
      <c r="AW1" s="4387"/>
      <c r="AX1" s="4387"/>
      <c r="AY1" s="4387"/>
      <c r="AZ1" s="4387"/>
      <c r="BA1" s="3674"/>
      <c r="BB1" s="3674"/>
      <c r="BC1" s="3674"/>
      <c r="BD1" s="3674"/>
      <c r="BE1" s="3674"/>
    </row>
    <row r="2" spans="1:57" ht="15.75">
      <c r="A2" s="4387" t="s">
        <v>3376</v>
      </c>
      <c r="B2" s="4387"/>
      <c r="C2" s="4387"/>
      <c r="D2" s="4387"/>
      <c r="E2" s="4387"/>
      <c r="F2" s="4387"/>
      <c r="G2" s="4387"/>
      <c r="H2" s="4387"/>
      <c r="I2" s="4387"/>
      <c r="J2" s="4387"/>
      <c r="K2" s="4387"/>
      <c r="L2" s="4387"/>
      <c r="M2" s="4387"/>
      <c r="N2" s="4387"/>
      <c r="O2" s="4387"/>
      <c r="P2" s="4387"/>
      <c r="Q2" s="4387"/>
      <c r="R2" s="4387"/>
      <c r="S2" s="4387"/>
      <c r="T2" s="4387"/>
      <c r="U2" s="4387"/>
      <c r="V2" s="4387"/>
      <c r="W2" s="4387"/>
      <c r="X2" s="4387"/>
      <c r="Y2" s="4387"/>
      <c r="Z2" s="4387"/>
      <c r="AA2" s="4387"/>
      <c r="AB2" s="4387"/>
      <c r="AC2" s="4387"/>
      <c r="AD2" s="4387"/>
      <c r="AE2" s="4387"/>
      <c r="AF2" s="4387"/>
      <c r="AG2" s="4387"/>
      <c r="AH2" s="4387"/>
      <c r="AI2" s="4387"/>
      <c r="AJ2" s="4387"/>
      <c r="AK2" s="4387"/>
      <c r="AL2" s="4387"/>
      <c r="AM2" s="4387"/>
      <c r="AN2" s="4387"/>
      <c r="AO2" s="4387"/>
      <c r="AP2" s="4387"/>
      <c r="AQ2" s="4387"/>
      <c r="AR2" s="4387"/>
      <c r="AS2" s="4387"/>
      <c r="AT2" s="4387"/>
      <c r="AU2" s="4387"/>
      <c r="AV2" s="4387"/>
      <c r="AW2" s="4387"/>
      <c r="AX2" s="4387"/>
      <c r="AY2" s="4387"/>
      <c r="AZ2" s="4387"/>
      <c r="BA2" s="3674"/>
      <c r="BB2" s="3674"/>
      <c r="BC2" s="3674"/>
      <c r="BD2" s="3674"/>
      <c r="BE2" s="3674"/>
    </row>
    <row r="3" spans="1:57" ht="15.75">
      <c r="A3" s="4425" t="s">
        <v>3377</v>
      </c>
      <c r="B3" s="4425"/>
      <c r="C3" s="4425"/>
      <c r="D3" s="4425"/>
      <c r="E3" s="4425"/>
      <c r="F3" s="4425"/>
      <c r="G3" s="4425"/>
      <c r="H3" s="4425"/>
      <c r="I3" s="4425"/>
      <c r="J3" s="4425"/>
      <c r="K3" s="4425"/>
      <c r="L3" s="4425"/>
      <c r="M3" s="4425"/>
      <c r="N3" s="4425"/>
      <c r="O3" s="4425"/>
      <c r="P3" s="4425"/>
      <c r="Q3" s="4425"/>
      <c r="R3" s="4425"/>
      <c r="S3" s="4425"/>
      <c r="T3" s="4425"/>
      <c r="U3" s="4425"/>
      <c r="V3" s="4425"/>
      <c r="W3" s="4425"/>
      <c r="X3" s="4425"/>
      <c r="Y3" s="4425"/>
      <c r="Z3" s="4425"/>
      <c r="AA3" s="4425"/>
      <c r="AB3" s="4425"/>
      <c r="AC3" s="4425"/>
      <c r="AD3" s="4425"/>
      <c r="AE3" s="4425"/>
      <c r="AF3" s="4425"/>
      <c r="AG3" s="4425"/>
      <c r="AH3" s="4425"/>
      <c r="AI3" s="4425"/>
      <c r="AJ3" s="4425"/>
      <c r="AK3" s="4425"/>
      <c r="AL3" s="4425"/>
      <c r="AM3" s="4425"/>
      <c r="AN3" s="4425"/>
      <c r="AO3" s="4425"/>
      <c r="AP3" s="4425"/>
      <c r="AQ3" s="4425"/>
      <c r="AR3" s="4425"/>
      <c r="AS3" s="4425"/>
      <c r="AT3" s="4425"/>
      <c r="AU3" s="4425"/>
      <c r="AV3" s="4425"/>
      <c r="AW3" s="4425"/>
      <c r="AX3" s="4425"/>
      <c r="AY3" s="4425"/>
      <c r="AZ3" s="4425"/>
      <c r="BA3" s="3690"/>
      <c r="BB3" s="3690"/>
      <c r="BC3" s="3690"/>
      <c r="BD3" s="3690"/>
      <c r="BE3" s="3690"/>
    </row>
    <row r="4" spans="1:57" ht="15.75">
      <c r="A4" s="4425" t="s">
        <v>3378</v>
      </c>
      <c r="B4" s="4425"/>
      <c r="C4" s="4425"/>
      <c r="D4" s="4425"/>
      <c r="E4" s="4425"/>
      <c r="F4" s="4425"/>
      <c r="G4" s="4425"/>
      <c r="H4" s="4425"/>
      <c r="I4" s="4425"/>
      <c r="J4" s="4425"/>
      <c r="K4" s="4425"/>
      <c r="L4" s="4425"/>
      <c r="M4" s="4425"/>
      <c r="N4" s="4425"/>
      <c r="O4" s="4425"/>
      <c r="P4" s="4425"/>
      <c r="Q4" s="4425"/>
      <c r="R4" s="4425"/>
      <c r="S4" s="4425"/>
      <c r="T4" s="4425"/>
      <c r="U4" s="4425"/>
      <c r="V4" s="4425"/>
      <c r="W4" s="4425"/>
      <c r="X4" s="4425"/>
      <c r="Y4" s="4425"/>
      <c r="Z4" s="4425"/>
      <c r="AA4" s="4425"/>
      <c r="AB4" s="4425"/>
      <c r="AC4" s="4425"/>
      <c r="AD4" s="4425"/>
      <c r="AE4" s="4425"/>
      <c r="AF4" s="4425"/>
      <c r="AG4" s="4425"/>
      <c r="AH4" s="4425"/>
      <c r="AI4" s="4425"/>
      <c r="AJ4" s="4425"/>
      <c r="AK4" s="4425"/>
      <c r="AL4" s="4425"/>
      <c r="AM4" s="4425"/>
      <c r="AN4" s="4425"/>
      <c r="AO4" s="4425"/>
      <c r="AP4" s="4425"/>
      <c r="AQ4" s="4425"/>
      <c r="AR4" s="4425"/>
      <c r="AS4" s="4425"/>
      <c r="AT4" s="4425"/>
      <c r="AU4" s="4425"/>
      <c r="AV4" s="4425"/>
      <c r="AW4" s="4425"/>
      <c r="AX4" s="4425"/>
      <c r="AY4" s="4425"/>
      <c r="AZ4" s="4425"/>
      <c r="BA4" s="3690"/>
      <c r="BB4" s="3690"/>
      <c r="BC4" s="3690"/>
      <c r="BD4" s="3690"/>
      <c r="BE4" s="3690"/>
    </row>
    <row r="5" spans="1:57" ht="15.75">
      <c r="A5" s="4388" t="s">
        <v>3131</v>
      </c>
      <c r="B5" s="4388"/>
      <c r="C5" s="4388"/>
      <c r="D5" s="4388"/>
      <c r="E5" s="4388"/>
      <c r="F5" s="4388"/>
      <c r="G5" s="4388"/>
      <c r="H5" s="4388"/>
      <c r="I5" s="4388"/>
      <c r="J5" s="4388"/>
      <c r="K5" s="4388"/>
      <c r="L5" s="4388"/>
      <c r="M5" s="4388"/>
      <c r="N5" s="4388"/>
      <c r="O5" s="4388"/>
      <c r="P5" s="4388"/>
      <c r="Q5" s="4388"/>
      <c r="R5" s="4388"/>
      <c r="S5" s="4388"/>
      <c r="T5" s="4388"/>
      <c r="U5" s="4388"/>
      <c r="V5" s="4388"/>
      <c r="W5" s="4388"/>
      <c r="X5" s="4388"/>
      <c r="Y5" s="4388"/>
      <c r="Z5" s="4388"/>
      <c r="AA5" s="4388"/>
      <c r="AB5" s="4388"/>
      <c r="AC5" s="4426">
        <f ca="1">YEAR(TODAY())</f>
        <v>2021</v>
      </c>
      <c r="AD5" s="4426"/>
      <c r="AE5" s="4426"/>
      <c r="AF5" s="4426"/>
      <c r="AG5" s="4426"/>
      <c r="AH5" s="4426"/>
      <c r="AI5" s="4426"/>
      <c r="AJ5" s="4426"/>
      <c r="AK5" s="4426"/>
      <c r="AL5" s="4426"/>
      <c r="AM5" s="4426"/>
      <c r="AN5" s="4426"/>
      <c r="AO5" s="4426"/>
      <c r="AP5" s="4426"/>
      <c r="AQ5" s="4426"/>
      <c r="AR5" s="4426"/>
      <c r="AS5" s="4426"/>
      <c r="AT5" s="4426"/>
      <c r="AU5" s="4426"/>
      <c r="AV5" s="4426"/>
      <c r="AW5" s="4426"/>
      <c r="AX5" s="4426"/>
      <c r="AY5" s="4426"/>
      <c r="AZ5" s="4426"/>
      <c r="BA5" s="3690"/>
      <c r="BB5" s="3690"/>
      <c r="BC5" s="3690"/>
      <c r="BD5" s="3690"/>
      <c r="BE5" s="3690"/>
    </row>
    <row r="6" spans="1:57">
      <c r="A6" s="2430"/>
      <c r="AQ6" s="2431"/>
    </row>
    <row r="7" spans="1:57" ht="15.75">
      <c r="A7" s="2432" t="s">
        <v>3101</v>
      </c>
      <c r="I7" s="2433"/>
      <c r="J7" s="2433"/>
      <c r="K7" s="2433"/>
      <c r="L7" s="2433"/>
      <c r="M7" s="2433"/>
      <c r="N7" s="4420" t="str">
        <f>'CU1-Deposits'!F7</f>
        <v>SAMPLE STATE COLLEGE</v>
      </c>
      <c r="O7" s="4421"/>
      <c r="P7" s="4421"/>
      <c r="Q7" s="4421"/>
      <c r="R7" s="4421"/>
      <c r="S7" s="4421"/>
      <c r="T7" s="4421"/>
      <c r="U7" s="4421"/>
      <c r="V7" s="4421"/>
      <c r="W7" s="4421"/>
      <c r="X7" s="4421"/>
      <c r="Y7" s="4421"/>
      <c r="Z7" s="4421"/>
      <c r="AA7" s="4421"/>
      <c r="AB7" s="4421"/>
      <c r="AC7" s="4421"/>
      <c r="AD7" s="4421"/>
      <c r="AE7" s="4421"/>
      <c r="AF7" s="4421"/>
      <c r="AG7" s="4421"/>
      <c r="AH7" s="4421"/>
      <c r="AI7" s="4421"/>
      <c r="AJ7" s="4421"/>
      <c r="AK7" s="4421"/>
      <c r="AL7" s="4421"/>
      <c r="AM7" s="2434"/>
      <c r="AN7" s="2434"/>
      <c r="AO7" s="2434"/>
      <c r="AP7" s="2434"/>
      <c r="AQ7" s="2435"/>
      <c r="AR7" s="2434"/>
      <c r="AS7" s="2434"/>
      <c r="AT7" s="2434"/>
      <c r="AU7" s="4422"/>
      <c r="AV7" s="4422"/>
      <c r="AW7" s="4422"/>
      <c r="AX7" s="4422"/>
      <c r="AY7" s="4422"/>
      <c r="AZ7" s="4422"/>
      <c r="BA7" s="2434"/>
      <c r="BB7" s="2434"/>
    </row>
    <row r="8" spans="1:57" ht="5.25" customHeight="1">
      <c r="A8" s="2432"/>
      <c r="I8" s="2436"/>
      <c r="J8" s="2436"/>
      <c r="K8" s="2436"/>
      <c r="L8" s="2436"/>
      <c r="M8" s="2436"/>
      <c r="N8" s="2436"/>
      <c r="O8" s="2436"/>
      <c r="P8" s="2436"/>
      <c r="Q8" s="2436"/>
      <c r="R8" s="2436"/>
      <c r="S8" s="2436"/>
      <c r="T8" s="2436"/>
      <c r="U8" s="2436"/>
      <c r="V8" s="2436"/>
      <c r="W8" s="2436"/>
      <c r="X8" s="2436"/>
      <c r="Y8" s="2436"/>
      <c r="Z8" s="2436"/>
      <c r="AA8" s="2436"/>
      <c r="AB8" s="2436"/>
      <c r="AC8" s="2436"/>
      <c r="AD8" s="2436"/>
      <c r="AE8" s="2436"/>
      <c r="AF8" s="2436"/>
      <c r="AG8" s="2436"/>
      <c r="AH8" s="2246"/>
      <c r="AI8" s="2437"/>
      <c r="AJ8" s="2436"/>
      <c r="AQ8" s="2431"/>
      <c r="AU8" s="2436"/>
      <c r="AV8" s="2436"/>
      <c r="AW8" s="2436"/>
      <c r="AX8" s="2436"/>
      <c r="AY8" s="2436"/>
      <c r="AZ8" s="2244"/>
    </row>
    <row r="9" spans="1:57" ht="15.75">
      <c r="A9" s="2246" t="s">
        <v>3102</v>
      </c>
      <c r="D9" s="2436"/>
      <c r="E9" s="2436"/>
      <c r="F9" s="2436"/>
      <c r="G9" s="2436"/>
      <c r="H9" s="2436"/>
      <c r="I9" s="2436"/>
      <c r="J9" s="2436"/>
      <c r="K9" s="2436"/>
      <c r="L9" s="2436"/>
      <c r="M9" s="2436"/>
      <c r="N9" s="4423" t="e">
        <f>'CU1-Deposits'!F9</f>
        <v>#N/A</v>
      </c>
      <c r="O9" s="4424"/>
      <c r="P9" s="4424"/>
      <c r="Q9" s="4424"/>
      <c r="R9" s="4424"/>
      <c r="S9" s="4424"/>
      <c r="T9" s="4424"/>
      <c r="U9" s="4424"/>
      <c r="V9" s="4424"/>
      <c r="W9" s="4424"/>
      <c r="X9" s="4424"/>
      <c r="Y9" s="4424"/>
      <c r="Z9" s="4424"/>
      <c r="AA9" s="4424"/>
      <c r="AB9" s="4424"/>
      <c r="AC9" s="4424"/>
      <c r="AD9" s="4424"/>
      <c r="AE9" s="4424"/>
      <c r="AF9" s="4424"/>
      <c r="AG9" s="4424"/>
      <c r="AH9" s="4424"/>
      <c r="AI9" s="4424"/>
      <c r="AJ9" s="4424"/>
      <c r="AK9" s="4424"/>
      <c r="AL9" s="4424"/>
      <c r="AP9" s="2436"/>
      <c r="AQ9" s="2438"/>
      <c r="AR9" s="2436"/>
      <c r="AS9" s="2436"/>
      <c r="AT9" s="2436"/>
      <c r="AZ9" s="2244"/>
    </row>
    <row r="10" spans="1:57" ht="6.75" customHeight="1">
      <c r="AZ10" s="2244"/>
    </row>
    <row r="11" spans="1:57" ht="12.75" customHeight="1">
      <c r="A11" s="4384" t="s">
        <v>3379</v>
      </c>
      <c r="B11" s="4385"/>
      <c r="C11" s="4385"/>
      <c r="D11" s="4385"/>
      <c r="E11" s="4385"/>
      <c r="F11" s="4385"/>
      <c r="G11" s="4385"/>
      <c r="H11" s="4385"/>
      <c r="I11" s="4385"/>
      <c r="J11" s="4385"/>
      <c r="K11" s="4385"/>
      <c r="L11" s="4385"/>
      <c r="M11" s="4385"/>
      <c r="N11" s="4385"/>
      <c r="O11" s="4385"/>
      <c r="P11" s="4385"/>
      <c r="Q11" s="4385"/>
      <c r="R11" s="4385"/>
      <c r="S11" s="4385"/>
      <c r="T11" s="4385"/>
      <c r="U11" s="4385"/>
      <c r="V11" s="4385"/>
      <c r="W11" s="4385"/>
      <c r="X11" s="4385"/>
      <c r="Y11" s="4385"/>
      <c r="Z11" s="4385"/>
      <c r="AA11" s="4385"/>
      <c r="AB11" s="4385"/>
      <c r="AC11" s="4385"/>
      <c r="AD11" s="4385"/>
      <c r="AE11" s="4385"/>
      <c r="AF11" s="4385"/>
      <c r="AG11" s="4385"/>
      <c r="AH11" s="4385"/>
      <c r="AI11" s="4385"/>
      <c r="AJ11" s="4385"/>
      <c r="AK11" s="4385"/>
      <c r="AL11" s="4385"/>
      <c r="AM11" s="4385"/>
      <c r="AN11" s="4385"/>
      <c r="AO11" s="4385"/>
      <c r="AP11" s="4385"/>
      <c r="AQ11" s="4385"/>
      <c r="AR11" s="4385"/>
      <c r="AS11" s="4385"/>
      <c r="AT11" s="4385"/>
      <c r="AU11" s="4385"/>
      <c r="AV11" s="4385"/>
      <c r="AW11" s="4385"/>
      <c r="AX11" s="4385"/>
      <c r="AY11" s="4385"/>
      <c r="AZ11" s="3672"/>
    </row>
    <row r="12" spans="1:57" ht="12.75" customHeight="1">
      <c r="A12" s="4385"/>
      <c r="B12" s="4385"/>
      <c r="C12" s="4385"/>
      <c r="D12" s="4385"/>
      <c r="E12" s="4385"/>
      <c r="F12" s="4385"/>
      <c r="G12" s="4385"/>
      <c r="H12" s="4385"/>
      <c r="I12" s="4385"/>
      <c r="J12" s="4385"/>
      <c r="K12" s="4385"/>
      <c r="L12" s="4385"/>
      <c r="M12" s="4385"/>
      <c r="N12" s="4385"/>
      <c r="O12" s="4385"/>
      <c r="P12" s="4385"/>
      <c r="Q12" s="4385"/>
      <c r="R12" s="4385"/>
      <c r="S12" s="4385"/>
      <c r="T12" s="4385"/>
      <c r="U12" s="4385"/>
      <c r="V12" s="4385"/>
      <c r="W12" s="4385"/>
      <c r="X12" s="4385"/>
      <c r="Y12" s="4385"/>
      <c r="Z12" s="4385"/>
      <c r="AA12" s="4385"/>
      <c r="AB12" s="4385"/>
      <c r="AC12" s="4385"/>
      <c r="AD12" s="4385"/>
      <c r="AE12" s="4385"/>
      <c r="AF12" s="4385"/>
      <c r="AG12" s="4385"/>
      <c r="AH12" s="4385"/>
      <c r="AI12" s="4385"/>
      <c r="AJ12" s="4385"/>
      <c r="AK12" s="4385"/>
      <c r="AL12" s="4385"/>
      <c r="AM12" s="4385"/>
      <c r="AN12" s="4385"/>
      <c r="AO12" s="4385"/>
      <c r="AP12" s="4385"/>
      <c r="AQ12" s="4385"/>
      <c r="AR12" s="4385"/>
      <c r="AS12" s="4385"/>
      <c r="AT12" s="4385"/>
      <c r="AU12" s="4385"/>
      <c r="AV12" s="4385"/>
      <c r="AW12" s="4385"/>
      <c r="AX12" s="4385"/>
      <c r="AY12" s="4385"/>
      <c r="AZ12" s="3672"/>
    </row>
    <row r="13" spans="1:57">
      <c r="A13" s="4385"/>
      <c r="B13" s="4385"/>
      <c r="C13" s="4385"/>
      <c r="D13" s="4385"/>
      <c r="E13" s="4385"/>
      <c r="F13" s="4385"/>
      <c r="G13" s="4385"/>
      <c r="H13" s="4385"/>
      <c r="I13" s="4385"/>
      <c r="J13" s="4385"/>
      <c r="K13" s="4385"/>
      <c r="L13" s="4385"/>
      <c r="M13" s="4385"/>
      <c r="N13" s="4385"/>
      <c r="O13" s="4385"/>
      <c r="P13" s="4385"/>
      <c r="Q13" s="4385"/>
      <c r="R13" s="4385"/>
      <c r="S13" s="4385"/>
      <c r="T13" s="4385"/>
      <c r="U13" s="4385"/>
      <c r="V13" s="4385"/>
      <c r="W13" s="4385"/>
      <c r="X13" s="4385"/>
      <c r="Y13" s="4385"/>
      <c r="Z13" s="4385"/>
      <c r="AA13" s="4385"/>
      <c r="AB13" s="4385"/>
      <c r="AC13" s="4385"/>
      <c r="AD13" s="4385"/>
      <c r="AE13" s="4385"/>
      <c r="AF13" s="4385"/>
      <c r="AG13" s="4385"/>
      <c r="AH13" s="4385"/>
      <c r="AI13" s="4385"/>
      <c r="AJ13" s="4385"/>
      <c r="AK13" s="4385"/>
      <c r="AL13" s="4385"/>
      <c r="AM13" s="4385"/>
      <c r="AN13" s="4385"/>
      <c r="AO13" s="4385"/>
      <c r="AP13" s="4385"/>
      <c r="AQ13" s="4385"/>
      <c r="AR13" s="4385"/>
      <c r="AS13" s="4385"/>
      <c r="AT13" s="4385"/>
      <c r="AU13" s="4385"/>
      <c r="AV13" s="4385"/>
      <c r="AW13" s="4385"/>
      <c r="AX13" s="4385"/>
      <c r="AY13" s="4385"/>
      <c r="AZ13" s="2244"/>
    </row>
    <row r="14" spans="1:57" ht="12.75" customHeight="1">
      <c r="A14" s="4385"/>
      <c r="B14" s="4385"/>
      <c r="C14" s="4385"/>
      <c r="D14" s="4385"/>
      <c r="E14" s="4385"/>
      <c r="F14" s="4385"/>
      <c r="G14" s="4385"/>
      <c r="H14" s="4385"/>
      <c r="I14" s="4385"/>
      <c r="J14" s="4385"/>
      <c r="K14" s="4385"/>
      <c r="L14" s="4385"/>
      <c r="M14" s="4385"/>
      <c r="N14" s="4385"/>
      <c r="O14" s="4385"/>
      <c r="P14" s="4385"/>
      <c r="Q14" s="4385"/>
      <c r="R14" s="4385"/>
      <c r="S14" s="4385"/>
      <c r="T14" s="4385"/>
      <c r="U14" s="4385"/>
      <c r="V14" s="4385"/>
      <c r="W14" s="4385"/>
      <c r="X14" s="4385"/>
      <c r="Y14" s="4385"/>
      <c r="Z14" s="4385"/>
      <c r="AA14" s="4385"/>
      <c r="AB14" s="4385"/>
      <c r="AC14" s="4385"/>
      <c r="AD14" s="4385"/>
      <c r="AE14" s="4385"/>
      <c r="AF14" s="4385"/>
      <c r="AG14" s="4385"/>
      <c r="AH14" s="4385"/>
      <c r="AI14" s="4385"/>
      <c r="AJ14" s="4385"/>
      <c r="AK14" s="4385"/>
      <c r="AL14" s="4385"/>
      <c r="AM14" s="4385"/>
      <c r="AN14" s="4385"/>
      <c r="AO14" s="4385"/>
      <c r="AP14" s="4385"/>
      <c r="AQ14" s="4385"/>
      <c r="AR14" s="4385"/>
      <c r="AS14" s="4385"/>
      <c r="AT14" s="4385"/>
      <c r="AU14" s="4385"/>
      <c r="AV14" s="4385"/>
      <c r="AW14" s="4385"/>
      <c r="AX14" s="4385"/>
      <c r="AY14" s="4385"/>
      <c r="AZ14" s="2244"/>
    </row>
    <row r="15" spans="1:57" ht="12.75" customHeight="1">
      <c r="A15" s="2244"/>
      <c r="AZ15" s="2244"/>
    </row>
    <row r="16" spans="1:57" ht="12.75" customHeight="1">
      <c r="A16" s="2244"/>
      <c r="S16" s="4416"/>
      <c r="T16" s="4416"/>
      <c r="U16" s="4416"/>
      <c r="V16" s="4416"/>
      <c r="W16" s="4416"/>
      <c r="X16" s="4416"/>
      <c r="Y16" s="4416"/>
      <c r="Z16" s="4416"/>
      <c r="AN16" s="4416"/>
      <c r="AO16" s="4417"/>
      <c r="AP16" s="4417"/>
      <c r="AQ16" s="4417"/>
      <c r="AR16" s="4417"/>
      <c r="AZ16" s="2244"/>
    </row>
    <row r="17" spans="1:55" ht="12.75" customHeight="1">
      <c r="A17" s="2244"/>
      <c r="S17" s="4416" t="s">
        <v>3380</v>
      </c>
      <c r="T17" s="4416"/>
      <c r="U17" s="4416"/>
      <c r="V17" s="4416"/>
      <c r="W17" s="4416"/>
      <c r="X17" s="4416"/>
      <c r="Y17" s="4416"/>
      <c r="Z17" s="4416"/>
      <c r="AN17" s="4416" t="s">
        <v>3381</v>
      </c>
      <c r="AO17" s="4417"/>
      <c r="AP17" s="4417"/>
      <c r="AQ17" s="4417"/>
      <c r="AR17" s="4417"/>
      <c r="AT17" s="2439"/>
      <c r="AU17" s="2439"/>
      <c r="AV17" s="2439"/>
      <c r="AW17" s="2439"/>
      <c r="AX17" s="2439"/>
    </row>
    <row r="18" spans="1:55" s="2244" customFormat="1" ht="12.75" customHeight="1">
      <c r="S18" s="4418" t="s">
        <v>3382</v>
      </c>
      <c r="T18" s="4418"/>
      <c r="U18" s="4418"/>
      <c r="V18" s="4418"/>
      <c r="W18" s="4418"/>
      <c r="X18" s="4418"/>
      <c r="Y18" s="4418"/>
      <c r="Z18" s="4418"/>
      <c r="AA18" s="2241"/>
      <c r="AB18" s="4419"/>
      <c r="AC18" s="4419"/>
      <c r="AD18" s="4419"/>
      <c r="AE18" s="4419"/>
      <c r="AF18" s="4419"/>
      <c r="AG18" s="2263"/>
      <c r="AH18" s="4419"/>
      <c r="AI18" s="4419"/>
      <c r="AJ18" s="4419"/>
      <c r="AK18" s="4419"/>
      <c r="AL18" s="4419"/>
      <c r="AM18" s="2241"/>
      <c r="AN18" s="4417" t="s">
        <v>2754</v>
      </c>
      <c r="AO18" s="4417"/>
      <c r="AP18" s="4417"/>
      <c r="AQ18" s="4417"/>
      <c r="AR18" s="4417"/>
      <c r="AT18" s="4410" t="s">
        <v>3383</v>
      </c>
      <c r="AU18" s="4410"/>
      <c r="AV18" s="4410"/>
      <c r="AW18" s="4410"/>
      <c r="AX18" s="4410"/>
      <c r="AZ18" s="2440"/>
    </row>
    <row r="19" spans="1:55" s="2244" customFormat="1">
      <c r="S19" s="4411" t="s">
        <v>3384</v>
      </c>
      <c r="T19" s="4412"/>
      <c r="U19" s="4412"/>
      <c r="V19" s="4412"/>
      <c r="W19" s="4412"/>
      <c r="X19" s="4412"/>
      <c r="Y19" s="4412"/>
      <c r="Z19" s="4412"/>
      <c r="AA19" s="2241"/>
      <c r="AB19" s="4413" t="s">
        <v>2750</v>
      </c>
      <c r="AC19" s="4413"/>
      <c r="AD19" s="4413"/>
      <c r="AE19" s="4413"/>
      <c r="AF19" s="4413"/>
      <c r="AH19" s="4414" t="s">
        <v>3385</v>
      </c>
      <c r="AI19" s="4414"/>
      <c r="AJ19" s="4414"/>
      <c r="AK19" s="4414"/>
      <c r="AL19" s="4414"/>
      <c r="AN19" s="4411" t="s">
        <v>3386</v>
      </c>
      <c r="AO19" s="4411"/>
      <c r="AP19" s="4411"/>
      <c r="AQ19" s="4411"/>
      <c r="AR19" s="4411"/>
      <c r="AT19" s="4415" t="s">
        <v>3387</v>
      </c>
      <c r="AU19" s="4415"/>
      <c r="AV19" s="4415"/>
      <c r="AW19" s="4415"/>
      <c r="AX19" s="4415"/>
      <c r="AZ19" s="2441" t="s">
        <v>3388</v>
      </c>
      <c r="BC19" s="2244" t="s">
        <v>3389</v>
      </c>
    </row>
    <row r="20" spans="1:55" s="2244" customFormat="1" ht="12.75">
      <c r="A20" s="2244" t="s">
        <v>3390</v>
      </c>
      <c r="E20" s="4403" t="s">
        <v>3391</v>
      </c>
      <c r="F20" s="4403"/>
      <c r="G20" s="4403"/>
      <c r="H20" s="4403"/>
      <c r="I20" s="4403"/>
      <c r="J20" s="4403"/>
      <c r="K20" s="4403"/>
      <c r="L20" s="4403"/>
      <c r="M20" s="4403"/>
      <c r="N20" s="4403"/>
      <c r="O20" s="4403"/>
      <c r="P20" s="4403"/>
      <c r="Q20" s="4403"/>
      <c r="R20" s="4403"/>
      <c r="S20" s="4405" t="e">
        <f>'FCS Notes Sched LTD'!F15</f>
        <v>#N/A</v>
      </c>
      <c r="T20" s="4405"/>
      <c r="U20" s="4405"/>
      <c r="V20" s="4405"/>
      <c r="W20" s="4405"/>
      <c r="X20" s="4405"/>
      <c r="Y20" s="4405"/>
      <c r="Z20" s="4405"/>
      <c r="AA20" s="2291"/>
      <c r="AB20" s="4408"/>
      <c r="AC20" s="4408"/>
      <c r="AD20" s="4408"/>
      <c r="AE20" s="4408"/>
      <c r="AF20" s="4408"/>
      <c r="AG20" s="2442"/>
      <c r="AH20" s="4409"/>
      <c r="AI20" s="4408"/>
      <c r="AJ20" s="4408"/>
      <c r="AK20" s="4408"/>
      <c r="AL20" s="4408"/>
      <c r="AM20" s="2442"/>
      <c r="AN20" s="4405" t="e">
        <f>S20+ROUND(AB20,0)-ROUND(AH20,0)</f>
        <v>#N/A</v>
      </c>
      <c r="AO20" s="4406"/>
      <c r="AP20" s="4406"/>
      <c r="AQ20" s="4406"/>
      <c r="AR20" s="4406"/>
      <c r="AS20" s="2442"/>
      <c r="AT20" s="4405">
        <f>ROUND(SNP!M65,0)+ROUND(SNP!O65,0)</f>
        <v>0</v>
      </c>
      <c r="AU20" s="4406"/>
      <c r="AV20" s="4406"/>
      <c r="AW20" s="4406"/>
      <c r="AX20" s="4406"/>
      <c r="AZ20" s="4400" t="e">
        <f>ABS(S20)+ABS(AB20)-ABS(AH20)-ABS(AN20)</f>
        <v>#N/A</v>
      </c>
      <c r="BC20" s="4391">
        <f>ROUND(SNP!M65,0)+ROUND(SNP!M87,0)+ROUND(SNP!O65,0)+ROUND(SNP!O87,0)</f>
        <v>0</v>
      </c>
    </row>
    <row r="21" spans="1:55" s="2244" customFormat="1" ht="12.75">
      <c r="A21" s="2245" t="s">
        <v>3392</v>
      </c>
      <c r="E21" s="4403"/>
      <c r="F21" s="4403"/>
      <c r="G21" s="4403"/>
      <c r="H21" s="4403"/>
      <c r="I21" s="4403"/>
      <c r="J21" s="4403"/>
      <c r="K21" s="4403"/>
      <c r="L21" s="4403"/>
      <c r="M21" s="4403"/>
      <c r="N21" s="4403"/>
      <c r="O21" s="4403"/>
      <c r="P21" s="4403"/>
      <c r="Q21" s="4403"/>
      <c r="R21" s="4403"/>
      <c r="S21" s="4395"/>
      <c r="T21" s="4395"/>
      <c r="U21" s="4395"/>
      <c r="V21" s="4395"/>
      <c r="W21" s="4395"/>
      <c r="X21" s="4395"/>
      <c r="Y21" s="4395"/>
      <c r="Z21" s="4395"/>
      <c r="AB21" s="4401"/>
      <c r="AC21" s="4401"/>
      <c r="AD21" s="4401"/>
      <c r="AE21" s="4401"/>
      <c r="AF21" s="4401"/>
      <c r="AH21" s="4401"/>
      <c r="AI21" s="4401"/>
      <c r="AJ21" s="4401"/>
      <c r="AK21" s="4401"/>
      <c r="AL21" s="4401"/>
      <c r="AN21" s="4407"/>
      <c r="AO21" s="4407"/>
      <c r="AP21" s="4407"/>
      <c r="AQ21" s="4407"/>
      <c r="AR21" s="4407"/>
      <c r="AS21" s="2244" t="s">
        <v>3393</v>
      </c>
      <c r="AT21" s="4407"/>
      <c r="AU21" s="4407"/>
      <c r="AV21" s="4407"/>
      <c r="AW21" s="4407"/>
      <c r="AX21" s="4407"/>
      <c r="AZ21" s="4400"/>
      <c r="BC21" s="4392"/>
    </row>
    <row r="22" spans="1:55" s="2244" customFormat="1" ht="12.75">
      <c r="A22" s="3693" t="s">
        <v>3394</v>
      </c>
      <c r="E22" s="2244" t="s">
        <v>3395</v>
      </c>
      <c r="S22" s="4398"/>
      <c r="T22" s="4398"/>
      <c r="U22" s="4398"/>
      <c r="V22" s="4398"/>
      <c r="W22" s="4398"/>
      <c r="X22" s="4398"/>
      <c r="Y22" s="4398"/>
      <c r="Z22" s="4398"/>
      <c r="AB22" s="4398"/>
      <c r="AC22" s="4398"/>
      <c r="AD22" s="4398"/>
      <c r="AE22" s="4398"/>
      <c r="AF22" s="4398"/>
      <c r="AH22" s="4398"/>
      <c r="AI22" s="4398"/>
      <c r="AJ22" s="4398"/>
      <c r="AK22" s="4398"/>
      <c r="AL22" s="4398"/>
      <c r="AN22" s="4398"/>
      <c r="AO22" s="4398"/>
      <c r="AP22" s="4398"/>
      <c r="AQ22" s="4398"/>
      <c r="AR22" s="4398"/>
      <c r="AT22" s="4398"/>
      <c r="AU22" s="4398"/>
      <c r="AV22" s="4398"/>
      <c r="AW22" s="4398"/>
      <c r="AX22" s="4398"/>
      <c r="AZ22" s="2443">
        <f>ABS(S22)+ABS(AB22)-ABS(AH22)-ABS(AN22)</f>
        <v>0</v>
      </c>
      <c r="BC22" s="2444"/>
    </row>
    <row r="23" spans="1:55" s="2244" customFormat="1" ht="12.75">
      <c r="A23" s="3689" t="s">
        <v>3396</v>
      </c>
      <c r="E23" s="2244" t="s">
        <v>3397</v>
      </c>
      <c r="S23" s="4398"/>
      <c r="T23" s="4398"/>
      <c r="U23" s="4398"/>
      <c r="V23" s="4398"/>
      <c r="W23" s="4398"/>
      <c r="X23" s="4398"/>
      <c r="Y23" s="4398"/>
      <c r="Z23" s="4398"/>
      <c r="AB23" s="4398"/>
      <c r="AC23" s="4398"/>
      <c r="AD23" s="4398"/>
      <c r="AE23" s="4398"/>
      <c r="AF23" s="4398"/>
      <c r="AH23" s="4398"/>
      <c r="AI23" s="4398"/>
      <c r="AJ23" s="4398"/>
      <c r="AK23" s="4398"/>
      <c r="AL23" s="4398"/>
      <c r="AN23" s="4398"/>
      <c r="AO23" s="4398"/>
      <c r="AP23" s="4398"/>
      <c r="AQ23" s="4398"/>
      <c r="AR23" s="4398"/>
      <c r="AT23" s="4398"/>
      <c r="AU23" s="4398"/>
      <c r="AV23" s="4398"/>
      <c r="AW23" s="4398"/>
      <c r="AX23" s="4398"/>
      <c r="AZ23" s="2443">
        <f>ABS(S23)+ABS(AB23)-ABS(AH23)-ABS(AN23)</f>
        <v>0</v>
      </c>
      <c r="BC23" s="2444"/>
    </row>
    <row r="24" spans="1:55" s="2244" customFormat="1" ht="12.75">
      <c r="A24" s="2314" t="s">
        <v>3398</v>
      </c>
      <c r="B24" s="2442"/>
      <c r="C24" s="2442"/>
      <c r="D24" s="2442"/>
      <c r="E24" s="2442" t="s">
        <v>3399</v>
      </c>
      <c r="F24" s="2442"/>
      <c r="G24" s="2442"/>
      <c r="H24" s="2442"/>
      <c r="I24" s="2442"/>
      <c r="J24" s="2442"/>
      <c r="K24" s="2442"/>
      <c r="L24" s="2442"/>
      <c r="M24" s="2442"/>
      <c r="N24" s="2442"/>
      <c r="O24" s="2442"/>
      <c r="P24" s="2442"/>
      <c r="Q24" s="2442"/>
      <c r="R24" s="2442"/>
      <c r="S24" s="4398"/>
      <c r="T24" s="4398"/>
      <c r="U24" s="4398"/>
      <c r="V24" s="4398"/>
      <c r="W24" s="4398"/>
      <c r="X24" s="4398"/>
      <c r="Y24" s="4398"/>
      <c r="Z24" s="4398"/>
      <c r="AB24" s="4398"/>
      <c r="AC24" s="4398"/>
      <c r="AD24" s="4398"/>
      <c r="AE24" s="4398"/>
      <c r="AF24" s="4398"/>
      <c r="AH24" s="4398"/>
      <c r="AI24" s="4398"/>
      <c r="AJ24" s="4398"/>
      <c r="AK24" s="4398"/>
      <c r="AL24" s="4398"/>
      <c r="AN24" s="4398"/>
      <c r="AO24" s="4398"/>
      <c r="AP24" s="4398"/>
      <c r="AQ24" s="4398"/>
      <c r="AR24" s="4398"/>
      <c r="AT24" s="4398"/>
      <c r="AU24" s="4398"/>
      <c r="AV24" s="4398"/>
      <c r="AW24" s="4398"/>
      <c r="AX24" s="4398"/>
      <c r="AY24" s="2442"/>
      <c r="AZ24" s="2443">
        <f>ABS(S24)+ABS(AB24)-ABS(AH24)-ABS(AN24)</f>
        <v>0</v>
      </c>
      <c r="BC24" s="2444"/>
    </row>
    <row r="25" spans="1:55" s="2244" customFormat="1" ht="12.75">
      <c r="A25" s="2245" t="s">
        <v>3400</v>
      </c>
      <c r="E25" s="4403" t="s">
        <v>3401</v>
      </c>
      <c r="F25" s="4403"/>
      <c r="G25" s="4403"/>
      <c r="H25" s="4403"/>
      <c r="I25" s="4403"/>
      <c r="J25" s="4403"/>
      <c r="K25" s="4403"/>
      <c r="L25" s="4403"/>
      <c r="M25" s="4403"/>
      <c r="N25" s="4403"/>
      <c r="O25" s="4403"/>
      <c r="P25" s="4403"/>
      <c r="Q25" s="4403"/>
      <c r="R25" s="4403"/>
      <c r="S25" s="4404"/>
      <c r="T25" s="4404"/>
      <c r="U25" s="4404"/>
      <c r="V25" s="4404"/>
      <c r="W25" s="4404"/>
      <c r="X25" s="4404"/>
      <c r="Y25" s="4404"/>
      <c r="Z25" s="4404"/>
      <c r="AB25" s="4404"/>
      <c r="AC25" s="4404"/>
      <c r="AD25" s="4404"/>
      <c r="AE25" s="4404"/>
      <c r="AF25" s="4404"/>
      <c r="AH25" s="4404"/>
      <c r="AI25" s="4404"/>
      <c r="AJ25" s="4404"/>
      <c r="AK25" s="4404"/>
      <c r="AL25" s="4404"/>
      <c r="AN25" s="4404"/>
      <c r="AO25" s="4404"/>
      <c r="AP25" s="4404"/>
      <c r="AQ25" s="4404"/>
      <c r="AR25" s="4404"/>
      <c r="AT25" s="4402"/>
      <c r="AU25" s="4402"/>
      <c r="AV25" s="4402"/>
      <c r="AW25" s="4402"/>
      <c r="AX25" s="4402"/>
      <c r="AZ25" s="4400">
        <f>ABS(S25)+ABS(AB25)-ABS(AH25)-ABS(AN25)</f>
        <v>0</v>
      </c>
      <c r="BC25" s="2444"/>
    </row>
    <row r="26" spans="1:55" s="2244" customFormat="1" ht="12.75">
      <c r="A26" s="2314" t="s">
        <v>3402</v>
      </c>
      <c r="E26" s="4403"/>
      <c r="F26" s="4403"/>
      <c r="G26" s="4403"/>
      <c r="H26" s="4403"/>
      <c r="I26" s="4403"/>
      <c r="J26" s="4403"/>
      <c r="K26" s="4403"/>
      <c r="L26" s="4403"/>
      <c r="M26" s="4403"/>
      <c r="N26" s="4403"/>
      <c r="O26" s="4403"/>
      <c r="P26" s="4403"/>
      <c r="Q26" s="4403"/>
      <c r="R26" s="4403"/>
      <c r="S26" s="4399"/>
      <c r="T26" s="4399"/>
      <c r="U26" s="4399"/>
      <c r="V26" s="4399"/>
      <c r="W26" s="4399"/>
      <c r="X26" s="4399"/>
      <c r="Y26" s="4399"/>
      <c r="Z26" s="4399"/>
      <c r="AB26" s="4399"/>
      <c r="AC26" s="4399"/>
      <c r="AD26" s="4399"/>
      <c r="AE26" s="4399"/>
      <c r="AF26" s="4399"/>
      <c r="AH26" s="4399"/>
      <c r="AI26" s="4399"/>
      <c r="AJ26" s="4399"/>
      <c r="AK26" s="4399"/>
      <c r="AL26" s="4399"/>
      <c r="AN26" s="4399"/>
      <c r="AO26" s="4399"/>
      <c r="AP26" s="4399"/>
      <c r="AQ26" s="4399"/>
      <c r="AR26" s="4399"/>
      <c r="AT26" s="3694"/>
      <c r="AU26" s="3694"/>
      <c r="AV26" s="3694"/>
      <c r="AW26" s="3694"/>
      <c r="AX26" s="3694"/>
      <c r="AZ26" s="4400"/>
      <c r="BC26" s="2444"/>
    </row>
    <row r="27" spans="1:55" ht="12.75" customHeight="1">
      <c r="A27" s="2445" t="s">
        <v>3403</v>
      </c>
      <c r="B27" s="2245"/>
      <c r="D27" s="2245"/>
      <c r="E27" s="2245" t="s">
        <v>3404</v>
      </c>
      <c r="G27" s="2245"/>
      <c r="H27" s="2245"/>
      <c r="I27" s="2245"/>
      <c r="J27" s="2245"/>
      <c r="K27" s="2245"/>
      <c r="L27" s="2245"/>
      <c r="M27" s="2245"/>
      <c r="N27" s="2245"/>
      <c r="O27" s="2245"/>
      <c r="P27" s="2245"/>
      <c r="Q27" s="2245"/>
      <c r="R27" s="2245"/>
      <c r="S27" s="4395">
        <v>0</v>
      </c>
      <c r="T27" s="4395"/>
      <c r="U27" s="4395"/>
      <c r="V27" s="4395"/>
      <c r="W27" s="4395"/>
      <c r="X27" s="4395"/>
      <c r="Y27" s="4395"/>
      <c r="Z27" s="4395"/>
      <c r="AB27" s="4401"/>
      <c r="AC27" s="4401"/>
      <c r="AD27" s="4401"/>
      <c r="AE27" s="4401"/>
      <c r="AF27" s="4401"/>
      <c r="AH27" s="4401"/>
      <c r="AI27" s="4401"/>
      <c r="AJ27" s="4401"/>
      <c r="AK27" s="4401"/>
      <c r="AL27" s="4401"/>
      <c r="AN27" s="4395">
        <f>S27+ROUND(AB27,0)-ROUND(AH27,0)</f>
        <v>0</v>
      </c>
      <c r="AO27" s="4395"/>
      <c r="AP27" s="4395"/>
      <c r="AQ27" s="4395"/>
      <c r="AR27" s="4395"/>
      <c r="AT27" s="4393">
        <f>ROUND(SNP!M67,0)+ROUND(SNP!O67,0)</f>
        <v>0</v>
      </c>
      <c r="AU27" s="4393"/>
      <c r="AV27" s="4393"/>
      <c r="AW27" s="4393"/>
      <c r="AX27" s="4393"/>
      <c r="AZ27" s="2443">
        <f t="shared" ref="AZ27:AZ34" si="0">ABS(S27)+ABS(AB27)-ABS(AH27)-ABS(AN27)</f>
        <v>0</v>
      </c>
      <c r="BC27" s="2446">
        <f>ROUND(SNP!M67,0)+ROUND(SNP!M89,0)+ROUND(SNP!O67,0)+ROUND(SNP!O89,0)</f>
        <v>0</v>
      </c>
    </row>
    <row r="28" spans="1:55" ht="12.75" customHeight="1">
      <c r="A28" s="2447" t="s">
        <v>3405</v>
      </c>
      <c r="B28" s="2245"/>
      <c r="D28" s="2245"/>
      <c r="E28" s="2245" t="s">
        <v>3406</v>
      </c>
      <c r="G28" s="2245"/>
      <c r="H28" s="2245"/>
      <c r="I28" s="2245"/>
      <c r="J28" s="2245"/>
      <c r="K28" s="2245"/>
      <c r="L28" s="2245"/>
      <c r="M28" s="2245"/>
      <c r="N28" s="2245"/>
      <c r="O28" s="2245"/>
      <c r="P28" s="2245"/>
      <c r="Q28" s="2245"/>
      <c r="R28" s="2245"/>
      <c r="S28" s="4395" t="e">
        <f>'FCS Notes Sched LTD'!F20</f>
        <v>#N/A</v>
      </c>
      <c r="T28" s="4395"/>
      <c r="U28" s="4395"/>
      <c r="V28" s="4395"/>
      <c r="W28" s="4395"/>
      <c r="X28" s="4395"/>
      <c r="Y28" s="4395"/>
      <c r="Z28" s="4395"/>
      <c r="AB28" s="4394"/>
      <c r="AC28" s="4394"/>
      <c r="AD28" s="4394"/>
      <c r="AE28" s="4394"/>
      <c r="AF28" s="4394"/>
      <c r="AH28" s="4394"/>
      <c r="AI28" s="4394"/>
      <c r="AJ28" s="4394"/>
      <c r="AK28" s="4394"/>
      <c r="AL28" s="4394"/>
      <c r="AN28" s="4395" t="e">
        <f>S28+ROUND(AB28,0)-ROUND(AH28,0)</f>
        <v>#N/A</v>
      </c>
      <c r="AO28" s="4395"/>
      <c r="AP28" s="4395"/>
      <c r="AQ28" s="4395"/>
      <c r="AR28" s="4395"/>
      <c r="AT28" s="4393">
        <f>ROUND(SNP!M71,0)+ROUND(SNP!O71,0)</f>
        <v>0</v>
      </c>
      <c r="AU28" s="4393"/>
      <c r="AV28" s="4393"/>
      <c r="AW28" s="4393"/>
      <c r="AX28" s="4393"/>
      <c r="AZ28" s="2443" t="e">
        <f>ABS(S28)+ABS(AB28)-ABS(AH28)-ABS(AN28)</f>
        <v>#N/A</v>
      </c>
      <c r="BC28" s="2446">
        <f>ROUND(SNP!M71,0)+ROUND(SNP!M93,0)+ROUND(SNP!O71,0)+ROUND(SNP!O93,0)</f>
        <v>0</v>
      </c>
    </row>
    <row r="29" spans="1:55" ht="12.75" customHeight="1">
      <c r="A29" s="2447" t="s">
        <v>3407</v>
      </c>
      <c r="B29" s="2245"/>
      <c r="D29" s="2245"/>
      <c r="E29" s="2245" t="s">
        <v>3408</v>
      </c>
      <c r="G29" s="2245"/>
      <c r="H29" s="2245"/>
      <c r="I29" s="2245"/>
      <c r="J29" s="2245"/>
      <c r="K29" s="2245"/>
      <c r="L29" s="2245"/>
      <c r="M29" s="2245"/>
      <c r="N29" s="2245"/>
      <c r="O29" s="2245"/>
      <c r="P29" s="2245"/>
      <c r="Q29" s="2245"/>
      <c r="R29" s="2245"/>
      <c r="S29" s="4395" t="e">
        <f>'FCS Notes Sched LTD'!F23</f>
        <v>#N/A</v>
      </c>
      <c r="T29" s="4395"/>
      <c r="U29" s="4395"/>
      <c r="V29" s="4395"/>
      <c r="W29" s="4395"/>
      <c r="X29" s="4395"/>
      <c r="Y29" s="4395"/>
      <c r="Z29" s="4395"/>
      <c r="AB29" s="4394"/>
      <c r="AC29" s="4394"/>
      <c r="AD29" s="4394"/>
      <c r="AE29" s="4394"/>
      <c r="AF29" s="4394"/>
      <c r="AH29" s="4394"/>
      <c r="AI29" s="4394"/>
      <c r="AJ29" s="4394"/>
      <c r="AK29" s="4394"/>
      <c r="AL29" s="4394"/>
      <c r="AN29" s="4395" t="e">
        <f>S29+ROUND(AB29,0)-ROUND(AH29,0)</f>
        <v>#N/A</v>
      </c>
      <c r="AO29" s="4395"/>
      <c r="AP29" s="4395"/>
      <c r="AQ29" s="4395"/>
      <c r="AR29" s="4395"/>
      <c r="AT29" s="4393">
        <f>ROUND(SNP!P72,0)</f>
        <v>0</v>
      </c>
      <c r="AU29" s="4393"/>
      <c r="AV29" s="4393"/>
      <c r="AW29" s="4393"/>
      <c r="AX29" s="4393"/>
      <c r="AZ29" s="2443" t="e">
        <f>ABS(S29)+ABS(AB29)-ABS(AH29)-ABS(AN29)</f>
        <v>#N/A</v>
      </c>
      <c r="BC29" s="2446">
        <f>ROUND(SNP!M72,0)+ROUND(SNP!M94,0)+ROUND(SNP!O72,0)+ROUND(SNP!O94,0)</f>
        <v>0</v>
      </c>
    </row>
    <row r="30" spans="1:55" ht="12.75" customHeight="1">
      <c r="A30" s="2447" t="s">
        <v>3409</v>
      </c>
      <c r="B30" s="2245"/>
      <c r="D30" s="2245"/>
      <c r="E30" s="2245" t="s">
        <v>3410</v>
      </c>
      <c r="G30" s="2245"/>
      <c r="H30" s="2245"/>
      <c r="I30" s="2245"/>
      <c r="J30" s="2245"/>
      <c r="K30" s="2245"/>
      <c r="L30" s="2245"/>
      <c r="M30" s="2245"/>
      <c r="N30" s="2245"/>
      <c r="O30" s="2245"/>
      <c r="P30" s="2245"/>
      <c r="Q30" s="2245"/>
      <c r="R30" s="2245"/>
      <c r="S30" s="4395" t="e">
        <f>'FCS Notes Sched LTD'!F24</f>
        <v>#N/A</v>
      </c>
      <c r="T30" s="4395"/>
      <c r="U30" s="4395"/>
      <c r="V30" s="4395"/>
      <c r="W30" s="4395"/>
      <c r="X30" s="4395"/>
      <c r="Y30" s="4395"/>
      <c r="Z30" s="4395"/>
      <c r="AB30" s="4394"/>
      <c r="AC30" s="4394"/>
      <c r="AD30" s="4394"/>
      <c r="AE30" s="4394"/>
      <c r="AF30" s="4394"/>
      <c r="AH30" s="4394"/>
      <c r="AI30" s="4394"/>
      <c r="AJ30" s="4394"/>
      <c r="AK30" s="4394"/>
      <c r="AL30" s="4394"/>
      <c r="AN30" s="4395" t="e">
        <f>S30+ROUND(AB30,0)-ROUND(AH30,0)</f>
        <v>#N/A</v>
      </c>
      <c r="AO30" s="4395"/>
      <c r="AP30" s="4395"/>
      <c r="AQ30" s="4395"/>
      <c r="AR30" s="4395"/>
      <c r="AT30" s="4393">
        <f>ROUND(SNP!P73,0)</f>
        <v>0</v>
      </c>
      <c r="AU30" s="4393"/>
      <c r="AV30" s="4393"/>
      <c r="AW30" s="4393"/>
      <c r="AX30" s="4393"/>
      <c r="AZ30" s="2443" t="e">
        <f>ABS(S30)+ABS(AB30)-ABS(AH30)-ABS(AN30)</f>
        <v>#N/A</v>
      </c>
      <c r="BC30" s="2446">
        <f>ROUND(SNP!M73,0)+ROUND(SNP!M95,0)+ROUND(SNP!O73,0)+ROUND(SNP!O95,0)</f>
        <v>0</v>
      </c>
    </row>
    <row r="31" spans="1:55" ht="12.75" customHeight="1">
      <c r="A31" s="2445" t="s">
        <v>3411</v>
      </c>
      <c r="B31" s="2245"/>
      <c r="D31" s="2245"/>
      <c r="E31" s="2314" t="s">
        <v>3412</v>
      </c>
      <c r="G31" s="2245"/>
      <c r="H31" s="2245"/>
      <c r="I31" s="2245"/>
      <c r="J31" s="2245"/>
      <c r="K31" s="2245"/>
      <c r="L31" s="2245"/>
      <c r="M31" s="2245"/>
      <c r="N31" s="2245"/>
      <c r="O31" s="2245"/>
      <c r="P31" s="2245"/>
      <c r="Q31" s="2245"/>
      <c r="R31" s="2245"/>
      <c r="S31" s="4393" t="e">
        <f>'FCS Notes Sched LTD'!F18</f>
        <v>#N/A</v>
      </c>
      <c r="T31" s="4393"/>
      <c r="U31" s="4393"/>
      <c r="V31" s="4393"/>
      <c r="W31" s="4393"/>
      <c r="X31" s="4393"/>
      <c r="Y31" s="4393"/>
      <c r="Z31" s="4393"/>
      <c r="AB31" s="4394"/>
      <c r="AC31" s="4394"/>
      <c r="AD31" s="4394"/>
      <c r="AE31" s="4394"/>
      <c r="AF31" s="4394"/>
      <c r="AH31" s="4394"/>
      <c r="AI31" s="4394"/>
      <c r="AJ31" s="4394"/>
      <c r="AK31" s="4394"/>
      <c r="AL31" s="4394"/>
      <c r="AN31" s="4395" t="e">
        <f>S31+ROUND(AB31,0)-ROUND(AH31,0)</f>
        <v>#N/A</v>
      </c>
      <c r="AO31" s="4395"/>
      <c r="AP31" s="4395"/>
      <c r="AQ31" s="4395"/>
      <c r="AR31" s="4395"/>
      <c r="AT31" s="4393">
        <f>ROUND(SNP!M68,0)+ROUND(SNP!O68,0)</f>
        <v>0</v>
      </c>
      <c r="AU31" s="4393"/>
      <c r="AV31" s="4393"/>
      <c r="AW31" s="4393"/>
      <c r="AX31" s="4393"/>
      <c r="AZ31" s="2443" t="e">
        <f t="shared" si="0"/>
        <v>#N/A</v>
      </c>
      <c r="BC31" s="2446">
        <f>ROUND(SNP!M68,0)+ROUND(SNP!M90,0)+ROUND(SNP!O68,0)+ROUND(SNP!O90,0)</f>
        <v>0</v>
      </c>
    </row>
    <row r="32" spans="1:55" ht="12.75" customHeight="1">
      <c r="A32" s="2314" t="s">
        <v>3413</v>
      </c>
      <c r="B32" s="2244"/>
      <c r="D32" s="2442"/>
      <c r="E32" s="2442" t="s">
        <v>3414</v>
      </c>
      <c r="F32" s="2448"/>
      <c r="G32" s="2314"/>
      <c r="H32" s="2314"/>
      <c r="I32" s="2314"/>
      <c r="J32" s="2314"/>
      <c r="K32" s="2314"/>
      <c r="L32" s="2314"/>
      <c r="M32" s="2314"/>
      <c r="N32" s="2314"/>
      <c r="O32" s="2314"/>
      <c r="P32" s="2314"/>
      <c r="Q32" s="2314"/>
      <c r="R32" s="2314"/>
      <c r="S32" s="4398"/>
      <c r="T32" s="4398"/>
      <c r="U32" s="4398"/>
      <c r="V32" s="4398"/>
      <c r="W32" s="4398"/>
      <c r="X32" s="4398"/>
      <c r="Y32" s="4398"/>
      <c r="Z32" s="4398"/>
      <c r="AA32" s="2244"/>
      <c r="AB32" s="4398"/>
      <c r="AC32" s="4398"/>
      <c r="AD32" s="4398"/>
      <c r="AE32" s="4398"/>
      <c r="AF32" s="4398"/>
      <c r="AG32" s="2244"/>
      <c r="AH32" s="4398"/>
      <c r="AI32" s="4398"/>
      <c r="AJ32" s="4398"/>
      <c r="AK32" s="4398"/>
      <c r="AL32" s="4398"/>
      <c r="AM32" s="2244"/>
      <c r="AN32" s="4399"/>
      <c r="AO32" s="4399"/>
      <c r="AP32" s="4399"/>
      <c r="AQ32" s="4399"/>
      <c r="AR32" s="4399"/>
      <c r="AS32" s="2244"/>
      <c r="AT32" s="4398"/>
      <c r="AU32" s="4398"/>
      <c r="AV32" s="4398"/>
      <c r="AW32" s="4398"/>
      <c r="AX32" s="4398"/>
      <c r="AZ32" s="2443">
        <f t="shared" si="0"/>
        <v>0</v>
      </c>
      <c r="BC32" s="2449"/>
    </row>
    <row r="33" spans="1:57" ht="12.75" customHeight="1">
      <c r="A33" s="2245" t="s">
        <v>3415</v>
      </c>
      <c r="B33" s="2245"/>
      <c r="D33" s="2314"/>
      <c r="E33" s="2314" t="s">
        <v>3416</v>
      </c>
      <c r="F33" s="2448"/>
      <c r="G33" s="2314"/>
      <c r="H33" s="2314"/>
      <c r="I33" s="2314"/>
      <c r="J33" s="2314"/>
      <c r="K33" s="2314"/>
      <c r="L33" s="2314"/>
      <c r="M33" s="2314"/>
      <c r="N33" s="2314"/>
      <c r="O33" s="2314"/>
      <c r="P33" s="2314"/>
      <c r="Q33" s="2314"/>
      <c r="R33" s="2314"/>
      <c r="S33" s="4398"/>
      <c r="T33" s="4398"/>
      <c r="U33" s="4398"/>
      <c r="V33" s="4398"/>
      <c r="W33" s="4398"/>
      <c r="X33" s="4398"/>
      <c r="Y33" s="4398"/>
      <c r="Z33" s="4398"/>
      <c r="AA33" s="2244"/>
      <c r="AB33" s="4398"/>
      <c r="AC33" s="4398"/>
      <c r="AD33" s="4398"/>
      <c r="AE33" s="4398"/>
      <c r="AF33" s="4398"/>
      <c r="AG33" s="2244"/>
      <c r="AH33" s="4398"/>
      <c r="AI33" s="4398"/>
      <c r="AJ33" s="4398"/>
      <c r="AK33" s="4398"/>
      <c r="AL33" s="4398"/>
      <c r="AM33" s="2244"/>
      <c r="AN33" s="4399"/>
      <c r="AO33" s="4399"/>
      <c r="AP33" s="4399"/>
      <c r="AQ33" s="4399"/>
      <c r="AR33" s="4399"/>
      <c r="AS33" s="2244"/>
      <c r="AT33" s="4398"/>
      <c r="AU33" s="4398"/>
      <c r="AV33" s="4398"/>
      <c r="AW33" s="4398"/>
      <c r="AX33" s="4398"/>
      <c r="AZ33" s="2443">
        <f t="shared" si="0"/>
        <v>0</v>
      </c>
      <c r="BC33" s="2449"/>
    </row>
    <row r="34" spans="1:57" ht="12.75" customHeight="1">
      <c r="A34" s="2450" t="s">
        <v>3417</v>
      </c>
      <c r="B34" s="2245"/>
      <c r="D34" s="2245"/>
      <c r="E34" s="2314" t="s">
        <v>3418</v>
      </c>
      <c r="G34" s="2245"/>
      <c r="H34" s="2245"/>
      <c r="I34" s="2245"/>
      <c r="J34" s="2245"/>
      <c r="K34" s="2245"/>
      <c r="L34" s="2245"/>
      <c r="M34" s="2245"/>
      <c r="N34" s="2245"/>
      <c r="O34" s="2245"/>
      <c r="P34" s="2245"/>
      <c r="Q34" s="2245"/>
      <c r="R34" s="2245"/>
      <c r="S34" s="4393" t="e">
        <f>VLOOKUP(N7,VLOOKUP!A154:N181,8,FALSE)+VLOOKUP(N7,VLOOKUP!A154:N181,11,FALSE)+VLOOKUP(N7,VLOOKUP!A154:N181,6,FALSE)+VLOOKUP(N7,VLOOKUP!A154:N181,3,FALSE)</f>
        <v>#N/A</v>
      </c>
      <c r="T34" s="4393"/>
      <c r="U34" s="4393"/>
      <c r="V34" s="4393"/>
      <c r="W34" s="4393"/>
      <c r="X34" s="4393"/>
      <c r="Y34" s="4393"/>
      <c r="Z34" s="4393"/>
      <c r="AA34" s="2244"/>
      <c r="AB34" s="4394"/>
      <c r="AC34" s="4394"/>
      <c r="AD34" s="4394"/>
      <c r="AE34" s="4394"/>
      <c r="AF34" s="4394"/>
      <c r="AG34" s="2244"/>
      <c r="AH34" s="4394"/>
      <c r="AI34" s="4394"/>
      <c r="AJ34" s="4394"/>
      <c r="AK34" s="4394"/>
      <c r="AL34" s="4394"/>
      <c r="AM34" s="2244"/>
      <c r="AN34" s="4395" t="e">
        <f>S34+ROUND(AB34,0)-ROUND(AH34,0)</f>
        <v>#N/A</v>
      </c>
      <c r="AO34" s="4395"/>
      <c r="AP34" s="4395"/>
      <c r="AQ34" s="4395"/>
      <c r="AR34" s="4395"/>
      <c r="AS34" s="2244"/>
      <c r="AT34" s="4393">
        <f>ROUND(SNP!M75,0)+ROUND(SNP!O75,0)+ROUND(SNP!M66,0)+ROUND(SNP!O66,0)+ROUND(SNP!M70,0)+ROUND(SNP!O70,0)</f>
        <v>0</v>
      </c>
      <c r="AU34" s="4393"/>
      <c r="AV34" s="4393"/>
      <c r="AW34" s="4393"/>
      <c r="AX34" s="4393"/>
      <c r="AZ34" s="2443" t="e">
        <f t="shared" si="0"/>
        <v>#N/A</v>
      </c>
      <c r="BC34" s="2446">
        <f>ROUND(SNP!M66,0)+ROUND(SNP!M75,0)+ROUND(SNP!M88,0)+ROUND(SNP!M96,0)+ROUND(SNP!M97,0)+ROUND(SNP!O66,0)+ROUND(SNP!O75,0)+ROUND(SNP!O88,0)+ROUND(SNP!O96,0)+ROUND(SNP!O97,0)+ROUND(SNP!M70,0)+ROUND(SNP!O70,0)+ROUND(SNP!M92,0)+ROUND(SNP!O92,0)</f>
        <v>0</v>
      </c>
    </row>
    <row r="35" spans="1:57" ht="12.75" customHeight="1">
      <c r="A35" s="2245"/>
      <c r="B35" s="2245"/>
      <c r="C35" s="2245"/>
      <c r="D35" s="2245"/>
      <c r="E35" s="2314"/>
      <c r="F35" s="2245"/>
      <c r="G35" s="2245"/>
      <c r="H35" s="2245"/>
      <c r="I35" s="2245"/>
      <c r="J35" s="2245"/>
      <c r="K35" s="2245"/>
      <c r="L35" s="2245"/>
      <c r="M35" s="2245"/>
      <c r="N35" s="2245"/>
      <c r="O35" s="2245"/>
      <c r="P35" s="2245"/>
      <c r="Q35" s="2245"/>
      <c r="R35" s="2245"/>
      <c r="S35" s="2245"/>
      <c r="T35" s="2245"/>
      <c r="U35" s="2245"/>
      <c r="V35" s="2245"/>
      <c r="W35" s="2245"/>
      <c r="X35" s="2245"/>
      <c r="Y35" s="2245"/>
      <c r="Z35" s="2245"/>
      <c r="AA35" s="2245"/>
      <c r="AE35" s="2245"/>
      <c r="AF35" s="2245"/>
      <c r="AG35" s="2245"/>
      <c r="AH35" s="2245"/>
      <c r="AI35" s="2245"/>
      <c r="AJ35" s="2245"/>
      <c r="AK35" s="2245"/>
      <c r="AL35" s="2245"/>
      <c r="AM35" s="2436"/>
      <c r="AN35" s="2451"/>
      <c r="AO35" s="2245"/>
      <c r="AP35" s="2245"/>
      <c r="AQ35" s="2245"/>
      <c r="AR35" s="2245"/>
      <c r="AS35" s="2245"/>
      <c r="AT35" s="2436"/>
      <c r="AU35" s="2436"/>
      <c r="AV35" s="2245"/>
      <c r="AW35" s="2245"/>
      <c r="AX35" s="2245"/>
      <c r="AY35" s="2245"/>
      <c r="AZ35" s="2452"/>
      <c r="BA35" s="2245"/>
      <c r="BB35" s="2245"/>
      <c r="BC35" s="2245"/>
      <c r="BD35" s="2245"/>
      <c r="BE35" s="2245"/>
    </row>
    <row r="36" spans="1:57" ht="12" customHeight="1">
      <c r="A36" s="2245"/>
      <c r="B36" s="2245"/>
      <c r="C36" s="2245"/>
      <c r="D36" s="2245"/>
      <c r="E36" s="2314"/>
      <c r="F36" s="2245"/>
      <c r="G36" s="2245"/>
      <c r="H36" s="2245"/>
      <c r="I36" s="2245"/>
      <c r="J36" s="2245"/>
      <c r="K36" s="2245"/>
      <c r="L36" s="2245"/>
      <c r="M36" s="2245"/>
      <c r="N36" s="2245"/>
      <c r="O36" s="2245"/>
      <c r="P36" s="2245"/>
      <c r="Q36" s="2245"/>
      <c r="R36" s="2245"/>
      <c r="S36" s="2245"/>
      <c r="T36" s="2245"/>
      <c r="U36" s="2245"/>
      <c r="V36" s="2245"/>
      <c r="W36" s="2245"/>
      <c r="X36" s="2245"/>
      <c r="Y36" s="2245"/>
      <c r="Z36" s="2245"/>
      <c r="AA36" s="2245"/>
      <c r="AE36" s="2245"/>
      <c r="AF36" s="2245"/>
      <c r="AG36" s="2245"/>
      <c r="AH36" s="2245"/>
      <c r="AI36" s="2245"/>
      <c r="AJ36" s="2245"/>
      <c r="AK36" s="2245"/>
      <c r="AL36" s="2245"/>
      <c r="AN36" s="2453" t="s">
        <v>3419</v>
      </c>
      <c r="AO36" s="2245"/>
      <c r="AP36" s="2245"/>
      <c r="AQ36" s="2245"/>
      <c r="AR36" s="2245"/>
      <c r="AS36" s="2245"/>
      <c r="AV36" s="2245"/>
      <c r="AW36" s="2245"/>
      <c r="AX36" s="2245"/>
      <c r="AY36" s="2245"/>
      <c r="AZ36" s="2452"/>
      <c r="BA36" s="2245"/>
      <c r="BB36" s="2245"/>
      <c r="BC36" s="2245"/>
      <c r="BD36" s="2245"/>
      <c r="BE36" s="2245"/>
    </row>
    <row r="37" spans="1:57" s="2244" customFormat="1" ht="6" customHeight="1">
      <c r="AZ37" s="2452"/>
    </row>
    <row r="38" spans="1:57" s="2244" customFormat="1" ht="12.75">
      <c r="A38" s="4396" t="s">
        <v>3420</v>
      </c>
      <c r="B38" s="4397"/>
      <c r="C38" s="4397"/>
      <c r="D38" s="4397"/>
      <c r="E38" s="4397"/>
      <c r="F38" s="4397"/>
      <c r="G38" s="4397"/>
      <c r="H38" s="4397"/>
      <c r="I38" s="4397"/>
      <c r="J38" s="4397"/>
      <c r="K38" s="4397"/>
      <c r="L38" s="4397"/>
      <c r="M38" s="4397"/>
      <c r="N38" s="4397"/>
      <c r="O38" s="4397"/>
      <c r="P38" s="4397"/>
      <c r="Q38" s="4397"/>
      <c r="R38" s="4397"/>
      <c r="S38" s="4397"/>
      <c r="T38" s="4397"/>
      <c r="U38" s="4397"/>
      <c r="V38" s="4397"/>
      <c r="W38" s="4397"/>
      <c r="X38" s="4397"/>
      <c r="Y38" s="4397"/>
      <c r="Z38" s="4397"/>
      <c r="AA38" s="4397"/>
      <c r="AB38" s="4397"/>
      <c r="AC38" s="4397"/>
      <c r="AD38" s="4397"/>
      <c r="AE38" s="4397"/>
      <c r="AF38" s="4397"/>
      <c r="AG38" s="4397"/>
      <c r="AH38" s="4397"/>
      <c r="AI38" s="4397"/>
      <c r="AJ38" s="4397"/>
      <c r="AK38" s="4397"/>
      <c r="AL38" s="4397"/>
      <c r="AM38" s="4397"/>
      <c r="AN38" s="4397"/>
      <c r="AO38" s="4397"/>
      <c r="AP38" s="4397"/>
      <c r="AQ38" s="4397"/>
      <c r="AR38" s="4397"/>
      <c r="AS38" s="4397"/>
      <c r="AT38" s="4397"/>
      <c r="AU38" s="4397"/>
      <c r="AV38" s="4397"/>
      <c r="AW38" s="4397"/>
      <c r="AX38" s="4397"/>
      <c r="AY38" s="4397"/>
      <c r="AZ38" s="4397"/>
    </row>
    <row r="39" spans="1:57" s="2244" customFormat="1" ht="12.75">
      <c r="A39" s="4397"/>
      <c r="B39" s="4397"/>
      <c r="C39" s="4397"/>
      <c r="D39" s="4397"/>
      <c r="E39" s="4397"/>
      <c r="F39" s="4397"/>
      <c r="G39" s="4397"/>
      <c r="H39" s="4397"/>
      <c r="I39" s="4397"/>
      <c r="J39" s="4397"/>
      <c r="K39" s="4397"/>
      <c r="L39" s="4397"/>
      <c r="M39" s="4397"/>
      <c r="N39" s="4397"/>
      <c r="O39" s="4397"/>
      <c r="P39" s="4397"/>
      <c r="Q39" s="4397"/>
      <c r="R39" s="4397"/>
      <c r="S39" s="4397"/>
      <c r="T39" s="4397"/>
      <c r="U39" s="4397"/>
      <c r="V39" s="4397"/>
      <c r="W39" s="4397"/>
      <c r="X39" s="4397"/>
      <c r="Y39" s="4397"/>
      <c r="Z39" s="4397"/>
      <c r="AA39" s="4397"/>
      <c r="AB39" s="4397"/>
      <c r="AC39" s="4397"/>
      <c r="AD39" s="4397"/>
      <c r="AE39" s="4397"/>
      <c r="AF39" s="4397"/>
      <c r="AG39" s="4397"/>
      <c r="AH39" s="4397"/>
      <c r="AI39" s="4397"/>
      <c r="AJ39" s="4397"/>
      <c r="AK39" s="4397"/>
      <c r="AL39" s="4397"/>
      <c r="AM39" s="4397"/>
      <c r="AN39" s="4397"/>
      <c r="AO39" s="4397"/>
      <c r="AP39" s="4397"/>
      <c r="AQ39" s="4397"/>
      <c r="AR39" s="4397"/>
      <c r="AS39" s="4397"/>
      <c r="AT39" s="4397"/>
      <c r="AU39" s="4397"/>
      <c r="AV39" s="4397"/>
      <c r="AW39" s="4397"/>
      <c r="AX39" s="4397"/>
      <c r="AY39" s="4397"/>
      <c r="AZ39" s="4397"/>
    </row>
    <row r="40" spans="1:57" s="2244" customFormat="1" ht="6" customHeight="1">
      <c r="AZ40" s="2452"/>
    </row>
    <row r="41" spans="1:57" s="2244" customFormat="1" ht="15.75" customHeight="1">
      <c r="A41" s="2244" t="s">
        <v>3421</v>
      </c>
      <c r="BD41" s="2429"/>
    </row>
    <row r="42" spans="1:57" s="2244" customFormat="1" ht="12.75">
      <c r="AZ42" s="2452"/>
    </row>
    <row r="43" spans="1:57" s="2244" customFormat="1" ht="12.75">
      <c r="AZ43" s="2452"/>
    </row>
    <row r="44" spans="1:57" s="2244" customFormat="1" ht="12.75">
      <c r="AZ44" s="2452"/>
    </row>
    <row r="45" spans="1:57" s="2244" customFormat="1" ht="12.75">
      <c r="AZ45" s="2452"/>
    </row>
    <row r="46" spans="1:57" s="2244" customFormat="1" ht="12.75">
      <c r="AZ46" s="2452"/>
    </row>
    <row r="47" spans="1:57" s="2244" customFormat="1" ht="12.75">
      <c r="AZ47" s="2452"/>
    </row>
    <row r="48" spans="1:57" s="2244" customFormat="1" ht="12.75">
      <c r="AZ48" s="2452"/>
    </row>
    <row r="49" spans="52:52" s="2244" customFormat="1" ht="12.75">
      <c r="AZ49" s="2452"/>
    </row>
    <row r="50" spans="52:52" s="2244" customFormat="1" ht="12.75">
      <c r="AZ50" s="2452"/>
    </row>
    <row r="51" spans="52:52" s="2244" customFormat="1" ht="12.75">
      <c r="AZ51" s="2452"/>
    </row>
    <row r="52" spans="52:52" s="2244" customFormat="1" ht="12.75">
      <c r="AZ52" s="2452"/>
    </row>
    <row r="53" spans="52:52" s="2244" customFormat="1" ht="12.75">
      <c r="AZ53" s="2452"/>
    </row>
    <row r="54" spans="52:52" s="2244" customFormat="1" ht="12.75">
      <c r="AZ54" s="2452"/>
    </row>
    <row r="55" spans="52:52">
      <c r="AZ55" s="2452"/>
    </row>
    <row r="56" spans="52:52">
      <c r="AZ56" s="2452"/>
    </row>
    <row r="57" spans="52:52">
      <c r="AZ57" s="2452"/>
    </row>
    <row r="58" spans="52:52">
      <c r="AZ58" s="2244"/>
    </row>
    <row r="59" spans="52:52">
      <c r="AZ59" s="2245"/>
    </row>
    <row r="60" spans="52:52">
      <c r="AZ60" s="2245"/>
    </row>
    <row r="61" spans="52:52">
      <c r="AZ61" s="2436"/>
    </row>
  </sheetData>
  <sheetProtection algorithmName="SHA-512" hashValue="Nzh6e6eELtwTfcOzsqNlblwjBVne2e+BEHlYQqEcP10TxbHWIWcFmFwCy/klnFILo9ZIt93HgE2b1euwi+zjtw==" saltValue="A+y4JcDP0rxZy6uBh9sI3A==" spinCount="100000" sheet="1" objects="1" scenarios="1"/>
  <mergeCells count="95">
    <mergeCell ref="AN29:AR29"/>
    <mergeCell ref="AN30:AR30"/>
    <mergeCell ref="AT29:AX29"/>
    <mergeCell ref="AT30:AX30"/>
    <mergeCell ref="S29:Z29"/>
    <mergeCell ref="S30:Z30"/>
    <mergeCell ref="AB29:AF29"/>
    <mergeCell ref="AH29:AL29"/>
    <mergeCell ref="AB30:AF30"/>
    <mergeCell ref="AH30:AL30"/>
    <mergeCell ref="A1:AZ1"/>
    <mergeCell ref="A2:AZ2"/>
    <mergeCell ref="A3:AZ3"/>
    <mergeCell ref="A4:AZ4"/>
    <mergeCell ref="A5:AB5"/>
    <mergeCell ref="AC5:AZ5"/>
    <mergeCell ref="N7:AL7"/>
    <mergeCell ref="AU7:AZ7"/>
    <mergeCell ref="N9:AL9"/>
    <mergeCell ref="A11:AY14"/>
    <mergeCell ref="S16:Z16"/>
    <mergeCell ref="AN16:AR16"/>
    <mergeCell ref="S17:Z17"/>
    <mergeCell ref="AN17:AR17"/>
    <mergeCell ref="S18:Z18"/>
    <mergeCell ref="AB18:AF18"/>
    <mergeCell ref="AH18:AL18"/>
    <mergeCell ref="AN18:AR18"/>
    <mergeCell ref="AT18:AX18"/>
    <mergeCell ref="S19:Z19"/>
    <mergeCell ref="AB19:AF19"/>
    <mergeCell ref="AH19:AL19"/>
    <mergeCell ref="AN19:AR19"/>
    <mergeCell ref="AT19:AX19"/>
    <mergeCell ref="E20:R21"/>
    <mergeCell ref="S20:Z21"/>
    <mergeCell ref="AB20:AF21"/>
    <mergeCell ref="AH20:AL21"/>
    <mergeCell ref="AN20:AR21"/>
    <mergeCell ref="AZ20:AZ21"/>
    <mergeCell ref="S22:Z22"/>
    <mergeCell ref="AB22:AF22"/>
    <mergeCell ref="AH22:AL22"/>
    <mergeCell ref="AN22:AR22"/>
    <mergeCell ref="AT22:AX22"/>
    <mergeCell ref="AT20:AX21"/>
    <mergeCell ref="S24:Z24"/>
    <mergeCell ref="AB24:AF24"/>
    <mergeCell ref="AH24:AL24"/>
    <mergeCell ref="AN24:AR24"/>
    <mergeCell ref="AT24:AX24"/>
    <mergeCell ref="S23:Z23"/>
    <mergeCell ref="AB23:AF23"/>
    <mergeCell ref="AH23:AL23"/>
    <mergeCell ref="AN23:AR23"/>
    <mergeCell ref="AT23:AX23"/>
    <mergeCell ref="E25:R26"/>
    <mergeCell ref="S25:Z26"/>
    <mergeCell ref="AB25:AF26"/>
    <mergeCell ref="AH25:AL26"/>
    <mergeCell ref="AN25:AR26"/>
    <mergeCell ref="AZ25:AZ26"/>
    <mergeCell ref="S27:Z27"/>
    <mergeCell ref="AB27:AF27"/>
    <mergeCell ref="AH27:AL27"/>
    <mergeCell ref="AN27:AR27"/>
    <mergeCell ref="AT27:AX27"/>
    <mergeCell ref="AT25:AX25"/>
    <mergeCell ref="A38:AZ39"/>
    <mergeCell ref="S32:Z32"/>
    <mergeCell ref="AB32:AF32"/>
    <mergeCell ref="AH32:AL32"/>
    <mergeCell ref="AN32:AR32"/>
    <mergeCell ref="AT32:AX32"/>
    <mergeCell ref="S33:Z33"/>
    <mergeCell ref="AB33:AF33"/>
    <mergeCell ref="AH33:AL33"/>
    <mergeCell ref="AN33:AR33"/>
    <mergeCell ref="AT33:AX33"/>
    <mergeCell ref="BC20:BC21"/>
    <mergeCell ref="S34:Z34"/>
    <mergeCell ref="AB34:AF34"/>
    <mergeCell ref="AH34:AL34"/>
    <mergeCell ref="AN34:AR34"/>
    <mergeCell ref="AT34:AX34"/>
    <mergeCell ref="S28:Z28"/>
    <mergeCell ref="AB28:AF28"/>
    <mergeCell ref="AH28:AL28"/>
    <mergeCell ref="AN28:AR28"/>
    <mergeCell ref="AT28:AX28"/>
    <mergeCell ref="S31:Z31"/>
    <mergeCell ref="AB31:AF31"/>
    <mergeCell ref="AH31:AL31"/>
    <mergeCell ref="AN31:AR31"/>
    <mergeCell ref="AT31:AX31"/>
  </mergeCells>
  <conditionalFormatting sqref="BC20:BC21">
    <cfRule type="cellIs" dxfId="231" priority="23" operator="notEqual">
      <formula>$AN$20</formula>
    </cfRule>
    <cfRule type="cellIs" dxfId="230" priority="24" operator="equal">
      <formula>$AN$20</formula>
    </cfRule>
  </conditionalFormatting>
  <conditionalFormatting sqref="BC27">
    <cfRule type="cellIs" dxfId="229" priority="21" operator="notEqual">
      <formula>$AN$27</formula>
    </cfRule>
    <cfRule type="cellIs" dxfId="228" priority="22" operator="equal">
      <formula>$AN$27</formula>
    </cfRule>
  </conditionalFormatting>
  <conditionalFormatting sqref="BC28">
    <cfRule type="cellIs" dxfId="227" priority="9" operator="notEqual">
      <formula>$AN$28</formula>
    </cfRule>
    <cfRule type="cellIs" dxfId="226" priority="10" operator="equal">
      <formula>$AN$28</formula>
    </cfRule>
  </conditionalFormatting>
  <conditionalFormatting sqref="BC29">
    <cfRule type="cellIs" dxfId="225" priority="7" operator="notEqual">
      <formula>$AN$29</formula>
    </cfRule>
    <cfRule type="cellIs" dxfId="224" priority="8" operator="equal">
      <formula>$AN$29</formula>
    </cfRule>
  </conditionalFormatting>
  <conditionalFormatting sqref="BC30">
    <cfRule type="cellIs" dxfId="223" priority="5" operator="notEqual">
      <formula>$AN$30</formula>
    </cfRule>
    <cfRule type="cellIs" dxfId="222" priority="6" operator="equal">
      <formula>$AN$30</formula>
    </cfRule>
  </conditionalFormatting>
  <conditionalFormatting sqref="BC31">
    <cfRule type="cellIs" dxfId="221" priority="3" operator="notEqual">
      <formula>$AN$31</formula>
    </cfRule>
    <cfRule type="cellIs" dxfId="220" priority="4" operator="equal">
      <formula>$AN$31</formula>
    </cfRule>
  </conditionalFormatting>
  <conditionalFormatting sqref="BC34">
    <cfRule type="cellIs" dxfId="219" priority="1" operator="notEqual">
      <formula>$AN$34</formula>
    </cfRule>
    <cfRule type="cellIs" dxfId="218" priority="2" operator="equal">
      <formula>$AN$34</formula>
    </cfRule>
  </conditionalFormatting>
  <printOptions horizontalCentered="1"/>
  <pageMargins left="0.4" right="0.25" top="0.25" bottom="0.5" header="0.5" footer="0.25"/>
  <pageSetup scale="70" orientation="landscape" r:id="rId1"/>
  <headerFooter alignWithMargins="0">
    <oddFooter>&amp;LDFS-A1-1893</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99"/>
    <pageSetUpPr fitToPage="1"/>
  </sheetPr>
  <dimension ref="A1:O43"/>
  <sheetViews>
    <sheetView workbookViewId="0"/>
  </sheetViews>
  <sheetFormatPr defaultColWidth="9.140625" defaultRowHeight="12.75"/>
  <cols>
    <col min="1" max="1" width="35.140625" style="1469" customWidth="1"/>
    <col min="2" max="2" width="20" style="1469" customWidth="1"/>
    <col min="3" max="5" width="4.42578125" style="1469" customWidth="1"/>
    <col min="6" max="7" width="9.140625" style="1469"/>
    <col min="8" max="8" width="24.28515625" style="1469" customWidth="1"/>
    <col min="9" max="9" width="1.7109375" style="1479" customWidth="1"/>
    <col min="10" max="10" width="19.5703125" style="1469" customWidth="1"/>
    <col min="11" max="16384" width="9.140625" style="1469"/>
  </cols>
  <sheetData>
    <row r="1" spans="1:15" ht="15.75">
      <c r="B1" s="3028" t="s">
        <v>3422</v>
      </c>
      <c r="C1" s="2536"/>
      <c r="D1" s="2536"/>
      <c r="E1" s="2536"/>
      <c r="F1" s="2536"/>
      <c r="G1" s="2536"/>
      <c r="H1" s="2536"/>
      <c r="I1" s="3246"/>
      <c r="J1" s="2536"/>
      <c r="K1" s="1470"/>
      <c r="L1" s="1470"/>
    </row>
    <row r="2" spans="1:15" ht="15.75">
      <c r="B2" s="3029" t="s">
        <v>3423</v>
      </c>
      <c r="C2" s="2690"/>
      <c r="D2" s="2690"/>
      <c r="E2" s="2690"/>
      <c r="F2" s="2690"/>
      <c r="G2" s="2690"/>
      <c r="H2" s="2690"/>
      <c r="I2" s="4115"/>
      <c r="J2" s="2690"/>
      <c r="K2" s="1511"/>
      <c r="L2" s="1511"/>
    </row>
    <row r="3" spans="1:15" ht="15.75">
      <c r="B3" s="3028" t="s">
        <v>3424</v>
      </c>
      <c r="C3" s="2536"/>
      <c r="D3" s="2536"/>
      <c r="E3" s="2536"/>
      <c r="F3" s="2536"/>
      <c r="G3" s="2536"/>
      <c r="H3" s="2536"/>
      <c r="I3" s="3246"/>
      <c r="J3" s="2536"/>
      <c r="K3" s="1511"/>
      <c r="L3" s="1511"/>
    </row>
    <row r="4" spans="1:15" ht="15.75">
      <c r="B4" s="3036" t="str">
        <f>'CU3-Deficit Ending Equity'!D4</f>
        <v>June 30, 2021</v>
      </c>
      <c r="C4" s="2721"/>
      <c r="D4" s="2721"/>
      <c r="E4" s="2721"/>
      <c r="F4" s="2721"/>
      <c r="G4" s="2721"/>
      <c r="H4" s="2721"/>
      <c r="I4" s="4116"/>
      <c r="J4" s="2721"/>
      <c r="K4" s="1522"/>
      <c r="L4" s="1522"/>
    </row>
    <row r="5" spans="1:15" ht="15.75">
      <c r="A5" s="1502"/>
      <c r="B5" s="1502"/>
      <c r="C5" s="1502"/>
      <c r="D5" s="1502"/>
      <c r="E5" s="1502"/>
      <c r="F5" s="1502"/>
      <c r="G5" s="1502"/>
      <c r="H5" s="1502"/>
      <c r="I5" s="4117"/>
      <c r="J5" s="1502"/>
      <c r="K5" s="1522"/>
      <c r="L5" s="1522"/>
    </row>
    <row r="6" spans="1:15" ht="15">
      <c r="A6" s="1468"/>
      <c r="B6" s="1468"/>
      <c r="C6" s="1468"/>
      <c r="D6" s="1468"/>
      <c r="E6" s="1468"/>
      <c r="F6" s="1468"/>
    </row>
    <row r="7" spans="1:15" ht="15.75">
      <c r="A7" s="1470" t="s">
        <v>3101</v>
      </c>
      <c r="B7" s="2718" t="str">
        <f>'CU1-Deposits'!F7</f>
        <v>SAMPLE STATE COLLEGE</v>
      </c>
      <c r="C7" s="2718"/>
      <c r="D7" s="2718"/>
      <c r="E7" s="2718"/>
      <c r="F7" s="2718"/>
      <c r="G7" s="2718"/>
      <c r="H7" s="2718"/>
      <c r="I7" s="3246"/>
      <c r="J7" s="1473"/>
      <c r="K7" s="1473"/>
    </row>
    <row r="8" spans="1:15" ht="12.75" customHeight="1">
      <c r="A8" s="1471"/>
      <c r="B8" s="1472"/>
      <c r="C8" s="1472"/>
      <c r="D8" s="1472"/>
      <c r="E8" s="1472"/>
      <c r="F8" s="1472"/>
      <c r="G8" s="1472"/>
      <c r="H8" s="1472"/>
      <c r="I8" s="1476"/>
      <c r="J8" s="1473"/>
      <c r="K8" s="1473"/>
    </row>
    <row r="9" spans="1:15" ht="15.75">
      <c r="A9" s="1511" t="s">
        <v>3102</v>
      </c>
      <c r="B9" s="2719" t="e">
        <f>'CU1-Deposits'!F9</f>
        <v>#N/A</v>
      </c>
      <c r="C9" s="2719"/>
      <c r="D9" s="2719"/>
      <c r="E9" s="2719"/>
      <c r="F9" s="2719"/>
      <c r="G9" s="2719"/>
      <c r="H9" s="2719"/>
      <c r="I9" s="3917"/>
    </row>
    <row r="10" spans="1:15">
      <c r="A10" s="1485"/>
      <c r="H10" s="1523"/>
      <c r="I10" s="1488"/>
    </row>
    <row r="11" spans="1:15" s="1528" customFormat="1" ht="15">
      <c r="A11" s="1528" t="s">
        <v>4209</v>
      </c>
      <c r="B11" s="3918"/>
      <c r="F11" s="3919"/>
      <c r="H11" s="3920"/>
      <c r="I11" s="4118"/>
      <c r="J11" s="3921"/>
    </row>
    <row r="12" spans="1:15">
      <c r="B12" s="1523"/>
      <c r="F12" s="1525"/>
      <c r="H12" s="1524"/>
      <c r="I12" s="4119"/>
      <c r="J12" s="1489"/>
    </row>
    <row r="13" spans="1:15" ht="14.25">
      <c r="A13" s="1526" t="s">
        <v>3425</v>
      </c>
      <c r="B13" s="1523"/>
      <c r="F13" s="1525"/>
      <c r="H13" s="1524"/>
      <c r="I13" s="4119"/>
    </row>
    <row r="14" spans="1:15">
      <c r="B14" s="1523"/>
      <c r="F14" s="1523"/>
      <c r="H14" s="1523"/>
      <c r="I14" s="1488"/>
    </row>
    <row r="15" spans="1:15" ht="15">
      <c r="A15" s="1527" t="s">
        <v>3426</v>
      </c>
      <c r="B15" s="3554">
        <f>SRECNP!O62</f>
        <v>0</v>
      </c>
      <c r="D15" s="1528" t="s">
        <v>3427</v>
      </c>
    </row>
    <row r="16" spans="1:15">
      <c r="A16" s="1485"/>
      <c r="B16" s="1529"/>
      <c r="C16" s="1498"/>
      <c r="D16" s="1498"/>
      <c r="E16" s="1498"/>
      <c r="F16" s="1529"/>
      <c r="G16" s="1498"/>
      <c r="H16" s="1530"/>
      <c r="I16" s="4113"/>
      <c r="J16" s="1498"/>
    </row>
    <row r="17" spans="1:11" ht="15">
      <c r="A17" s="2720" t="s">
        <v>3428</v>
      </c>
      <c r="B17" s="2720"/>
      <c r="C17" s="2720"/>
      <c r="D17" s="2720"/>
      <c r="E17" s="2720"/>
      <c r="F17" s="2720"/>
      <c r="G17" s="2720"/>
      <c r="H17" s="2720"/>
      <c r="I17" s="4120"/>
      <c r="J17" s="1531" t="s">
        <v>2776</v>
      </c>
    </row>
    <row r="18" spans="1:11" ht="14.25">
      <c r="A18" s="1532"/>
      <c r="B18" s="1532"/>
      <c r="C18" s="1532"/>
      <c r="D18" s="1532"/>
      <c r="E18" s="1532"/>
      <c r="F18" s="1532"/>
      <c r="G18" s="1532"/>
      <c r="H18" s="1532"/>
      <c r="I18" s="4114"/>
      <c r="J18" s="1533"/>
      <c r="K18" s="1528"/>
    </row>
    <row r="19" spans="1:11" ht="14.25">
      <c r="A19" s="2717"/>
      <c r="B19" s="2717"/>
      <c r="C19" s="2717"/>
      <c r="D19" s="2717"/>
      <c r="E19" s="2717"/>
      <c r="F19" s="2717"/>
      <c r="G19" s="2717"/>
      <c r="H19" s="2717"/>
      <c r="I19" s="4121"/>
      <c r="J19" s="1674"/>
      <c r="K19" s="1528"/>
    </row>
    <row r="20" spans="1:11" ht="14.25">
      <c r="A20" s="1532"/>
      <c r="B20" s="1532"/>
      <c r="C20" s="1532"/>
      <c r="D20" s="1532"/>
      <c r="E20" s="1532"/>
      <c r="F20" s="1532"/>
      <c r="G20" s="1532"/>
      <c r="H20" s="1532"/>
      <c r="I20" s="4114"/>
      <c r="J20" s="1535"/>
      <c r="K20" s="1528"/>
    </row>
    <row r="21" spans="1:11" ht="14.25">
      <c r="A21" s="2717"/>
      <c r="B21" s="2717"/>
      <c r="C21" s="2717"/>
      <c r="D21" s="2717"/>
      <c r="E21" s="2717"/>
      <c r="F21" s="2717"/>
      <c r="G21" s="2717"/>
      <c r="H21" s="2717"/>
      <c r="I21" s="4121"/>
      <c r="J21" s="1674"/>
      <c r="K21" s="1528"/>
    </row>
    <row r="22" spans="1:11" ht="14.25">
      <c r="A22" s="1532"/>
      <c r="B22" s="1532"/>
      <c r="C22" s="1532"/>
      <c r="D22" s="1532"/>
      <c r="E22" s="1532"/>
      <c r="F22" s="1532"/>
      <c r="G22" s="1532"/>
      <c r="H22" s="1532"/>
      <c r="I22" s="4114"/>
      <c r="J22" s="1536"/>
      <c r="K22" s="1528"/>
    </row>
    <row r="23" spans="1:11" ht="14.25">
      <c r="A23" s="2717"/>
      <c r="B23" s="2717"/>
      <c r="C23" s="2717"/>
      <c r="D23" s="2717"/>
      <c r="E23" s="2717"/>
      <c r="F23" s="2717"/>
      <c r="G23" s="2717"/>
      <c r="H23" s="2717"/>
      <c r="I23" s="4121"/>
      <c r="J23" s="1674"/>
      <c r="K23" s="1528"/>
    </row>
    <row r="24" spans="1:11" ht="14.25">
      <c r="A24" s="1537"/>
      <c r="B24" s="1537"/>
      <c r="C24" s="1537"/>
      <c r="D24" s="1537"/>
      <c r="E24" s="1537"/>
      <c r="F24" s="1537"/>
      <c r="G24" s="1537"/>
      <c r="H24" s="1537"/>
      <c r="I24" s="4114"/>
      <c r="J24" s="1538"/>
      <c r="K24" s="1528"/>
    </row>
    <row r="25" spans="1:11" ht="14.25">
      <c r="A25" s="2717"/>
      <c r="B25" s="2717"/>
      <c r="C25" s="2717"/>
      <c r="D25" s="2717"/>
      <c r="E25" s="2717"/>
      <c r="F25" s="2717"/>
      <c r="G25" s="2717"/>
      <c r="H25" s="2717"/>
      <c r="I25" s="4121"/>
      <c r="J25" s="1674"/>
      <c r="K25" s="1528"/>
    </row>
    <row r="26" spans="1:11" ht="14.25">
      <c r="A26" s="1537"/>
      <c r="B26" s="1537"/>
      <c r="C26" s="1537"/>
      <c r="D26" s="1537"/>
      <c r="E26" s="1537"/>
      <c r="F26" s="1537"/>
      <c r="G26" s="1537"/>
      <c r="H26" s="1537"/>
      <c r="I26" s="4114"/>
      <c r="J26" s="1538"/>
      <c r="K26" s="1528"/>
    </row>
    <row r="27" spans="1:11" ht="14.25">
      <c r="A27" s="2717"/>
      <c r="B27" s="2717"/>
      <c r="C27" s="2717"/>
      <c r="D27" s="2717"/>
      <c r="E27" s="2717"/>
      <c r="F27" s="2717"/>
      <c r="G27" s="2717"/>
      <c r="H27" s="2717"/>
      <c r="I27" s="4121"/>
      <c r="J27" s="1611"/>
      <c r="K27" s="1528"/>
    </row>
    <row r="28" spans="1:11" ht="14.25">
      <c r="A28" s="1537"/>
      <c r="B28" s="1537"/>
      <c r="C28" s="1537"/>
      <c r="D28" s="1537"/>
      <c r="E28" s="1537"/>
      <c r="F28" s="1537"/>
      <c r="G28" s="1537"/>
      <c r="H28" s="1537"/>
      <c r="I28" s="4114"/>
      <c r="J28" s="1607"/>
      <c r="K28" s="1528"/>
    </row>
    <row r="29" spans="1:11" ht="14.25">
      <c r="A29" s="2715"/>
      <c r="B29" s="2715"/>
      <c r="C29" s="2715"/>
      <c r="D29" s="2715"/>
      <c r="E29" s="2715"/>
      <c r="F29" s="2715"/>
      <c r="G29" s="2715"/>
      <c r="H29" s="2715"/>
      <c r="I29" s="4122"/>
      <c r="J29" s="1611"/>
      <c r="K29" s="1528"/>
    </row>
    <row r="30" spans="1:11" ht="14.25">
      <c r="A30" s="1537"/>
      <c r="B30" s="1537"/>
      <c r="C30" s="1537"/>
      <c r="D30" s="1537"/>
      <c r="E30" s="1537"/>
      <c r="F30" s="1537"/>
      <c r="G30" s="1537"/>
      <c r="H30" s="1537"/>
      <c r="I30" s="4114"/>
      <c r="J30" s="1538"/>
      <c r="K30" s="1528"/>
    </row>
    <row r="31" spans="1:11" ht="14.25">
      <c r="A31" s="2715"/>
      <c r="B31" s="2715"/>
      <c r="C31" s="2715"/>
      <c r="D31" s="2715"/>
      <c r="E31" s="2715"/>
      <c r="F31" s="2715"/>
      <c r="G31" s="2715"/>
      <c r="H31" s="2715"/>
      <c r="I31" s="4122"/>
      <c r="J31" s="1611"/>
      <c r="K31" s="1528"/>
    </row>
    <row r="32" spans="1:11" ht="14.25">
      <c r="A32" s="1537"/>
      <c r="B32" s="1537"/>
      <c r="C32" s="1537"/>
      <c r="D32" s="1537"/>
      <c r="E32" s="1537"/>
      <c r="F32" s="1537"/>
      <c r="G32" s="1537"/>
      <c r="H32" s="1537"/>
      <c r="I32" s="4114"/>
      <c r="J32" s="1538"/>
      <c r="K32" s="1528"/>
    </row>
    <row r="33" spans="1:11" ht="14.25">
      <c r="A33" s="2715"/>
      <c r="B33" s="2715"/>
      <c r="C33" s="2715"/>
      <c r="D33" s="2715"/>
      <c r="E33" s="2715"/>
      <c r="F33" s="2715"/>
      <c r="G33" s="2715"/>
      <c r="H33" s="2715"/>
      <c r="I33" s="4122"/>
      <c r="J33" s="1611"/>
      <c r="K33" s="1528"/>
    </row>
    <row r="34" spans="1:11" ht="14.25">
      <c r="A34" s="1537"/>
      <c r="B34" s="1537"/>
      <c r="C34" s="1537"/>
      <c r="D34" s="1537"/>
      <c r="E34" s="1537"/>
      <c r="F34" s="1537"/>
      <c r="G34" s="1537"/>
      <c r="H34" s="1537"/>
      <c r="I34" s="4114"/>
      <c r="J34" s="1538"/>
      <c r="K34" s="1528"/>
    </row>
    <row r="35" spans="1:11" ht="14.25">
      <c r="A35" s="2715"/>
      <c r="B35" s="2715"/>
      <c r="C35" s="2715"/>
      <c r="D35" s="2715"/>
      <c r="E35" s="2715"/>
      <c r="F35" s="2715"/>
      <c r="G35" s="2715"/>
      <c r="H35" s="2715"/>
      <c r="I35" s="4122"/>
      <c r="J35" s="1611"/>
      <c r="K35" s="1528"/>
    </row>
    <row r="36" spans="1:11" ht="14.25">
      <c r="A36" s="1537"/>
      <c r="B36" s="1537"/>
      <c r="C36" s="1537"/>
      <c r="D36" s="1537"/>
      <c r="E36" s="1537"/>
      <c r="F36" s="1537"/>
      <c r="G36" s="1537"/>
      <c r="H36" s="1537"/>
      <c r="I36" s="4114"/>
      <c r="J36" s="1538"/>
      <c r="K36" s="1528"/>
    </row>
    <row r="37" spans="1:11" ht="14.25">
      <c r="A37" s="2715"/>
      <c r="B37" s="2715"/>
      <c r="C37" s="2715"/>
      <c r="D37" s="2715"/>
      <c r="E37" s="2715"/>
      <c r="F37" s="2715"/>
      <c r="G37" s="2715"/>
      <c r="H37" s="2715"/>
      <c r="I37" s="4122"/>
      <c r="J37" s="1611"/>
      <c r="K37" s="1528"/>
    </row>
    <row r="38" spans="1:11" ht="14.25">
      <c r="A38" s="1537"/>
      <c r="B38" s="1537"/>
      <c r="C38" s="1537"/>
      <c r="D38" s="1537"/>
      <c r="E38" s="1537"/>
      <c r="F38" s="1537"/>
      <c r="G38" s="1537"/>
      <c r="H38" s="1537"/>
      <c r="I38" s="4114"/>
      <c r="J38" s="1538"/>
      <c r="K38" s="1528"/>
    </row>
    <row r="39" spans="1:11" ht="14.25">
      <c r="A39" s="2715"/>
      <c r="B39" s="2715"/>
      <c r="C39" s="2715"/>
      <c r="D39" s="2715"/>
      <c r="E39" s="2715"/>
      <c r="F39" s="2715"/>
      <c r="G39" s="2715"/>
      <c r="H39" s="2715"/>
      <c r="I39" s="4122"/>
      <c r="J39" s="1611"/>
      <c r="K39" s="1528"/>
    </row>
    <row r="40" spans="1:11" ht="14.25">
      <c r="A40" s="1537"/>
      <c r="B40" s="1537"/>
      <c r="C40" s="1537"/>
      <c r="D40" s="1537"/>
      <c r="E40" s="1537"/>
      <c r="F40" s="1537"/>
      <c r="G40" s="1537"/>
      <c r="H40" s="1537"/>
      <c r="I40" s="4114"/>
      <c r="J40" s="1538"/>
      <c r="K40" s="1528"/>
    </row>
    <row r="41" spans="1:11" ht="14.25">
      <c r="A41" s="2715"/>
      <c r="B41" s="2715"/>
      <c r="C41" s="2715"/>
      <c r="D41" s="2715"/>
      <c r="E41" s="2715"/>
      <c r="F41" s="2715"/>
      <c r="G41" s="2715"/>
      <c r="H41" s="2715"/>
      <c r="I41" s="4122"/>
      <c r="J41" s="1611"/>
      <c r="K41" s="1528"/>
    </row>
    <row r="42" spans="1:11" ht="14.25">
      <c r="A42" s="1528"/>
      <c r="B42" s="1528"/>
      <c r="C42" s="1528"/>
      <c r="D42" s="1528"/>
      <c r="E42" s="1528"/>
      <c r="F42" s="1528"/>
      <c r="G42" s="1528"/>
      <c r="H42" s="1528"/>
      <c r="I42" s="4123"/>
      <c r="J42" s="1538"/>
      <c r="K42" s="1528"/>
    </row>
    <row r="43" spans="1:11" ht="15">
      <c r="A43" s="2716"/>
      <c r="B43" s="2716"/>
      <c r="C43" s="2716"/>
      <c r="D43" s="2716"/>
      <c r="E43" s="2716"/>
      <c r="F43" s="2716"/>
      <c r="G43" s="2716"/>
      <c r="H43" s="1472" t="s">
        <v>108</v>
      </c>
      <c r="I43" s="1476"/>
      <c r="J43" s="1534">
        <f>SUM(J19+J21+J23+J25+J27+J29+J31+J33+J35+J37+J39+J41)</f>
        <v>0</v>
      </c>
    </row>
  </sheetData>
  <sheetProtection algorithmName="SHA-512" hashValue="sfjcODOQyMv1MiEKwCXB1eFPb7UH+Z6OpCo7VQB2BwIRoJtQWWgs/WKeo7DPUsyvOThVZspejh/W3Ah+9Mkj5g==" saltValue="KnsHpSAMqCA94mahv6ZjoQ==" spinCount="100000" sheet="1" objects="1" scenarios="1"/>
  <conditionalFormatting sqref="D15">
    <cfRule type="expression" dxfId="217" priority="1">
      <formula>#REF!&lt;&gt;$J$43</formula>
    </cfRule>
  </conditionalFormatting>
  <pageMargins left="0.7" right="0.7" top="0.75" bottom="0.75" header="0.3" footer="0.3"/>
  <pageSetup scale="83"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A31"/>
  <sheetViews>
    <sheetView zoomScaleNormal="100" workbookViewId="0"/>
  </sheetViews>
  <sheetFormatPr defaultRowHeight="12.75"/>
  <cols>
    <col min="1" max="1" width="189.7109375" style="2473" bestFit="1" customWidth="1"/>
    <col min="2" max="256" width="9.140625" style="2473"/>
    <col min="257" max="257" width="189.7109375" style="2473" bestFit="1" customWidth="1"/>
    <col min="258" max="512" width="9.140625" style="2473"/>
    <col min="513" max="513" width="189.7109375" style="2473" bestFit="1" customWidth="1"/>
    <col min="514" max="768" width="9.140625" style="2473"/>
    <col min="769" max="769" width="189.7109375" style="2473" bestFit="1" customWidth="1"/>
    <col min="770" max="1024" width="9.140625" style="2473"/>
    <col min="1025" max="1025" width="189.7109375" style="2473" bestFit="1" customWidth="1"/>
    <col min="1026" max="1280" width="9.140625" style="2473"/>
    <col min="1281" max="1281" width="189.7109375" style="2473" bestFit="1" customWidth="1"/>
    <col min="1282" max="1536" width="9.140625" style="2473"/>
    <col min="1537" max="1537" width="189.7109375" style="2473" bestFit="1" customWidth="1"/>
    <col min="1538" max="1792" width="9.140625" style="2473"/>
    <col min="1793" max="1793" width="189.7109375" style="2473" bestFit="1" customWidth="1"/>
    <col min="1794" max="2048" width="9.140625" style="2473"/>
    <col min="2049" max="2049" width="189.7109375" style="2473" bestFit="1" customWidth="1"/>
    <col min="2050" max="2304" width="9.140625" style="2473"/>
    <col min="2305" max="2305" width="189.7109375" style="2473" bestFit="1" customWidth="1"/>
    <col min="2306" max="2560" width="9.140625" style="2473"/>
    <col min="2561" max="2561" width="189.7109375" style="2473" bestFit="1" customWidth="1"/>
    <col min="2562" max="2816" width="9.140625" style="2473"/>
    <col min="2817" max="2817" width="189.7109375" style="2473" bestFit="1" customWidth="1"/>
    <col min="2818" max="3072" width="9.140625" style="2473"/>
    <col min="3073" max="3073" width="189.7109375" style="2473" bestFit="1" customWidth="1"/>
    <col min="3074" max="3328" width="9.140625" style="2473"/>
    <col min="3329" max="3329" width="189.7109375" style="2473" bestFit="1" customWidth="1"/>
    <col min="3330" max="3584" width="9.140625" style="2473"/>
    <col min="3585" max="3585" width="189.7109375" style="2473" bestFit="1" customWidth="1"/>
    <col min="3586" max="3840" width="9.140625" style="2473"/>
    <col min="3841" max="3841" width="189.7109375" style="2473" bestFit="1" customWidth="1"/>
    <col min="3842" max="4096" width="9.140625" style="2473"/>
    <col min="4097" max="4097" width="189.7109375" style="2473" bestFit="1" customWidth="1"/>
    <col min="4098" max="4352" width="9.140625" style="2473"/>
    <col min="4353" max="4353" width="189.7109375" style="2473" bestFit="1" customWidth="1"/>
    <col min="4354" max="4608" width="9.140625" style="2473"/>
    <col min="4609" max="4609" width="189.7109375" style="2473" bestFit="1" customWidth="1"/>
    <col min="4610" max="4864" width="9.140625" style="2473"/>
    <col min="4865" max="4865" width="189.7109375" style="2473" bestFit="1" customWidth="1"/>
    <col min="4866" max="5120" width="9.140625" style="2473"/>
    <col min="5121" max="5121" width="189.7109375" style="2473" bestFit="1" customWidth="1"/>
    <col min="5122" max="5376" width="9.140625" style="2473"/>
    <col min="5377" max="5377" width="189.7109375" style="2473" bestFit="1" customWidth="1"/>
    <col min="5378" max="5632" width="9.140625" style="2473"/>
    <col min="5633" max="5633" width="189.7109375" style="2473" bestFit="1" customWidth="1"/>
    <col min="5634" max="5888" width="9.140625" style="2473"/>
    <col min="5889" max="5889" width="189.7109375" style="2473" bestFit="1" customWidth="1"/>
    <col min="5890" max="6144" width="9.140625" style="2473"/>
    <col min="6145" max="6145" width="189.7109375" style="2473" bestFit="1" customWidth="1"/>
    <col min="6146" max="6400" width="9.140625" style="2473"/>
    <col min="6401" max="6401" width="189.7109375" style="2473" bestFit="1" customWidth="1"/>
    <col min="6402" max="6656" width="9.140625" style="2473"/>
    <col min="6657" max="6657" width="189.7109375" style="2473" bestFit="1" customWidth="1"/>
    <col min="6658" max="6912" width="9.140625" style="2473"/>
    <col min="6913" max="6913" width="189.7109375" style="2473" bestFit="1" customWidth="1"/>
    <col min="6914" max="7168" width="9.140625" style="2473"/>
    <col min="7169" max="7169" width="189.7109375" style="2473" bestFit="1" customWidth="1"/>
    <col min="7170" max="7424" width="9.140625" style="2473"/>
    <col min="7425" max="7425" width="189.7109375" style="2473" bestFit="1" customWidth="1"/>
    <col min="7426" max="7680" width="9.140625" style="2473"/>
    <col min="7681" max="7681" width="189.7109375" style="2473" bestFit="1" customWidth="1"/>
    <col min="7682" max="7936" width="9.140625" style="2473"/>
    <col min="7937" max="7937" width="189.7109375" style="2473" bestFit="1" customWidth="1"/>
    <col min="7938" max="8192" width="9.140625" style="2473"/>
    <col min="8193" max="8193" width="189.7109375" style="2473" bestFit="1" customWidth="1"/>
    <col min="8194" max="8448" width="9.140625" style="2473"/>
    <col min="8449" max="8449" width="189.7109375" style="2473" bestFit="1" customWidth="1"/>
    <col min="8450" max="8704" width="9.140625" style="2473"/>
    <col min="8705" max="8705" width="189.7109375" style="2473" bestFit="1" customWidth="1"/>
    <col min="8706" max="8960" width="9.140625" style="2473"/>
    <col min="8961" max="8961" width="189.7109375" style="2473" bestFit="1" customWidth="1"/>
    <col min="8962" max="9216" width="9.140625" style="2473"/>
    <col min="9217" max="9217" width="189.7109375" style="2473" bestFit="1" customWidth="1"/>
    <col min="9218" max="9472" width="9.140625" style="2473"/>
    <col min="9473" max="9473" width="189.7109375" style="2473" bestFit="1" customWidth="1"/>
    <col min="9474" max="9728" width="9.140625" style="2473"/>
    <col min="9729" max="9729" width="189.7109375" style="2473" bestFit="1" customWidth="1"/>
    <col min="9730" max="9984" width="9.140625" style="2473"/>
    <col min="9985" max="9985" width="189.7109375" style="2473" bestFit="1" customWidth="1"/>
    <col min="9986" max="10240" width="9.140625" style="2473"/>
    <col min="10241" max="10241" width="189.7109375" style="2473" bestFit="1" customWidth="1"/>
    <col min="10242" max="10496" width="9.140625" style="2473"/>
    <col min="10497" max="10497" width="189.7109375" style="2473" bestFit="1" customWidth="1"/>
    <col min="10498" max="10752" width="9.140625" style="2473"/>
    <col min="10753" max="10753" width="189.7109375" style="2473" bestFit="1" customWidth="1"/>
    <col min="10754" max="11008" width="9.140625" style="2473"/>
    <col min="11009" max="11009" width="189.7109375" style="2473" bestFit="1" customWidth="1"/>
    <col min="11010" max="11264" width="9.140625" style="2473"/>
    <col min="11265" max="11265" width="189.7109375" style="2473" bestFit="1" customWidth="1"/>
    <col min="11266" max="11520" width="9.140625" style="2473"/>
    <col min="11521" max="11521" width="189.7109375" style="2473" bestFit="1" customWidth="1"/>
    <col min="11522" max="11776" width="9.140625" style="2473"/>
    <col min="11777" max="11777" width="189.7109375" style="2473" bestFit="1" customWidth="1"/>
    <col min="11778" max="12032" width="9.140625" style="2473"/>
    <col min="12033" max="12033" width="189.7109375" style="2473" bestFit="1" customWidth="1"/>
    <col min="12034" max="12288" width="9.140625" style="2473"/>
    <col min="12289" max="12289" width="189.7109375" style="2473" bestFit="1" customWidth="1"/>
    <col min="12290" max="12544" width="9.140625" style="2473"/>
    <col min="12545" max="12545" width="189.7109375" style="2473" bestFit="1" customWidth="1"/>
    <col min="12546" max="12800" width="9.140625" style="2473"/>
    <col min="12801" max="12801" width="189.7109375" style="2473" bestFit="1" customWidth="1"/>
    <col min="12802" max="13056" width="9.140625" style="2473"/>
    <col min="13057" max="13057" width="189.7109375" style="2473" bestFit="1" customWidth="1"/>
    <col min="13058" max="13312" width="9.140625" style="2473"/>
    <col min="13313" max="13313" width="189.7109375" style="2473" bestFit="1" customWidth="1"/>
    <col min="13314" max="13568" width="9.140625" style="2473"/>
    <col min="13569" max="13569" width="189.7109375" style="2473" bestFit="1" customWidth="1"/>
    <col min="13570" max="13824" width="9.140625" style="2473"/>
    <col min="13825" max="13825" width="189.7109375" style="2473" bestFit="1" customWidth="1"/>
    <col min="13826" max="14080" width="9.140625" style="2473"/>
    <col min="14081" max="14081" width="189.7109375" style="2473" bestFit="1" customWidth="1"/>
    <col min="14082" max="14336" width="9.140625" style="2473"/>
    <col min="14337" max="14337" width="189.7109375" style="2473" bestFit="1" customWidth="1"/>
    <col min="14338" max="14592" width="9.140625" style="2473"/>
    <col min="14593" max="14593" width="189.7109375" style="2473" bestFit="1" customWidth="1"/>
    <col min="14594" max="14848" width="9.140625" style="2473"/>
    <col min="14849" max="14849" width="189.7109375" style="2473" bestFit="1" customWidth="1"/>
    <col min="14850" max="15104" width="9.140625" style="2473"/>
    <col min="15105" max="15105" width="189.7109375" style="2473" bestFit="1" customWidth="1"/>
    <col min="15106" max="15360" width="9.140625" style="2473"/>
    <col min="15361" max="15361" width="189.7109375" style="2473" bestFit="1" customWidth="1"/>
    <col min="15362" max="15616" width="9.140625" style="2473"/>
    <col min="15617" max="15617" width="189.7109375" style="2473" bestFit="1" customWidth="1"/>
    <col min="15618" max="15872" width="9.140625" style="2473"/>
    <col min="15873" max="15873" width="189.7109375" style="2473" bestFit="1" customWidth="1"/>
    <col min="15874" max="16128" width="9.140625" style="2473"/>
    <col min="16129" max="16129" width="189.7109375" style="2473" bestFit="1" customWidth="1"/>
    <col min="16130" max="16384" width="9.140625" style="2473"/>
  </cols>
  <sheetData>
    <row r="1" spans="1:1" ht="18.75">
      <c r="A1" s="2474" t="s">
        <v>3429</v>
      </c>
    </row>
    <row r="2" spans="1:1">
      <c r="A2" s="2473" t="s">
        <v>3430</v>
      </c>
    </row>
    <row r="4" spans="1:1" ht="18.75">
      <c r="A4" s="2474" t="s">
        <v>3431</v>
      </c>
    </row>
    <row r="6" spans="1:1">
      <c r="A6" s="2473" t="s">
        <v>3432</v>
      </c>
    </row>
    <row r="8" spans="1:1">
      <c r="A8" s="2473" t="s">
        <v>3433</v>
      </c>
    </row>
    <row r="10" spans="1:1">
      <c r="A10" s="2473" t="s">
        <v>3434</v>
      </c>
    </row>
    <row r="12" spans="1:1">
      <c r="A12" s="2473" t="s">
        <v>3435</v>
      </c>
    </row>
    <row r="14" spans="1:1">
      <c r="A14" s="2475" t="s">
        <v>3436</v>
      </c>
    </row>
    <row r="16" spans="1:1" ht="18.75">
      <c r="A16" s="2474" t="s">
        <v>3437</v>
      </c>
    </row>
    <row r="18" spans="1:1" ht="51">
      <c r="A18" s="2476" t="s">
        <v>3438</v>
      </c>
    </row>
    <row r="19" spans="1:1">
      <c r="A19" s="2475"/>
    </row>
    <row r="20" spans="1:1">
      <c r="A20" s="2477" t="s">
        <v>3439</v>
      </c>
    </row>
    <row r="22" spans="1:1">
      <c r="A22" s="2475" t="s">
        <v>3440</v>
      </c>
    </row>
    <row r="24" spans="1:1">
      <c r="A24" s="2475" t="s">
        <v>3441</v>
      </c>
    </row>
    <row r="26" spans="1:1">
      <c r="A26" s="2475" t="s">
        <v>3442</v>
      </c>
    </row>
    <row r="28" spans="1:1" ht="18.75">
      <c r="A28" s="2474" t="s">
        <v>3443</v>
      </c>
    </row>
    <row r="29" spans="1:1" ht="18" customHeight="1">
      <c r="A29" s="2473" t="s">
        <v>3444</v>
      </c>
    </row>
    <row r="31" spans="1:1">
      <c r="A31" s="2473" t="s">
        <v>3445</v>
      </c>
    </row>
  </sheetData>
  <sheetProtection password="E1DA"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66FF99"/>
    <pageSetUpPr autoPageBreaks="0" fitToPage="1"/>
  </sheetPr>
  <dimension ref="A1:AB98"/>
  <sheetViews>
    <sheetView zoomScaleNormal="100" workbookViewId="0"/>
  </sheetViews>
  <sheetFormatPr defaultColWidth="2.5703125" defaultRowHeight="15"/>
  <cols>
    <col min="1" max="1" width="3.5703125" style="1521" customWidth="1"/>
    <col min="2" max="2" width="5" style="1521" customWidth="1"/>
    <col min="3" max="3" width="2" style="1521" customWidth="1"/>
    <col min="4" max="4" width="5.140625" style="1521" customWidth="1"/>
    <col min="5" max="5" width="21.5703125" style="1521" customWidth="1"/>
    <col min="6" max="6" width="6.140625" style="1521" customWidth="1"/>
    <col min="7" max="7" width="16.85546875" style="1521" customWidth="1"/>
    <col min="8" max="8" width="3.7109375" style="1521" customWidth="1"/>
    <col min="9" max="9" width="24" style="1521" customWidth="1"/>
    <col min="10" max="10" width="3.42578125" style="1478" customWidth="1"/>
    <col min="11" max="11" width="18.7109375" style="1521" customWidth="1"/>
    <col min="12" max="12" width="2.42578125" style="1521" customWidth="1"/>
    <col min="13" max="13" width="16.85546875" style="3176" customWidth="1"/>
    <col min="14" max="14" width="21.7109375" style="1521" customWidth="1"/>
    <col min="15" max="15" width="1" style="1478" customWidth="1"/>
    <col min="16" max="16" width="18" style="1521" customWidth="1"/>
    <col min="17" max="22" width="2.5703125" style="1521"/>
    <col min="23" max="23" width="2.5703125" style="1521" hidden="1" customWidth="1"/>
    <col min="24" max="16384" width="2.5703125" style="1521"/>
  </cols>
  <sheetData>
    <row r="1" spans="1:28" ht="15.75">
      <c r="B1" s="2727"/>
      <c r="C1" s="2727"/>
      <c r="D1" s="2727"/>
      <c r="E1" s="2727"/>
      <c r="F1" s="2727"/>
      <c r="G1" s="2727"/>
      <c r="H1" s="2727"/>
      <c r="J1" s="3037" t="s">
        <v>3098</v>
      </c>
      <c r="K1" s="2727"/>
      <c r="L1" s="2727"/>
      <c r="M1" s="3173"/>
      <c r="N1" s="2727"/>
      <c r="O1" s="3246"/>
      <c r="P1" s="2727"/>
      <c r="Q1" s="1520"/>
      <c r="R1" s="1520"/>
      <c r="S1" s="1520"/>
      <c r="T1" s="1520"/>
      <c r="U1" s="1520"/>
      <c r="V1" s="1520"/>
      <c r="W1" s="1520"/>
      <c r="X1" s="1520"/>
      <c r="Y1" s="1520"/>
      <c r="Z1" s="1520"/>
      <c r="AA1" s="1520"/>
      <c r="AB1" s="1520"/>
    </row>
    <row r="2" spans="1:28" ht="15.75">
      <c r="B2" s="2727"/>
      <c r="C2" s="2727"/>
      <c r="D2" s="2727"/>
      <c r="E2" s="2727"/>
      <c r="F2" s="2727"/>
      <c r="G2" s="2727"/>
      <c r="H2" s="2727"/>
      <c r="J2" s="3037" t="s">
        <v>3446</v>
      </c>
      <c r="K2" s="2727"/>
      <c r="L2" s="2727"/>
      <c r="M2" s="3173"/>
      <c r="N2" s="2727"/>
      <c r="O2" s="3246"/>
      <c r="P2" s="2727"/>
      <c r="Q2" s="1520"/>
      <c r="R2" s="1520"/>
      <c r="S2" s="1520"/>
      <c r="T2" s="1520"/>
      <c r="U2" s="1520"/>
      <c r="V2" s="1520"/>
      <c r="W2" s="1520"/>
      <c r="X2" s="1520"/>
      <c r="Y2" s="1520"/>
      <c r="Z2" s="1520"/>
      <c r="AA2" s="1520"/>
      <c r="AB2" s="1520"/>
    </row>
    <row r="3" spans="1:28" ht="15.75">
      <c r="B3" s="2728"/>
      <c r="C3" s="2728"/>
      <c r="D3" s="2728"/>
      <c r="E3" s="2728"/>
      <c r="F3" s="2728"/>
      <c r="G3" s="2728"/>
      <c r="H3" s="2728"/>
      <c r="J3" s="3038" t="s">
        <v>3447</v>
      </c>
      <c r="K3" s="2728"/>
      <c r="L3" s="2728"/>
      <c r="M3" s="3174"/>
      <c r="N3" s="2728"/>
      <c r="O3" s="3247"/>
      <c r="P3" s="2728"/>
      <c r="Q3" s="1545"/>
      <c r="R3" s="1545"/>
      <c r="S3" s="1545"/>
      <c r="T3" s="1545"/>
      <c r="U3" s="1545"/>
      <c r="V3" s="1545"/>
      <c r="W3" s="1545"/>
      <c r="X3" s="1545"/>
      <c r="Y3" s="1545"/>
      <c r="Z3" s="1545"/>
      <c r="AA3" s="1545"/>
      <c r="AB3" s="1545"/>
    </row>
    <row r="4" spans="1:28" ht="15.75">
      <c r="B4" s="2981"/>
      <c r="C4" s="2981"/>
      <c r="D4" s="2981"/>
      <c r="E4" s="2728"/>
      <c r="H4" s="2728"/>
      <c r="J4" s="3036" t="str">
        <f>'CU3-Deficit Ending Equity'!D4</f>
        <v>June 30, 2021</v>
      </c>
      <c r="K4" s="2728"/>
      <c r="L4" s="2729"/>
      <c r="M4" s="3175"/>
      <c r="N4" s="2729"/>
      <c r="O4" s="3248"/>
      <c r="P4" s="2729"/>
      <c r="Q4" s="1545"/>
      <c r="R4" s="1545"/>
      <c r="S4" s="1545"/>
      <c r="T4" s="1545"/>
      <c r="U4" s="1545"/>
      <c r="V4" s="1545"/>
      <c r="W4" s="1545"/>
      <c r="X4" s="1545"/>
      <c r="Y4" s="1545"/>
      <c r="Z4" s="1545"/>
      <c r="AA4" s="1545"/>
      <c r="AB4" s="1545"/>
    </row>
    <row r="5" spans="1:28" ht="8.1" customHeight="1">
      <c r="A5" s="1481"/>
      <c r="B5" s="1483"/>
      <c r="C5" s="1483"/>
      <c r="D5" s="1483"/>
      <c r="N5" s="1546"/>
      <c r="O5" s="1548"/>
    </row>
    <row r="6" spans="1:28" ht="14.25" customHeight="1">
      <c r="A6" s="1547" t="s">
        <v>118</v>
      </c>
      <c r="B6" s="1478"/>
      <c r="C6" s="1478"/>
      <c r="D6" s="1478"/>
      <c r="E6" s="2734"/>
      <c r="F6" s="3039" t="str">
        <f>'CU1-Deposits'!F7</f>
        <v>SAMPLE STATE COLLEGE</v>
      </c>
      <c r="G6" s="2869"/>
      <c r="H6" s="2869"/>
      <c r="I6" s="2869"/>
      <c r="J6" s="1560"/>
      <c r="M6" s="3180"/>
      <c r="N6" s="1548"/>
      <c r="O6" s="1548"/>
      <c r="P6" s="1478"/>
      <c r="Q6" s="1478"/>
      <c r="R6" s="1478"/>
      <c r="S6" s="1478"/>
      <c r="T6" s="1478"/>
      <c r="U6" s="1478"/>
      <c r="V6" s="1478"/>
      <c r="W6" s="1478"/>
      <c r="X6" s="1478"/>
      <c r="Y6" s="1478"/>
      <c r="Z6" s="1478"/>
      <c r="AA6" s="1478"/>
      <c r="AB6" s="1478"/>
    </row>
    <row r="7" spans="1:28" s="1503" customFormat="1" ht="5.0999999999999996" customHeight="1">
      <c r="A7" s="1547"/>
      <c r="B7" s="1478"/>
      <c r="C7" s="1478"/>
      <c r="D7" s="1478"/>
      <c r="E7" s="1478"/>
      <c r="F7" s="1478"/>
      <c r="G7" s="1478"/>
      <c r="H7" s="1478"/>
      <c r="I7" s="1478"/>
      <c r="J7" s="1478"/>
      <c r="K7" s="1478"/>
      <c r="L7" s="1478"/>
      <c r="M7" s="3176"/>
      <c r="N7" s="1548"/>
      <c r="O7" s="1548"/>
      <c r="P7" s="1478"/>
      <c r="Q7" s="1478"/>
      <c r="R7" s="1478"/>
      <c r="S7" s="1478"/>
      <c r="T7" s="1478"/>
      <c r="U7" s="1478"/>
      <c r="V7" s="1478"/>
      <c r="W7" s="1478"/>
      <c r="X7" s="1478"/>
      <c r="Y7" s="1478"/>
      <c r="Z7" s="1478"/>
      <c r="AA7" s="1478"/>
      <c r="AB7" s="1478"/>
    </row>
    <row r="8" spans="1:28" s="1503" customFormat="1" ht="15.75">
      <c r="A8" s="1547" t="s">
        <v>119</v>
      </c>
      <c r="B8" s="1478"/>
      <c r="C8" s="1478"/>
      <c r="D8" s="1478"/>
      <c r="E8" s="3880"/>
      <c r="F8" s="3040" t="e">
        <f>'Adjustment Form'!B9</f>
        <v>#N/A</v>
      </c>
      <c r="G8" s="3041"/>
      <c r="H8" s="2869"/>
      <c r="I8" s="2869"/>
      <c r="J8" s="1549"/>
      <c r="K8" s="1478"/>
      <c r="L8" s="1478"/>
      <c r="M8" s="1478"/>
      <c r="N8" s="1478"/>
      <c r="O8" s="1478"/>
      <c r="P8" s="1478"/>
      <c r="Q8" s="1478"/>
      <c r="R8" s="1478"/>
      <c r="S8" s="1478"/>
      <c r="T8" s="1478"/>
      <c r="U8" s="1478"/>
      <c r="V8" s="1478"/>
      <c r="W8" s="1478"/>
    </row>
    <row r="9" spans="1:28" s="168" customFormat="1" ht="15.75">
      <c r="A9" s="1547"/>
      <c r="B9" s="1478"/>
      <c r="C9" s="1478"/>
      <c r="D9" s="1478"/>
      <c r="E9" s="3916"/>
      <c r="F9" s="3917"/>
      <c r="G9" s="3916"/>
      <c r="H9" s="1560"/>
      <c r="I9" s="1560"/>
      <c r="J9" s="1549"/>
      <c r="K9" s="1478"/>
      <c r="L9" s="1478"/>
      <c r="M9" s="1478"/>
      <c r="N9" s="1478"/>
      <c r="O9" s="1478"/>
      <c r="P9" s="1478"/>
      <c r="Q9" s="1478"/>
      <c r="R9" s="1478"/>
      <c r="S9" s="1478"/>
      <c r="T9" s="1478"/>
      <c r="U9" s="1478"/>
      <c r="V9" s="1478"/>
      <c r="W9" s="1478"/>
    </row>
    <row r="10" spans="1:28" s="1503" customFormat="1" ht="15.75">
      <c r="A10" s="1547" t="s">
        <v>4208</v>
      </c>
      <c r="B10" s="1478"/>
      <c r="C10" s="1478"/>
      <c r="D10" s="1478"/>
      <c r="E10" s="1549"/>
      <c r="F10" s="1549"/>
      <c r="G10" s="1549"/>
      <c r="H10" s="1549"/>
      <c r="I10" s="1549"/>
      <c r="J10" s="1549"/>
      <c r="K10" s="1549"/>
      <c r="L10" s="1549"/>
      <c r="M10" s="3177"/>
      <c r="N10" s="1549"/>
      <c r="O10" s="1549"/>
      <c r="P10" s="3922"/>
      <c r="Q10" s="1478"/>
      <c r="R10" s="1478"/>
      <c r="S10" s="1478"/>
      <c r="T10" s="1478"/>
      <c r="U10" s="1478"/>
      <c r="V10" s="1478"/>
      <c r="W10" s="1478"/>
      <c r="X10" s="1478"/>
      <c r="Y10" s="1478"/>
      <c r="Z10" s="1478"/>
      <c r="AA10" s="1478"/>
      <c r="AB10" s="1478"/>
    </row>
    <row r="11" spans="1:28" s="1503" customFormat="1" ht="15.75">
      <c r="A11" s="1547"/>
      <c r="B11" s="1478"/>
      <c r="C11" s="1478"/>
      <c r="D11" s="1478"/>
      <c r="E11" s="1549"/>
      <c r="F11" s="1549"/>
      <c r="G11" s="1549"/>
      <c r="H11" s="1549"/>
      <c r="I11" s="1549"/>
      <c r="J11" s="1549"/>
      <c r="K11" s="1549"/>
      <c r="L11" s="1549"/>
      <c r="M11" s="3177"/>
      <c r="N11" s="1549"/>
      <c r="O11" s="1549"/>
      <c r="P11" s="1478"/>
      <c r="Q11" s="1478"/>
      <c r="R11" s="1478"/>
      <c r="S11" s="1478"/>
      <c r="T11" s="1478"/>
      <c r="U11" s="1478"/>
      <c r="V11" s="1478"/>
      <c r="W11" s="1478"/>
      <c r="X11" s="1478"/>
      <c r="Y11" s="1478"/>
      <c r="Z11" s="1478"/>
      <c r="AA11" s="1478"/>
      <c r="AB11" s="1478"/>
    </row>
    <row r="12" spans="1:28" s="1503" customFormat="1" ht="12.75" customHeight="1">
      <c r="A12" s="1547" t="s">
        <v>3448</v>
      </c>
      <c r="B12" s="1478"/>
      <c r="C12" s="1478"/>
      <c r="D12" s="1478"/>
      <c r="E12" s="1549"/>
      <c r="F12" s="1549"/>
      <c r="G12" s="1549"/>
      <c r="H12" s="1549"/>
      <c r="I12" s="1549"/>
      <c r="J12" s="1549"/>
      <c r="K12" s="1549"/>
      <c r="L12" s="1549"/>
      <c r="M12" s="3177"/>
      <c r="N12" s="1549"/>
      <c r="O12" s="1549"/>
      <c r="P12" s="1550"/>
      <c r="Q12" s="1550"/>
      <c r="R12" s="1550"/>
      <c r="S12" s="1550"/>
      <c r="T12" s="1550"/>
      <c r="U12" s="1550"/>
      <c r="V12" s="1478"/>
      <c r="W12" s="1478"/>
      <c r="X12" s="1478"/>
      <c r="Y12" s="1478"/>
      <c r="Z12" s="1478"/>
      <c r="AA12" s="1478"/>
      <c r="AB12" s="1478"/>
    </row>
    <row r="13" spans="1:28" s="1507" customFormat="1" ht="13.5" customHeight="1">
      <c r="A13" s="1551"/>
      <c r="B13" s="1550"/>
      <c r="C13" s="1550"/>
      <c r="D13" s="1550"/>
      <c r="E13" s="2539"/>
      <c r="F13" s="2539"/>
      <c r="G13" s="2539"/>
      <c r="H13" s="2539"/>
      <c r="I13" s="2733"/>
      <c r="J13" s="2733"/>
      <c r="K13" s="3170" t="s">
        <v>3381</v>
      </c>
      <c r="L13" s="2733"/>
      <c r="M13" s="3178"/>
      <c r="N13" s="3170" t="s">
        <v>3381</v>
      </c>
      <c r="O13" s="3170"/>
      <c r="Q13" s="1550"/>
      <c r="R13" s="1550"/>
      <c r="S13" s="1550"/>
      <c r="T13" s="1550"/>
      <c r="U13" s="1550"/>
      <c r="V13" s="1550"/>
      <c r="W13" s="1550"/>
      <c r="X13" s="1550"/>
      <c r="Y13" s="1550"/>
      <c r="Z13" s="1550"/>
      <c r="AA13" s="1550"/>
      <c r="AB13" s="1550"/>
    </row>
    <row r="14" spans="1:28" s="1503" customFormat="1" ht="12.75">
      <c r="A14" s="1486"/>
      <c r="I14" s="3169"/>
      <c r="J14" s="3422"/>
      <c r="K14" s="2864" t="s">
        <v>3449</v>
      </c>
      <c r="L14" s="2538"/>
      <c r="M14" s="3179"/>
      <c r="N14" s="3172" t="s">
        <v>3401</v>
      </c>
      <c r="O14" s="2734"/>
      <c r="P14" s="2734"/>
      <c r="Q14" s="1483"/>
      <c r="R14" s="168"/>
      <c r="W14" s="1503" t="str">
        <f>IF(ISBLANK(I30),IF(I15=I32,"","x"),IF(I15=I30,"","x"))</f>
        <v/>
      </c>
    </row>
    <row r="15" spans="1:28" s="1503" customFormat="1" ht="12.75">
      <c r="A15" s="1486"/>
      <c r="C15" s="1503" t="s">
        <v>3450</v>
      </c>
      <c r="I15" s="3423">
        <f>'Adjustment Form'!H62</f>
        <v>0</v>
      </c>
      <c r="J15" s="1553"/>
      <c r="M15" s="3179"/>
      <c r="N15" s="3801" t="s">
        <v>3451</v>
      </c>
      <c r="O15" s="3801"/>
      <c r="P15" s="2726"/>
      <c r="Q15" s="1483"/>
      <c r="R15" s="168"/>
    </row>
    <row r="16" spans="1:28" s="1503" customFormat="1" ht="12.75">
      <c r="A16" s="1486"/>
      <c r="C16" s="1503" t="s">
        <v>3452</v>
      </c>
      <c r="I16" s="3423">
        <f>'Adjustment Form'!H72</f>
        <v>0</v>
      </c>
      <c r="J16" s="1553"/>
      <c r="M16" s="3179"/>
      <c r="N16" s="1552" t="s">
        <v>3453</v>
      </c>
      <c r="O16" s="1552"/>
      <c r="P16" s="2726"/>
      <c r="Q16" s="1483"/>
      <c r="R16" s="168"/>
    </row>
    <row r="17" spans="1:28" s="1503" customFormat="1" ht="12.75">
      <c r="A17" s="1486"/>
      <c r="C17" s="1503" t="s">
        <v>3454</v>
      </c>
      <c r="I17" s="3424"/>
      <c r="J17" s="1553"/>
      <c r="M17" s="3179"/>
      <c r="N17" s="1552" t="s">
        <v>3455</v>
      </c>
      <c r="O17" s="1552"/>
      <c r="P17" s="2726"/>
      <c r="Q17" s="1483"/>
      <c r="R17" s="168"/>
    </row>
    <row r="18" spans="1:28" s="1503" customFormat="1" ht="12.75">
      <c r="A18" s="1486"/>
      <c r="D18" s="1486" t="s">
        <v>3456</v>
      </c>
      <c r="J18" s="175" t="s">
        <v>3135</v>
      </c>
      <c r="K18" s="2731">
        <f>SUM(I15:I17)</f>
        <v>0</v>
      </c>
      <c r="M18" s="3179"/>
      <c r="N18" s="1553"/>
      <c r="O18" s="1553"/>
      <c r="P18" s="1553"/>
      <c r="Q18" s="1483"/>
      <c r="R18" s="168"/>
      <c r="W18" s="1503" t="str">
        <f>IF(ISBLANK(N30),IF(I19=N32,"","x"),IF(I19=N30,"","x"))</f>
        <v/>
      </c>
    </row>
    <row r="19" spans="1:28" s="1503" customFormat="1" ht="12.75">
      <c r="A19" s="1486"/>
      <c r="C19" s="1503" t="s">
        <v>3457</v>
      </c>
      <c r="D19" s="1486"/>
      <c r="I19" s="3424"/>
      <c r="J19" s="3650"/>
      <c r="L19" s="1554"/>
      <c r="M19" s="3179"/>
      <c r="N19" s="2732"/>
      <c r="O19" s="2732"/>
      <c r="P19" s="2527"/>
      <c r="Q19" s="168"/>
      <c r="R19" s="168"/>
    </row>
    <row r="20" spans="1:28" s="1503" customFormat="1" ht="12.75">
      <c r="A20" s="1486"/>
      <c r="C20" s="1503" t="s">
        <v>3458</v>
      </c>
      <c r="D20" s="1486"/>
      <c r="I20" s="3424"/>
      <c r="J20" s="3650"/>
      <c r="L20" s="1554"/>
      <c r="M20" s="3179"/>
      <c r="N20" s="2527"/>
      <c r="O20" s="3249"/>
      <c r="P20" s="2527"/>
      <c r="Q20" s="168"/>
      <c r="R20" s="168"/>
    </row>
    <row r="21" spans="1:28" s="1503" customFormat="1" ht="12.75">
      <c r="D21" s="1486" t="s">
        <v>3459</v>
      </c>
      <c r="J21" s="175" t="s">
        <v>3460</v>
      </c>
      <c r="K21" s="2725">
        <f>SUM(I19:I20)</f>
        <v>0</v>
      </c>
      <c r="M21" s="3179"/>
      <c r="N21" s="168"/>
      <c r="O21" s="168"/>
      <c r="P21" s="1553"/>
      <c r="Q21" s="1539"/>
      <c r="R21" s="168"/>
    </row>
    <row r="22" spans="1:28" s="1503" customFormat="1" ht="12.75">
      <c r="D22" s="1486"/>
      <c r="J22" s="168"/>
      <c r="K22" s="3168"/>
      <c r="M22" s="3179"/>
      <c r="N22" s="168"/>
      <c r="O22" s="168"/>
      <c r="P22" s="1553"/>
      <c r="Q22" s="1539"/>
      <c r="R22" s="168"/>
    </row>
    <row r="23" spans="1:28" s="1503" customFormat="1" ht="15" customHeight="1">
      <c r="A23" s="3171" t="s">
        <v>3461</v>
      </c>
      <c r="B23" s="2531"/>
      <c r="C23" s="2531"/>
      <c r="D23" s="2531"/>
      <c r="E23" s="2531"/>
      <c r="F23" s="2531"/>
      <c r="G23" s="2531"/>
      <c r="H23" s="2531"/>
      <c r="I23" s="2531"/>
      <c r="J23" s="1506"/>
      <c r="K23" s="2531"/>
      <c r="L23" s="2531"/>
      <c r="M23" s="3183"/>
      <c r="N23" s="2531"/>
      <c r="O23" s="1506"/>
      <c r="P23" s="2531"/>
      <c r="Q23" s="1521"/>
      <c r="W23" s="1503" t="str">
        <f>IF(K18=I49,"","x")</f>
        <v/>
      </c>
    </row>
    <row r="24" spans="1:28" ht="12" customHeight="1">
      <c r="A24" s="2531" t="s">
        <v>3462</v>
      </c>
      <c r="B24" s="2531"/>
      <c r="C24" s="2531"/>
      <c r="D24" s="2531"/>
      <c r="E24" s="2531"/>
      <c r="F24" s="2531"/>
      <c r="G24" s="2531"/>
      <c r="H24" s="2531"/>
      <c r="I24" s="2531"/>
      <c r="J24" s="1506"/>
      <c r="K24" s="2531"/>
      <c r="L24" s="2531"/>
      <c r="M24" s="3183"/>
      <c r="N24" s="2531"/>
      <c r="O24" s="1506"/>
      <c r="P24" s="2531"/>
      <c r="W24" s="1521" t="str">
        <f>IF(K21=N49,"","x")</f>
        <v/>
      </c>
    </row>
    <row r="25" spans="1:28" ht="12" customHeight="1">
      <c r="A25" s="2531"/>
      <c r="B25" s="2531"/>
      <c r="C25" s="2531"/>
      <c r="D25" s="2531"/>
      <c r="E25" s="2531"/>
      <c r="F25" s="2531"/>
      <c r="G25" s="2531"/>
      <c r="H25" s="2531"/>
      <c r="I25" s="2531"/>
      <c r="J25" s="1506"/>
      <c r="K25" s="2531"/>
      <c r="L25" s="2531"/>
      <c r="M25" s="3183"/>
      <c r="N25" s="2531"/>
      <c r="O25" s="1506"/>
      <c r="P25" s="2531"/>
    </row>
    <row r="26" spans="1:28" ht="6.75" customHeight="1">
      <c r="A26" s="1503"/>
      <c r="P26" s="1503"/>
    </row>
    <row r="27" spans="1:28" s="1503" customFormat="1" ht="12.75" customHeight="1">
      <c r="A27" s="1556"/>
      <c r="D27" s="1556"/>
      <c r="J27" s="2540" t="s">
        <v>75</v>
      </c>
      <c r="K27" s="1557"/>
      <c r="L27" s="1557"/>
      <c r="M27" s="3180"/>
      <c r="O27" s="2541" t="s">
        <v>3401</v>
      </c>
      <c r="P27" s="1560"/>
      <c r="Q27" s="1557"/>
      <c r="R27" s="1486"/>
      <c r="S27" s="1486"/>
      <c r="T27" s="1486"/>
      <c r="U27" s="1486"/>
      <c r="V27" s="1486"/>
      <c r="W27" s="1486"/>
      <c r="X27" s="1486"/>
      <c r="Y27" s="1486"/>
      <c r="Z27" s="1486"/>
      <c r="AA27" s="1558"/>
      <c r="AB27" s="1486"/>
    </row>
    <row r="28" spans="1:28" s="1503" customFormat="1" ht="12.75">
      <c r="C28" s="1486"/>
      <c r="F28" s="2540" t="s">
        <v>3463</v>
      </c>
      <c r="G28" s="2540"/>
      <c r="H28" s="1486"/>
      <c r="I28" s="3651"/>
      <c r="J28" s="2864" t="s">
        <v>3464</v>
      </c>
      <c r="K28" s="2538"/>
      <c r="L28" s="1557"/>
      <c r="M28" s="3180"/>
      <c r="O28" s="3172" t="s">
        <v>3465</v>
      </c>
      <c r="P28" s="2734"/>
      <c r="Q28" s="1557"/>
      <c r="R28" s="1486"/>
      <c r="S28" s="1486"/>
      <c r="T28" s="1486"/>
      <c r="U28" s="1486"/>
      <c r="V28" s="1486"/>
      <c r="W28" s="1486"/>
      <c r="X28" s="1486"/>
      <c r="Y28" s="1486"/>
      <c r="Z28" s="1486"/>
      <c r="AA28" s="1486"/>
      <c r="AB28" s="1486"/>
    </row>
    <row r="29" spans="1:28" s="1503" customFormat="1" ht="13.5" thickBot="1">
      <c r="C29" s="1486"/>
      <c r="E29" s="3651"/>
      <c r="F29" s="2867" t="s">
        <v>3466</v>
      </c>
      <c r="G29" s="2867"/>
      <c r="H29" s="1486"/>
      <c r="I29" s="3915" t="s">
        <v>2870</v>
      </c>
      <c r="J29" s="2541"/>
      <c r="K29" s="3915" t="s">
        <v>2871</v>
      </c>
      <c r="L29" s="1486"/>
      <c r="M29" s="3180"/>
      <c r="N29" s="3914" t="s">
        <v>2870</v>
      </c>
      <c r="O29" s="3802"/>
      <c r="P29" s="3914" t="s">
        <v>2871</v>
      </c>
      <c r="R29" s="1486"/>
      <c r="S29" s="1486"/>
      <c r="T29" s="1486"/>
      <c r="U29" s="1486"/>
      <c r="V29" s="1486"/>
    </row>
    <row r="30" spans="1:28" s="1503" customFormat="1" ht="12.75">
      <c r="C30" s="1562"/>
      <c r="D30" s="1562"/>
      <c r="F30" s="3663">
        <v>2022</v>
      </c>
      <c r="G30" s="1561" t="s">
        <v>2838</v>
      </c>
      <c r="H30" s="1541"/>
      <c r="I30" s="2735"/>
      <c r="J30" s="3197"/>
      <c r="K30" s="2735"/>
      <c r="M30" s="3168"/>
      <c r="N30" s="2735"/>
      <c r="O30" s="3197"/>
      <c r="P30" s="3425"/>
    </row>
    <row r="31" spans="1:28" s="1503" customFormat="1" ht="12.75">
      <c r="C31" s="1562"/>
      <c r="D31" s="1562"/>
      <c r="F31" s="3654">
        <f ca="1">YEAR(TODAY())+2</f>
        <v>2023</v>
      </c>
      <c r="G31" s="1561"/>
      <c r="H31" s="1541"/>
      <c r="I31" s="2735"/>
      <c r="J31" s="3197"/>
      <c r="K31" s="2735"/>
      <c r="M31" s="3184"/>
      <c r="N31" s="2735"/>
      <c r="O31" s="3197"/>
      <c r="P31" s="3425"/>
    </row>
    <row r="32" spans="1:28" s="1503" customFormat="1" ht="12.75">
      <c r="C32" s="1562"/>
      <c r="D32" s="1562"/>
      <c r="F32" s="3654">
        <f ca="1">YEAR(TODAY())+3</f>
        <v>2024</v>
      </c>
      <c r="I32" s="2735"/>
      <c r="J32" s="3197"/>
      <c r="K32" s="2735"/>
      <c r="M32" s="3184"/>
      <c r="N32" s="2735"/>
      <c r="O32" s="3197"/>
      <c r="P32" s="3425"/>
    </row>
    <row r="33" spans="1:28">
      <c r="A33" s="1503"/>
      <c r="C33" s="1562"/>
      <c r="D33" s="1562"/>
      <c r="F33" s="3654">
        <f ca="1">YEAR(TODAY())+4</f>
        <v>2025</v>
      </c>
      <c r="I33" s="2735"/>
      <c r="J33" s="3197"/>
      <c r="K33" s="2735"/>
      <c r="L33" s="1503"/>
      <c r="M33" s="3184"/>
      <c r="N33" s="2735"/>
      <c r="O33" s="3197"/>
      <c r="P33" s="3425"/>
      <c r="R33" s="1503"/>
      <c r="S33" s="1503"/>
      <c r="T33" s="1503"/>
      <c r="U33" s="1503"/>
      <c r="V33" s="1503"/>
      <c r="W33" s="1503"/>
      <c r="X33" s="1503"/>
      <c r="Z33" s="1503"/>
      <c r="AA33" s="1503"/>
      <c r="AB33" s="1503"/>
    </row>
    <row r="34" spans="1:28">
      <c r="A34" s="1503"/>
      <c r="C34" s="1562"/>
      <c r="D34" s="1562"/>
      <c r="F34" s="3654">
        <f ca="1">YEAR(TODAY())+5</f>
        <v>2026</v>
      </c>
      <c r="I34" s="2735"/>
      <c r="J34" s="3197"/>
      <c r="K34" s="2735"/>
      <c r="L34" s="1503"/>
      <c r="M34" s="3184"/>
      <c r="N34" s="2735"/>
      <c r="O34" s="3197"/>
      <c r="P34" s="3425"/>
      <c r="R34" s="1503"/>
      <c r="S34" s="1503"/>
      <c r="T34" s="1503"/>
      <c r="U34" s="1503"/>
      <c r="V34" s="1503"/>
      <c r="W34" s="1503"/>
      <c r="X34" s="1503"/>
      <c r="Z34" s="1503"/>
      <c r="AA34" s="1503"/>
      <c r="AB34" s="1503"/>
    </row>
    <row r="35" spans="1:28">
      <c r="A35" s="1503"/>
      <c r="C35" s="1562"/>
      <c r="D35" s="1562"/>
      <c r="F35" s="3654">
        <f ca="1">YEAR(TODAY())+6</f>
        <v>2027</v>
      </c>
      <c r="I35" s="2735"/>
      <c r="J35" s="3197"/>
      <c r="K35" s="2735"/>
      <c r="L35" s="1503"/>
      <c r="M35" s="3184"/>
      <c r="N35" s="2735"/>
      <c r="O35" s="3197"/>
      <c r="P35" s="3425"/>
      <c r="R35" s="1503"/>
      <c r="S35" s="1503"/>
      <c r="T35" s="1503"/>
      <c r="U35" s="1503"/>
      <c r="V35" s="1503"/>
      <c r="W35" s="1503"/>
      <c r="X35" s="1503"/>
      <c r="Z35" s="1503"/>
      <c r="AA35" s="1503"/>
      <c r="AB35" s="1503"/>
    </row>
    <row r="36" spans="1:28">
      <c r="A36" s="1503"/>
      <c r="C36" s="1562"/>
      <c r="D36" s="1562"/>
      <c r="E36" s="3661">
        <f ca="1">YEAR(TODAY())+7</f>
        <v>2028</v>
      </c>
      <c r="F36" s="3654" t="s">
        <v>2872</v>
      </c>
      <c r="G36" s="3652">
        <f ca="1">YEAR(TODAY())+11</f>
        <v>2032</v>
      </c>
      <c r="I36" s="2735"/>
      <c r="J36" s="3197"/>
      <c r="K36" s="2735"/>
      <c r="L36" s="1503"/>
      <c r="M36" s="3184"/>
      <c r="N36" s="2735"/>
      <c r="O36" s="3197"/>
      <c r="P36" s="3425"/>
      <c r="R36" s="1503"/>
      <c r="S36" s="1503"/>
      <c r="T36" s="1503"/>
      <c r="U36" s="1503"/>
      <c r="V36" s="1503"/>
      <c r="W36" s="1503"/>
      <c r="X36" s="1503"/>
      <c r="Z36" s="1503"/>
      <c r="AA36" s="1503"/>
      <c r="AB36" s="1503"/>
    </row>
    <row r="37" spans="1:28">
      <c r="A37" s="1503"/>
      <c r="C37" s="1562"/>
      <c r="E37" s="3661">
        <f ca="1">YEAR(TODAY())+12</f>
        <v>2033</v>
      </c>
      <c r="F37" s="3654" t="s">
        <v>2872</v>
      </c>
      <c r="G37" s="3652">
        <f ca="1">YEAR(TODAY())+16</f>
        <v>2037</v>
      </c>
      <c r="I37" s="2735"/>
      <c r="J37" s="3197"/>
      <c r="K37" s="2735"/>
      <c r="L37" s="1503"/>
      <c r="M37" s="3184"/>
      <c r="N37" s="2735"/>
      <c r="O37" s="3197"/>
      <c r="P37" s="3425"/>
      <c r="R37" s="1503"/>
      <c r="S37" s="1503"/>
      <c r="T37" s="1503"/>
      <c r="U37" s="1503"/>
      <c r="V37" s="1503"/>
      <c r="W37" s="1503"/>
      <c r="X37" s="1503"/>
      <c r="Z37" s="1503"/>
      <c r="AA37" s="1503"/>
      <c r="AB37" s="1503"/>
    </row>
    <row r="38" spans="1:28">
      <c r="A38" s="1503"/>
      <c r="C38" s="1562"/>
      <c r="E38" s="3661">
        <f ca="1">YEAR(TODAY())+17</f>
        <v>2038</v>
      </c>
      <c r="F38" s="3654" t="s">
        <v>2872</v>
      </c>
      <c r="G38" s="3652">
        <f ca="1">YEAR(TODAY())+21</f>
        <v>2042</v>
      </c>
      <c r="I38" s="2735"/>
      <c r="J38" s="3197"/>
      <c r="K38" s="2735"/>
      <c r="L38" s="1503"/>
      <c r="M38" s="3184"/>
      <c r="N38" s="2735"/>
      <c r="O38" s="3197"/>
      <c r="P38" s="3425"/>
      <c r="R38" s="1503"/>
      <c r="S38" s="1503"/>
      <c r="T38" s="1503"/>
      <c r="U38" s="1503"/>
      <c r="V38" s="1503"/>
      <c r="W38" s="1503"/>
      <c r="X38" s="1503"/>
      <c r="Z38" s="1503"/>
      <c r="AA38" s="1503"/>
      <c r="AB38" s="1503"/>
    </row>
    <row r="39" spans="1:28">
      <c r="A39" s="1503"/>
      <c r="C39" s="1562"/>
      <c r="E39" s="3661">
        <f ca="1">YEAR(TODAY())+28</f>
        <v>2049</v>
      </c>
      <c r="F39" s="3654" t="s">
        <v>2872</v>
      </c>
      <c r="G39" s="3653">
        <f ca="1">YEAR(TODAY())+26</f>
        <v>2047</v>
      </c>
      <c r="I39" s="2735"/>
      <c r="J39" s="3197"/>
      <c r="K39" s="2735"/>
      <c r="L39" s="1503"/>
      <c r="M39" s="3184"/>
      <c r="N39" s="2735"/>
      <c r="O39" s="3197"/>
      <c r="P39" s="3425"/>
      <c r="R39" s="1503"/>
      <c r="S39" s="1503"/>
      <c r="T39" s="1503"/>
      <c r="U39" s="1503"/>
      <c r="V39" s="1503"/>
      <c r="W39" s="1503"/>
      <c r="X39" s="1503"/>
      <c r="Z39" s="1503"/>
      <c r="AA39" s="1503"/>
      <c r="AB39" s="1503"/>
    </row>
    <row r="40" spans="1:28">
      <c r="A40" s="168"/>
      <c r="C40" s="1562"/>
      <c r="E40" s="3662">
        <f ca="1">YEAR(TODAY())+32</f>
        <v>2053</v>
      </c>
      <c r="F40" s="3654" t="s">
        <v>2872</v>
      </c>
      <c r="G40" s="3653">
        <f ca="1">YEAR(TODAY())+36</f>
        <v>2057</v>
      </c>
      <c r="I40" s="2735"/>
      <c r="J40" s="3197"/>
      <c r="K40" s="2735"/>
      <c r="L40" s="1503"/>
      <c r="M40" s="3184"/>
      <c r="N40" s="2735"/>
      <c r="O40" s="3197"/>
      <c r="P40" s="3425"/>
      <c r="R40" s="1503"/>
      <c r="S40" s="1503"/>
      <c r="T40" s="1503"/>
      <c r="U40" s="1503"/>
      <c r="V40" s="1503"/>
      <c r="W40" s="1503"/>
      <c r="X40" s="1503"/>
      <c r="Z40" s="1503"/>
      <c r="AA40" s="1503"/>
      <c r="AB40" s="1503"/>
    </row>
    <row r="41" spans="1:28">
      <c r="A41" s="168"/>
      <c r="C41" s="2724"/>
      <c r="E41" s="3662">
        <f ca="1">YEAR(TODAY())+37</f>
        <v>2058</v>
      </c>
      <c r="F41" s="3654" t="s">
        <v>2872</v>
      </c>
      <c r="G41" s="3652">
        <f ca="1">YEAR(TODAY())+36</f>
        <v>2057</v>
      </c>
      <c r="I41" s="2735"/>
      <c r="J41" s="3197"/>
      <c r="K41" s="2735"/>
      <c r="L41" s="1503"/>
      <c r="M41" s="3184"/>
      <c r="N41" s="2735"/>
      <c r="O41" s="3197"/>
      <c r="P41" s="3425"/>
      <c r="R41" s="1503"/>
      <c r="S41" s="1503"/>
      <c r="T41" s="1503"/>
      <c r="U41" s="1503"/>
      <c r="V41" s="1503"/>
      <c r="W41" s="1503"/>
      <c r="X41" s="1503"/>
      <c r="Z41" s="1503"/>
      <c r="AA41" s="1503"/>
      <c r="AB41" s="1503"/>
    </row>
    <row r="42" spans="1:28">
      <c r="A42" s="1542"/>
      <c r="C42" s="2724"/>
      <c r="E42" s="3662">
        <f ca="1">YEAR(TODAY())+40</f>
        <v>2061</v>
      </c>
      <c r="F42" s="3654" t="s">
        <v>2872</v>
      </c>
      <c r="G42" s="3652">
        <f ca="1">YEAR(TODAY())+45</f>
        <v>2066</v>
      </c>
      <c r="I42" s="2735"/>
      <c r="J42" s="3197"/>
      <c r="K42" s="2735"/>
      <c r="L42" s="1503"/>
      <c r="M42" s="3184"/>
      <c r="N42" s="2735"/>
      <c r="O42" s="3197"/>
      <c r="P42" s="3425"/>
      <c r="R42" s="1503"/>
      <c r="T42" s="1503"/>
      <c r="U42" s="1503"/>
      <c r="V42" s="1503"/>
    </row>
    <row r="43" spans="1:28">
      <c r="A43" s="1503"/>
      <c r="C43" s="1562"/>
      <c r="E43" s="3662">
        <f ca="1">YEAR(TODAY())+46</f>
        <v>2067</v>
      </c>
      <c r="F43" s="3654" t="s">
        <v>2872</v>
      </c>
      <c r="G43" s="3652">
        <f ca="1">YEAR(TODAY())+51</f>
        <v>2072</v>
      </c>
      <c r="I43" s="2735"/>
      <c r="J43" s="3197"/>
      <c r="K43" s="2735"/>
      <c r="L43" s="1503"/>
      <c r="M43" s="3184"/>
      <c r="N43" s="2735"/>
      <c r="O43" s="3197"/>
      <c r="P43" s="3425"/>
      <c r="R43" s="1503"/>
      <c r="S43" s="1503"/>
      <c r="T43" s="1503"/>
      <c r="U43" s="1503"/>
      <c r="V43" s="1503"/>
      <c r="W43" s="1503"/>
      <c r="X43" s="1503"/>
      <c r="Y43" s="1503"/>
      <c r="Z43" s="1503"/>
      <c r="AA43" s="1503"/>
      <c r="AB43" s="1503"/>
    </row>
    <row r="44" spans="1:28">
      <c r="A44" s="1503"/>
      <c r="C44" s="1562"/>
      <c r="E44" s="3662">
        <f ca="1">YEAR(TODAY())+52</f>
        <v>2073</v>
      </c>
      <c r="F44" s="3654" t="s">
        <v>2872</v>
      </c>
      <c r="G44" s="3652">
        <f ca="1">YEAR(TODAY())+56</f>
        <v>2077</v>
      </c>
      <c r="I44" s="2735"/>
      <c r="J44" s="3197"/>
      <c r="K44" s="2735"/>
      <c r="L44" s="1503"/>
      <c r="M44" s="3184"/>
      <c r="N44" s="2735"/>
      <c r="O44" s="3197"/>
      <c r="P44" s="3425"/>
      <c r="R44" s="1503"/>
      <c r="S44" s="1503"/>
      <c r="T44" s="1503"/>
      <c r="U44" s="1503"/>
      <c r="V44" s="1503"/>
      <c r="W44" s="1503"/>
      <c r="X44" s="1503"/>
      <c r="Y44" s="1503"/>
      <c r="Z44" s="1503"/>
      <c r="AA44" s="1503"/>
      <c r="AB44" s="1503"/>
    </row>
    <row r="45" spans="1:28">
      <c r="A45" s="1503"/>
      <c r="C45" s="1562"/>
      <c r="E45" s="3662">
        <f ca="1">YEAR(TODAY())+57</f>
        <v>2078</v>
      </c>
      <c r="F45" s="3654" t="s">
        <v>2872</v>
      </c>
      <c r="G45" s="3652">
        <f ca="1">YEAR(TODAY())+61</f>
        <v>2082</v>
      </c>
      <c r="I45" s="2735"/>
      <c r="J45" s="3197"/>
      <c r="K45" s="2735"/>
      <c r="L45" s="1503"/>
      <c r="M45" s="3184"/>
      <c r="N45" s="2735"/>
      <c r="O45" s="3197"/>
      <c r="P45" s="3425"/>
      <c r="R45" s="1503"/>
      <c r="S45" s="1503"/>
      <c r="T45" s="1503"/>
      <c r="U45" s="1503"/>
      <c r="V45" s="1503"/>
      <c r="W45" s="1503"/>
      <c r="X45" s="1503"/>
      <c r="Y45" s="1503"/>
      <c r="Z45" s="1503"/>
      <c r="AA45" s="1503"/>
      <c r="AB45" s="1503"/>
    </row>
    <row r="46" spans="1:28">
      <c r="A46" s="1503"/>
      <c r="C46" s="2543"/>
      <c r="D46" s="2543"/>
      <c r="E46" s="1486"/>
      <c r="F46" s="1486"/>
      <c r="G46" s="1486"/>
      <c r="H46" s="1486"/>
      <c r="I46" s="3197"/>
      <c r="J46" s="3197"/>
      <c r="K46" s="3197"/>
      <c r="L46" s="168"/>
      <c r="M46" s="3197"/>
      <c r="N46" s="3197"/>
      <c r="O46" s="3197"/>
      <c r="P46" s="3671"/>
      <c r="Q46" s="168"/>
      <c r="R46" s="1503"/>
      <c r="S46" s="1503"/>
      <c r="T46" s="1503"/>
      <c r="U46" s="1503"/>
      <c r="V46" s="1503"/>
      <c r="W46" s="1503"/>
      <c r="X46" s="1503"/>
      <c r="Y46" s="1503"/>
      <c r="Z46" s="1503"/>
      <c r="AA46" s="1503"/>
      <c r="AB46" s="1503"/>
    </row>
    <row r="47" spans="1:28" ht="13.5" customHeight="1">
      <c r="A47" s="1503"/>
      <c r="B47" s="1503"/>
      <c r="C47" s="2543"/>
      <c r="D47" s="2543"/>
      <c r="E47" s="1486"/>
      <c r="F47" s="1486"/>
      <c r="G47" s="1486"/>
      <c r="H47" s="1486"/>
      <c r="I47" s="3197"/>
      <c r="J47" s="3250"/>
      <c r="K47" s="3197"/>
      <c r="L47" s="1478"/>
      <c r="M47" s="172"/>
      <c r="N47" s="3250"/>
      <c r="O47" s="3250"/>
      <c r="P47" s="3670"/>
      <c r="Q47" s="168"/>
      <c r="R47" s="1503"/>
      <c r="S47" s="1503"/>
      <c r="T47" s="1503"/>
      <c r="U47" s="1503"/>
      <c r="V47" s="1503"/>
      <c r="W47" s="1503"/>
      <c r="X47" s="1503"/>
      <c r="Y47" s="1503"/>
      <c r="Z47" s="1503"/>
      <c r="AA47" s="1503"/>
      <c r="AB47" s="1503"/>
    </row>
    <row r="48" spans="1:28" ht="13.5" customHeight="1">
      <c r="A48" s="1503"/>
      <c r="C48" s="2543"/>
      <c r="D48" s="2543"/>
      <c r="E48" s="1486"/>
      <c r="F48" s="1486"/>
      <c r="G48" s="1486"/>
      <c r="H48" s="1486"/>
      <c r="I48" s="1563"/>
      <c r="J48" s="172"/>
      <c r="K48" s="1563"/>
      <c r="M48" s="3181"/>
      <c r="N48" s="172"/>
      <c r="O48" s="172"/>
      <c r="P48" s="177"/>
      <c r="Q48" s="1503"/>
      <c r="R48" s="1503"/>
      <c r="S48" s="1503"/>
      <c r="T48" s="1503"/>
      <c r="U48" s="1503"/>
      <c r="V48" s="1503"/>
      <c r="W48" s="1503"/>
      <c r="X48" s="1503"/>
      <c r="Y48" s="1503"/>
      <c r="Z48" s="1503"/>
      <c r="AA48" s="1503"/>
      <c r="AB48" s="1503"/>
    </row>
    <row r="49" spans="1:28" ht="17.25" customHeight="1" thickBot="1">
      <c r="A49" s="1555" t="s">
        <v>3467</v>
      </c>
      <c r="C49" s="2543"/>
      <c r="D49" s="2543"/>
      <c r="E49" s="1486"/>
      <c r="G49" s="1564"/>
      <c r="H49" s="1564" t="s">
        <v>3135</v>
      </c>
      <c r="I49" s="3166">
        <f>SUM(I30:I46)</f>
        <v>0</v>
      </c>
      <c r="J49" s="1553"/>
      <c r="K49" s="3166">
        <f>SUM(K30:K46)</f>
        <v>0</v>
      </c>
      <c r="M49" s="1564" t="s">
        <v>3460</v>
      </c>
      <c r="N49" s="3185">
        <f>SUM(N30:N46)</f>
        <v>0</v>
      </c>
      <c r="O49" s="1553"/>
      <c r="P49" s="3185">
        <f>SUM(P30:P46)</f>
        <v>0</v>
      </c>
      <c r="Q49" s="1503"/>
      <c r="R49" s="1503"/>
      <c r="S49" s="1503"/>
      <c r="T49" s="1503"/>
      <c r="U49" s="1503"/>
      <c r="V49" s="1503"/>
      <c r="W49" s="1503"/>
      <c r="X49" s="1503"/>
      <c r="Y49" s="1503"/>
      <c r="Z49" s="1503"/>
      <c r="AA49" s="1503"/>
      <c r="AB49" s="1503"/>
    </row>
    <row r="50" spans="1:28" ht="17.25" customHeight="1">
      <c r="A50" s="1503"/>
      <c r="C50" s="2543"/>
      <c r="D50" s="2543"/>
      <c r="E50" s="1486"/>
      <c r="F50" s="1540"/>
      <c r="G50" s="1540"/>
      <c r="H50" s="1486"/>
      <c r="I50" s="1554"/>
      <c r="J50" s="3244"/>
      <c r="K50" s="1554"/>
      <c r="L50" s="1503"/>
      <c r="M50" s="3182"/>
      <c r="N50" s="169"/>
      <c r="O50" s="169"/>
      <c r="P50" s="169"/>
      <c r="Q50" s="1503"/>
      <c r="R50" s="1503"/>
      <c r="S50" s="1503"/>
      <c r="T50" s="1503"/>
      <c r="U50" s="1503"/>
      <c r="V50" s="1503"/>
      <c r="W50" s="1503"/>
      <c r="X50" s="1503"/>
      <c r="Y50" s="1503"/>
      <c r="Z50" s="1503"/>
      <c r="AA50" s="1503"/>
      <c r="AB50" s="1503"/>
    </row>
    <row r="51" spans="1:28" ht="15" customHeight="1">
      <c r="A51" s="1503"/>
      <c r="B51" s="1565" t="s">
        <v>3468</v>
      </c>
      <c r="C51" s="2543"/>
      <c r="D51" s="2543"/>
      <c r="E51" s="1486"/>
      <c r="F51" s="1486"/>
      <c r="G51" s="1486"/>
      <c r="H51" s="1486"/>
      <c r="I51" s="2725"/>
      <c r="J51" s="1553"/>
      <c r="K51" s="1553"/>
      <c r="L51" s="1563" t="s">
        <v>3469</v>
      </c>
      <c r="M51" s="3179"/>
      <c r="N51" s="3426"/>
      <c r="O51" s="1566"/>
      <c r="P51" s="1560"/>
      <c r="Q51" s="1503"/>
      <c r="R51" s="1503"/>
      <c r="S51" s="1503"/>
      <c r="T51" s="1503"/>
      <c r="U51" s="1503"/>
      <c r="V51" s="1503"/>
      <c r="W51" s="1503"/>
      <c r="X51" s="1503"/>
      <c r="Y51" s="1503"/>
      <c r="Z51" s="1503"/>
      <c r="AA51" s="1503"/>
      <c r="AB51" s="1503"/>
    </row>
    <row r="52" spans="1:28" ht="15" customHeight="1">
      <c r="A52" s="1503"/>
      <c r="B52" s="1565" t="s">
        <v>3470</v>
      </c>
      <c r="C52" s="2543"/>
      <c r="D52" s="2543"/>
      <c r="E52" s="1486"/>
      <c r="F52" s="1486"/>
      <c r="G52" s="1486"/>
      <c r="H52" s="1486"/>
      <c r="I52" s="2725"/>
      <c r="J52" s="1553"/>
      <c r="K52" s="1553"/>
      <c r="L52" s="1563" t="s">
        <v>3469</v>
      </c>
      <c r="M52" s="3179"/>
      <c r="N52" s="2726"/>
      <c r="O52" s="1566"/>
      <c r="P52" s="1560"/>
      <c r="Q52" s="1503"/>
      <c r="R52" s="1503"/>
      <c r="S52" s="1503"/>
      <c r="T52" s="1503"/>
      <c r="U52" s="1503"/>
      <c r="V52" s="1503"/>
      <c r="W52" s="1503"/>
      <c r="X52" s="1503"/>
      <c r="Y52" s="1503"/>
      <c r="Z52" s="1503"/>
      <c r="AA52" s="1503"/>
      <c r="AB52" s="1503"/>
    </row>
    <row r="53" spans="1:28" ht="15" customHeight="1">
      <c r="A53" s="1503"/>
      <c r="B53" s="2722" t="s">
        <v>3471</v>
      </c>
      <c r="C53" s="2722"/>
      <c r="D53" s="2722"/>
      <c r="E53" s="2722"/>
      <c r="F53" s="2722"/>
      <c r="G53" s="2722"/>
      <c r="H53" s="1486"/>
      <c r="I53" s="3427"/>
      <c r="J53" s="3187"/>
      <c r="K53" s="3187"/>
      <c r="L53" s="1563" t="s">
        <v>3472</v>
      </c>
      <c r="M53" s="3179"/>
      <c r="N53" s="3186"/>
      <c r="O53" s="172"/>
      <c r="P53" s="1560"/>
      <c r="Q53" s="1503"/>
      <c r="R53" s="1503"/>
      <c r="S53" s="1503"/>
      <c r="T53" s="1503"/>
      <c r="U53" s="1503"/>
      <c r="V53" s="1503"/>
      <c r="W53" s="1503"/>
      <c r="X53" s="1503"/>
      <c r="Y53" s="1503"/>
      <c r="Z53" s="1503"/>
      <c r="AA53" s="1503"/>
      <c r="AB53" s="1503"/>
    </row>
    <row r="54" spans="1:28" ht="15" customHeight="1">
      <c r="A54" s="1503"/>
      <c r="B54" s="2723" t="s">
        <v>3473</v>
      </c>
      <c r="C54" s="2723"/>
      <c r="D54" s="2723"/>
      <c r="E54" s="2723"/>
      <c r="F54" s="2723"/>
      <c r="G54" s="2723"/>
      <c r="H54" s="1486"/>
      <c r="I54" s="2725"/>
      <c r="J54" s="1553"/>
      <c r="K54" s="1553"/>
      <c r="L54" s="1563" t="s">
        <v>3474</v>
      </c>
      <c r="M54" s="3179"/>
      <c r="N54" s="2726"/>
      <c r="O54" s="1566"/>
      <c r="P54" s="1560"/>
      <c r="Q54" s="1503"/>
      <c r="R54" s="1503"/>
      <c r="S54" s="1503"/>
      <c r="T54" s="1503"/>
      <c r="U54" s="1503"/>
      <c r="V54" s="1503"/>
      <c r="W54" s="1503"/>
      <c r="X54" s="1503"/>
      <c r="Y54" s="1503"/>
      <c r="Z54" s="1503"/>
      <c r="AA54" s="1503"/>
      <c r="AB54" s="1503"/>
    </row>
    <row r="55" spans="1:28" ht="17.25" customHeight="1">
      <c r="A55" s="1555" t="s">
        <v>3475</v>
      </c>
      <c r="C55" s="1503"/>
      <c r="D55" s="1486"/>
      <c r="E55" s="1486"/>
      <c r="F55" s="1486"/>
      <c r="G55" s="1486"/>
      <c r="H55" s="1486"/>
      <c r="I55" s="3423">
        <f>SUM(I49:I54)</f>
        <v>0</v>
      </c>
      <c r="J55" s="1553"/>
      <c r="K55" s="1553"/>
      <c r="L55" s="1486"/>
      <c r="M55" s="3179"/>
      <c r="N55" s="3167">
        <f>SUM(N49:N54)</f>
        <v>0</v>
      </c>
      <c r="O55" s="1553"/>
      <c r="P55" s="168"/>
      <c r="Q55" s="1503"/>
      <c r="R55" s="1503"/>
      <c r="S55" s="1503"/>
      <c r="T55" s="1503"/>
      <c r="U55" s="1503"/>
      <c r="V55" s="1503"/>
      <c r="W55" s="1503"/>
      <c r="X55" s="1503"/>
      <c r="Y55" s="1503"/>
      <c r="Z55" s="1503"/>
      <c r="AA55" s="1503"/>
      <c r="AB55" s="1503"/>
    </row>
    <row r="56" spans="1:28" ht="9.9499999999999993" customHeight="1">
      <c r="A56" s="1503"/>
      <c r="B56" s="1503"/>
      <c r="C56" s="1503"/>
      <c r="D56" s="1503"/>
      <c r="E56" s="1486"/>
      <c r="F56" s="1486"/>
      <c r="G56" s="1486"/>
      <c r="H56" s="1486"/>
      <c r="I56" s="1486"/>
      <c r="J56" s="175"/>
      <c r="K56" s="1486"/>
      <c r="L56" s="1486"/>
      <c r="M56" s="3179"/>
      <c r="N56" s="1503"/>
      <c r="O56" s="168"/>
      <c r="P56" s="1503"/>
      <c r="Q56" s="1503"/>
      <c r="R56" s="1503"/>
      <c r="S56" s="1503"/>
      <c r="T56" s="1503"/>
      <c r="U56" s="1503"/>
      <c r="V56" s="1503"/>
      <c r="W56" s="1503"/>
      <c r="X56" s="1503"/>
      <c r="Y56" s="1503"/>
      <c r="Z56" s="1503"/>
      <c r="AA56" s="1503"/>
      <c r="AB56" s="1503"/>
    </row>
    <row r="57" spans="1:28" ht="16.5" customHeight="1">
      <c r="A57" s="1547" t="s">
        <v>3476</v>
      </c>
      <c r="B57" s="1503"/>
      <c r="C57" s="1503"/>
      <c r="D57" s="1503"/>
      <c r="E57" s="1486"/>
      <c r="F57" s="1486"/>
      <c r="G57" s="1486"/>
      <c r="H57" s="1486"/>
      <c r="I57" s="1486"/>
      <c r="J57" s="175"/>
      <c r="K57" s="1486"/>
      <c r="L57" s="1486"/>
      <c r="M57" s="3179"/>
      <c r="N57" s="1503"/>
      <c r="O57" s="168"/>
      <c r="P57" s="1503"/>
      <c r="Q57" s="1503"/>
      <c r="R57" s="1503"/>
      <c r="S57" s="1503"/>
      <c r="T57" s="1503"/>
      <c r="U57" s="1503"/>
      <c r="V57" s="1503"/>
      <c r="W57" s="1503"/>
      <c r="X57" s="1503"/>
      <c r="Y57" s="1503"/>
      <c r="Z57" s="1503"/>
      <c r="AA57" s="1503"/>
      <c r="AB57" s="1503"/>
    </row>
    <row r="58" spans="1:28" ht="9.9499999999999993" customHeight="1">
      <c r="A58" s="1503"/>
      <c r="B58" s="1503"/>
      <c r="C58" s="1503"/>
      <c r="D58" s="1503"/>
      <c r="E58" s="1486"/>
      <c r="F58" s="1486"/>
      <c r="G58" s="1486"/>
      <c r="H58" s="1486"/>
      <c r="I58" s="1486"/>
      <c r="J58" s="175"/>
      <c r="K58" s="1486"/>
      <c r="L58" s="1486"/>
      <c r="M58" s="3179"/>
      <c r="N58" s="1503"/>
      <c r="O58" s="168"/>
      <c r="P58" s="1503"/>
      <c r="Q58" s="1503"/>
      <c r="R58" s="1503"/>
      <c r="S58" s="1503"/>
      <c r="T58" s="1503"/>
      <c r="U58" s="1503"/>
      <c r="V58" s="1503"/>
      <c r="W58" s="1503"/>
      <c r="X58" s="1503"/>
      <c r="Y58" s="1503"/>
      <c r="Z58" s="1503"/>
      <c r="AA58" s="1503"/>
      <c r="AB58" s="1503"/>
    </row>
    <row r="59" spans="1:28" s="3656" customFormat="1" ht="43.5" customHeight="1" thickBot="1">
      <c r="A59" s="3655"/>
      <c r="B59" s="3655"/>
      <c r="C59" s="3655"/>
      <c r="D59" s="3655"/>
      <c r="E59" s="3657" t="s">
        <v>3477</v>
      </c>
      <c r="F59" s="3655"/>
      <c r="G59" s="3657" t="s">
        <v>3478</v>
      </c>
      <c r="H59" s="3658"/>
      <c r="I59" s="3657" t="s">
        <v>3479</v>
      </c>
      <c r="J59" s="3655"/>
      <c r="K59" s="3659" t="s">
        <v>3480</v>
      </c>
      <c r="M59" s="3660" t="s">
        <v>3481</v>
      </c>
      <c r="N59" s="3655"/>
      <c r="O59" s="3655"/>
      <c r="P59" s="3655"/>
      <c r="Q59" s="3655"/>
      <c r="R59" s="3655"/>
      <c r="S59" s="3655"/>
      <c r="T59" s="3655"/>
      <c r="U59" s="3655"/>
      <c r="V59" s="3655"/>
      <c r="W59" s="3655"/>
      <c r="X59" s="3655"/>
      <c r="Y59" s="3655"/>
    </row>
    <row r="60" spans="1:28" ht="9.9499999999999993" customHeight="1">
      <c r="A60" s="1503"/>
      <c r="B60" s="1503"/>
      <c r="C60" s="1503"/>
      <c r="D60" s="1503"/>
      <c r="E60" s="1486"/>
      <c r="F60" s="1486"/>
      <c r="G60" s="1486"/>
      <c r="H60" s="175"/>
      <c r="I60" s="1486"/>
      <c r="J60" s="1486"/>
      <c r="K60" s="1503"/>
      <c r="L60" s="168"/>
      <c r="M60" s="1503"/>
      <c r="N60" s="1503"/>
      <c r="O60" s="1503"/>
      <c r="P60" s="1503"/>
      <c r="Q60" s="1503"/>
      <c r="R60" s="1503"/>
      <c r="S60" s="1503"/>
      <c r="T60" s="1503"/>
      <c r="U60" s="1503"/>
      <c r="V60" s="1503"/>
      <c r="W60" s="1503"/>
      <c r="X60" s="1503"/>
      <c r="Y60" s="1503"/>
    </row>
    <row r="61" spans="1:28" ht="16.5" customHeight="1">
      <c r="A61" s="1503"/>
      <c r="B61" s="1503"/>
      <c r="C61" s="1503"/>
      <c r="D61" s="1503"/>
      <c r="E61" s="2735"/>
      <c r="F61" s="1486"/>
      <c r="G61" s="2735"/>
      <c r="H61" s="175"/>
      <c r="I61" s="2735"/>
      <c r="J61" s="1486"/>
      <c r="K61" s="2735"/>
      <c r="L61" s="168"/>
      <c r="M61" s="2735"/>
      <c r="N61" s="1503"/>
      <c r="O61" s="1503"/>
      <c r="P61" s="1503"/>
      <c r="Q61" s="1503"/>
      <c r="R61" s="1503"/>
      <c r="S61" s="1503"/>
      <c r="T61" s="1503"/>
      <c r="U61" s="1503"/>
      <c r="V61" s="1503"/>
      <c r="W61" s="1503"/>
      <c r="X61" s="1503"/>
      <c r="Y61" s="1503"/>
    </row>
    <row r="62" spans="1:28" ht="9.9499999999999993" customHeight="1">
      <c r="A62" s="1503"/>
      <c r="B62" s="1503"/>
      <c r="C62" s="1503"/>
      <c r="D62" s="1503"/>
      <c r="E62" s="1486"/>
      <c r="F62" s="1486"/>
      <c r="G62" s="1486"/>
      <c r="H62" s="175"/>
      <c r="I62" s="1486"/>
      <c r="J62" s="1486"/>
      <c r="K62" s="1503"/>
      <c r="L62" s="168"/>
      <c r="M62" s="1503"/>
      <c r="N62" s="1503"/>
      <c r="O62" s="1503"/>
      <c r="P62" s="1503"/>
      <c r="Q62" s="1503"/>
      <c r="R62" s="1503"/>
      <c r="S62" s="1503"/>
      <c r="T62" s="1503"/>
      <c r="U62" s="1503"/>
      <c r="V62" s="1503"/>
      <c r="W62" s="1503"/>
      <c r="X62" s="1503"/>
      <c r="Y62" s="1503"/>
    </row>
    <row r="63" spans="1:28" ht="20.25" customHeight="1">
      <c r="A63" s="1503"/>
      <c r="B63" s="1503"/>
      <c r="C63" s="1503"/>
      <c r="D63" s="1503"/>
      <c r="E63" s="2735"/>
      <c r="F63" s="1486"/>
      <c r="G63" s="2735"/>
      <c r="H63" s="175"/>
      <c r="I63" s="2735"/>
      <c r="J63" s="1486"/>
      <c r="K63" s="2735"/>
      <c r="L63" s="168"/>
      <c r="M63" s="2735"/>
      <c r="N63" s="1503"/>
      <c r="O63" s="1503"/>
      <c r="P63" s="1503"/>
      <c r="Q63" s="1503"/>
      <c r="R63" s="1503"/>
      <c r="S63" s="1503"/>
      <c r="T63" s="1503"/>
      <c r="U63" s="1503"/>
      <c r="V63" s="1503"/>
      <c r="W63" s="1503"/>
      <c r="X63" s="1503"/>
      <c r="Y63" s="1503"/>
    </row>
    <row r="64" spans="1:28" ht="18" customHeight="1">
      <c r="B64" s="1503"/>
      <c r="C64" s="1503"/>
      <c r="D64" s="1503"/>
      <c r="E64" s="1486"/>
      <c r="F64" s="1486"/>
      <c r="G64" s="1486"/>
      <c r="H64" s="1486"/>
      <c r="I64" s="1486"/>
      <c r="J64" s="175"/>
      <c r="K64" s="1486"/>
      <c r="L64" s="1486"/>
      <c r="M64" s="3179"/>
      <c r="N64" s="1503"/>
      <c r="O64" s="168"/>
      <c r="P64" s="1503"/>
      <c r="Q64" s="1503"/>
      <c r="R64" s="1503"/>
      <c r="S64" s="1503"/>
      <c r="T64" s="1503"/>
      <c r="U64" s="1503"/>
      <c r="V64" s="1503"/>
      <c r="W64" s="1503"/>
      <c r="X64" s="1503"/>
      <c r="Y64" s="1503"/>
      <c r="Z64" s="1503"/>
      <c r="AA64" s="1503"/>
      <c r="AB64" s="1503"/>
    </row>
    <row r="65" spans="1:28" ht="13.5" customHeight="1">
      <c r="A65" s="1547" t="s">
        <v>3482</v>
      </c>
      <c r="B65" s="1503"/>
      <c r="C65" s="1503"/>
      <c r="D65" s="1503"/>
      <c r="E65" s="1486"/>
      <c r="F65" s="1486"/>
      <c r="G65" s="1486"/>
      <c r="H65" s="1486"/>
      <c r="I65" s="1486"/>
      <c r="J65" s="175"/>
      <c r="K65" s="1486"/>
      <c r="L65" s="1486"/>
      <c r="M65" s="3179"/>
      <c r="N65" s="1503"/>
      <c r="O65" s="168"/>
      <c r="P65" s="1503"/>
      <c r="Q65" s="1503"/>
      <c r="R65" s="1503"/>
      <c r="S65" s="1503"/>
      <c r="T65" s="1503"/>
      <c r="U65" s="1503"/>
      <c r="V65" s="1503"/>
      <c r="W65" s="1503"/>
      <c r="X65" s="1503"/>
      <c r="Y65" s="1503"/>
      <c r="Z65" s="1503"/>
      <c r="AA65" s="1503"/>
      <c r="AB65" s="1503"/>
    </row>
    <row r="66" spans="1:28" ht="54" customHeight="1" thickBot="1">
      <c r="A66" s="3655"/>
      <c r="B66" s="3655"/>
      <c r="C66" s="3655"/>
      <c r="D66" s="3655"/>
      <c r="E66" s="3657" t="s">
        <v>3483</v>
      </c>
      <c r="F66" s="3655"/>
      <c r="G66" s="3657" t="s">
        <v>3484</v>
      </c>
      <c r="H66" s="3658"/>
      <c r="I66" s="3657" t="s">
        <v>3485</v>
      </c>
      <c r="J66" s="3655"/>
      <c r="K66" s="3659" t="s">
        <v>3486</v>
      </c>
      <c r="L66" s="3656"/>
      <c r="M66" s="3660" t="s">
        <v>3487</v>
      </c>
      <c r="N66" s="1503"/>
      <c r="O66" s="168"/>
      <c r="P66" s="1503"/>
      <c r="Q66" s="1503"/>
      <c r="R66" s="1503"/>
      <c r="S66" s="1503"/>
      <c r="T66" s="1503"/>
      <c r="U66" s="1503"/>
      <c r="V66" s="1503"/>
      <c r="W66" s="1503"/>
      <c r="X66" s="1503"/>
      <c r="Y66" s="1503"/>
      <c r="Z66" s="1503"/>
      <c r="AA66" s="1503"/>
      <c r="AB66" s="1503"/>
    </row>
    <row r="67" spans="1:28" ht="9.9499999999999993" customHeight="1">
      <c r="A67" s="1503"/>
      <c r="B67" s="1503"/>
      <c r="C67" s="1503"/>
      <c r="D67" s="1503"/>
      <c r="E67" s="1486"/>
      <c r="F67" s="1486"/>
      <c r="G67" s="1486"/>
      <c r="H67" s="175"/>
      <c r="I67" s="1486"/>
      <c r="J67" s="1486"/>
      <c r="K67" s="1503"/>
      <c r="L67" s="168"/>
      <c r="M67" s="1503"/>
      <c r="N67" s="1503"/>
      <c r="O67" s="168"/>
      <c r="P67" s="1503"/>
      <c r="Q67" s="1503"/>
      <c r="R67" s="1503"/>
      <c r="S67" s="1503"/>
      <c r="T67" s="1503"/>
      <c r="U67" s="1503"/>
      <c r="V67" s="1503"/>
      <c r="W67" s="1503"/>
      <c r="X67" s="1503"/>
      <c r="Y67" s="1503"/>
      <c r="Z67" s="1503"/>
      <c r="AA67" s="1503"/>
      <c r="AB67" s="1503"/>
    </row>
    <row r="68" spans="1:28" s="4138" customFormat="1" ht="18" customHeight="1">
      <c r="A68" s="3252"/>
      <c r="B68" s="3252"/>
      <c r="C68" s="3252"/>
      <c r="D68" s="3252"/>
      <c r="E68" s="2735"/>
      <c r="F68" s="4136"/>
      <c r="G68" s="2735"/>
      <c r="H68" s="2420"/>
      <c r="I68" s="2735"/>
      <c r="J68" s="4136"/>
      <c r="K68" s="2735"/>
      <c r="L68" s="4137"/>
      <c r="M68" s="2735"/>
      <c r="N68" s="3252"/>
      <c r="O68" s="4137"/>
      <c r="P68" s="3252"/>
      <c r="Q68" s="3252"/>
      <c r="R68" s="3252"/>
      <c r="S68" s="3252"/>
      <c r="T68" s="3252"/>
      <c r="U68" s="3252"/>
      <c r="V68" s="3252"/>
      <c r="W68" s="3252"/>
      <c r="X68" s="3252"/>
      <c r="Y68" s="3252"/>
      <c r="Z68" s="3252"/>
      <c r="AA68" s="3252"/>
      <c r="AB68" s="3252"/>
    </row>
    <row r="69" spans="1:28" s="4138" customFormat="1" ht="9.9499999999999993" customHeight="1">
      <c r="A69" s="3252"/>
      <c r="B69" s="3252"/>
      <c r="C69" s="3252"/>
      <c r="D69" s="3252"/>
      <c r="E69" s="4136"/>
      <c r="F69" s="4136"/>
      <c r="G69" s="4136"/>
      <c r="H69" s="2420"/>
      <c r="I69" s="4136"/>
      <c r="J69" s="4136"/>
      <c r="K69" s="3252"/>
      <c r="L69" s="4137"/>
      <c r="M69" s="3252"/>
      <c r="N69" s="3252"/>
      <c r="O69" s="4137"/>
      <c r="P69" s="3252"/>
      <c r="Q69" s="3252"/>
      <c r="R69" s="3252"/>
      <c r="S69" s="3252"/>
      <c r="T69" s="3252"/>
      <c r="U69" s="3252"/>
      <c r="V69" s="3252"/>
      <c r="W69" s="3252"/>
      <c r="X69" s="3252"/>
      <c r="Y69" s="3252"/>
      <c r="Z69" s="3252"/>
      <c r="AA69" s="3252"/>
      <c r="AB69" s="3252"/>
    </row>
    <row r="70" spans="1:28" s="4138" customFormat="1" ht="21" customHeight="1">
      <c r="A70" s="3252"/>
      <c r="B70" s="3252"/>
      <c r="C70" s="3252"/>
      <c r="D70" s="3252"/>
      <c r="E70" s="2735"/>
      <c r="F70" s="4136"/>
      <c r="G70" s="2735"/>
      <c r="H70" s="2420"/>
      <c r="I70" s="2735"/>
      <c r="J70" s="4136"/>
      <c r="K70" s="2735"/>
      <c r="L70" s="4137"/>
      <c r="M70" s="2735"/>
      <c r="N70" s="3252"/>
      <c r="O70" s="4137"/>
      <c r="P70" s="3252"/>
      <c r="Q70" s="3252"/>
      <c r="R70" s="3252"/>
      <c r="S70" s="3252"/>
      <c r="T70" s="3252"/>
      <c r="U70" s="3252"/>
      <c r="V70" s="3252"/>
      <c r="W70" s="3252"/>
      <c r="X70" s="3252"/>
      <c r="Y70" s="3252"/>
      <c r="Z70" s="3252"/>
      <c r="AA70" s="3252"/>
      <c r="AB70" s="3252"/>
    </row>
    <row r="71" spans="1:28" s="4138" customFormat="1" ht="9.9499999999999993" customHeight="1">
      <c r="A71" s="3252"/>
      <c r="B71" s="3252"/>
      <c r="C71" s="3252"/>
      <c r="D71" s="3252"/>
      <c r="E71" s="4136"/>
      <c r="F71" s="4136"/>
      <c r="G71" s="4136"/>
      <c r="H71" s="4136"/>
      <c r="I71" s="4136"/>
      <c r="J71" s="2420"/>
      <c r="K71" s="4136"/>
      <c r="L71" s="4136"/>
      <c r="M71" s="4139"/>
      <c r="N71" s="3252"/>
      <c r="O71" s="4137"/>
      <c r="P71" s="3252"/>
      <c r="Q71" s="3252"/>
      <c r="R71" s="3252"/>
      <c r="S71" s="3252"/>
      <c r="T71" s="3252"/>
      <c r="U71" s="3252"/>
      <c r="V71" s="3252"/>
      <c r="W71" s="3252"/>
      <c r="X71" s="3252"/>
      <c r="Y71" s="3252"/>
      <c r="Z71" s="3252"/>
      <c r="AA71" s="3252"/>
      <c r="AB71" s="3252"/>
    </row>
    <row r="72" spans="1:28" s="4138" customFormat="1" ht="21.75" customHeight="1">
      <c r="A72" s="3252"/>
      <c r="B72" s="3252"/>
      <c r="C72" s="3252"/>
      <c r="D72" s="3252"/>
      <c r="E72" s="2735"/>
      <c r="F72" s="4136"/>
      <c r="G72" s="2735"/>
      <c r="H72" s="2420"/>
      <c r="I72" s="2735"/>
      <c r="J72" s="4136"/>
      <c r="K72" s="2735"/>
      <c r="L72" s="4137"/>
      <c r="M72" s="2735"/>
      <c r="N72" s="3252"/>
      <c r="O72" s="4137"/>
      <c r="P72" s="3252"/>
      <c r="Q72" s="3252"/>
      <c r="R72" s="3252"/>
      <c r="S72" s="3252"/>
      <c r="T72" s="3252"/>
      <c r="U72" s="3252"/>
      <c r="V72" s="3252"/>
      <c r="W72" s="3252"/>
      <c r="X72" s="3252"/>
      <c r="Y72" s="3252"/>
      <c r="Z72" s="3252"/>
      <c r="AA72" s="3252"/>
      <c r="AB72" s="3252"/>
    </row>
    <row r="73" spans="1:28" ht="9.9499999999999993" customHeight="1">
      <c r="A73" s="1503"/>
      <c r="B73" s="1503"/>
      <c r="C73" s="1503"/>
      <c r="D73" s="1503"/>
      <c r="E73" s="1486"/>
      <c r="F73" s="1486"/>
      <c r="G73" s="1486"/>
      <c r="H73" s="1486"/>
      <c r="I73" s="1486"/>
      <c r="J73" s="175"/>
      <c r="K73" s="1486"/>
      <c r="L73" s="1486"/>
      <c r="M73" s="3179"/>
      <c r="N73" s="1503"/>
      <c r="O73" s="168"/>
      <c r="P73" s="1503"/>
      <c r="Q73" s="1503"/>
      <c r="R73" s="1503"/>
      <c r="S73" s="1503"/>
      <c r="T73" s="1503"/>
      <c r="U73" s="1503"/>
      <c r="V73" s="1503"/>
      <c r="W73" s="1503"/>
      <c r="X73" s="1503"/>
      <c r="Y73" s="1503"/>
      <c r="Z73" s="1503"/>
      <c r="AA73" s="1503"/>
      <c r="AB73" s="1503"/>
    </row>
    <row r="74" spans="1:28" ht="9.9499999999999993" customHeight="1">
      <c r="A74" s="1503"/>
      <c r="B74" s="1503"/>
      <c r="C74" s="1503"/>
      <c r="D74" s="1503"/>
      <c r="E74" s="1486"/>
      <c r="F74" s="1486"/>
      <c r="G74" s="1486"/>
      <c r="H74" s="1486"/>
      <c r="I74" s="1486"/>
      <c r="J74" s="175"/>
      <c r="K74" s="1486"/>
      <c r="L74" s="1486"/>
      <c r="M74" s="3179"/>
      <c r="N74" s="1503"/>
      <c r="O74" s="168"/>
      <c r="P74" s="1503"/>
      <c r="Q74" s="1503"/>
      <c r="R74" s="1503"/>
      <c r="S74" s="1503"/>
      <c r="T74" s="1503"/>
      <c r="U74" s="1503"/>
      <c r="V74" s="1503"/>
      <c r="W74" s="1503"/>
      <c r="X74" s="1503"/>
      <c r="Y74" s="1503"/>
      <c r="Z74" s="1503"/>
      <c r="AA74" s="1503"/>
      <c r="AB74" s="1503"/>
    </row>
    <row r="75" spans="1:28" ht="17.25" customHeight="1">
      <c r="A75" s="1547" t="s">
        <v>3488</v>
      </c>
      <c r="B75" s="1503"/>
      <c r="C75" s="1503"/>
      <c r="D75" s="1503"/>
      <c r="E75" s="1486"/>
      <c r="F75" s="1486"/>
      <c r="G75" s="1486"/>
      <c r="H75" s="1486"/>
      <c r="I75" s="1486"/>
      <c r="J75" s="175"/>
      <c r="K75" s="1486"/>
      <c r="L75" s="1486"/>
      <c r="M75" s="3179"/>
      <c r="N75" s="1503"/>
      <c r="O75" s="168"/>
      <c r="P75" s="1503"/>
      <c r="Q75" s="1503"/>
      <c r="R75" s="1503"/>
      <c r="S75" s="1503"/>
      <c r="T75" s="1503"/>
      <c r="U75" s="1503"/>
      <c r="V75" s="1503"/>
      <c r="W75" s="1503"/>
      <c r="X75" s="1503"/>
      <c r="Y75" s="1503"/>
      <c r="Z75" s="1503"/>
      <c r="AA75" s="1503"/>
      <c r="AB75" s="1503"/>
    </row>
    <row r="76" spans="1:28" ht="9.9499999999999993" customHeight="1">
      <c r="A76" s="1503"/>
      <c r="B76" s="1503"/>
      <c r="C76" s="1503"/>
      <c r="D76" s="1503"/>
      <c r="E76" s="1486"/>
      <c r="F76" s="1486"/>
      <c r="G76" s="1486"/>
      <c r="H76" s="1486"/>
      <c r="I76" s="1486"/>
      <c r="J76" s="175"/>
      <c r="K76" s="1486"/>
      <c r="L76" s="1486"/>
      <c r="M76" s="3179"/>
      <c r="N76" s="1503"/>
      <c r="O76" s="168"/>
      <c r="P76" s="1503"/>
      <c r="Q76" s="1503"/>
      <c r="R76" s="1503"/>
      <c r="S76" s="1503"/>
      <c r="T76" s="1503"/>
      <c r="U76" s="1503"/>
      <c r="V76" s="1503"/>
      <c r="W76" s="1503"/>
      <c r="X76" s="1503"/>
      <c r="Y76" s="1503"/>
      <c r="Z76" s="1503"/>
      <c r="AA76" s="1503"/>
      <c r="AB76" s="1503"/>
    </row>
    <row r="77" spans="1:28" ht="14.25" customHeight="1" thickBot="1">
      <c r="A77" s="1503"/>
      <c r="B77" s="1503"/>
      <c r="C77" s="1503"/>
      <c r="D77" s="1503"/>
      <c r="E77" s="1503"/>
      <c r="F77" s="1503"/>
      <c r="G77" s="1503"/>
      <c r="H77" s="1503"/>
      <c r="I77" s="3664"/>
      <c r="J77" s="2540" t="s">
        <v>3489</v>
      </c>
      <c r="K77" s="2529"/>
      <c r="L77" s="1557"/>
      <c r="M77" s="3180"/>
      <c r="N77" s="3664"/>
      <c r="O77" s="3666" t="s">
        <v>3490</v>
      </c>
      <c r="P77" s="2686"/>
      <c r="Q77" s="1503"/>
      <c r="R77" s="1503"/>
      <c r="S77" s="1503"/>
      <c r="T77" s="1503"/>
      <c r="U77" s="1503"/>
      <c r="V77" s="1503"/>
      <c r="W77" s="1503"/>
      <c r="X77" s="1503"/>
      <c r="Y77" s="1503"/>
      <c r="Z77" s="1503"/>
      <c r="AA77" s="1503"/>
      <c r="AB77" s="1503"/>
    </row>
    <row r="78" spans="1:28" ht="19.5" customHeight="1">
      <c r="A78" s="1503"/>
      <c r="B78" s="1503"/>
      <c r="C78" s="1503"/>
      <c r="D78" s="1503"/>
      <c r="E78" s="1503"/>
      <c r="F78" s="2540" t="s">
        <v>3463</v>
      </c>
      <c r="G78" s="2540"/>
      <c r="H78" s="1486"/>
      <c r="I78" s="2735"/>
      <c r="K78" s="2735"/>
      <c r="L78" s="1557"/>
      <c r="M78" s="3180"/>
      <c r="N78" s="2735"/>
      <c r="O78" s="3172"/>
      <c r="P78" s="2735"/>
      <c r="Q78" s="1503"/>
      <c r="R78" s="1503"/>
      <c r="S78" s="1503"/>
      <c r="T78" s="1503"/>
      <c r="U78" s="1503"/>
      <c r="V78" s="1503"/>
      <c r="W78" s="1503"/>
      <c r="X78" s="1503"/>
      <c r="Y78" s="1503"/>
      <c r="Z78" s="1503"/>
      <c r="AA78" s="1503"/>
      <c r="AB78" s="1503"/>
    </row>
    <row r="79" spans="1:28" ht="14.25" customHeight="1" thickBot="1">
      <c r="A79" s="1503"/>
      <c r="B79" s="1503"/>
      <c r="C79" s="1503"/>
      <c r="D79" s="1503"/>
      <c r="E79" s="3664"/>
      <c r="F79" s="3667" t="s">
        <v>3466</v>
      </c>
      <c r="G79" s="3667"/>
      <c r="H79" s="1486"/>
      <c r="I79" s="3665" t="s">
        <v>2870</v>
      </c>
      <c r="J79" s="2541"/>
      <c r="K79" s="3665" t="s">
        <v>2871</v>
      </c>
      <c r="L79" s="1486"/>
      <c r="M79" s="3180"/>
      <c r="N79" s="3914" t="s">
        <v>2870</v>
      </c>
      <c r="O79" s="3802"/>
      <c r="P79" s="3914" t="s">
        <v>2871</v>
      </c>
      <c r="Q79" s="1503"/>
      <c r="R79" s="1503"/>
      <c r="S79" s="1503"/>
      <c r="T79" s="1503"/>
      <c r="U79" s="1503"/>
      <c r="V79" s="1503"/>
      <c r="W79" s="1503"/>
      <c r="X79" s="1503"/>
      <c r="Y79" s="1503"/>
      <c r="Z79" s="1503"/>
      <c r="AA79" s="1503"/>
      <c r="AB79" s="1503"/>
    </row>
    <row r="80" spans="1:28" ht="14.25" customHeight="1">
      <c r="A80" s="1503"/>
      <c r="B80" s="1503"/>
      <c r="C80" s="1503"/>
      <c r="D80" s="1503"/>
      <c r="E80" s="1503"/>
      <c r="F80" s="3663">
        <v>2021</v>
      </c>
      <c r="G80" s="1561" t="s">
        <v>2838</v>
      </c>
      <c r="H80" s="1541"/>
      <c r="I80" s="2735"/>
      <c r="J80" s="3197"/>
      <c r="K80" s="2735"/>
      <c r="L80" s="1503"/>
      <c r="M80" s="3168"/>
      <c r="N80" s="2735"/>
      <c r="O80" s="3197"/>
      <c r="P80" s="3425"/>
      <c r="Q80" s="1503"/>
      <c r="R80" s="1503"/>
      <c r="S80" s="1503"/>
      <c r="T80" s="1503"/>
      <c r="U80" s="1503"/>
      <c r="V80" s="1503"/>
      <c r="W80" s="1503"/>
      <c r="X80" s="1503"/>
      <c r="Y80" s="1503"/>
      <c r="Z80" s="1503"/>
      <c r="AA80" s="1503"/>
      <c r="AB80" s="1503"/>
    </row>
    <row r="81" spans="1:28" ht="14.25" customHeight="1">
      <c r="A81" s="1503"/>
      <c r="B81" s="1503"/>
      <c r="C81" s="1503"/>
      <c r="D81" s="1503"/>
      <c r="E81" s="1503"/>
      <c r="F81" s="3654">
        <f ca="1">YEAR(TODAY())+1</f>
        <v>2022</v>
      </c>
      <c r="G81" s="1561"/>
      <c r="H81" s="1541"/>
      <c r="I81" s="2735"/>
      <c r="J81" s="3197"/>
      <c r="K81" s="2735"/>
      <c r="L81" s="1503"/>
      <c r="M81" s="3168"/>
      <c r="N81" s="2735"/>
      <c r="O81" s="3197"/>
      <c r="P81" s="3425"/>
      <c r="Q81" s="1503"/>
      <c r="R81" s="1503"/>
      <c r="S81" s="1503"/>
      <c r="T81" s="1503"/>
      <c r="U81" s="1503"/>
      <c r="V81" s="1503"/>
      <c r="W81" s="1503"/>
      <c r="X81" s="1503"/>
      <c r="Y81" s="1503"/>
      <c r="Z81" s="1503"/>
      <c r="AA81" s="1503"/>
      <c r="AB81" s="1503"/>
    </row>
    <row r="82" spans="1:28" ht="15" customHeight="1">
      <c r="A82" s="1503"/>
      <c r="B82" s="1503"/>
      <c r="C82" s="1503"/>
      <c r="D82" s="1503"/>
      <c r="E82" s="1503"/>
      <c r="F82" s="3654">
        <f ca="1">YEAR(TODAY())+2</f>
        <v>2023</v>
      </c>
      <c r="G82" s="1503"/>
      <c r="H82" s="1503"/>
      <c r="I82" s="2735"/>
      <c r="J82" s="3197"/>
      <c r="K82" s="2735"/>
      <c r="L82" s="1503"/>
      <c r="M82" s="3184"/>
      <c r="N82" s="2735"/>
      <c r="O82" s="3197"/>
      <c r="P82" s="3425"/>
      <c r="Q82" s="1503"/>
      <c r="R82" s="1503"/>
      <c r="S82" s="1503"/>
      <c r="T82" s="1503"/>
      <c r="U82" s="1503"/>
      <c r="V82" s="1503"/>
      <c r="W82" s="1503"/>
      <c r="X82" s="1503"/>
      <c r="Y82" s="1503"/>
      <c r="Z82" s="1503"/>
      <c r="AA82" s="1503"/>
      <c r="AB82" s="1503"/>
    </row>
    <row r="83" spans="1:28" ht="13.5" customHeight="1">
      <c r="A83" s="1503"/>
      <c r="B83" s="1503"/>
      <c r="C83" s="1503"/>
      <c r="D83" s="1503"/>
      <c r="F83" s="3654">
        <f ca="1">YEAR(TODAY())+3</f>
        <v>2024</v>
      </c>
      <c r="I83" s="2735"/>
      <c r="J83" s="3197"/>
      <c r="K83" s="2735"/>
      <c r="L83" s="1503"/>
      <c r="M83" s="3184"/>
      <c r="N83" s="2735"/>
      <c r="O83" s="3197"/>
      <c r="P83" s="3425"/>
      <c r="Q83" s="1503"/>
      <c r="R83" s="1503"/>
      <c r="S83" s="1503"/>
      <c r="T83" s="1503"/>
      <c r="U83" s="1503"/>
      <c r="V83" s="1503"/>
      <c r="W83" s="1503"/>
      <c r="X83" s="1503"/>
      <c r="Y83" s="1503"/>
      <c r="Z83" s="1503"/>
      <c r="AA83" s="1503"/>
      <c r="AB83" s="1503"/>
    </row>
    <row r="84" spans="1:28" ht="13.5" customHeight="1">
      <c r="A84" s="1503"/>
      <c r="B84" s="1503"/>
      <c r="C84" s="1503"/>
      <c r="D84" s="1503"/>
      <c r="F84" s="3654">
        <f ca="1">YEAR(TODAY())+4</f>
        <v>2025</v>
      </c>
      <c r="I84" s="2735"/>
      <c r="J84" s="3197"/>
      <c r="K84" s="2735"/>
      <c r="L84" s="1503"/>
      <c r="M84" s="3184"/>
      <c r="N84" s="2735"/>
      <c r="O84" s="3197"/>
      <c r="P84" s="3425"/>
      <c r="Q84" s="1503"/>
      <c r="R84" s="1503"/>
      <c r="S84" s="1503"/>
      <c r="T84" s="1503"/>
      <c r="U84" s="1503"/>
      <c r="V84" s="1503"/>
      <c r="W84" s="1503"/>
      <c r="X84" s="1503"/>
      <c r="Y84" s="1503"/>
      <c r="Z84" s="1503"/>
      <c r="AA84" s="1503"/>
      <c r="AB84" s="1503"/>
    </row>
    <row r="85" spans="1:28" ht="15.75" customHeight="1">
      <c r="A85" s="1503"/>
      <c r="B85" s="1503"/>
      <c r="C85" s="1503"/>
      <c r="D85" s="1503"/>
      <c r="F85" s="3654">
        <f ca="1">YEAR(TODAY())+5</f>
        <v>2026</v>
      </c>
      <c r="I85" s="2735"/>
      <c r="J85" s="3197"/>
      <c r="K85" s="2735"/>
      <c r="L85" s="1503"/>
      <c r="M85" s="3184"/>
      <c r="N85" s="2735"/>
      <c r="O85" s="3197"/>
      <c r="P85" s="3425"/>
      <c r="Q85" s="1503"/>
      <c r="R85" s="1503"/>
      <c r="S85" s="1503"/>
      <c r="T85" s="1503"/>
      <c r="U85" s="1503"/>
      <c r="V85" s="1503"/>
      <c r="W85" s="1503"/>
      <c r="X85" s="1503"/>
      <c r="Y85" s="1503"/>
      <c r="Z85" s="1503"/>
      <c r="AA85" s="1503"/>
      <c r="AB85" s="1503"/>
    </row>
    <row r="86" spans="1:28">
      <c r="A86" s="1503"/>
      <c r="B86" s="1503"/>
      <c r="C86" s="1503"/>
      <c r="D86" s="1503"/>
      <c r="E86" s="3661">
        <f ca="1">YEAR(TODAY())+6</f>
        <v>2027</v>
      </c>
      <c r="F86" s="3654" t="s">
        <v>2872</v>
      </c>
      <c r="G86" s="3652">
        <f ca="1">YEAR(TODAY())+10</f>
        <v>2031</v>
      </c>
      <c r="I86" s="2735"/>
      <c r="J86" s="3197"/>
      <c r="K86" s="2735"/>
      <c r="L86" s="1503"/>
      <c r="M86" s="3184"/>
      <c r="N86" s="2735"/>
      <c r="O86" s="3197"/>
      <c r="P86" s="3425"/>
      <c r="Q86" s="1503"/>
      <c r="R86" s="1503"/>
      <c r="S86" s="1503"/>
      <c r="T86" s="1503"/>
      <c r="U86" s="1503"/>
      <c r="V86" s="1503"/>
      <c r="W86" s="1503"/>
      <c r="X86" s="1503"/>
      <c r="Y86" s="1503"/>
      <c r="Z86" s="1503"/>
      <c r="AA86" s="1503"/>
      <c r="AB86" s="1503"/>
    </row>
    <row r="87" spans="1:28">
      <c r="A87" s="1503"/>
      <c r="B87" s="1503"/>
      <c r="C87" s="1503"/>
      <c r="D87" s="1503"/>
      <c r="E87" s="3661">
        <f ca="1">YEAR(TODAY())+11</f>
        <v>2032</v>
      </c>
      <c r="F87" s="3654" t="s">
        <v>2872</v>
      </c>
      <c r="G87" s="3652">
        <f ca="1">YEAR(TODAY())+15</f>
        <v>2036</v>
      </c>
      <c r="I87" s="2735"/>
      <c r="J87" s="3197"/>
      <c r="K87" s="2735"/>
      <c r="L87" s="1503"/>
      <c r="M87" s="3184"/>
      <c r="N87" s="2735"/>
      <c r="O87" s="3197"/>
      <c r="P87" s="3425"/>
      <c r="Q87" s="1503"/>
      <c r="R87" s="1503"/>
      <c r="S87" s="1503"/>
      <c r="T87" s="1503"/>
      <c r="U87" s="1503"/>
      <c r="V87" s="1503"/>
      <c r="W87" s="1503"/>
      <c r="X87" s="1503"/>
      <c r="Y87" s="1503"/>
      <c r="Z87" s="1503"/>
      <c r="AA87" s="1503"/>
      <c r="AB87" s="1503"/>
    </row>
    <row r="88" spans="1:28">
      <c r="A88" s="1503"/>
      <c r="B88" s="1503"/>
      <c r="C88" s="1503"/>
      <c r="D88" s="1503"/>
      <c r="E88" s="3661">
        <f ca="1">YEAR(TODAY())+16</f>
        <v>2037</v>
      </c>
      <c r="F88" s="3654" t="s">
        <v>2872</v>
      </c>
      <c r="G88" s="3652">
        <f ca="1">YEAR(TODAY())+20</f>
        <v>2041</v>
      </c>
      <c r="I88" s="2735"/>
      <c r="J88" s="3197"/>
      <c r="K88" s="2735"/>
      <c r="L88" s="1503"/>
      <c r="M88" s="3184"/>
      <c r="N88" s="2735"/>
      <c r="O88" s="3197"/>
      <c r="P88" s="3425"/>
      <c r="Q88" s="1503"/>
      <c r="R88" s="1503"/>
      <c r="S88" s="1503"/>
      <c r="T88" s="1503"/>
      <c r="U88" s="1503"/>
      <c r="V88" s="1503"/>
      <c r="W88" s="1503"/>
      <c r="X88" s="1503"/>
      <c r="Y88" s="1503"/>
      <c r="Z88" s="1503"/>
      <c r="AA88" s="1503"/>
      <c r="AB88" s="1503"/>
    </row>
    <row r="89" spans="1:28">
      <c r="A89" s="1503"/>
      <c r="B89" s="1503"/>
      <c r="C89" s="1503"/>
      <c r="D89" s="1503"/>
      <c r="E89" s="3661">
        <f ca="1">YEAR(TODAY())+21</f>
        <v>2042</v>
      </c>
      <c r="F89" s="3654" t="s">
        <v>2872</v>
      </c>
      <c r="G89" s="3653">
        <f ca="1">YEAR(TODAY())+25</f>
        <v>2046</v>
      </c>
      <c r="I89" s="2735"/>
      <c r="J89" s="3197"/>
      <c r="K89" s="2735"/>
      <c r="L89" s="1503"/>
      <c r="M89" s="3184"/>
      <c r="N89" s="2735"/>
      <c r="O89" s="3197"/>
      <c r="P89" s="3425"/>
      <c r="Q89" s="1503"/>
      <c r="R89" s="1503"/>
      <c r="S89" s="1503"/>
      <c r="T89" s="1503"/>
      <c r="U89" s="1503"/>
      <c r="V89" s="1503"/>
      <c r="W89" s="1503"/>
      <c r="X89" s="1503"/>
      <c r="Y89" s="1503"/>
      <c r="Z89" s="1503"/>
      <c r="AA89" s="1503"/>
      <c r="AB89" s="1503"/>
    </row>
    <row r="90" spans="1:28">
      <c r="A90" s="1503"/>
      <c r="B90" s="1503"/>
      <c r="C90" s="1503"/>
      <c r="D90" s="1503"/>
      <c r="E90" s="3662">
        <f ca="1">YEAR(TODAY())+26</f>
        <v>2047</v>
      </c>
      <c r="F90" s="3654" t="s">
        <v>2872</v>
      </c>
      <c r="G90" s="3653">
        <f ca="1">YEAR(TODAY())+30</f>
        <v>2051</v>
      </c>
      <c r="I90" s="2735"/>
      <c r="J90" s="3197"/>
      <c r="K90" s="2735"/>
      <c r="L90" s="1503"/>
      <c r="M90" s="3184"/>
      <c r="N90" s="2735"/>
      <c r="O90" s="3197"/>
      <c r="P90" s="3425"/>
      <c r="Q90" s="1503"/>
      <c r="R90" s="1503"/>
      <c r="S90" s="1503"/>
      <c r="T90" s="1503"/>
      <c r="U90" s="1503"/>
      <c r="V90" s="1503"/>
      <c r="W90" s="1503"/>
      <c r="X90" s="1503"/>
      <c r="Y90" s="1503"/>
      <c r="Z90" s="1503"/>
      <c r="AA90" s="1503"/>
      <c r="AB90" s="1503"/>
    </row>
    <row r="91" spans="1:28" ht="18" customHeight="1" thickBot="1">
      <c r="A91" s="1503"/>
      <c r="B91" s="1503"/>
      <c r="C91" s="1503"/>
      <c r="D91" s="1503"/>
      <c r="E91" s="1486"/>
      <c r="F91" s="1486"/>
      <c r="G91" s="1486" t="s">
        <v>108</v>
      </c>
      <c r="H91" s="1486"/>
      <c r="I91" s="3668">
        <f>SUM(I80:I90)</f>
        <v>0</v>
      </c>
      <c r="J91" s="168"/>
      <c r="K91" s="3668">
        <f>SUM(K80:K90)</f>
        <v>0</v>
      </c>
      <c r="L91" s="1503"/>
      <c r="M91" s="3179"/>
      <c r="N91" s="3668">
        <f>SUM(N80:N90)</f>
        <v>0</v>
      </c>
      <c r="O91" s="168"/>
      <c r="P91" s="3668">
        <f>SUM(P80:P90)</f>
        <v>0</v>
      </c>
      <c r="Q91" s="1503"/>
      <c r="R91" s="1503"/>
      <c r="S91" s="1503"/>
      <c r="T91" s="1503"/>
      <c r="U91" s="1503"/>
      <c r="V91" s="1503"/>
      <c r="W91" s="1503"/>
      <c r="X91" s="1503"/>
      <c r="Y91" s="1503"/>
      <c r="Z91" s="1503"/>
      <c r="AA91" s="1503"/>
      <c r="AB91" s="1503"/>
    </row>
    <row r="92" spans="1:28" ht="16.5" customHeight="1">
      <c r="A92" s="1503"/>
      <c r="B92" s="1503"/>
      <c r="C92" s="1503"/>
      <c r="D92" s="1503"/>
      <c r="E92" s="1503" t="s">
        <v>3491</v>
      </c>
      <c r="F92" s="1486"/>
      <c r="G92" s="1486"/>
      <c r="H92" s="1486"/>
      <c r="I92" s="1486"/>
      <c r="J92" s="175"/>
      <c r="K92" s="1486"/>
      <c r="L92" s="1486"/>
      <c r="M92" s="3179"/>
      <c r="N92" s="1503"/>
      <c r="O92" s="168"/>
      <c r="P92" s="1503"/>
      <c r="Q92" s="1503"/>
      <c r="R92" s="1503"/>
      <c r="S92" s="1503"/>
      <c r="T92" s="1503"/>
      <c r="U92" s="1503"/>
      <c r="V92" s="1503"/>
      <c r="W92" s="1503"/>
      <c r="X92" s="1503"/>
      <c r="Y92" s="1503"/>
      <c r="Z92" s="1503"/>
      <c r="AA92" s="1503"/>
      <c r="AB92" s="1503"/>
    </row>
    <row r="93" spans="1:28" ht="17.25" customHeight="1">
      <c r="B93" s="1503"/>
      <c r="C93" s="1503"/>
      <c r="D93" s="1503"/>
      <c r="E93" s="1486"/>
      <c r="F93" s="1486"/>
      <c r="G93" s="1486"/>
      <c r="H93" s="1486"/>
      <c r="I93" s="1486"/>
      <c r="J93" s="175"/>
      <c r="K93" s="1486"/>
      <c r="L93" s="1486"/>
      <c r="M93" s="3179"/>
      <c r="N93" s="1503"/>
      <c r="O93" s="168"/>
      <c r="P93" s="1503"/>
      <c r="Q93" s="1503"/>
      <c r="R93" s="1503"/>
      <c r="S93" s="1503"/>
      <c r="T93" s="1503"/>
      <c r="U93" s="1503"/>
      <c r="V93" s="1503"/>
      <c r="W93" s="1503"/>
      <c r="X93" s="1503"/>
      <c r="Y93" s="1503"/>
      <c r="Z93" s="1503"/>
      <c r="AA93" s="1503"/>
      <c r="AB93" s="1503"/>
    </row>
    <row r="94" spans="1:28" ht="14.25" customHeight="1">
      <c r="A94" s="1503"/>
      <c r="B94" s="1503"/>
      <c r="C94" s="1503"/>
      <c r="D94" s="1503"/>
      <c r="E94" s="1486"/>
      <c r="F94" s="1486"/>
      <c r="G94" s="1486"/>
      <c r="H94" s="1486"/>
      <c r="I94" s="1486"/>
      <c r="J94" s="175"/>
      <c r="K94" s="1486"/>
      <c r="L94" s="1486"/>
      <c r="M94" s="3179"/>
      <c r="N94" s="1503"/>
      <c r="O94" s="168"/>
      <c r="P94" s="1503"/>
      <c r="Q94" s="1503"/>
      <c r="R94" s="1503"/>
      <c r="S94" s="1503"/>
      <c r="T94" s="1503"/>
      <c r="U94" s="1503"/>
      <c r="V94" s="1503"/>
      <c r="W94" s="1503"/>
      <c r="X94" s="1503"/>
      <c r="Y94" s="1503"/>
      <c r="Z94" s="1503"/>
      <c r="AA94" s="1503"/>
      <c r="AB94" s="1503"/>
    </row>
    <row r="95" spans="1:28" s="1503" customFormat="1" ht="12.75">
      <c r="A95" s="3188" t="s">
        <v>3492</v>
      </c>
      <c r="B95" s="3190"/>
      <c r="C95" s="3190"/>
      <c r="D95" s="3190"/>
      <c r="E95" s="3189"/>
      <c r="F95" s="3189"/>
      <c r="G95" s="3189"/>
      <c r="H95" s="3189"/>
      <c r="I95" s="3189"/>
      <c r="J95" s="3195"/>
      <c r="K95" s="3189"/>
      <c r="L95" s="3189"/>
      <c r="M95" s="3191"/>
      <c r="N95" s="3189"/>
      <c r="O95" s="168"/>
    </row>
    <row r="96" spans="1:28" s="1503" customFormat="1" ht="12.75" customHeight="1">
      <c r="A96" s="3192" t="s">
        <v>3493</v>
      </c>
      <c r="B96" s="3193"/>
      <c r="C96" s="3193"/>
      <c r="D96" s="3193"/>
      <c r="E96" s="3193"/>
      <c r="F96" s="3193"/>
      <c r="G96" s="3193"/>
      <c r="H96" s="3193"/>
      <c r="I96" s="3193"/>
      <c r="J96" s="3245"/>
      <c r="K96" s="3193"/>
      <c r="L96" s="3193"/>
      <c r="M96" s="3194"/>
      <c r="N96" s="3193"/>
      <c r="O96" s="3249"/>
      <c r="P96" s="2527"/>
      <c r="Q96" s="1541"/>
      <c r="R96" s="1541"/>
      <c r="S96" s="1541"/>
      <c r="T96" s="1541"/>
      <c r="U96" s="1541"/>
      <c r="V96" s="1541"/>
      <c r="W96" s="1541"/>
      <c r="X96" s="1541"/>
      <c r="Y96" s="1541"/>
      <c r="Z96" s="1541"/>
      <c r="AA96" s="1541"/>
      <c r="AB96" s="1541"/>
    </row>
    <row r="97" spans="1:28">
      <c r="A97" s="3188" t="s">
        <v>3494</v>
      </c>
      <c r="B97" s="3196"/>
      <c r="C97" s="3196"/>
      <c r="D97" s="3196"/>
      <c r="E97" s="3195"/>
      <c r="F97" s="3195"/>
      <c r="G97" s="3195"/>
      <c r="H97" s="3195"/>
      <c r="I97" s="3195"/>
      <c r="J97" s="3195"/>
      <c r="K97" s="3195"/>
      <c r="L97" s="3195"/>
      <c r="M97" s="3191"/>
      <c r="N97" s="3195"/>
      <c r="O97" s="168"/>
      <c r="P97" s="168"/>
      <c r="Q97" s="168"/>
      <c r="R97" s="168"/>
      <c r="S97" s="168"/>
      <c r="T97" s="168"/>
      <c r="U97" s="168"/>
      <c r="V97" s="1541"/>
      <c r="W97" s="1541" t="str">
        <f>IF(OR(W14="x",W18="x"),"x","")</f>
        <v/>
      </c>
      <c r="X97" s="1541"/>
      <c r="Y97" s="1541"/>
      <c r="Z97" s="1541"/>
      <c r="AA97" s="1541"/>
      <c r="AB97" s="1541"/>
    </row>
    <row r="98" spans="1:28" s="1503" customFormat="1" ht="12.75">
      <c r="A98" s="1503" t="s">
        <v>3495</v>
      </c>
      <c r="J98" s="168"/>
      <c r="M98" s="3179"/>
      <c r="O98" s="168"/>
    </row>
  </sheetData>
  <sheetProtection algorithmName="SHA-512" hashValue="OvEaUxM8mvneI+DzSz6vaOzTnQDVQllfWHQHTcRUtJsJmaWYkcdD31R+AuhoDeeD1Clu1f30fgBS1XYZ3RSoDg==" saltValue="vRSuZDmrlCEWb9icGKdjIQ==" spinCount="100000" sheet="1" objects="1" scenarios="1"/>
  <conditionalFormatting sqref="N30:O30 I19:J19">
    <cfRule type="expression" dxfId="216" priority="14">
      <formula>$W$18="x"</formula>
    </cfRule>
  </conditionalFormatting>
  <conditionalFormatting sqref="A97">
    <cfRule type="expression" dxfId="215" priority="13">
      <formula>$W$97="x"</formula>
    </cfRule>
  </conditionalFormatting>
  <conditionalFormatting sqref="D18">
    <cfRule type="expression" dxfId="214" priority="12">
      <formula>$W$23="x"</formula>
    </cfRule>
  </conditionalFormatting>
  <conditionalFormatting sqref="D21:D22">
    <cfRule type="expression" dxfId="213" priority="11">
      <formula>$W$24="x"</formula>
    </cfRule>
  </conditionalFormatting>
  <conditionalFormatting sqref="N49:O49 K21:K22">
    <cfRule type="expression" dxfId="212" priority="9">
      <formula>$W$24="x"</formula>
    </cfRule>
  </conditionalFormatting>
  <conditionalFormatting sqref="A49">
    <cfRule type="expression" dxfId="211" priority="7">
      <formula>#REF!="x"</formula>
    </cfRule>
  </conditionalFormatting>
  <conditionalFormatting sqref="K18 I49:K49">
    <cfRule type="expression" dxfId="210" priority="6">
      <formula>$W$23="x"</formula>
    </cfRule>
  </conditionalFormatting>
  <conditionalFormatting sqref="A95">
    <cfRule type="expression" dxfId="209" priority="4">
      <formula>$W$97="x"</formula>
    </cfRule>
  </conditionalFormatting>
  <conditionalFormatting sqref="N80:O80">
    <cfRule type="expression" dxfId="208" priority="1">
      <formula>$W$18="x"</formula>
    </cfRule>
  </conditionalFormatting>
  <printOptions horizontalCentered="1"/>
  <pageMargins left="0.7" right="0.7" top="0.75" bottom="0.75" header="0.3" footer="0.3"/>
  <pageSetup scale="71" fitToHeight="0" orientation="landscape" r:id="rId1"/>
  <headerFooter alignWithMargins="0">
    <oddFooter>&amp;LDFS-A1-1894</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A32"/>
  <sheetViews>
    <sheetView zoomScaleNormal="100" workbookViewId="0">
      <selection activeCell="A7" sqref="A7"/>
    </sheetView>
  </sheetViews>
  <sheetFormatPr defaultRowHeight="12.75"/>
  <cols>
    <col min="1" max="1" width="189.7109375" style="2473" bestFit="1" customWidth="1"/>
    <col min="2" max="256" width="9.140625" style="2473"/>
    <col min="257" max="257" width="189.7109375" style="2473" bestFit="1" customWidth="1"/>
    <col min="258" max="512" width="9.140625" style="2473"/>
    <col min="513" max="513" width="189.7109375" style="2473" bestFit="1" customWidth="1"/>
    <col min="514" max="768" width="9.140625" style="2473"/>
    <col min="769" max="769" width="189.7109375" style="2473" bestFit="1" customWidth="1"/>
    <col min="770" max="1024" width="9.140625" style="2473"/>
    <col min="1025" max="1025" width="189.7109375" style="2473" bestFit="1" customWidth="1"/>
    <col min="1026" max="1280" width="9.140625" style="2473"/>
    <col min="1281" max="1281" width="189.7109375" style="2473" bestFit="1" customWidth="1"/>
    <col min="1282" max="1536" width="9.140625" style="2473"/>
    <col min="1537" max="1537" width="189.7109375" style="2473" bestFit="1" customWidth="1"/>
    <col min="1538" max="1792" width="9.140625" style="2473"/>
    <col min="1793" max="1793" width="189.7109375" style="2473" bestFit="1" customWidth="1"/>
    <col min="1794" max="2048" width="9.140625" style="2473"/>
    <col min="2049" max="2049" width="189.7109375" style="2473" bestFit="1" customWidth="1"/>
    <col min="2050" max="2304" width="9.140625" style="2473"/>
    <col min="2305" max="2305" width="189.7109375" style="2473" bestFit="1" customWidth="1"/>
    <col min="2306" max="2560" width="9.140625" style="2473"/>
    <col min="2561" max="2561" width="189.7109375" style="2473" bestFit="1" customWidth="1"/>
    <col min="2562" max="2816" width="9.140625" style="2473"/>
    <col min="2817" max="2817" width="189.7109375" style="2473" bestFit="1" customWidth="1"/>
    <col min="2818" max="3072" width="9.140625" style="2473"/>
    <col min="3073" max="3073" width="189.7109375" style="2473" bestFit="1" customWidth="1"/>
    <col min="3074" max="3328" width="9.140625" style="2473"/>
    <col min="3329" max="3329" width="189.7109375" style="2473" bestFit="1" customWidth="1"/>
    <col min="3330" max="3584" width="9.140625" style="2473"/>
    <col min="3585" max="3585" width="189.7109375" style="2473" bestFit="1" customWidth="1"/>
    <col min="3586" max="3840" width="9.140625" style="2473"/>
    <col min="3841" max="3841" width="189.7109375" style="2473" bestFit="1" customWidth="1"/>
    <col min="3842" max="4096" width="9.140625" style="2473"/>
    <col min="4097" max="4097" width="189.7109375" style="2473" bestFit="1" customWidth="1"/>
    <col min="4098" max="4352" width="9.140625" style="2473"/>
    <col min="4353" max="4353" width="189.7109375" style="2473" bestFit="1" customWidth="1"/>
    <col min="4354" max="4608" width="9.140625" style="2473"/>
    <col min="4609" max="4609" width="189.7109375" style="2473" bestFit="1" customWidth="1"/>
    <col min="4610" max="4864" width="9.140625" style="2473"/>
    <col min="4865" max="4865" width="189.7109375" style="2473" bestFit="1" customWidth="1"/>
    <col min="4866" max="5120" width="9.140625" style="2473"/>
    <col min="5121" max="5121" width="189.7109375" style="2473" bestFit="1" customWidth="1"/>
    <col min="5122" max="5376" width="9.140625" style="2473"/>
    <col min="5377" max="5377" width="189.7109375" style="2473" bestFit="1" customWidth="1"/>
    <col min="5378" max="5632" width="9.140625" style="2473"/>
    <col min="5633" max="5633" width="189.7109375" style="2473" bestFit="1" customWidth="1"/>
    <col min="5634" max="5888" width="9.140625" style="2473"/>
    <col min="5889" max="5889" width="189.7109375" style="2473" bestFit="1" customWidth="1"/>
    <col min="5890" max="6144" width="9.140625" style="2473"/>
    <col min="6145" max="6145" width="189.7109375" style="2473" bestFit="1" customWidth="1"/>
    <col min="6146" max="6400" width="9.140625" style="2473"/>
    <col min="6401" max="6401" width="189.7109375" style="2473" bestFit="1" customWidth="1"/>
    <col min="6402" max="6656" width="9.140625" style="2473"/>
    <col min="6657" max="6657" width="189.7109375" style="2473" bestFit="1" customWidth="1"/>
    <col min="6658" max="6912" width="9.140625" style="2473"/>
    <col min="6913" max="6913" width="189.7109375" style="2473" bestFit="1" customWidth="1"/>
    <col min="6914" max="7168" width="9.140625" style="2473"/>
    <col min="7169" max="7169" width="189.7109375" style="2473" bestFit="1" customWidth="1"/>
    <col min="7170" max="7424" width="9.140625" style="2473"/>
    <col min="7425" max="7425" width="189.7109375" style="2473" bestFit="1" customWidth="1"/>
    <col min="7426" max="7680" width="9.140625" style="2473"/>
    <col min="7681" max="7681" width="189.7109375" style="2473" bestFit="1" customWidth="1"/>
    <col min="7682" max="7936" width="9.140625" style="2473"/>
    <col min="7937" max="7937" width="189.7109375" style="2473" bestFit="1" customWidth="1"/>
    <col min="7938" max="8192" width="9.140625" style="2473"/>
    <col min="8193" max="8193" width="189.7109375" style="2473" bestFit="1" customWidth="1"/>
    <col min="8194" max="8448" width="9.140625" style="2473"/>
    <col min="8449" max="8449" width="189.7109375" style="2473" bestFit="1" customWidth="1"/>
    <col min="8450" max="8704" width="9.140625" style="2473"/>
    <col min="8705" max="8705" width="189.7109375" style="2473" bestFit="1" customWidth="1"/>
    <col min="8706" max="8960" width="9.140625" style="2473"/>
    <col min="8961" max="8961" width="189.7109375" style="2473" bestFit="1" customWidth="1"/>
    <col min="8962" max="9216" width="9.140625" style="2473"/>
    <col min="9217" max="9217" width="189.7109375" style="2473" bestFit="1" customWidth="1"/>
    <col min="9218" max="9472" width="9.140625" style="2473"/>
    <col min="9473" max="9473" width="189.7109375" style="2473" bestFit="1" customWidth="1"/>
    <col min="9474" max="9728" width="9.140625" style="2473"/>
    <col min="9729" max="9729" width="189.7109375" style="2473" bestFit="1" customWidth="1"/>
    <col min="9730" max="9984" width="9.140625" style="2473"/>
    <col min="9985" max="9985" width="189.7109375" style="2473" bestFit="1" customWidth="1"/>
    <col min="9986" max="10240" width="9.140625" style="2473"/>
    <col min="10241" max="10241" width="189.7109375" style="2473" bestFit="1" customWidth="1"/>
    <col min="10242" max="10496" width="9.140625" style="2473"/>
    <col min="10497" max="10497" width="189.7109375" style="2473" bestFit="1" customWidth="1"/>
    <col min="10498" max="10752" width="9.140625" style="2473"/>
    <col min="10753" max="10753" width="189.7109375" style="2473" bestFit="1" customWidth="1"/>
    <col min="10754" max="11008" width="9.140625" style="2473"/>
    <col min="11009" max="11009" width="189.7109375" style="2473" bestFit="1" customWidth="1"/>
    <col min="11010" max="11264" width="9.140625" style="2473"/>
    <col min="11265" max="11265" width="189.7109375" style="2473" bestFit="1" customWidth="1"/>
    <col min="11266" max="11520" width="9.140625" style="2473"/>
    <col min="11521" max="11521" width="189.7109375" style="2473" bestFit="1" customWidth="1"/>
    <col min="11522" max="11776" width="9.140625" style="2473"/>
    <col min="11777" max="11777" width="189.7109375" style="2473" bestFit="1" customWidth="1"/>
    <col min="11778" max="12032" width="9.140625" style="2473"/>
    <col min="12033" max="12033" width="189.7109375" style="2473" bestFit="1" customWidth="1"/>
    <col min="12034" max="12288" width="9.140625" style="2473"/>
    <col min="12289" max="12289" width="189.7109375" style="2473" bestFit="1" customWidth="1"/>
    <col min="12290" max="12544" width="9.140625" style="2473"/>
    <col min="12545" max="12545" width="189.7109375" style="2473" bestFit="1" customWidth="1"/>
    <col min="12546" max="12800" width="9.140625" style="2473"/>
    <col min="12801" max="12801" width="189.7109375" style="2473" bestFit="1" customWidth="1"/>
    <col min="12802" max="13056" width="9.140625" style="2473"/>
    <col min="13057" max="13057" width="189.7109375" style="2473" bestFit="1" customWidth="1"/>
    <col min="13058" max="13312" width="9.140625" style="2473"/>
    <col min="13313" max="13313" width="189.7109375" style="2473" bestFit="1" customWidth="1"/>
    <col min="13314" max="13568" width="9.140625" style="2473"/>
    <col min="13569" max="13569" width="189.7109375" style="2473" bestFit="1" customWidth="1"/>
    <col min="13570" max="13824" width="9.140625" style="2473"/>
    <col min="13825" max="13825" width="189.7109375" style="2473" bestFit="1" customWidth="1"/>
    <col min="13826" max="14080" width="9.140625" style="2473"/>
    <col min="14081" max="14081" width="189.7109375" style="2473" bestFit="1" customWidth="1"/>
    <col min="14082" max="14336" width="9.140625" style="2473"/>
    <col min="14337" max="14337" width="189.7109375" style="2473" bestFit="1" customWidth="1"/>
    <col min="14338" max="14592" width="9.140625" style="2473"/>
    <col min="14593" max="14593" width="189.7109375" style="2473" bestFit="1" customWidth="1"/>
    <col min="14594" max="14848" width="9.140625" style="2473"/>
    <col min="14849" max="14849" width="189.7109375" style="2473" bestFit="1" customWidth="1"/>
    <col min="14850" max="15104" width="9.140625" style="2473"/>
    <col min="15105" max="15105" width="189.7109375" style="2473" bestFit="1" customWidth="1"/>
    <col min="15106" max="15360" width="9.140625" style="2473"/>
    <col min="15361" max="15361" width="189.7109375" style="2473" bestFit="1" customWidth="1"/>
    <col min="15362" max="15616" width="9.140625" style="2473"/>
    <col min="15617" max="15617" width="189.7109375" style="2473" bestFit="1" customWidth="1"/>
    <col min="15618" max="15872" width="9.140625" style="2473"/>
    <col min="15873" max="15873" width="189.7109375" style="2473" bestFit="1" customWidth="1"/>
    <col min="15874" max="16128" width="9.140625" style="2473"/>
    <col min="16129" max="16129" width="189.7109375" style="2473" bestFit="1" customWidth="1"/>
    <col min="16130" max="16384" width="9.140625" style="2473"/>
  </cols>
  <sheetData>
    <row r="1" spans="1:1" ht="18.75">
      <c r="A1" s="2474" t="s">
        <v>3496</v>
      </c>
    </row>
    <row r="2" spans="1:1">
      <c r="A2" s="2473" t="s">
        <v>3497</v>
      </c>
    </row>
    <row r="5" spans="1:1" ht="18.75">
      <c r="A5" s="2474" t="s">
        <v>3431</v>
      </c>
    </row>
    <row r="7" spans="1:1">
      <c r="A7" s="2473" t="s">
        <v>3432</v>
      </c>
    </row>
    <row r="9" spans="1:1">
      <c r="A9" s="2473" t="s">
        <v>3433</v>
      </c>
    </row>
    <row r="11" spans="1:1">
      <c r="A11" s="2473" t="s">
        <v>3434</v>
      </c>
    </row>
    <row r="13" spans="1:1">
      <c r="A13" s="2473" t="s">
        <v>3435</v>
      </c>
    </row>
    <row r="15" spans="1:1">
      <c r="A15" s="2475" t="s">
        <v>3436</v>
      </c>
    </row>
    <row r="17" spans="1:1" ht="18.75">
      <c r="A17" s="2474" t="s">
        <v>3437</v>
      </c>
    </row>
    <row r="19" spans="1:1" ht="51">
      <c r="A19" s="2476" t="s">
        <v>3438</v>
      </c>
    </row>
    <row r="20" spans="1:1">
      <c r="A20" s="2475"/>
    </row>
    <row r="21" spans="1:1">
      <c r="A21" s="2477" t="s">
        <v>3439</v>
      </c>
    </row>
    <row r="23" spans="1:1">
      <c r="A23" s="2475" t="s">
        <v>3440</v>
      </c>
    </row>
    <row r="25" spans="1:1">
      <c r="A25" s="2475" t="s">
        <v>3441</v>
      </c>
    </row>
    <row r="27" spans="1:1">
      <c r="A27" s="2475" t="s">
        <v>3442</v>
      </c>
    </row>
    <row r="29" spans="1:1" ht="18.75">
      <c r="A29" s="2474" t="s">
        <v>3443</v>
      </c>
    </row>
    <row r="30" spans="1:1" ht="18" customHeight="1">
      <c r="A30" s="2473" t="s">
        <v>3444</v>
      </c>
    </row>
    <row r="32" spans="1:1">
      <c r="A32" s="2473" t="s">
        <v>3445</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66FF99"/>
    <pageSetUpPr fitToPage="1"/>
  </sheetPr>
  <dimension ref="A1:W96"/>
  <sheetViews>
    <sheetView zoomScale="90" zoomScaleNormal="90" workbookViewId="0">
      <selection activeCell="E1" sqref="E1:E1048576"/>
    </sheetView>
  </sheetViews>
  <sheetFormatPr defaultColWidth="2.5703125" defaultRowHeight="15"/>
  <cols>
    <col min="1" max="1" width="52" style="1468" customWidth="1"/>
    <col min="2" max="2" width="2.7109375" style="1468" customWidth="1"/>
    <col min="3" max="3" width="16.85546875" style="1468" customWidth="1"/>
    <col min="4" max="4" width="4.28515625" style="1468" customWidth="1"/>
    <col min="5" max="5" width="16.28515625" style="1468" customWidth="1"/>
    <col min="6" max="6" width="4.7109375" style="1468" customWidth="1"/>
    <col min="7" max="7" width="16.5703125" style="1468" customWidth="1"/>
    <col min="8" max="8" width="5" style="1468" customWidth="1"/>
    <col min="9" max="9" width="18.28515625" style="1468" customWidth="1"/>
    <col min="10" max="10" width="19.85546875" style="1468" customWidth="1"/>
    <col min="11" max="11" width="6.7109375" style="1468" customWidth="1"/>
    <col min="12" max="12" width="17.7109375" style="1468" customWidth="1"/>
    <col min="13" max="13" width="3" style="1468" customWidth="1"/>
    <col min="14" max="14" width="20.28515625" style="1468" customWidth="1"/>
    <col min="15" max="15" width="7.5703125" style="1468" customWidth="1"/>
    <col min="16" max="16" width="18.5703125" style="1468" customWidth="1"/>
    <col min="17" max="17" width="4.28515625" style="1468" customWidth="1"/>
    <col min="18" max="22" width="2.5703125" style="1468"/>
    <col min="23" max="23" width="2.5703125" style="1468" customWidth="1"/>
    <col min="24" max="16384" width="2.5703125" style="1468"/>
  </cols>
  <sheetData>
    <row r="1" spans="1:23" ht="15.75">
      <c r="B1" s="2536"/>
      <c r="D1" s="3028" t="s">
        <v>3098</v>
      </c>
      <c r="E1" s="2536"/>
      <c r="F1" s="2536"/>
      <c r="G1" s="2536"/>
      <c r="I1" s="2536"/>
      <c r="L1" s="2536"/>
      <c r="M1" s="2536"/>
      <c r="N1" s="2536"/>
      <c r="O1" s="2536"/>
      <c r="P1" s="2536"/>
      <c r="Q1" s="1470"/>
      <c r="R1" s="1470"/>
      <c r="S1" s="1470"/>
      <c r="T1" s="1470"/>
      <c r="U1" s="1470"/>
      <c r="V1" s="1470"/>
      <c r="W1" s="1470"/>
    </row>
    <row r="2" spans="1:23" ht="15.75">
      <c r="B2" s="2536"/>
      <c r="D2" s="3028" t="s">
        <v>3498</v>
      </c>
      <c r="E2" s="2536"/>
      <c r="F2" s="2536"/>
      <c r="G2" s="2536"/>
      <c r="I2" s="2536"/>
      <c r="L2" s="2536"/>
      <c r="M2" s="2536"/>
      <c r="N2" s="2536"/>
      <c r="O2" s="2536"/>
      <c r="P2" s="2536"/>
      <c r="Q2" s="1470"/>
      <c r="R2" s="1470"/>
      <c r="S2" s="1470"/>
      <c r="T2" s="1470"/>
      <c r="U2" s="1470"/>
      <c r="V2" s="1470"/>
      <c r="W2" s="1470"/>
    </row>
    <row r="3" spans="1:23" ht="15.75">
      <c r="B3" s="2714"/>
      <c r="D3" s="1502" t="s">
        <v>3499</v>
      </c>
      <c r="E3" s="2714"/>
      <c r="F3" s="2714"/>
      <c r="G3" s="2714"/>
      <c r="I3" s="2714"/>
      <c r="J3" s="2714"/>
      <c r="L3" s="2714"/>
      <c r="M3" s="2714"/>
      <c r="N3" s="2714"/>
      <c r="O3" s="2714"/>
      <c r="P3" s="2714"/>
      <c r="Q3" s="1522"/>
      <c r="R3" s="1522"/>
      <c r="S3" s="1522"/>
      <c r="T3" s="1522"/>
      <c r="U3" s="1522"/>
      <c r="V3" s="1522"/>
      <c r="W3" s="1522"/>
    </row>
    <row r="4" spans="1:23" ht="15.75">
      <c r="B4" s="2691"/>
      <c r="D4" s="3036" t="str">
        <f>'CU3-Deficit Ending Equity'!D4</f>
        <v>June 30, 2021</v>
      </c>
      <c r="E4" s="2691"/>
      <c r="F4" s="2691"/>
      <c r="G4" s="2691"/>
      <c r="I4" s="2691"/>
      <c r="J4" s="2691"/>
      <c r="L4" s="2691"/>
      <c r="M4" s="2691"/>
      <c r="N4" s="2691"/>
      <c r="O4" s="2691"/>
      <c r="P4" s="2691"/>
      <c r="Q4" s="1522"/>
      <c r="R4" s="1522"/>
      <c r="S4" s="1522"/>
      <c r="T4" s="1522"/>
      <c r="U4" s="1522"/>
      <c r="V4" s="1522"/>
      <c r="W4" s="1522"/>
    </row>
    <row r="5" spans="1:23" s="1483" customFormat="1" ht="12.75">
      <c r="A5" s="1481" t="s">
        <v>4206</v>
      </c>
      <c r="B5" s="1566"/>
      <c r="C5" s="2542"/>
      <c r="D5" s="2542"/>
      <c r="E5" s="2542"/>
      <c r="F5" s="2542"/>
      <c r="G5" s="1503"/>
      <c r="H5" s="1503"/>
      <c r="I5" s="1503"/>
      <c r="J5" s="4195"/>
      <c r="K5" s="1503"/>
      <c r="L5" s="1503"/>
      <c r="M5" s="1503"/>
      <c r="N5" s="1503"/>
      <c r="O5" s="2542"/>
      <c r="P5" s="2542"/>
      <c r="Q5" s="1503"/>
      <c r="R5" s="1503"/>
      <c r="S5" s="1503"/>
      <c r="T5" s="1503"/>
      <c r="U5" s="1503"/>
    </row>
    <row r="6" spans="1:23" ht="15.75">
      <c r="A6" s="4175" t="s">
        <v>3101</v>
      </c>
      <c r="B6" s="1483"/>
      <c r="C6" s="4150" t="str">
        <f>'CU1-Deposits'!F7</f>
        <v>SAMPLE STATE COLLEGE</v>
      </c>
      <c r="D6" s="4150"/>
      <c r="E6" s="4150"/>
      <c r="F6" s="3248"/>
      <c r="G6" s="3248"/>
      <c r="H6" s="3248"/>
      <c r="I6" s="3248"/>
      <c r="J6" s="168"/>
      <c r="K6" s="168"/>
      <c r="L6" s="168"/>
      <c r="M6" s="1478"/>
      <c r="N6" s="1478"/>
    </row>
    <row r="7" spans="1:23" ht="10.5" customHeight="1">
      <c r="A7" s="4175"/>
      <c r="B7" s="1483"/>
      <c r="C7" s="1503"/>
      <c r="D7" s="1503"/>
      <c r="E7" s="1503"/>
      <c r="F7" s="168"/>
      <c r="G7" s="168"/>
      <c r="H7" s="168"/>
      <c r="I7" s="175"/>
      <c r="J7" s="1483"/>
      <c r="K7" s="1483"/>
      <c r="L7" s="1483"/>
    </row>
    <row r="8" spans="1:23" ht="15.75">
      <c r="A8" s="4175" t="s">
        <v>3102</v>
      </c>
      <c r="B8" s="1483"/>
      <c r="C8" s="4151" t="e">
        <f>'CU1-Deposits'!F9</f>
        <v>#N/A</v>
      </c>
      <c r="D8" s="4151"/>
      <c r="E8" s="4151"/>
      <c r="F8" s="3917"/>
      <c r="G8" s="3917"/>
      <c r="H8" s="3917"/>
      <c r="I8" s="3917"/>
      <c r="J8" s="1483"/>
      <c r="K8" s="1483"/>
      <c r="L8" s="1483"/>
    </row>
    <row r="9" spans="1:23" s="1483" customFormat="1" ht="12" customHeight="1">
      <c r="A9" s="1481"/>
      <c r="F9" s="1503"/>
      <c r="H9" s="1503"/>
      <c r="J9" s="1503"/>
      <c r="L9" s="1503"/>
      <c r="M9" s="1503"/>
      <c r="N9" s="1503"/>
      <c r="Q9" s="1503"/>
      <c r="R9" s="1503"/>
      <c r="S9" s="1503"/>
    </row>
    <row r="10" spans="1:23" s="1483" customFormat="1" ht="15.75">
      <c r="A10" s="1504" t="s">
        <v>3448</v>
      </c>
      <c r="C10" s="1468"/>
      <c r="D10" s="4176" t="s">
        <v>4229</v>
      </c>
      <c r="E10" s="4177"/>
      <c r="F10" s="1546"/>
      <c r="G10" s="1468"/>
      <c r="H10" s="4178" t="s">
        <v>4228</v>
      </c>
      <c r="I10" s="2714"/>
      <c r="K10" s="1503"/>
      <c r="L10" s="1503"/>
    </row>
    <row r="11" spans="1:23" s="1483" customFormat="1">
      <c r="C11" s="1528"/>
      <c r="D11" s="4189" t="s">
        <v>3500</v>
      </c>
      <c r="E11" s="4190"/>
      <c r="F11" s="1473"/>
      <c r="G11" s="1528"/>
      <c r="H11" s="4189" t="s">
        <v>4207</v>
      </c>
      <c r="I11" s="2720"/>
      <c r="K11" s="1503"/>
      <c r="L11" s="1503"/>
    </row>
    <row r="12" spans="1:23" s="1483" customFormat="1" ht="14.25">
      <c r="A12" s="1528" t="s">
        <v>4232</v>
      </c>
      <c r="C12" s="4155">
        <v>0</v>
      </c>
      <c r="F12" s="1486"/>
      <c r="G12" s="4152">
        <f>'Adjustment Form'!H64</f>
        <v>0</v>
      </c>
      <c r="K12" s="1503"/>
      <c r="L12" s="1503"/>
      <c r="P12" s="1483" t="str">
        <f>IF(ISBLANK(C25),IF(G12=C28,"","x"),IF(G12=C25,"","x"))</f>
        <v/>
      </c>
    </row>
    <row r="13" spans="1:23" s="1483" customFormat="1" ht="14.25">
      <c r="A13" s="1528" t="s">
        <v>4214</v>
      </c>
      <c r="C13" s="4152">
        <v>0</v>
      </c>
      <c r="F13" s="1503"/>
      <c r="G13" s="4152">
        <f>'Adjustment Form'!H80</f>
        <v>0</v>
      </c>
      <c r="K13" s="1503"/>
      <c r="L13" s="1503"/>
    </row>
    <row r="14" spans="1:23" s="1483" customFormat="1" ht="15.75">
      <c r="A14" s="1481"/>
      <c r="B14" s="4179"/>
      <c r="C14" s="4173" t="s">
        <v>3501</v>
      </c>
      <c r="E14" s="4153">
        <f>SUM(C12:C13)</f>
        <v>0</v>
      </c>
      <c r="G14" s="1503"/>
      <c r="H14" s="1563"/>
      <c r="I14" s="4153">
        <f>SUM(G12:G13)</f>
        <v>0</v>
      </c>
      <c r="J14" s="1504" t="s">
        <v>3135</v>
      </c>
      <c r="K14" s="1503"/>
      <c r="L14" s="1503"/>
    </row>
    <row r="15" spans="1:23" s="1483" customFormat="1" ht="15.75">
      <c r="A15" s="1528" t="s">
        <v>4233</v>
      </c>
      <c r="C15" s="4153" t="s">
        <v>4238</v>
      </c>
      <c r="E15" s="1503"/>
      <c r="G15" s="4153">
        <f>'Adjustment Form'!H69</f>
        <v>0</v>
      </c>
      <c r="J15" s="1504"/>
      <c r="K15" s="1503"/>
      <c r="L15" s="1503"/>
      <c r="P15" s="1483" t="str">
        <f>IF(ISBLANK(G25),IF(G15=G28,"","x"),IF(G15=G25,"","x"))</f>
        <v/>
      </c>
    </row>
    <row r="16" spans="1:23" s="1483" customFormat="1" ht="15.75">
      <c r="A16" s="1528" t="s">
        <v>4215</v>
      </c>
      <c r="C16" s="4152" t="e">
        <f>VLOOKUP(C6,VLOOKUP!A366:C393,3,FALSE)</f>
        <v>#N/A</v>
      </c>
      <c r="E16" s="1503"/>
      <c r="G16" s="4152">
        <f>'Adjustment Form'!H82</f>
        <v>0</v>
      </c>
      <c r="J16" s="1504"/>
      <c r="K16" s="1503"/>
      <c r="L16" s="1503"/>
    </row>
    <row r="17" spans="1:23" s="1483" customFormat="1" ht="15.75">
      <c r="C17" s="4173" t="s">
        <v>3502</v>
      </c>
      <c r="E17" s="4153" t="e">
        <f>SUM(C15:C16)</f>
        <v>#N/A</v>
      </c>
      <c r="I17" s="4153">
        <f>SUM(G15:G16)</f>
        <v>0</v>
      </c>
      <c r="J17" s="1504" t="s">
        <v>3460</v>
      </c>
    </row>
    <row r="18" spans="1:23" s="1483" customFormat="1" ht="12.75">
      <c r="O18" s="1567"/>
      <c r="W18" s="1483" t="str">
        <f>IF(I14=C43,"","x")</f>
        <v/>
      </c>
    </row>
    <row r="19" spans="1:23">
      <c r="A19" s="1528" t="s">
        <v>3503</v>
      </c>
      <c r="B19" s="1483"/>
      <c r="C19" s="1483"/>
      <c r="D19" s="1483"/>
      <c r="E19" s="1483"/>
      <c r="F19" s="1483"/>
      <c r="G19" s="1483"/>
      <c r="H19" s="1483"/>
      <c r="I19" s="1483"/>
      <c r="J19" s="1483"/>
      <c r="K19" s="1483"/>
      <c r="L19" s="1483"/>
      <c r="M19" s="1483"/>
      <c r="N19" s="1483"/>
      <c r="O19" s="1483"/>
      <c r="P19" s="1483"/>
      <c r="Q19" s="1483"/>
      <c r="W19" s="1468" t="str">
        <f>IF(I17=G43,"","x")</f>
        <v/>
      </c>
    </row>
    <row r="20" spans="1:23">
      <c r="A20" s="1528" t="s">
        <v>3504</v>
      </c>
      <c r="B20" s="1483"/>
      <c r="C20" s="1483"/>
      <c r="D20" s="1483"/>
      <c r="E20" s="1483"/>
      <c r="F20" s="1483"/>
      <c r="G20" s="1483"/>
      <c r="H20" s="1483"/>
      <c r="I20" s="1483"/>
      <c r="J20" s="1483"/>
      <c r="K20" s="1483"/>
      <c r="L20" s="1483"/>
      <c r="M20" s="1483"/>
      <c r="N20" s="1483"/>
      <c r="O20" s="1483"/>
      <c r="P20" s="1483"/>
      <c r="Q20" s="1483"/>
      <c r="W20" s="1468" t="str">
        <f>IF(W18="x","x",IF(W19="x","x",""))</f>
        <v/>
      </c>
    </row>
    <row r="21" spans="1:23">
      <c r="A21" s="1481"/>
      <c r="B21" s="1483"/>
      <c r="C21" s="1483"/>
      <c r="D21" s="1483"/>
      <c r="E21" s="1483"/>
      <c r="F21" s="1483"/>
      <c r="G21" s="1483"/>
      <c r="H21" s="1483"/>
      <c r="I21" s="1483"/>
      <c r="J21" s="1483"/>
      <c r="K21" s="1483"/>
      <c r="L21" s="1483"/>
      <c r="M21" s="1483"/>
      <c r="N21" s="1483"/>
      <c r="O21" s="1483"/>
      <c r="P21" s="1483"/>
      <c r="Q21" s="1483"/>
    </row>
    <row r="22" spans="1:23" s="1483" customFormat="1" ht="12.75" customHeight="1">
      <c r="A22" s="1468"/>
      <c r="B22" s="1468"/>
      <c r="C22" s="2727"/>
      <c r="D22" s="3037" t="s">
        <v>3505</v>
      </c>
      <c r="E22" s="2727"/>
      <c r="F22" s="2536"/>
      <c r="G22" s="2536"/>
      <c r="H22" s="3028" t="s">
        <v>3506</v>
      </c>
      <c r="I22" s="2536"/>
      <c r="J22" s="1557"/>
      <c r="K22" s="1486"/>
      <c r="L22" s="1486"/>
      <c r="M22" s="1486"/>
      <c r="N22" s="1486"/>
      <c r="O22" s="1481"/>
      <c r="P22" s="1486"/>
    </row>
    <row r="23" spans="1:23" s="1483" customFormat="1" ht="15.75">
      <c r="A23" s="3037" t="s">
        <v>3463</v>
      </c>
      <c r="B23" s="1468"/>
      <c r="C23" s="4180"/>
      <c r="D23" s="4181" t="s">
        <v>4231</v>
      </c>
      <c r="E23" s="4180"/>
      <c r="F23" s="2727"/>
      <c r="G23" s="4180"/>
      <c r="H23" s="4181" t="s">
        <v>3411</v>
      </c>
      <c r="I23" s="4180"/>
      <c r="J23" s="1557"/>
      <c r="K23" s="1486"/>
      <c r="L23" s="1486"/>
      <c r="M23" s="1486"/>
      <c r="N23" s="1486"/>
      <c r="O23" s="1481"/>
      <c r="P23" s="1486"/>
    </row>
    <row r="24" spans="1:23" s="1483" customFormat="1" ht="15.75">
      <c r="A24" s="4182" t="s">
        <v>3507</v>
      </c>
      <c r="B24" s="4183"/>
      <c r="C24" s="4181" t="s">
        <v>2870</v>
      </c>
      <c r="D24" s="3028"/>
      <c r="E24" s="4181" t="s">
        <v>2871</v>
      </c>
      <c r="F24" s="3037"/>
      <c r="G24" s="4184" t="s">
        <v>2870</v>
      </c>
      <c r="H24" s="3037"/>
      <c r="I24" s="4184" t="s">
        <v>2871</v>
      </c>
      <c r="K24" s="1486"/>
      <c r="L24" s="1486"/>
      <c r="M24" s="1486"/>
      <c r="N24" s="1486"/>
      <c r="O24" s="1486"/>
      <c r="P24" s="1503"/>
    </row>
    <row r="25" spans="1:23" s="1483" customFormat="1" ht="14.25">
      <c r="A25" s="4185">
        <v>2021</v>
      </c>
      <c r="B25" s="4154">
        <v>1</v>
      </c>
      <c r="C25" s="4155"/>
      <c r="D25" s="1569"/>
      <c r="E25" s="4155"/>
      <c r="F25" s="1503"/>
      <c r="G25" s="4155"/>
      <c r="H25" s="1569"/>
      <c r="I25" s="4155"/>
      <c r="K25" s="1503"/>
      <c r="L25" s="1503"/>
      <c r="M25" s="1503"/>
      <c r="N25" s="1503"/>
      <c r="O25" s="1503"/>
      <c r="P25" s="1503"/>
    </row>
    <row r="26" spans="1:23" s="1483" customFormat="1" ht="14.25">
      <c r="A26" s="4186">
        <v>2022</v>
      </c>
      <c r="C26" s="4156"/>
      <c r="D26" s="1569"/>
      <c r="E26" s="4156"/>
      <c r="F26" s="1503"/>
      <c r="G26" s="4156"/>
      <c r="H26" s="1569"/>
      <c r="I26" s="4156"/>
      <c r="K26" s="1503"/>
      <c r="L26" s="1503"/>
      <c r="M26" s="1503"/>
      <c r="N26" s="1503"/>
      <c r="O26" s="1503"/>
      <c r="P26" s="1503"/>
    </row>
    <row r="27" spans="1:23" s="1483" customFormat="1" ht="14.25">
      <c r="A27" s="4186">
        <f ca="1">YEAR(TODAY())+2</f>
        <v>2023</v>
      </c>
      <c r="C27" s="4155"/>
      <c r="D27" s="3251"/>
      <c r="E27" s="4155"/>
      <c r="F27" s="3252"/>
      <c r="G27" s="4155"/>
      <c r="H27" s="3251"/>
      <c r="I27" s="4158"/>
      <c r="K27" s="1503"/>
      <c r="L27" s="1503"/>
      <c r="M27" s="1503"/>
      <c r="N27" s="1503"/>
      <c r="O27" s="1503"/>
      <c r="P27" s="1503"/>
    </row>
    <row r="28" spans="1:23" s="1483" customFormat="1" ht="14.25">
      <c r="A28" s="4186">
        <f ca="1">YEAR(TODAY())+3</f>
        <v>2024</v>
      </c>
      <c r="C28" s="4155"/>
      <c r="D28" s="3251"/>
      <c r="E28" s="4155"/>
      <c r="F28" s="3252"/>
      <c r="G28" s="4155"/>
      <c r="H28" s="3251"/>
      <c r="I28" s="4158"/>
      <c r="K28" s="1503"/>
      <c r="L28" s="1503"/>
      <c r="M28" s="1503"/>
      <c r="N28" s="1503"/>
      <c r="O28" s="1503"/>
      <c r="P28" s="1503"/>
    </row>
    <row r="29" spans="1:23">
      <c r="A29" s="4186">
        <f ca="1">YEAR(TODAY())+4</f>
        <v>2025</v>
      </c>
      <c r="C29" s="4155"/>
      <c r="D29" s="3251"/>
      <c r="E29" s="4155"/>
      <c r="F29" s="3252"/>
      <c r="G29" s="4155"/>
      <c r="H29" s="3251"/>
      <c r="I29" s="4158"/>
      <c r="J29" s="1483"/>
      <c r="K29" s="1503"/>
      <c r="L29" s="1503"/>
      <c r="M29" s="1503"/>
      <c r="N29" s="1503"/>
      <c r="O29" s="1503"/>
      <c r="P29" s="1503"/>
    </row>
    <row r="30" spans="1:23">
      <c r="A30" s="4186" t="s">
        <v>4216</v>
      </c>
      <c r="B30" s="1562"/>
      <c r="C30" s="4155"/>
      <c r="D30" s="3251"/>
      <c r="E30" s="4155"/>
      <c r="F30" s="3252"/>
      <c r="G30" s="4155"/>
      <c r="H30" s="3251"/>
      <c r="I30" s="4158"/>
      <c r="J30" s="1483"/>
      <c r="K30" s="1503"/>
      <c r="L30" s="1503"/>
      <c r="M30" s="1503"/>
      <c r="N30" s="1503"/>
      <c r="O30" s="1503"/>
      <c r="P30" s="1503"/>
    </row>
    <row r="31" spans="1:23">
      <c r="A31" s="4187" t="s">
        <v>4217</v>
      </c>
      <c r="B31" s="1562"/>
      <c r="C31" s="4155"/>
      <c r="D31" s="3251"/>
      <c r="E31" s="4155"/>
      <c r="F31" s="3252"/>
      <c r="G31" s="4155"/>
      <c r="H31" s="3251"/>
      <c r="I31" s="4158"/>
      <c r="J31" s="1483"/>
      <c r="K31" s="1503"/>
      <c r="L31" s="1503"/>
      <c r="M31" s="1503"/>
      <c r="N31" s="1503"/>
      <c r="O31" s="1503"/>
      <c r="P31" s="1503"/>
    </row>
    <row r="32" spans="1:23">
      <c r="A32" s="4187" t="s">
        <v>4218</v>
      </c>
      <c r="B32" s="1562"/>
      <c r="C32" s="4155"/>
      <c r="D32" s="3251"/>
      <c r="E32" s="4155"/>
      <c r="F32" s="3252"/>
      <c r="G32" s="4155"/>
      <c r="H32" s="3251"/>
      <c r="I32" s="4158"/>
      <c r="J32" s="1483"/>
      <c r="K32" s="1503"/>
      <c r="L32" s="1503"/>
      <c r="M32" s="1503"/>
      <c r="N32" s="1503"/>
      <c r="O32" s="1503"/>
      <c r="P32" s="1503"/>
    </row>
    <row r="33" spans="1:23">
      <c r="A33" s="4188" t="s">
        <v>4219</v>
      </c>
      <c r="B33" s="1562"/>
      <c r="C33" s="4155"/>
      <c r="D33" s="3251"/>
      <c r="E33" s="4155"/>
      <c r="F33" s="3252"/>
      <c r="G33" s="4155"/>
      <c r="H33" s="3251"/>
      <c r="I33" s="4158"/>
      <c r="J33" s="1483"/>
      <c r="K33" s="1503"/>
      <c r="L33" s="1503"/>
      <c r="M33" s="1503"/>
      <c r="N33" s="1503"/>
      <c r="O33" s="1503"/>
      <c r="P33" s="1503"/>
    </row>
    <row r="34" spans="1:23">
      <c r="A34" s="4188" t="s">
        <v>4220</v>
      </c>
      <c r="B34" s="2724"/>
      <c r="C34" s="4155"/>
      <c r="D34" s="3251"/>
      <c r="E34" s="4155"/>
      <c r="F34" s="3252"/>
      <c r="G34" s="4155"/>
      <c r="H34" s="3251"/>
      <c r="I34" s="4158"/>
      <c r="J34" s="1483"/>
      <c r="K34" s="1503"/>
      <c r="M34" s="1503"/>
      <c r="N34" s="1503"/>
      <c r="O34" s="1503"/>
    </row>
    <row r="35" spans="1:23">
      <c r="A35" s="4187" t="s">
        <v>4221</v>
      </c>
      <c r="B35" s="2724"/>
      <c r="C35" s="4155"/>
      <c r="D35" s="3251"/>
      <c r="E35" s="4155"/>
      <c r="F35" s="3252"/>
      <c r="G35" s="4155"/>
      <c r="H35" s="3251"/>
      <c r="I35" s="4158"/>
      <c r="J35" s="1483"/>
      <c r="K35" s="1503"/>
      <c r="M35" s="1503"/>
      <c r="N35" s="1503"/>
      <c r="O35" s="1503"/>
    </row>
    <row r="36" spans="1:23">
      <c r="A36" s="4187" t="s">
        <v>4222</v>
      </c>
      <c r="B36" s="2724"/>
      <c r="C36" s="4155"/>
      <c r="D36" s="3251"/>
      <c r="E36" s="4155"/>
      <c r="F36" s="3252"/>
      <c r="G36" s="4155"/>
      <c r="H36" s="3251"/>
      <c r="I36" s="4158"/>
      <c r="J36" s="1483"/>
      <c r="K36" s="1503"/>
      <c r="M36" s="1503"/>
      <c r="N36" s="1503"/>
      <c r="O36" s="1503"/>
    </row>
    <row r="37" spans="1:23">
      <c r="A37" s="4187" t="s">
        <v>4223</v>
      </c>
      <c r="B37" s="2724"/>
      <c r="C37" s="4155"/>
      <c r="D37" s="3251"/>
      <c r="E37" s="4155"/>
      <c r="F37" s="3252"/>
      <c r="G37" s="4155"/>
      <c r="H37" s="3251"/>
      <c r="I37" s="4158"/>
      <c r="J37" s="1483"/>
      <c r="K37" s="1503"/>
      <c r="M37" s="1503"/>
      <c r="N37" s="1503"/>
      <c r="O37" s="1503"/>
    </row>
    <row r="38" spans="1:23">
      <c r="A38" s="4187" t="s">
        <v>4224</v>
      </c>
      <c r="B38" s="2724"/>
      <c r="C38" s="4155"/>
      <c r="D38" s="3251"/>
      <c r="E38" s="4155"/>
      <c r="F38" s="3252"/>
      <c r="G38" s="4155"/>
      <c r="H38" s="3251"/>
      <c r="I38" s="4158"/>
      <c r="J38" s="1483"/>
      <c r="K38" s="1503"/>
      <c r="M38" s="1503"/>
      <c r="N38" s="1503"/>
      <c r="O38" s="1503"/>
    </row>
    <row r="39" spans="1:23">
      <c r="A39" s="4187" t="s">
        <v>4225</v>
      </c>
      <c r="B39" s="2724"/>
      <c r="C39" s="4157"/>
      <c r="D39" s="3251"/>
      <c r="E39" s="4155"/>
      <c r="F39" s="3252"/>
      <c r="G39" s="4155"/>
      <c r="H39" s="3251"/>
      <c r="I39" s="4158"/>
      <c r="J39" s="1483"/>
      <c r="K39" s="1503"/>
      <c r="M39" s="1503"/>
      <c r="N39" s="1503"/>
      <c r="O39" s="1503"/>
    </row>
    <row r="40" spans="1:23">
      <c r="A40" s="4187" t="s">
        <v>4226</v>
      </c>
      <c r="B40" s="2724"/>
      <c r="C40" s="4157"/>
      <c r="D40" s="3251"/>
      <c r="E40" s="4155"/>
      <c r="F40" s="3252"/>
      <c r="G40" s="4155"/>
      <c r="H40" s="3251"/>
      <c r="I40" s="4158"/>
      <c r="J40" s="1483"/>
      <c r="K40" s="1503"/>
      <c r="M40" s="1503"/>
      <c r="N40" s="1503"/>
      <c r="O40" s="1503"/>
    </row>
    <row r="41" spans="1:23">
      <c r="A41" s="1528" t="s">
        <v>3508</v>
      </c>
      <c r="C41" s="1483"/>
      <c r="D41" s="1481"/>
      <c r="E41" s="1481"/>
      <c r="F41" s="1481"/>
      <c r="G41" s="1481"/>
      <c r="H41" s="1481"/>
      <c r="I41" s="1481"/>
      <c r="J41" s="1572"/>
      <c r="K41" s="1572"/>
      <c r="L41" s="1572"/>
      <c r="M41" s="1503"/>
      <c r="N41" s="1563"/>
      <c r="O41" s="1569"/>
      <c r="P41" s="1569"/>
      <c r="Q41" s="1483"/>
      <c r="R41" s="1483"/>
      <c r="S41" s="1483"/>
      <c r="T41" s="1483"/>
      <c r="U41" s="1483"/>
      <c r="V41" s="1483"/>
      <c r="W41" s="1483"/>
    </row>
    <row r="42" spans="1:23">
      <c r="B42" s="1483"/>
      <c r="C42" s="1483"/>
      <c r="D42" s="1481"/>
      <c r="E42" s="1481"/>
      <c r="F42" s="1481"/>
      <c r="G42" s="1481"/>
      <c r="H42" s="1481"/>
      <c r="I42" s="1481"/>
      <c r="J42" s="1572"/>
      <c r="K42" s="1572"/>
      <c r="L42" s="1572"/>
      <c r="M42" s="1503"/>
      <c r="N42" s="1572"/>
      <c r="O42" s="1563"/>
      <c r="P42" s="1572"/>
      <c r="Q42" s="1483"/>
      <c r="R42" s="1483"/>
      <c r="S42" s="1483"/>
      <c r="T42" s="1483"/>
      <c r="U42" s="1483"/>
      <c r="V42" s="1483"/>
      <c r="W42" s="1483"/>
    </row>
    <row r="43" spans="1:23" ht="16.5" thickBot="1">
      <c r="A43" s="1470" t="s">
        <v>4230</v>
      </c>
      <c r="C43" s="4159">
        <f>SUM(C25:C40)</f>
        <v>0</v>
      </c>
      <c r="D43" s="2540" t="s">
        <v>3135</v>
      </c>
      <c r="E43" s="4159">
        <f>SUM(E25:E40)</f>
        <v>0</v>
      </c>
      <c r="F43" s="2540" t="s">
        <v>3460</v>
      </c>
      <c r="G43" s="4159">
        <f>SUM(G25:G40)</f>
        <v>0</v>
      </c>
      <c r="H43" s="1563"/>
      <c r="I43" s="4159">
        <f>SUM(I25:I40)</f>
        <v>0</v>
      </c>
      <c r="J43" s="1483"/>
      <c r="K43" s="1483"/>
      <c r="L43" s="1483"/>
      <c r="M43" s="1483"/>
      <c r="N43" s="1483"/>
      <c r="O43" s="1483"/>
      <c r="P43" s="1483"/>
    </row>
    <row r="44" spans="1:23" ht="15.75" thickTop="1">
      <c r="A44" s="1528" t="s">
        <v>3509</v>
      </c>
      <c r="C44" s="4160"/>
      <c r="D44" s="1503" t="s">
        <v>2599</v>
      </c>
      <c r="E44" s="1503"/>
      <c r="F44" s="1483"/>
      <c r="G44" s="4160"/>
      <c r="H44" s="1503" t="s">
        <v>2599</v>
      </c>
      <c r="I44" s="1503"/>
      <c r="J44" s="1483"/>
      <c r="K44" s="1483"/>
      <c r="L44" s="1483"/>
      <c r="M44" s="1483"/>
      <c r="N44" s="1483"/>
      <c r="O44" s="1483"/>
      <c r="P44" s="1483"/>
    </row>
    <row r="45" spans="1:23">
      <c r="A45" s="1528" t="s">
        <v>3510</v>
      </c>
      <c r="C45" s="4160"/>
      <c r="D45" s="1503" t="s">
        <v>2599</v>
      </c>
      <c r="E45" s="1503"/>
      <c r="F45" s="1483"/>
      <c r="G45" s="4160"/>
      <c r="H45" s="1503" t="s">
        <v>2599</v>
      </c>
      <c r="I45" s="1503"/>
      <c r="J45" s="1483"/>
      <c r="K45" s="1483"/>
      <c r="L45" s="1483"/>
      <c r="M45" s="1483"/>
      <c r="N45" s="1483"/>
      <c r="O45" s="1483"/>
      <c r="P45" s="1483"/>
    </row>
    <row r="46" spans="1:23">
      <c r="A46" s="1528" t="s">
        <v>3511</v>
      </c>
      <c r="C46" s="4160"/>
      <c r="D46" s="1503" t="s">
        <v>2599</v>
      </c>
      <c r="E46" s="1503"/>
      <c r="F46" s="1483"/>
      <c r="G46" s="4160"/>
      <c r="H46" s="1503" t="s">
        <v>2599</v>
      </c>
      <c r="I46" s="1503"/>
      <c r="J46" s="1483"/>
      <c r="K46" s="1483"/>
      <c r="L46" s="1483"/>
      <c r="M46" s="1483"/>
      <c r="N46" s="1483"/>
      <c r="O46" s="1483"/>
      <c r="P46" s="1483"/>
    </row>
    <row r="47" spans="1:23">
      <c r="A47" s="4166" t="s">
        <v>3512</v>
      </c>
      <c r="C47" s="3669">
        <f>SUM(C44:C46)</f>
        <v>0</v>
      </c>
      <c r="D47" s="1503" t="s">
        <v>2599</v>
      </c>
      <c r="E47" s="2722"/>
      <c r="F47" s="1483"/>
      <c r="G47" s="3669">
        <f>SUM(G44:G46)</f>
        <v>0</v>
      </c>
      <c r="H47" s="1503" t="s">
        <v>2599</v>
      </c>
      <c r="I47" s="2722"/>
      <c r="J47" s="1483"/>
      <c r="K47" s="1483"/>
      <c r="L47" s="1483"/>
      <c r="M47" s="1483"/>
      <c r="N47" s="1483"/>
      <c r="O47" s="1483"/>
      <c r="P47" s="1483"/>
    </row>
    <row r="48" spans="1:23">
      <c r="B48" s="1503"/>
      <c r="C48" s="1503"/>
      <c r="D48" s="1503"/>
      <c r="E48" s="1503"/>
      <c r="F48" s="1503"/>
      <c r="G48" s="1503"/>
      <c r="H48" s="1503"/>
      <c r="I48" s="1503"/>
      <c r="J48" s="3669"/>
      <c r="K48" s="1503"/>
      <c r="L48" s="2722"/>
      <c r="M48" s="1483"/>
      <c r="N48" s="3669"/>
      <c r="O48" s="1503"/>
      <c r="P48" s="2722"/>
      <c r="Q48" s="1483"/>
      <c r="R48" s="1483"/>
      <c r="S48" s="1483"/>
      <c r="T48" s="1483"/>
      <c r="U48" s="1483"/>
      <c r="V48" s="1483"/>
      <c r="W48" s="1483"/>
    </row>
    <row r="49" spans="1:23">
      <c r="A49" s="1483"/>
      <c r="B49" s="1503"/>
      <c r="C49" s="1503"/>
      <c r="D49" s="1503"/>
      <c r="E49" s="1503"/>
      <c r="F49" s="1503"/>
      <c r="G49" s="1503"/>
      <c r="H49" s="1503"/>
      <c r="I49" s="1503"/>
      <c r="J49" s="3669"/>
      <c r="K49" s="1503"/>
      <c r="L49" s="2722"/>
      <c r="M49" s="1483"/>
      <c r="N49" s="3669"/>
      <c r="O49" s="1503"/>
      <c r="P49" s="2722"/>
      <c r="Q49" s="1483"/>
      <c r="R49" s="1483"/>
      <c r="S49" s="1483"/>
      <c r="T49" s="1483"/>
      <c r="U49" s="1483"/>
      <c r="V49" s="1483"/>
      <c r="W49" s="1483"/>
    </row>
    <row r="50" spans="1:23" ht="15.75">
      <c r="A50" s="1504" t="s">
        <v>4227</v>
      </c>
      <c r="B50" s="1483"/>
      <c r="C50" s="2544"/>
      <c r="D50" s="2544"/>
      <c r="E50" s="2544"/>
      <c r="F50" s="2544"/>
      <c r="G50" s="1483"/>
      <c r="H50" s="1483"/>
      <c r="I50" s="1483"/>
      <c r="J50" s="1483"/>
      <c r="K50" s="1483"/>
      <c r="L50" s="1483"/>
      <c r="M50" s="1483"/>
      <c r="N50" s="1483"/>
      <c r="O50" s="1483"/>
      <c r="P50" s="1483"/>
      <c r="Q50" s="1483"/>
      <c r="R50" s="1483"/>
      <c r="S50" s="1483"/>
      <c r="T50" s="1483"/>
      <c r="U50" s="1483"/>
      <c r="V50" s="1483"/>
      <c r="W50" s="1483"/>
    </row>
    <row r="51" spans="1:23" ht="15.75">
      <c r="A51" s="1504"/>
      <c r="B51" s="1483"/>
      <c r="C51" s="2544"/>
      <c r="D51" s="2544"/>
      <c r="E51" s="2544"/>
      <c r="F51" s="2544"/>
      <c r="G51" s="1483"/>
      <c r="H51" s="1483"/>
      <c r="I51" s="1483"/>
      <c r="J51" s="1483"/>
      <c r="K51" s="1483"/>
      <c r="L51" s="1483"/>
      <c r="M51" s="1483"/>
      <c r="N51" s="1483"/>
      <c r="O51" s="1483"/>
      <c r="P51" s="1483"/>
      <c r="Q51" s="1483"/>
      <c r="R51" s="1483"/>
      <c r="S51" s="1483"/>
      <c r="T51" s="1483"/>
      <c r="U51" s="1483"/>
      <c r="V51" s="1483"/>
      <c r="W51" s="1483"/>
    </row>
    <row r="52" spans="1:23" ht="71.45" customHeight="1" thickBot="1">
      <c r="A52" s="4161" t="s">
        <v>3477</v>
      </c>
      <c r="B52" s="3656"/>
      <c r="C52" s="4161" t="s">
        <v>3478</v>
      </c>
      <c r="D52" s="4162"/>
      <c r="E52" s="4161" t="s">
        <v>3479</v>
      </c>
      <c r="F52" s="3656"/>
      <c r="G52" s="4163" t="s">
        <v>3480</v>
      </c>
      <c r="H52" s="3656"/>
      <c r="I52" s="4164" t="s">
        <v>3481</v>
      </c>
      <c r="J52" s="1483"/>
      <c r="K52" s="1483"/>
      <c r="L52" s="1483"/>
      <c r="M52" s="1483"/>
      <c r="N52" s="1483"/>
      <c r="O52" s="1483"/>
      <c r="P52" s="1483"/>
    </row>
    <row r="53" spans="1:23" ht="16.5" customHeight="1">
      <c r="A53" s="3655"/>
      <c r="B53" s="3655"/>
      <c r="C53" s="3655"/>
      <c r="D53" s="3658"/>
      <c r="E53" s="3655"/>
      <c r="F53" s="3655"/>
      <c r="G53" s="4112"/>
      <c r="H53" s="3656"/>
      <c r="I53" s="3658"/>
      <c r="J53" s="1483"/>
      <c r="K53" s="1483"/>
      <c r="L53" s="1483"/>
      <c r="M53" s="1483"/>
      <c r="N53" s="1483"/>
      <c r="O53" s="1483"/>
      <c r="P53" s="1483"/>
    </row>
    <row r="54" spans="1:23">
      <c r="A54" s="4157"/>
      <c r="B54" s="1486"/>
      <c r="C54" s="4157"/>
      <c r="D54" s="175"/>
      <c r="E54" s="4157"/>
      <c r="F54" s="1486"/>
      <c r="G54" s="4157"/>
      <c r="H54" s="168"/>
      <c r="I54" s="4157"/>
      <c r="J54" s="1483"/>
      <c r="K54" s="1483"/>
      <c r="L54" s="1483"/>
      <c r="M54" s="1483"/>
      <c r="N54" s="1483"/>
      <c r="O54" s="1483"/>
      <c r="P54" s="1483"/>
    </row>
    <row r="55" spans="1:23">
      <c r="A55" s="1486"/>
      <c r="B55" s="1486"/>
      <c r="C55" s="1486"/>
      <c r="D55" s="175"/>
      <c r="E55" s="1486"/>
      <c r="F55" s="1486"/>
      <c r="G55" s="1503"/>
      <c r="H55" s="168"/>
      <c r="I55" s="1503"/>
      <c r="J55" s="1483"/>
      <c r="K55" s="1483"/>
      <c r="L55" s="1483"/>
      <c r="M55" s="1483"/>
      <c r="N55" s="1483"/>
      <c r="O55" s="1483"/>
      <c r="P55" s="1483"/>
    </row>
    <row r="56" spans="1:23">
      <c r="A56" s="4157"/>
      <c r="B56" s="1486"/>
      <c r="C56" s="4157"/>
      <c r="D56" s="175"/>
      <c r="E56" s="4157"/>
      <c r="F56" s="1486"/>
      <c r="G56" s="4157"/>
      <c r="H56" s="168"/>
      <c r="I56" s="4157"/>
      <c r="J56" s="1483"/>
      <c r="K56" s="1483"/>
      <c r="L56" s="1483"/>
      <c r="M56" s="1483"/>
      <c r="N56" s="1483"/>
      <c r="O56" s="1483"/>
      <c r="P56" s="1483"/>
    </row>
    <row r="57" spans="1:23">
      <c r="A57" s="1483"/>
      <c r="B57" s="1483"/>
      <c r="C57" s="1483"/>
      <c r="D57" s="1483"/>
      <c r="E57" s="1483"/>
      <c r="F57" s="1483"/>
      <c r="G57" s="1483"/>
      <c r="H57" s="1483"/>
      <c r="I57" s="1483"/>
      <c r="J57" s="1483"/>
      <c r="K57" s="1483"/>
      <c r="L57" s="1483"/>
      <c r="M57" s="1483"/>
      <c r="N57" s="1483"/>
      <c r="O57" s="1483"/>
      <c r="P57" s="1483"/>
    </row>
    <row r="58" spans="1:23" ht="15.75">
      <c r="A58" s="1504" t="s">
        <v>3513</v>
      </c>
      <c r="B58" s="1483"/>
      <c r="C58" s="2544"/>
      <c r="D58" s="2544"/>
      <c r="E58" s="2544"/>
      <c r="F58" s="2544"/>
      <c r="G58" s="1483"/>
      <c r="Q58" s="1483"/>
      <c r="R58" s="1483"/>
      <c r="S58" s="1483"/>
      <c r="T58" s="1483"/>
      <c r="U58" s="1483"/>
      <c r="V58" s="1483"/>
      <c r="W58" s="1483"/>
    </row>
    <row r="59" spans="1:23">
      <c r="A59" s="1483"/>
      <c r="B59" s="1483"/>
      <c r="C59" s="2544"/>
      <c r="D59" s="2544"/>
      <c r="E59" s="2544"/>
      <c r="F59" s="2544"/>
      <c r="G59" s="1483"/>
      <c r="Q59" s="1483"/>
      <c r="R59" s="1483"/>
      <c r="S59" s="1483"/>
      <c r="T59" s="1483"/>
      <c r="U59" s="1483"/>
      <c r="V59" s="1483"/>
      <c r="W59" s="1483"/>
    </row>
    <row r="60" spans="1:23" ht="95.25" thickBot="1">
      <c r="A60" s="4161" t="s">
        <v>3483</v>
      </c>
      <c r="B60" s="3656"/>
      <c r="C60" s="4161" t="s">
        <v>3484</v>
      </c>
      <c r="D60" s="4162"/>
      <c r="E60" s="4161" t="s">
        <v>3485</v>
      </c>
      <c r="F60" s="3656"/>
      <c r="G60" s="4163" t="s">
        <v>3486</v>
      </c>
      <c r="H60" s="3656"/>
      <c r="I60" s="4164" t="s">
        <v>3487</v>
      </c>
      <c r="Q60" s="1483"/>
      <c r="R60" s="1483"/>
      <c r="S60" s="1483"/>
      <c r="T60" s="1483"/>
      <c r="U60" s="1483"/>
      <c r="V60" s="1483"/>
      <c r="W60" s="1483"/>
    </row>
    <row r="61" spans="1:23">
      <c r="A61" s="1486"/>
      <c r="B61" s="1486"/>
      <c r="C61" s="1486"/>
      <c r="D61" s="175"/>
      <c r="E61" s="1486"/>
      <c r="F61" s="1486"/>
      <c r="G61" s="1503"/>
      <c r="H61" s="168"/>
      <c r="I61" s="1503"/>
      <c r="Q61" s="1483"/>
      <c r="R61" s="1483"/>
      <c r="S61" s="1483"/>
      <c r="T61" s="1483"/>
      <c r="U61" s="1483"/>
      <c r="V61" s="1483"/>
      <c r="W61" s="1483"/>
    </row>
    <row r="62" spans="1:23">
      <c r="A62" s="4157"/>
      <c r="B62" s="1486"/>
      <c r="C62" s="4157"/>
      <c r="D62" s="175"/>
      <c r="E62" s="4157"/>
      <c r="F62" s="1486"/>
      <c r="G62" s="4157"/>
      <c r="H62" s="168"/>
      <c r="I62" s="4157"/>
      <c r="Q62" s="1483"/>
      <c r="R62" s="1483"/>
      <c r="S62" s="1483"/>
      <c r="T62" s="1483"/>
      <c r="U62" s="1483"/>
      <c r="V62" s="1483"/>
      <c r="W62" s="1483"/>
    </row>
    <row r="63" spans="1:23">
      <c r="A63" s="1486"/>
      <c r="B63" s="1486"/>
      <c r="C63" s="1486"/>
      <c r="D63" s="175"/>
      <c r="E63" s="1486"/>
      <c r="F63" s="1486"/>
      <c r="G63" s="1503"/>
      <c r="H63" s="168"/>
      <c r="I63" s="1503"/>
      <c r="Q63" s="1483"/>
      <c r="R63" s="1483"/>
      <c r="S63" s="1483"/>
      <c r="T63" s="1483"/>
      <c r="U63" s="1483"/>
      <c r="V63" s="1483"/>
      <c r="W63" s="1483"/>
    </row>
    <row r="64" spans="1:23">
      <c r="A64" s="4157"/>
      <c r="B64" s="1486"/>
      <c r="C64" s="4157"/>
      <c r="D64" s="175"/>
      <c r="E64" s="4157"/>
      <c r="F64" s="1486"/>
      <c r="G64" s="4157"/>
      <c r="H64" s="168"/>
      <c r="I64" s="4157"/>
      <c r="J64" s="1486"/>
      <c r="K64" s="1486"/>
      <c r="L64" s="1486"/>
      <c r="M64" s="175"/>
      <c r="N64" s="1486"/>
      <c r="O64" s="1486"/>
      <c r="P64" s="3179"/>
      <c r="Q64" s="1483"/>
      <c r="R64" s="1483"/>
      <c r="S64" s="1483"/>
      <c r="T64" s="1483"/>
      <c r="U64" s="1483"/>
      <c r="V64" s="1483"/>
      <c r="W64" s="1483"/>
    </row>
    <row r="65" spans="1:23">
      <c r="A65" s="1486"/>
      <c r="B65" s="1486"/>
      <c r="C65" s="1486"/>
      <c r="D65" s="1486"/>
      <c r="E65" s="1486"/>
      <c r="F65" s="175"/>
      <c r="G65" s="1486"/>
      <c r="H65" s="1486"/>
      <c r="I65" s="3179"/>
      <c r="J65" s="1486"/>
      <c r="K65" s="1486"/>
      <c r="L65" s="1486"/>
      <c r="M65" s="175"/>
      <c r="N65" s="1486"/>
      <c r="O65" s="1486"/>
      <c r="P65" s="3179"/>
      <c r="Q65" s="1483"/>
      <c r="R65" s="1483"/>
      <c r="S65" s="1483"/>
      <c r="T65" s="1483"/>
      <c r="U65" s="1483"/>
      <c r="V65" s="1483"/>
      <c r="W65" s="1483"/>
    </row>
    <row r="66" spans="1:23">
      <c r="A66" s="4157"/>
      <c r="B66" s="1486"/>
      <c r="C66" s="4157"/>
      <c r="D66" s="175"/>
      <c r="E66" s="4157"/>
      <c r="F66" s="1486"/>
      <c r="G66" s="4157"/>
      <c r="H66" s="168"/>
      <c r="I66" s="4157"/>
      <c r="J66" s="1486"/>
      <c r="K66" s="1486"/>
      <c r="L66" s="1486"/>
      <c r="M66" s="175"/>
      <c r="N66" s="1486"/>
      <c r="O66" s="1486"/>
      <c r="P66" s="3179"/>
      <c r="Q66" s="1483"/>
      <c r="R66" s="1483"/>
      <c r="S66" s="1483"/>
      <c r="T66" s="1483"/>
      <c r="U66" s="1483"/>
      <c r="V66" s="1483"/>
      <c r="W66" s="1483"/>
    </row>
    <row r="67" spans="1:23">
      <c r="A67" s="1483"/>
      <c r="B67" s="1483"/>
      <c r="C67" s="2544"/>
      <c r="D67" s="2544"/>
      <c r="E67" s="2544"/>
      <c r="F67" s="2544"/>
      <c r="G67" s="1483"/>
      <c r="H67" s="1486"/>
      <c r="I67" s="1486"/>
      <c r="J67" s="1486"/>
      <c r="K67" s="1486"/>
      <c r="L67" s="1486"/>
      <c r="M67" s="175"/>
      <c r="N67" s="1486"/>
      <c r="O67" s="1486"/>
      <c r="P67" s="3179"/>
      <c r="Q67" s="1483"/>
      <c r="R67" s="1483"/>
      <c r="S67" s="1483"/>
      <c r="T67" s="1483"/>
      <c r="U67" s="1483"/>
      <c r="V67" s="1483"/>
      <c r="W67" s="1483"/>
    </row>
    <row r="68" spans="1:23" ht="15.75">
      <c r="A68" s="1504" t="s">
        <v>3514</v>
      </c>
      <c r="C68" s="3028"/>
      <c r="D68" s="3028"/>
      <c r="E68" s="3028"/>
      <c r="F68" s="3028"/>
      <c r="H68" s="1546"/>
      <c r="I68" s="1546"/>
      <c r="J68" s="1546"/>
      <c r="K68" s="1546"/>
      <c r="L68" s="1546"/>
      <c r="M68" s="1548"/>
      <c r="N68" s="1546"/>
      <c r="O68" s="1546"/>
      <c r="P68" s="3176"/>
    </row>
    <row r="69" spans="1:23">
      <c r="A69" s="1483"/>
      <c r="B69" s="1483"/>
      <c r="C69" s="2544"/>
      <c r="D69" s="2544"/>
      <c r="E69" s="2544"/>
      <c r="F69" s="2544"/>
      <c r="G69" s="1483"/>
      <c r="H69" s="1486"/>
      <c r="I69" s="1486"/>
      <c r="J69" s="1486"/>
      <c r="K69" s="1486"/>
      <c r="L69" s="1486"/>
      <c r="M69" s="175"/>
      <c r="N69" s="1486"/>
      <c r="O69" s="1486"/>
      <c r="P69" s="3179"/>
      <c r="Q69" s="1483"/>
      <c r="R69" s="1483"/>
      <c r="S69" s="1483"/>
      <c r="T69" s="1483"/>
      <c r="U69" s="1483"/>
      <c r="V69" s="1483"/>
      <c r="W69" s="1483"/>
    </row>
    <row r="70" spans="1:23" ht="16.5" thickBot="1">
      <c r="C70" s="4167"/>
      <c r="D70" s="4168" t="s">
        <v>3489</v>
      </c>
      <c r="E70" s="4169"/>
      <c r="F70" s="2727"/>
      <c r="G70" s="4167"/>
      <c r="H70" s="4168" t="s">
        <v>3490</v>
      </c>
      <c r="I70" s="4169"/>
    </row>
    <row r="71" spans="1:23" ht="15.75">
      <c r="A71" s="3028" t="s">
        <v>3463</v>
      </c>
      <c r="C71" s="4170"/>
      <c r="D71" s="1521"/>
      <c r="E71" s="4170"/>
      <c r="F71" s="2727"/>
      <c r="G71" s="4170"/>
      <c r="H71" s="1521"/>
      <c r="I71" s="4170"/>
      <c r="J71" s="1486"/>
      <c r="K71" s="3179"/>
      <c r="L71" s="1483"/>
      <c r="M71" s="1483"/>
      <c r="N71" s="1483"/>
      <c r="O71" s="1483"/>
      <c r="P71" s="1483"/>
      <c r="Q71" s="1483"/>
      <c r="R71" s="1483"/>
    </row>
    <row r="72" spans="1:23" ht="16.5" thickBot="1">
      <c r="A72" s="4171" t="s">
        <v>3466</v>
      </c>
      <c r="C72" s="4168" t="s">
        <v>2870</v>
      </c>
      <c r="D72" s="4172"/>
      <c r="E72" s="4168" t="s">
        <v>2871</v>
      </c>
      <c r="F72" s="1546"/>
      <c r="G72" s="4168" t="s">
        <v>2870</v>
      </c>
      <c r="H72" s="4172"/>
      <c r="I72" s="4168" t="s">
        <v>2871</v>
      </c>
      <c r="J72" s="1486"/>
      <c r="K72" s="3179"/>
      <c r="L72" s="1483"/>
      <c r="M72" s="1483"/>
      <c r="N72" s="1483"/>
      <c r="O72" s="1483"/>
      <c r="P72" s="1483"/>
      <c r="Q72" s="1483"/>
      <c r="R72" s="1483"/>
    </row>
    <row r="73" spans="1:23">
      <c r="A73" s="3918">
        <v>2021</v>
      </c>
      <c r="B73" s="1503"/>
      <c r="C73" s="4165"/>
      <c r="D73" s="2541"/>
      <c r="E73" s="4165"/>
      <c r="F73" s="1486"/>
      <c r="G73" s="4165"/>
      <c r="H73" s="2541"/>
      <c r="I73" s="4165"/>
      <c r="J73" s="1486"/>
      <c r="K73" s="3179"/>
      <c r="L73" s="1483"/>
      <c r="M73" s="1483"/>
      <c r="N73" s="1483"/>
      <c r="O73" s="1483"/>
      <c r="P73" s="1483"/>
      <c r="Q73" s="1483"/>
      <c r="R73" s="1483"/>
    </row>
    <row r="74" spans="1:23">
      <c r="A74" s="3918">
        <v>2022</v>
      </c>
      <c r="B74" s="1503"/>
      <c r="C74" s="4165"/>
      <c r="D74" s="3197"/>
      <c r="E74" s="4165"/>
      <c r="F74" s="1503"/>
      <c r="G74" s="4165"/>
      <c r="H74" s="3197"/>
      <c r="I74" s="4165"/>
      <c r="J74" s="1486"/>
      <c r="K74" s="3179"/>
      <c r="L74" s="1483"/>
      <c r="M74" s="1483"/>
      <c r="N74" s="1483"/>
      <c r="O74" s="1483"/>
      <c r="P74" s="1483"/>
      <c r="Q74" s="1483"/>
      <c r="R74" s="1483"/>
    </row>
    <row r="75" spans="1:23">
      <c r="A75" s="3918">
        <v>2023</v>
      </c>
      <c r="B75" s="1503"/>
      <c r="C75" s="4165"/>
      <c r="D75" s="3197"/>
      <c r="E75" s="4165"/>
      <c r="F75" s="1503"/>
      <c r="G75" s="4165"/>
      <c r="H75" s="3197"/>
      <c r="I75" s="4165"/>
      <c r="J75" s="1486"/>
      <c r="K75" s="3179"/>
      <c r="L75" s="1483"/>
      <c r="M75" s="1483"/>
      <c r="N75" s="1483"/>
      <c r="O75" s="1483"/>
      <c r="P75" s="1483"/>
      <c r="Q75" s="1483"/>
      <c r="R75" s="1483"/>
    </row>
    <row r="76" spans="1:23">
      <c r="A76" s="3918">
        <v>2024</v>
      </c>
      <c r="B76" s="1503"/>
      <c r="C76" s="4165"/>
      <c r="D76" s="3197"/>
      <c r="E76" s="4165"/>
      <c r="F76" s="1503"/>
      <c r="G76" s="4165"/>
      <c r="H76" s="3197"/>
      <c r="I76" s="4165"/>
      <c r="J76" s="1486"/>
      <c r="K76" s="3179"/>
      <c r="L76" s="1483"/>
      <c r="M76" s="1483"/>
      <c r="N76" s="1483"/>
      <c r="O76" s="1483"/>
      <c r="P76" s="1483"/>
      <c r="Q76" s="1483"/>
      <c r="R76" s="1483"/>
    </row>
    <row r="77" spans="1:23">
      <c r="A77" s="3918">
        <v>2025</v>
      </c>
      <c r="B77" s="1503"/>
      <c r="C77" s="4165"/>
      <c r="D77" s="3197"/>
      <c r="E77" s="4165"/>
      <c r="F77" s="1503"/>
      <c r="G77" s="4165"/>
      <c r="H77" s="3197"/>
      <c r="I77" s="4165"/>
      <c r="J77" s="1486"/>
      <c r="K77" s="3179"/>
      <c r="L77" s="1483"/>
      <c r="M77" s="1483"/>
      <c r="N77" s="1483"/>
      <c r="O77" s="1483"/>
      <c r="P77" s="1483"/>
      <c r="Q77" s="1483"/>
      <c r="R77" s="1483"/>
    </row>
    <row r="78" spans="1:23">
      <c r="A78" s="3918" t="s">
        <v>4216</v>
      </c>
      <c r="B78" s="1521"/>
      <c r="C78" s="4165"/>
      <c r="D78" s="3197"/>
      <c r="E78" s="4165"/>
      <c r="F78" s="1503"/>
      <c r="G78" s="4165"/>
      <c r="H78" s="3197"/>
      <c r="I78" s="4165"/>
      <c r="J78" s="1486"/>
      <c r="K78" s="3179"/>
      <c r="L78" s="1483"/>
      <c r="M78" s="1483"/>
      <c r="N78" s="1483"/>
      <c r="O78" s="1483"/>
      <c r="P78" s="1483"/>
      <c r="Q78" s="1483"/>
      <c r="R78" s="1483"/>
    </row>
    <row r="79" spans="1:23">
      <c r="A79" s="3918" t="s">
        <v>4217</v>
      </c>
      <c r="B79" s="1562"/>
      <c r="C79" s="4165"/>
      <c r="D79" s="3197"/>
      <c r="E79" s="4165"/>
      <c r="F79" s="1503"/>
      <c r="G79" s="4165"/>
      <c r="H79" s="3197"/>
      <c r="I79" s="4165"/>
      <c r="J79" s="1486"/>
      <c r="K79" s="3179"/>
      <c r="L79" s="1483"/>
      <c r="M79" s="1483"/>
      <c r="N79" s="1483"/>
      <c r="O79" s="1483"/>
      <c r="P79" s="1483"/>
      <c r="Q79" s="1483"/>
      <c r="R79" s="1483"/>
    </row>
    <row r="80" spans="1:23">
      <c r="A80" s="3918" t="s">
        <v>4218</v>
      </c>
      <c r="B80" s="1562"/>
      <c r="C80" s="4165"/>
      <c r="D80" s="3197"/>
      <c r="E80" s="4165"/>
      <c r="F80" s="1503"/>
      <c r="G80" s="4165"/>
      <c r="H80" s="3197"/>
      <c r="I80" s="4165"/>
      <c r="J80" s="1486"/>
      <c r="K80" s="3179"/>
      <c r="L80" s="1483"/>
      <c r="M80" s="1483"/>
      <c r="N80" s="1483"/>
      <c r="O80" s="1483"/>
      <c r="P80" s="1483"/>
      <c r="Q80" s="1483"/>
      <c r="R80" s="1483"/>
    </row>
    <row r="81" spans="1:23">
      <c r="A81" s="3918" t="s">
        <v>4219</v>
      </c>
      <c r="B81" s="1562"/>
      <c r="C81" s="4165"/>
      <c r="D81" s="3197"/>
      <c r="E81" s="4165"/>
      <c r="F81" s="1503"/>
      <c r="G81" s="4165"/>
      <c r="H81" s="3197"/>
      <c r="I81" s="4165"/>
      <c r="J81" s="1486"/>
      <c r="K81" s="3179"/>
      <c r="L81" s="1483"/>
      <c r="M81" s="1483"/>
      <c r="N81" s="1483"/>
      <c r="O81" s="1483"/>
      <c r="P81" s="1483"/>
      <c r="Q81" s="1483"/>
      <c r="R81" s="1483"/>
    </row>
    <row r="82" spans="1:23">
      <c r="A82" s="3918" t="s">
        <v>4220</v>
      </c>
      <c r="B82" s="1562"/>
      <c r="C82" s="4174"/>
      <c r="D82" s="3197"/>
      <c r="E82" s="4174"/>
      <c r="F82" s="1503"/>
      <c r="G82" s="4174"/>
      <c r="H82" s="3197"/>
      <c r="I82" s="4174"/>
      <c r="J82" s="1486"/>
      <c r="K82" s="3179"/>
      <c r="L82" s="1483"/>
      <c r="M82" s="1483"/>
      <c r="N82" s="1483"/>
      <c r="O82" s="1483"/>
      <c r="P82" s="1483"/>
      <c r="Q82" s="1483"/>
      <c r="R82" s="1483"/>
    </row>
    <row r="83" spans="1:23" ht="16.5" thickBot="1">
      <c r="A83" s="4173" t="s">
        <v>108</v>
      </c>
      <c r="B83" s="3662"/>
      <c r="C83" s="3668">
        <f>SUM(C73:C82)</f>
        <v>0</v>
      </c>
      <c r="D83" s="3654"/>
      <c r="E83" s="3668">
        <f>SUM(E73:E82)</f>
        <v>0</v>
      </c>
      <c r="F83" s="1503"/>
      <c r="G83" s="3668">
        <f>SUM(G73:G82)</f>
        <v>0</v>
      </c>
      <c r="H83" s="168"/>
      <c r="I83" s="3668">
        <f>SUM(I73:I82)</f>
        <v>0</v>
      </c>
      <c r="J83" s="1486"/>
      <c r="K83" s="3179"/>
      <c r="L83" s="1483"/>
      <c r="M83" s="1483"/>
      <c r="N83" s="1483"/>
      <c r="O83" s="1483"/>
      <c r="P83" s="1483"/>
      <c r="Q83" s="1483"/>
      <c r="R83" s="1483"/>
    </row>
    <row r="84" spans="1:23" ht="28.5">
      <c r="A84" s="4191" t="s">
        <v>3515</v>
      </c>
      <c r="B84" s="3662"/>
      <c r="D84" s="3654"/>
      <c r="E84" s="3653"/>
      <c r="F84" s="2544"/>
      <c r="G84" s="1483"/>
      <c r="H84" s="4149"/>
      <c r="I84" s="168"/>
      <c r="O84" s="1486"/>
      <c r="P84" s="3179"/>
      <c r="Q84" s="1483"/>
      <c r="R84" s="1483"/>
      <c r="S84" s="1483"/>
      <c r="T84" s="1483"/>
      <c r="U84" s="1483"/>
      <c r="V84" s="1483"/>
      <c r="W84" s="1483"/>
    </row>
    <row r="85" spans="1:23">
      <c r="A85" s="1528"/>
      <c r="B85" s="3662"/>
      <c r="C85" s="2544"/>
      <c r="D85" s="2544"/>
      <c r="E85" s="2544"/>
      <c r="F85" s="2544"/>
      <c r="G85" s="1483"/>
      <c r="H85" s="1486"/>
      <c r="I85" s="1486"/>
      <c r="J85" s="4149"/>
      <c r="K85" s="1503"/>
      <c r="L85" s="4149"/>
      <c r="M85" s="168"/>
      <c r="N85" s="4149"/>
      <c r="O85" s="1486"/>
      <c r="P85" s="3179"/>
      <c r="Q85" s="1483"/>
      <c r="R85" s="1483"/>
      <c r="S85" s="1483"/>
      <c r="T85" s="1483"/>
      <c r="U85" s="1483"/>
      <c r="V85" s="1483"/>
      <c r="W85" s="1483"/>
    </row>
    <row r="86" spans="1:23">
      <c r="A86" s="4192" t="s">
        <v>4236</v>
      </c>
      <c r="B86" s="1483"/>
      <c r="C86" s="2544"/>
      <c r="D86" s="2544"/>
      <c r="E86" s="2544"/>
      <c r="F86" s="2544"/>
      <c r="H86" s="1483"/>
      <c r="I86" s="1483"/>
      <c r="J86" s="1486"/>
      <c r="K86" s="1486"/>
      <c r="L86" s="1486"/>
      <c r="M86" s="175"/>
      <c r="N86" s="1486"/>
      <c r="O86" s="1486"/>
      <c r="P86" s="3179"/>
      <c r="Q86" s="1483"/>
      <c r="R86" s="1483"/>
      <c r="S86" s="1483"/>
      <c r="T86" s="1483"/>
      <c r="U86" s="1483"/>
      <c r="V86" s="1483"/>
      <c r="W86" s="1483"/>
    </row>
    <row r="87" spans="1:23">
      <c r="A87" s="4193" t="s">
        <v>4237</v>
      </c>
      <c r="B87" s="1483"/>
      <c r="G87" s="1510"/>
      <c r="H87" s="1483"/>
      <c r="I87" s="1483"/>
      <c r="J87" s="1483"/>
      <c r="K87" s="1483"/>
      <c r="L87" s="1483"/>
      <c r="M87" s="1483"/>
      <c r="N87" s="1483"/>
    </row>
    <row r="88" spans="1:23" ht="15.75">
      <c r="A88" s="4194" t="s">
        <v>4234</v>
      </c>
      <c r="C88" s="3042"/>
      <c r="D88" s="3042"/>
      <c r="E88" s="3042"/>
      <c r="F88" s="3042"/>
      <c r="G88" s="1483"/>
      <c r="H88" s="1483"/>
      <c r="I88" s="1483"/>
      <c r="J88" s="1483"/>
      <c r="K88" s="1483"/>
      <c r="L88" s="1483"/>
      <c r="M88" s="1483"/>
      <c r="N88" s="1483"/>
      <c r="O88" s="1483"/>
      <c r="P88" s="1483"/>
      <c r="Q88" s="1483"/>
      <c r="R88" s="1483"/>
      <c r="S88" s="1483"/>
      <c r="T88" s="1483"/>
      <c r="U88" s="1483"/>
      <c r="V88" s="1483"/>
      <c r="W88" s="1483" t="str">
        <f>IF(OR(P12="x",P15="x"),"x","")</f>
        <v/>
      </c>
    </row>
    <row r="89" spans="1:23" ht="15" customHeight="1">
      <c r="A89" s="4123" t="s">
        <v>4235</v>
      </c>
      <c r="B89" s="3042"/>
      <c r="C89" s="2544"/>
      <c r="D89" s="2544"/>
      <c r="E89" s="2544"/>
      <c r="F89" s="2544"/>
      <c r="G89" s="1483"/>
      <c r="H89" s="1566"/>
      <c r="I89" s="1566"/>
      <c r="J89" s="1483"/>
      <c r="K89" s="1483"/>
      <c r="L89" s="1483"/>
      <c r="M89" s="1483"/>
      <c r="N89" s="1483"/>
      <c r="O89" s="1483"/>
      <c r="P89" s="1483"/>
      <c r="Q89" s="1483"/>
      <c r="R89" s="1483"/>
      <c r="S89" s="1483"/>
      <c r="T89" s="1483"/>
      <c r="U89" s="1483"/>
      <c r="V89" s="1483"/>
      <c r="W89" s="1483"/>
    </row>
    <row r="90" spans="1:23" s="1483" customFormat="1" ht="15" customHeight="1">
      <c r="A90" s="168"/>
      <c r="B90" s="2544"/>
      <c r="G90" s="1566"/>
      <c r="H90" s="2542"/>
      <c r="I90" s="2542"/>
      <c r="J90" s="1566"/>
      <c r="K90" s="1566"/>
      <c r="L90" s="1566"/>
      <c r="M90" s="1566"/>
      <c r="N90" s="1566"/>
    </row>
    <row r="91" spans="1:23" s="168" customFormat="1" ht="15" customHeight="1">
      <c r="A91" s="1483"/>
      <c r="B91" s="1483"/>
      <c r="C91" s="1566"/>
      <c r="D91" s="1566"/>
      <c r="E91" s="1566"/>
      <c r="F91" s="1566"/>
      <c r="G91" s="1566"/>
      <c r="H91" s="2542"/>
      <c r="I91" s="2542"/>
      <c r="J91" s="2542"/>
      <c r="K91" s="2542"/>
      <c r="L91" s="2542"/>
      <c r="M91" s="2542"/>
      <c r="N91" s="2542"/>
      <c r="O91" s="1566"/>
      <c r="P91" s="1566"/>
    </row>
    <row r="92" spans="1:23" s="168" customFormat="1" ht="12.75">
      <c r="A92" s="1483"/>
      <c r="B92" s="1566"/>
      <c r="C92" s="1566"/>
      <c r="D92" s="1566"/>
      <c r="E92" s="1566"/>
      <c r="F92" s="1566"/>
      <c r="G92" s="2542"/>
      <c r="H92" s="1503"/>
      <c r="I92" s="1503"/>
      <c r="J92" s="2542"/>
      <c r="K92" s="2542"/>
      <c r="L92" s="2542"/>
      <c r="M92" s="2542"/>
      <c r="N92" s="2542"/>
      <c r="O92" s="1566"/>
      <c r="P92" s="1566"/>
    </row>
    <row r="93" spans="1:23" s="1483" customFormat="1">
      <c r="A93" s="1468"/>
      <c r="B93" s="2542"/>
      <c r="C93" s="1503"/>
      <c r="D93" s="1503"/>
      <c r="E93" s="1503"/>
      <c r="F93" s="1503"/>
      <c r="G93" s="1503"/>
      <c r="H93" s="1521"/>
      <c r="I93" s="1521"/>
      <c r="J93" s="1503"/>
      <c r="K93" s="1503"/>
      <c r="L93" s="1503"/>
      <c r="M93" s="1503"/>
      <c r="N93" s="1503"/>
      <c r="O93" s="1503"/>
      <c r="P93" s="1503"/>
      <c r="Q93" s="1503"/>
      <c r="R93" s="1503"/>
      <c r="S93" s="1503"/>
      <c r="T93" s="1503"/>
      <c r="U93" s="1503"/>
    </row>
    <row r="94" spans="1:23">
      <c r="B94" s="1503"/>
      <c r="C94" s="1503"/>
      <c r="D94" s="1503"/>
      <c r="E94" s="1503"/>
      <c r="F94" s="1503"/>
      <c r="G94" s="1521"/>
      <c r="J94" s="1521"/>
      <c r="K94" s="1521"/>
      <c r="L94" s="1521"/>
      <c r="M94" s="1521"/>
      <c r="N94" s="1521"/>
      <c r="O94" s="1503"/>
      <c r="P94" s="1503"/>
      <c r="Q94" s="1503"/>
      <c r="R94" s="1503"/>
      <c r="S94" s="1503"/>
      <c r="T94" s="1503"/>
      <c r="U94" s="1503"/>
    </row>
    <row r="95" spans="1:23">
      <c r="B95" s="1503"/>
      <c r="C95" s="1521"/>
      <c r="D95" s="1521"/>
      <c r="E95" s="1521"/>
      <c r="F95" s="1521"/>
      <c r="O95" s="1521"/>
      <c r="P95" s="1521"/>
      <c r="Q95" s="1521"/>
      <c r="R95" s="1521"/>
      <c r="S95" s="1521"/>
      <c r="T95" s="1521"/>
      <c r="U95" s="1521"/>
    </row>
    <row r="96" spans="1:23">
      <c r="B96" s="1521"/>
    </row>
  </sheetData>
  <sheetProtection algorithmName="SHA-512" hashValue="05/KK2mYBJwT5u/iQN6XFy7/5+bWsUbLaE9qXf6kRqnHmJqS1MKqyInOzb3R1ufy3PGRaDLqyK0wgA7YCtgF6A==" saltValue="NuV3EsssIgnGdUsDnrbOFw==" spinCount="100000" sheet="1" objects="1" scenarios="1"/>
  <conditionalFormatting sqref="C28">
    <cfRule type="expression" dxfId="207" priority="14">
      <formula>$P$12="x"</formula>
    </cfRule>
  </conditionalFormatting>
  <conditionalFormatting sqref="G12">
    <cfRule type="expression" dxfId="206" priority="13">
      <formula>$P$12="x"</formula>
    </cfRule>
  </conditionalFormatting>
  <conditionalFormatting sqref="G15 G28">
    <cfRule type="expression" dxfId="205" priority="12">
      <formula>$P$15="x"</formula>
    </cfRule>
  </conditionalFormatting>
  <conditionalFormatting sqref="I14 C43">
    <cfRule type="expression" dxfId="204" priority="11">
      <formula>$W$18="x"</formula>
    </cfRule>
  </conditionalFormatting>
  <conditionalFormatting sqref="I17 G43">
    <cfRule type="expression" dxfId="203" priority="10">
      <formula>$W$19="x"</formula>
    </cfRule>
  </conditionalFormatting>
  <conditionalFormatting sqref="A86">
    <cfRule type="expression" dxfId="202" priority="9">
      <formula>$W$88="x"</formula>
    </cfRule>
  </conditionalFormatting>
  <conditionalFormatting sqref="A87">
    <cfRule type="expression" dxfId="201" priority="6">
      <formula>$W$20="x"</formula>
    </cfRule>
  </conditionalFormatting>
  <printOptions horizontalCentered="1"/>
  <pageMargins left="0.25" right="0.25" top="0.75" bottom="0.75" header="0.3" footer="0.3"/>
  <pageSetup scale="84" fitToHeight="0" orientation="landscape" r:id="rId1"/>
  <headerFooter alignWithMargins="0">
    <oddFooter>&amp;LDFS-A1-1895</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66FF99"/>
  </sheetPr>
  <dimension ref="A1:A30"/>
  <sheetViews>
    <sheetView workbookViewId="0"/>
  </sheetViews>
  <sheetFormatPr defaultRowHeight="12.75"/>
  <cols>
    <col min="1" max="1" width="189.7109375" style="2473" bestFit="1" customWidth="1"/>
    <col min="2" max="256" width="9.140625" style="2473"/>
    <col min="257" max="257" width="189.7109375" style="2473" bestFit="1" customWidth="1"/>
    <col min="258" max="512" width="9.140625" style="2473"/>
    <col min="513" max="513" width="189.7109375" style="2473" bestFit="1" customWidth="1"/>
    <col min="514" max="768" width="9.140625" style="2473"/>
    <col min="769" max="769" width="189.7109375" style="2473" bestFit="1" customWidth="1"/>
    <col min="770" max="1024" width="9.140625" style="2473"/>
    <col min="1025" max="1025" width="189.7109375" style="2473" bestFit="1" customWidth="1"/>
    <col min="1026" max="1280" width="9.140625" style="2473"/>
    <col min="1281" max="1281" width="189.7109375" style="2473" bestFit="1" customWidth="1"/>
    <col min="1282" max="1536" width="9.140625" style="2473"/>
    <col min="1537" max="1537" width="189.7109375" style="2473" bestFit="1" customWidth="1"/>
    <col min="1538" max="1792" width="9.140625" style="2473"/>
    <col min="1793" max="1793" width="189.7109375" style="2473" bestFit="1" customWidth="1"/>
    <col min="1794" max="2048" width="9.140625" style="2473"/>
    <col min="2049" max="2049" width="189.7109375" style="2473" bestFit="1" customWidth="1"/>
    <col min="2050" max="2304" width="9.140625" style="2473"/>
    <col min="2305" max="2305" width="189.7109375" style="2473" bestFit="1" customWidth="1"/>
    <col min="2306" max="2560" width="9.140625" style="2473"/>
    <col min="2561" max="2561" width="189.7109375" style="2473" bestFit="1" customWidth="1"/>
    <col min="2562" max="2816" width="9.140625" style="2473"/>
    <col min="2817" max="2817" width="189.7109375" style="2473" bestFit="1" customWidth="1"/>
    <col min="2818" max="3072" width="9.140625" style="2473"/>
    <col min="3073" max="3073" width="189.7109375" style="2473" bestFit="1" customWidth="1"/>
    <col min="3074" max="3328" width="9.140625" style="2473"/>
    <col min="3329" max="3329" width="189.7109375" style="2473" bestFit="1" customWidth="1"/>
    <col min="3330" max="3584" width="9.140625" style="2473"/>
    <col min="3585" max="3585" width="189.7109375" style="2473" bestFit="1" customWidth="1"/>
    <col min="3586" max="3840" width="9.140625" style="2473"/>
    <col min="3841" max="3841" width="189.7109375" style="2473" bestFit="1" customWidth="1"/>
    <col min="3842" max="4096" width="9.140625" style="2473"/>
    <col min="4097" max="4097" width="189.7109375" style="2473" bestFit="1" customWidth="1"/>
    <col min="4098" max="4352" width="9.140625" style="2473"/>
    <col min="4353" max="4353" width="189.7109375" style="2473" bestFit="1" customWidth="1"/>
    <col min="4354" max="4608" width="9.140625" style="2473"/>
    <col min="4609" max="4609" width="189.7109375" style="2473" bestFit="1" customWidth="1"/>
    <col min="4610" max="4864" width="9.140625" style="2473"/>
    <col min="4865" max="4865" width="189.7109375" style="2473" bestFit="1" customWidth="1"/>
    <col min="4866" max="5120" width="9.140625" style="2473"/>
    <col min="5121" max="5121" width="189.7109375" style="2473" bestFit="1" customWidth="1"/>
    <col min="5122" max="5376" width="9.140625" style="2473"/>
    <col min="5377" max="5377" width="189.7109375" style="2473" bestFit="1" customWidth="1"/>
    <col min="5378" max="5632" width="9.140625" style="2473"/>
    <col min="5633" max="5633" width="189.7109375" style="2473" bestFit="1" customWidth="1"/>
    <col min="5634" max="5888" width="9.140625" style="2473"/>
    <col min="5889" max="5889" width="189.7109375" style="2473" bestFit="1" customWidth="1"/>
    <col min="5890" max="6144" width="9.140625" style="2473"/>
    <col min="6145" max="6145" width="189.7109375" style="2473" bestFit="1" customWidth="1"/>
    <col min="6146" max="6400" width="9.140625" style="2473"/>
    <col min="6401" max="6401" width="189.7109375" style="2473" bestFit="1" customWidth="1"/>
    <col min="6402" max="6656" width="9.140625" style="2473"/>
    <col min="6657" max="6657" width="189.7109375" style="2473" bestFit="1" customWidth="1"/>
    <col min="6658" max="6912" width="9.140625" style="2473"/>
    <col min="6913" max="6913" width="189.7109375" style="2473" bestFit="1" customWidth="1"/>
    <col min="6914" max="7168" width="9.140625" style="2473"/>
    <col min="7169" max="7169" width="189.7109375" style="2473" bestFit="1" customWidth="1"/>
    <col min="7170" max="7424" width="9.140625" style="2473"/>
    <col min="7425" max="7425" width="189.7109375" style="2473" bestFit="1" customWidth="1"/>
    <col min="7426" max="7680" width="9.140625" style="2473"/>
    <col min="7681" max="7681" width="189.7109375" style="2473" bestFit="1" customWidth="1"/>
    <col min="7682" max="7936" width="9.140625" style="2473"/>
    <col min="7937" max="7937" width="189.7109375" style="2473" bestFit="1" customWidth="1"/>
    <col min="7938" max="8192" width="9.140625" style="2473"/>
    <col min="8193" max="8193" width="189.7109375" style="2473" bestFit="1" customWidth="1"/>
    <col min="8194" max="8448" width="9.140625" style="2473"/>
    <col min="8449" max="8449" width="189.7109375" style="2473" bestFit="1" customWidth="1"/>
    <col min="8450" max="8704" width="9.140625" style="2473"/>
    <col min="8705" max="8705" width="189.7109375" style="2473" bestFit="1" customWidth="1"/>
    <col min="8706" max="8960" width="9.140625" style="2473"/>
    <col min="8961" max="8961" width="189.7109375" style="2473" bestFit="1" customWidth="1"/>
    <col min="8962" max="9216" width="9.140625" style="2473"/>
    <col min="9217" max="9217" width="189.7109375" style="2473" bestFit="1" customWidth="1"/>
    <col min="9218" max="9472" width="9.140625" style="2473"/>
    <col min="9473" max="9473" width="189.7109375" style="2473" bestFit="1" customWidth="1"/>
    <col min="9474" max="9728" width="9.140625" style="2473"/>
    <col min="9729" max="9729" width="189.7109375" style="2473" bestFit="1" customWidth="1"/>
    <col min="9730" max="9984" width="9.140625" style="2473"/>
    <col min="9985" max="9985" width="189.7109375" style="2473" bestFit="1" customWidth="1"/>
    <col min="9986" max="10240" width="9.140625" style="2473"/>
    <col min="10241" max="10241" width="189.7109375" style="2473" bestFit="1" customWidth="1"/>
    <col min="10242" max="10496" width="9.140625" style="2473"/>
    <col min="10497" max="10497" width="189.7109375" style="2473" bestFit="1" customWidth="1"/>
    <col min="10498" max="10752" width="9.140625" style="2473"/>
    <col min="10753" max="10753" width="189.7109375" style="2473" bestFit="1" customWidth="1"/>
    <col min="10754" max="11008" width="9.140625" style="2473"/>
    <col min="11009" max="11009" width="189.7109375" style="2473" bestFit="1" customWidth="1"/>
    <col min="11010" max="11264" width="9.140625" style="2473"/>
    <col min="11265" max="11265" width="189.7109375" style="2473" bestFit="1" customWidth="1"/>
    <col min="11266" max="11520" width="9.140625" style="2473"/>
    <col min="11521" max="11521" width="189.7109375" style="2473" bestFit="1" customWidth="1"/>
    <col min="11522" max="11776" width="9.140625" style="2473"/>
    <col min="11777" max="11777" width="189.7109375" style="2473" bestFit="1" customWidth="1"/>
    <col min="11778" max="12032" width="9.140625" style="2473"/>
    <col min="12033" max="12033" width="189.7109375" style="2473" bestFit="1" customWidth="1"/>
    <col min="12034" max="12288" width="9.140625" style="2473"/>
    <col min="12289" max="12289" width="189.7109375" style="2473" bestFit="1" customWidth="1"/>
    <col min="12290" max="12544" width="9.140625" style="2473"/>
    <col min="12545" max="12545" width="189.7109375" style="2473" bestFit="1" customWidth="1"/>
    <col min="12546" max="12800" width="9.140625" style="2473"/>
    <col min="12801" max="12801" width="189.7109375" style="2473" bestFit="1" customWidth="1"/>
    <col min="12802" max="13056" width="9.140625" style="2473"/>
    <col min="13057" max="13057" width="189.7109375" style="2473" bestFit="1" customWidth="1"/>
    <col min="13058" max="13312" width="9.140625" style="2473"/>
    <col min="13313" max="13313" width="189.7109375" style="2473" bestFit="1" customWidth="1"/>
    <col min="13314" max="13568" width="9.140625" style="2473"/>
    <col min="13569" max="13569" width="189.7109375" style="2473" bestFit="1" customWidth="1"/>
    <col min="13570" max="13824" width="9.140625" style="2473"/>
    <col min="13825" max="13825" width="189.7109375" style="2473" bestFit="1" customWidth="1"/>
    <col min="13826" max="14080" width="9.140625" style="2473"/>
    <col min="14081" max="14081" width="189.7109375" style="2473" bestFit="1" customWidth="1"/>
    <col min="14082" max="14336" width="9.140625" style="2473"/>
    <col min="14337" max="14337" width="189.7109375" style="2473" bestFit="1" customWidth="1"/>
    <col min="14338" max="14592" width="9.140625" style="2473"/>
    <col min="14593" max="14593" width="189.7109375" style="2473" bestFit="1" customWidth="1"/>
    <col min="14594" max="14848" width="9.140625" style="2473"/>
    <col min="14849" max="14849" width="189.7109375" style="2473" bestFit="1" customWidth="1"/>
    <col min="14850" max="15104" width="9.140625" style="2473"/>
    <col min="15105" max="15105" width="189.7109375" style="2473" bestFit="1" customWidth="1"/>
    <col min="15106" max="15360" width="9.140625" style="2473"/>
    <col min="15361" max="15361" width="189.7109375" style="2473" bestFit="1" customWidth="1"/>
    <col min="15362" max="15616" width="9.140625" style="2473"/>
    <col min="15617" max="15617" width="189.7109375" style="2473" bestFit="1" customWidth="1"/>
    <col min="15618" max="15872" width="9.140625" style="2473"/>
    <col min="15873" max="15873" width="189.7109375" style="2473" bestFit="1" customWidth="1"/>
    <col min="15874" max="16128" width="9.140625" style="2473"/>
    <col min="16129" max="16129" width="189.7109375" style="2473" bestFit="1" customWidth="1"/>
    <col min="16130" max="16384" width="9.140625" style="2473"/>
  </cols>
  <sheetData>
    <row r="1" spans="1:1" ht="40.5">
      <c r="A1" s="2472" t="s">
        <v>4043</v>
      </c>
    </row>
    <row r="2" spans="1:1" ht="20.25">
      <c r="A2" s="2472"/>
    </row>
    <row r="3" spans="1:1" ht="18.75">
      <c r="A3" s="2474" t="s">
        <v>3516</v>
      </c>
    </row>
    <row r="5" spans="1:1">
      <c r="A5" s="3878" t="s">
        <v>3517</v>
      </c>
    </row>
    <row r="7" spans="1:1">
      <c r="A7" s="3878" t="s">
        <v>4044</v>
      </c>
    </row>
    <row r="9" spans="1:1">
      <c r="A9" s="3878" t="s">
        <v>4045</v>
      </c>
    </row>
    <row r="11" spans="1:1">
      <c r="A11" s="3879" t="s">
        <v>3518</v>
      </c>
    </row>
    <row r="12" spans="1:1">
      <c r="A12" s="2475"/>
    </row>
    <row r="21" spans="1:1">
      <c r="A21" s="2475"/>
    </row>
    <row r="23" spans="1:1">
      <c r="A23" s="2475"/>
    </row>
    <row r="24" spans="1:1">
      <c r="A24" s="2477"/>
    </row>
    <row r="26" spans="1:1">
      <c r="A26" s="2475"/>
    </row>
    <row r="28" spans="1:1">
      <c r="A28" s="2475"/>
    </row>
    <row r="30" spans="1:1">
      <c r="A30" s="2475"/>
    </row>
  </sheetData>
  <sheetProtection algorithmName="SHA-512" hashValue="/PPRt83s/GrtBLRAOKUYKZQNO8JSFVUQVKp/xWQf4kpfL45s8SVj4iM2TxWg7sJvlpJDf9I0rHpfsBMZevEZCg==" saltValue="ZJp46noYfW9FPwl5wGYg2Q==" spinCount="100000" sheet="1" objects="1" scenarios="1"/>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66FF99"/>
    <pageSetUpPr fitToPage="1"/>
  </sheetPr>
  <dimension ref="A1:BG194"/>
  <sheetViews>
    <sheetView workbookViewId="0"/>
  </sheetViews>
  <sheetFormatPr defaultRowHeight="15"/>
  <cols>
    <col min="1" max="1" width="36.85546875" style="1863" customWidth="1"/>
    <col min="2" max="2" width="3" style="1863" customWidth="1"/>
    <col min="3" max="3" width="29.28515625" style="1863" customWidth="1"/>
    <col min="4" max="4" width="3.28515625" style="1863" customWidth="1"/>
    <col min="5" max="5" width="21.28515625" style="1863" customWidth="1"/>
    <col min="6" max="6" width="4.85546875" style="2495" customWidth="1"/>
    <col min="7" max="7" width="13.7109375" style="1863" customWidth="1"/>
    <col min="8" max="8" width="1.7109375" style="1863" customWidth="1"/>
    <col min="9" max="9" width="36.140625" style="393" customWidth="1"/>
    <col min="10" max="10" width="3.140625" style="393" customWidth="1"/>
    <col min="11" max="59" width="9.140625" style="393"/>
    <col min="60" max="256" width="9.140625" style="1863"/>
    <col min="257" max="257" width="36.85546875" style="1863" customWidth="1"/>
    <col min="258" max="258" width="1.7109375" style="1863" customWidth="1"/>
    <col min="259" max="259" width="23.85546875" style="1863" customWidth="1"/>
    <col min="260" max="260" width="1.7109375" style="1863" customWidth="1"/>
    <col min="261" max="261" width="24.5703125" style="1863" customWidth="1"/>
    <col min="262" max="262" width="1.7109375" style="1863" customWidth="1"/>
    <col min="263" max="263" width="19.140625" style="1863" bestFit="1" customWidth="1"/>
    <col min="264" max="264" width="1.7109375" style="1863" customWidth="1"/>
    <col min="265" max="265" width="36.140625" style="1863" customWidth="1"/>
    <col min="266" max="266" width="3.140625" style="1863" customWidth="1"/>
    <col min="267" max="512" width="9.140625" style="1863"/>
    <col min="513" max="513" width="36.85546875" style="1863" customWidth="1"/>
    <col min="514" max="514" width="1.7109375" style="1863" customWidth="1"/>
    <col min="515" max="515" width="23.85546875" style="1863" customWidth="1"/>
    <col min="516" max="516" width="1.7109375" style="1863" customWidth="1"/>
    <col min="517" max="517" width="24.5703125" style="1863" customWidth="1"/>
    <col min="518" max="518" width="1.7109375" style="1863" customWidth="1"/>
    <col min="519" max="519" width="19.140625" style="1863" bestFit="1" customWidth="1"/>
    <col min="520" max="520" width="1.7109375" style="1863" customWidth="1"/>
    <col min="521" max="521" width="36.140625" style="1863" customWidth="1"/>
    <col min="522" max="522" width="3.140625" style="1863" customWidth="1"/>
    <col min="523" max="768" width="9.140625" style="1863"/>
    <col min="769" max="769" width="36.85546875" style="1863" customWidth="1"/>
    <col min="770" max="770" width="1.7109375" style="1863" customWidth="1"/>
    <col min="771" max="771" width="23.85546875" style="1863" customWidth="1"/>
    <col min="772" max="772" width="1.7109375" style="1863" customWidth="1"/>
    <col min="773" max="773" width="24.5703125" style="1863" customWidth="1"/>
    <col min="774" max="774" width="1.7109375" style="1863" customWidth="1"/>
    <col min="775" max="775" width="19.140625" style="1863" bestFit="1" customWidth="1"/>
    <col min="776" max="776" width="1.7109375" style="1863" customWidth="1"/>
    <col min="777" max="777" width="36.140625" style="1863" customWidth="1"/>
    <col min="778" max="778" width="3.140625" style="1863" customWidth="1"/>
    <col min="779" max="1024" width="9.140625" style="1863"/>
    <col min="1025" max="1025" width="36.85546875" style="1863" customWidth="1"/>
    <col min="1026" max="1026" width="1.7109375" style="1863" customWidth="1"/>
    <col min="1027" max="1027" width="23.85546875" style="1863" customWidth="1"/>
    <col min="1028" max="1028" width="1.7109375" style="1863" customWidth="1"/>
    <col min="1029" max="1029" width="24.5703125" style="1863" customWidth="1"/>
    <col min="1030" max="1030" width="1.7109375" style="1863" customWidth="1"/>
    <col min="1031" max="1031" width="19.140625" style="1863" bestFit="1" customWidth="1"/>
    <col min="1032" max="1032" width="1.7109375" style="1863" customWidth="1"/>
    <col min="1033" max="1033" width="36.140625" style="1863" customWidth="1"/>
    <col min="1034" max="1034" width="3.140625" style="1863" customWidth="1"/>
    <col min="1035" max="1280" width="9.140625" style="1863"/>
    <col min="1281" max="1281" width="36.85546875" style="1863" customWidth="1"/>
    <col min="1282" max="1282" width="1.7109375" style="1863" customWidth="1"/>
    <col min="1283" max="1283" width="23.85546875" style="1863" customWidth="1"/>
    <col min="1284" max="1284" width="1.7109375" style="1863" customWidth="1"/>
    <col min="1285" max="1285" width="24.5703125" style="1863" customWidth="1"/>
    <col min="1286" max="1286" width="1.7109375" style="1863" customWidth="1"/>
    <col min="1287" max="1287" width="19.140625" style="1863" bestFit="1" customWidth="1"/>
    <col min="1288" max="1288" width="1.7109375" style="1863" customWidth="1"/>
    <col min="1289" max="1289" width="36.140625" style="1863" customWidth="1"/>
    <col min="1290" max="1290" width="3.140625" style="1863" customWidth="1"/>
    <col min="1291" max="1536" width="9.140625" style="1863"/>
    <col min="1537" max="1537" width="36.85546875" style="1863" customWidth="1"/>
    <col min="1538" max="1538" width="1.7109375" style="1863" customWidth="1"/>
    <col min="1539" max="1539" width="23.85546875" style="1863" customWidth="1"/>
    <col min="1540" max="1540" width="1.7109375" style="1863" customWidth="1"/>
    <col min="1541" max="1541" width="24.5703125" style="1863" customWidth="1"/>
    <col min="1542" max="1542" width="1.7109375" style="1863" customWidth="1"/>
    <col min="1543" max="1543" width="19.140625" style="1863" bestFit="1" customWidth="1"/>
    <col min="1544" max="1544" width="1.7109375" style="1863" customWidth="1"/>
    <col min="1545" max="1545" width="36.140625" style="1863" customWidth="1"/>
    <col min="1546" max="1546" width="3.140625" style="1863" customWidth="1"/>
    <col min="1547" max="1792" width="9.140625" style="1863"/>
    <col min="1793" max="1793" width="36.85546875" style="1863" customWidth="1"/>
    <col min="1794" max="1794" width="1.7109375" style="1863" customWidth="1"/>
    <col min="1795" max="1795" width="23.85546875" style="1863" customWidth="1"/>
    <col min="1796" max="1796" width="1.7109375" style="1863" customWidth="1"/>
    <col min="1797" max="1797" width="24.5703125" style="1863" customWidth="1"/>
    <col min="1798" max="1798" width="1.7109375" style="1863" customWidth="1"/>
    <col min="1799" max="1799" width="19.140625" style="1863" bestFit="1" customWidth="1"/>
    <col min="1800" max="1800" width="1.7109375" style="1863" customWidth="1"/>
    <col min="1801" max="1801" width="36.140625" style="1863" customWidth="1"/>
    <col min="1802" max="1802" width="3.140625" style="1863" customWidth="1"/>
    <col min="1803" max="2048" width="9.140625" style="1863"/>
    <col min="2049" max="2049" width="36.85546875" style="1863" customWidth="1"/>
    <col min="2050" max="2050" width="1.7109375" style="1863" customWidth="1"/>
    <col min="2051" max="2051" width="23.85546875" style="1863" customWidth="1"/>
    <col min="2052" max="2052" width="1.7109375" style="1863" customWidth="1"/>
    <col min="2053" max="2053" width="24.5703125" style="1863" customWidth="1"/>
    <col min="2054" max="2054" width="1.7109375" style="1863" customWidth="1"/>
    <col min="2055" max="2055" width="19.140625" style="1863" bestFit="1" customWidth="1"/>
    <col min="2056" max="2056" width="1.7109375" style="1863" customWidth="1"/>
    <col min="2057" max="2057" width="36.140625" style="1863" customWidth="1"/>
    <col min="2058" max="2058" width="3.140625" style="1863" customWidth="1"/>
    <col min="2059" max="2304" width="9.140625" style="1863"/>
    <col min="2305" max="2305" width="36.85546875" style="1863" customWidth="1"/>
    <col min="2306" max="2306" width="1.7109375" style="1863" customWidth="1"/>
    <col min="2307" max="2307" width="23.85546875" style="1863" customWidth="1"/>
    <col min="2308" max="2308" width="1.7109375" style="1863" customWidth="1"/>
    <col min="2309" max="2309" width="24.5703125" style="1863" customWidth="1"/>
    <col min="2310" max="2310" width="1.7109375" style="1863" customWidth="1"/>
    <col min="2311" max="2311" width="19.140625" style="1863" bestFit="1" customWidth="1"/>
    <col min="2312" max="2312" width="1.7109375" style="1863" customWidth="1"/>
    <col min="2313" max="2313" width="36.140625" style="1863" customWidth="1"/>
    <col min="2314" max="2314" width="3.140625" style="1863" customWidth="1"/>
    <col min="2315" max="2560" width="9.140625" style="1863"/>
    <col min="2561" max="2561" width="36.85546875" style="1863" customWidth="1"/>
    <col min="2562" max="2562" width="1.7109375" style="1863" customWidth="1"/>
    <col min="2563" max="2563" width="23.85546875" style="1863" customWidth="1"/>
    <col min="2564" max="2564" width="1.7109375" style="1863" customWidth="1"/>
    <col min="2565" max="2565" width="24.5703125" style="1863" customWidth="1"/>
    <col min="2566" max="2566" width="1.7109375" style="1863" customWidth="1"/>
    <col min="2567" max="2567" width="19.140625" style="1863" bestFit="1" customWidth="1"/>
    <col min="2568" max="2568" width="1.7109375" style="1863" customWidth="1"/>
    <col min="2569" max="2569" width="36.140625" style="1863" customWidth="1"/>
    <col min="2570" max="2570" width="3.140625" style="1863" customWidth="1"/>
    <col min="2571" max="2816" width="9.140625" style="1863"/>
    <col min="2817" max="2817" width="36.85546875" style="1863" customWidth="1"/>
    <col min="2818" max="2818" width="1.7109375" style="1863" customWidth="1"/>
    <col min="2819" max="2819" width="23.85546875" style="1863" customWidth="1"/>
    <col min="2820" max="2820" width="1.7109375" style="1863" customWidth="1"/>
    <col min="2821" max="2821" width="24.5703125" style="1863" customWidth="1"/>
    <col min="2822" max="2822" width="1.7109375" style="1863" customWidth="1"/>
    <col min="2823" max="2823" width="19.140625" style="1863" bestFit="1" customWidth="1"/>
    <col min="2824" max="2824" width="1.7109375" style="1863" customWidth="1"/>
    <col min="2825" max="2825" width="36.140625" style="1863" customWidth="1"/>
    <col min="2826" max="2826" width="3.140625" style="1863" customWidth="1"/>
    <col min="2827" max="3072" width="9.140625" style="1863"/>
    <col min="3073" max="3073" width="36.85546875" style="1863" customWidth="1"/>
    <col min="3074" max="3074" width="1.7109375" style="1863" customWidth="1"/>
    <col min="3075" max="3075" width="23.85546875" style="1863" customWidth="1"/>
    <col min="3076" max="3076" width="1.7109375" style="1863" customWidth="1"/>
    <col min="3077" max="3077" width="24.5703125" style="1863" customWidth="1"/>
    <col min="3078" max="3078" width="1.7109375" style="1863" customWidth="1"/>
    <col min="3079" max="3079" width="19.140625" style="1863" bestFit="1" customWidth="1"/>
    <col min="3080" max="3080" width="1.7109375" style="1863" customWidth="1"/>
    <col min="3081" max="3081" width="36.140625" style="1863" customWidth="1"/>
    <col min="3082" max="3082" width="3.140625" style="1863" customWidth="1"/>
    <col min="3083" max="3328" width="9.140625" style="1863"/>
    <col min="3329" max="3329" width="36.85546875" style="1863" customWidth="1"/>
    <col min="3330" max="3330" width="1.7109375" style="1863" customWidth="1"/>
    <col min="3331" max="3331" width="23.85546875" style="1863" customWidth="1"/>
    <col min="3332" max="3332" width="1.7109375" style="1863" customWidth="1"/>
    <col min="3333" max="3333" width="24.5703125" style="1863" customWidth="1"/>
    <col min="3334" max="3334" width="1.7109375" style="1863" customWidth="1"/>
    <col min="3335" max="3335" width="19.140625" style="1863" bestFit="1" customWidth="1"/>
    <col min="3336" max="3336" width="1.7109375" style="1863" customWidth="1"/>
    <col min="3337" max="3337" width="36.140625" style="1863" customWidth="1"/>
    <col min="3338" max="3338" width="3.140625" style="1863" customWidth="1"/>
    <col min="3339" max="3584" width="9.140625" style="1863"/>
    <col min="3585" max="3585" width="36.85546875" style="1863" customWidth="1"/>
    <col min="3586" max="3586" width="1.7109375" style="1863" customWidth="1"/>
    <col min="3587" max="3587" width="23.85546875" style="1863" customWidth="1"/>
    <col min="3588" max="3588" width="1.7109375" style="1863" customWidth="1"/>
    <col min="3589" max="3589" width="24.5703125" style="1863" customWidth="1"/>
    <col min="3590" max="3590" width="1.7109375" style="1863" customWidth="1"/>
    <col min="3591" max="3591" width="19.140625" style="1863" bestFit="1" customWidth="1"/>
    <col min="3592" max="3592" width="1.7109375" style="1863" customWidth="1"/>
    <col min="3593" max="3593" width="36.140625" style="1863" customWidth="1"/>
    <col min="3594" max="3594" width="3.140625" style="1863" customWidth="1"/>
    <col min="3595" max="3840" width="9.140625" style="1863"/>
    <col min="3841" max="3841" width="36.85546875" style="1863" customWidth="1"/>
    <col min="3842" max="3842" width="1.7109375" style="1863" customWidth="1"/>
    <col min="3843" max="3843" width="23.85546875" style="1863" customWidth="1"/>
    <col min="3844" max="3844" width="1.7109375" style="1863" customWidth="1"/>
    <col min="3845" max="3845" width="24.5703125" style="1863" customWidth="1"/>
    <col min="3846" max="3846" width="1.7109375" style="1863" customWidth="1"/>
    <col min="3847" max="3847" width="19.140625" style="1863" bestFit="1" customWidth="1"/>
    <col min="3848" max="3848" width="1.7109375" style="1863" customWidth="1"/>
    <col min="3849" max="3849" width="36.140625" style="1863" customWidth="1"/>
    <col min="3850" max="3850" width="3.140625" style="1863" customWidth="1"/>
    <col min="3851" max="4096" width="9.140625" style="1863"/>
    <col min="4097" max="4097" width="36.85546875" style="1863" customWidth="1"/>
    <col min="4098" max="4098" width="1.7109375" style="1863" customWidth="1"/>
    <col min="4099" max="4099" width="23.85546875" style="1863" customWidth="1"/>
    <col min="4100" max="4100" width="1.7109375" style="1863" customWidth="1"/>
    <col min="4101" max="4101" width="24.5703125" style="1863" customWidth="1"/>
    <col min="4102" max="4102" width="1.7109375" style="1863" customWidth="1"/>
    <col min="4103" max="4103" width="19.140625" style="1863" bestFit="1" customWidth="1"/>
    <col min="4104" max="4104" width="1.7109375" style="1863" customWidth="1"/>
    <col min="4105" max="4105" width="36.140625" style="1863" customWidth="1"/>
    <col min="4106" max="4106" width="3.140625" style="1863" customWidth="1"/>
    <col min="4107" max="4352" width="9.140625" style="1863"/>
    <col min="4353" max="4353" width="36.85546875" style="1863" customWidth="1"/>
    <col min="4354" max="4354" width="1.7109375" style="1863" customWidth="1"/>
    <col min="4355" max="4355" width="23.85546875" style="1863" customWidth="1"/>
    <col min="4356" max="4356" width="1.7109375" style="1863" customWidth="1"/>
    <col min="4357" max="4357" width="24.5703125" style="1863" customWidth="1"/>
    <col min="4358" max="4358" width="1.7109375" style="1863" customWidth="1"/>
    <col min="4359" max="4359" width="19.140625" style="1863" bestFit="1" customWidth="1"/>
    <col min="4360" max="4360" width="1.7109375" style="1863" customWidth="1"/>
    <col min="4361" max="4361" width="36.140625" style="1863" customWidth="1"/>
    <col min="4362" max="4362" width="3.140625" style="1863" customWidth="1"/>
    <col min="4363" max="4608" width="9.140625" style="1863"/>
    <col min="4609" max="4609" width="36.85546875" style="1863" customWidth="1"/>
    <col min="4610" max="4610" width="1.7109375" style="1863" customWidth="1"/>
    <col min="4611" max="4611" width="23.85546875" style="1863" customWidth="1"/>
    <col min="4612" max="4612" width="1.7109375" style="1863" customWidth="1"/>
    <col min="4613" max="4613" width="24.5703125" style="1863" customWidth="1"/>
    <col min="4614" max="4614" width="1.7109375" style="1863" customWidth="1"/>
    <col min="4615" max="4615" width="19.140625" style="1863" bestFit="1" customWidth="1"/>
    <col min="4616" max="4616" width="1.7109375" style="1863" customWidth="1"/>
    <col min="4617" max="4617" width="36.140625" style="1863" customWidth="1"/>
    <col min="4618" max="4618" width="3.140625" style="1863" customWidth="1"/>
    <col min="4619" max="4864" width="9.140625" style="1863"/>
    <col min="4865" max="4865" width="36.85546875" style="1863" customWidth="1"/>
    <col min="4866" max="4866" width="1.7109375" style="1863" customWidth="1"/>
    <col min="4867" max="4867" width="23.85546875" style="1863" customWidth="1"/>
    <col min="4868" max="4868" width="1.7109375" style="1863" customWidth="1"/>
    <col min="4869" max="4869" width="24.5703125" style="1863" customWidth="1"/>
    <col min="4870" max="4870" width="1.7109375" style="1863" customWidth="1"/>
    <col min="4871" max="4871" width="19.140625" style="1863" bestFit="1" customWidth="1"/>
    <col min="4872" max="4872" width="1.7109375" style="1863" customWidth="1"/>
    <col min="4873" max="4873" width="36.140625" style="1863" customWidth="1"/>
    <col min="4874" max="4874" width="3.140625" style="1863" customWidth="1"/>
    <col min="4875" max="5120" width="9.140625" style="1863"/>
    <col min="5121" max="5121" width="36.85546875" style="1863" customWidth="1"/>
    <col min="5122" max="5122" width="1.7109375" style="1863" customWidth="1"/>
    <col min="5123" max="5123" width="23.85546875" style="1863" customWidth="1"/>
    <col min="5124" max="5124" width="1.7109375" style="1863" customWidth="1"/>
    <col min="5125" max="5125" width="24.5703125" style="1863" customWidth="1"/>
    <col min="5126" max="5126" width="1.7109375" style="1863" customWidth="1"/>
    <col min="5127" max="5127" width="19.140625" style="1863" bestFit="1" customWidth="1"/>
    <col min="5128" max="5128" width="1.7109375" style="1863" customWidth="1"/>
    <col min="5129" max="5129" width="36.140625" style="1863" customWidth="1"/>
    <col min="5130" max="5130" width="3.140625" style="1863" customWidth="1"/>
    <col min="5131" max="5376" width="9.140625" style="1863"/>
    <col min="5377" max="5377" width="36.85546875" style="1863" customWidth="1"/>
    <col min="5378" max="5378" width="1.7109375" style="1863" customWidth="1"/>
    <col min="5379" max="5379" width="23.85546875" style="1863" customWidth="1"/>
    <col min="5380" max="5380" width="1.7109375" style="1863" customWidth="1"/>
    <col min="5381" max="5381" width="24.5703125" style="1863" customWidth="1"/>
    <col min="5382" max="5382" width="1.7109375" style="1863" customWidth="1"/>
    <col min="5383" max="5383" width="19.140625" style="1863" bestFit="1" customWidth="1"/>
    <col min="5384" max="5384" width="1.7109375" style="1863" customWidth="1"/>
    <col min="5385" max="5385" width="36.140625" style="1863" customWidth="1"/>
    <col min="5386" max="5386" width="3.140625" style="1863" customWidth="1"/>
    <col min="5387" max="5632" width="9.140625" style="1863"/>
    <col min="5633" max="5633" width="36.85546875" style="1863" customWidth="1"/>
    <col min="5634" max="5634" width="1.7109375" style="1863" customWidth="1"/>
    <col min="5635" max="5635" width="23.85546875" style="1863" customWidth="1"/>
    <col min="5636" max="5636" width="1.7109375" style="1863" customWidth="1"/>
    <col min="5637" max="5637" width="24.5703125" style="1863" customWidth="1"/>
    <col min="5638" max="5638" width="1.7109375" style="1863" customWidth="1"/>
    <col min="5639" max="5639" width="19.140625" style="1863" bestFit="1" customWidth="1"/>
    <col min="5640" max="5640" width="1.7109375" style="1863" customWidth="1"/>
    <col min="5641" max="5641" width="36.140625" style="1863" customWidth="1"/>
    <col min="5642" max="5642" width="3.140625" style="1863" customWidth="1"/>
    <col min="5643" max="5888" width="9.140625" style="1863"/>
    <col min="5889" max="5889" width="36.85546875" style="1863" customWidth="1"/>
    <col min="5890" max="5890" width="1.7109375" style="1863" customWidth="1"/>
    <col min="5891" max="5891" width="23.85546875" style="1863" customWidth="1"/>
    <col min="5892" max="5892" width="1.7109375" style="1863" customWidth="1"/>
    <col min="5893" max="5893" width="24.5703125" style="1863" customWidth="1"/>
    <col min="5894" max="5894" width="1.7109375" style="1863" customWidth="1"/>
    <col min="5895" max="5895" width="19.140625" style="1863" bestFit="1" customWidth="1"/>
    <col min="5896" max="5896" width="1.7109375" style="1863" customWidth="1"/>
    <col min="5897" max="5897" width="36.140625" style="1863" customWidth="1"/>
    <col min="5898" max="5898" width="3.140625" style="1863" customWidth="1"/>
    <col min="5899" max="6144" width="9.140625" style="1863"/>
    <col min="6145" max="6145" width="36.85546875" style="1863" customWidth="1"/>
    <col min="6146" max="6146" width="1.7109375" style="1863" customWidth="1"/>
    <col min="6147" max="6147" width="23.85546875" style="1863" customWidth="1"/>
    <col min="6148" max="6148" width="1.7109375" style="1863" customWidth="1"/>
    <col min="6149" max="6149" width="24.5703125" style="1863" customWidth="1"/>
    <col min="6150" max="6150" width="1.7109375" style="1863" customWidth="1"/>
    <col min="6151" max="6151" width="19.140625" style="1863" bestFit="1" customWidth="1"/>
    <col min="6152" max="6152" width="1.7109375" style="1863" customWidth="1"/>
    <col min="6153" max="6153" width="36.140625" style="1863" customWidth="1"/>
    <col min="6154" max="6154" width="3.140625" style="1863" customWidth="1"/>
    <col min="6155" max="6400" width="9.140625" style="1863"/>
    <col min="6401" max="6401" width="36.85546875" style="1863" customWidth="1"/>
    <col min="6402" max="6402" width="1.7109375" style="1863" customWidth="1"/>
    <col min="6403" max="6403" width="23.85546875" style="1863" customWidth="1"/>
    <col min="6404" max="6404" width="1.7109375" style="1863" customWidth="1"/>
    <col min="6405" max="6405" width="24.5703125" style="1863" customWidth="1"/>
    <col min="6406" max="6406" width="1.7109375" style="1863" customWidth="1"/>
    <col min="6407" max="6407" width="19.140625" style="1863" bestFit="1" customWidth="1"/>
    <col min="6408" max="6408" width="1.7109375" style="1863" customWidth="1"/>
    <col min="6409" max="6409" width="36.140625" style="1863" customWidth="1"/>
    <col min="6410" max="6410" width="3.140625" style="1863" customWidth="1"/>
    <col min="6411" max="6656" width="9.140625" style="1863"/>
    <col min="6657" max="6657" width="36.85546875" style="1863" customWidth="1"/>
    <col min="6658" max="6658" width="1.7109375" style="1863" customWidth="1"/>
    <col min="6659" max="6659" width="23.85546875" style="1863" customWidth="1"/>
    <col min="6660" max="6660" width="1.7109375" style="1863" customWidth="1"/>
    <col min="6661" max="6661" width="24.5703125" style="1863" customWidth="1"/>
    <col min="6662" max="6662" width="1.7109375" style="1863" customWidth="1"/>
    <col min="6663" max="6663" width="19.140625" style="1863" bestFit="1" customWidth="1"/>
    <col min="6664" max="6664" width="1.7109375" style="1863" customWidth="1"/>
    <col min="6665" max="6665" width="36.140625" style="1863" customWidth="1"/>
    <col min="6666" max="6666" width="3.140625" style="1863" customWidth="1"/>
    <col min="6667" max="6912" width="9.140625" style="1863"/>
    <col min="6913" max="6913" width="36.85546875" style="1863" customWidth="1"/>
    <col min="6914" max="6914" width="1.7109375" style="1863" customWidth="1"/>
    <col min="6915" max="6915" width="23.85546875" style="1863" customWidth="1"/>
    <col min="6916" max="6916" width="1.7109375" style="1863" customWidth="1"/>
    <col min="6917" max="6917" width="24.5703125" style="1863" customWidth="1"/>
    <col min="6918" max="6918" width="1.7109375" style="1863" customWidth="1"/>
    <col min="6919" max="6919" width="19.140625" style="1863" bestFit="1" customWidth="1"/>
    <col min="6920" max="6920" width="1.7109375" style="1863" customWidth="1"/>
    <col min="6921" max="6921" width="36.140625" style="1863" customWidth="1"/>
    <col min="6922" max="6922" width="3.140625" style="1863" customWidth="1"/>
    <col min="6923" max="7168" width="9.140625" style="1863"/>
    <col min="7169" max="7169" width="36.85546875" style="1863" customWidth="1"/>
    <col min="7170" max="7170" width="1.7109375" style="1863" customWidth="1"/>
    <col min="7171" max="7171" width="23.85546875" style="1863" customWidth="1"/>
    <col min="7172" max="7172" width="1.7109375" style="1863" customWidth="1"/>
    <col min="7173" max="7173" width="24.5703125" style="1863" customWidth="1"/>
    <col min="7174" max="7174" width="1.7109375" style="1863" customWidth="1"/>
    <col min="7175" max="7175" width="19.140625" style="1863" bestFit="1" customWidth="1"/>
    <col min="7176" max="7176" width="1.7109375" style="1863" customWidth="1"/>
    <col min="7177" max="7177" width="36.140625" style="1863" customWidth="1"/>
    <col min="7178" max="7178" width="3.140625" style="1863" customWidth="1"/>
    <col min="7179" max="7424" width="9.140625" style="1863"/>
    <col min="7425" max="7425" width="36.85546875" style="1863" customWidth="1"/>
    <col min="7426" max="7426" width="1.7109375" style="1863" customWidth="1"/>
    <col min="7427" max="7427" width="23.85546875" style="1863" customWidth="1"/>
    <col min="7428" max="7428" width="1.7109375" style="1863" customWidth="1"/>
    <col min="7429" max="7429" width="24.5703125" style="1863" customWidth="1"/>
    <col min="7430" max="7430" width="1.7109375" style="1863" customWidth="1"/>
    <col min="7431" max="7431" width="19.140625" style="1863" bestFit="1" customWidth="1"/>
    <col min="7432" max="7432" width="1.7109375" style="1863" customWidth="1"/>
    <col min="7433" max="7433" width="36.140625" style="1863" customWidth="1"/>
    <col min="7434" max="7434" width="3.140625" style="1863" customWidth="1"/>
    <col min="7435" max="7680" width="9.140625" style="1863"/>
    <col min="7681" max="7681" width="36.85546875" style="1863" customWidth="1"/>
    <col min="7682" max="7682" width="1.7109375" style="1863" customWidth="1"/>
    <col min="7683" max="7683" width="23.85546875" style="1863" customWidth="1"/>
    <col min="7684" max="7684" width="1.7109375" style="1863" customWidth="1"/>
    <col min="7685" max="7685" width="24.5703125" style="1863" customWidth="1"/>
    <col min="7686" max="7686" width="1.7109375" style="1863" customWidth="1"/>
    <col min="7687" max="7687" width="19.140625" style="1863" bestFit="1" customWidth="1"/>
    <col min="7688" max="7688" width="1.7109375" style="1863" customWidth="1"/>
    <col min="7689" max="7689" width="36.140625" style="1863" customWidth="1"/>
    <col min="7690" max="7690" width="3.140625" style="1863" customWidth="1"/>
    <col min="7691" max="7936" width="9.140625" style="1863"/>
    <col min="7937" max="7937" width="36.85546875" style="1863" customWidth="1"/>
    <col min="7938" max="7938" width="1.7109375" style="1863" customWidth="1"/>
    <col min="7939" max="7939" width="23.85546875" style="1863" customWidth="1"/>
    <col min="7940" max="7940" width="1.7109375" style="1863" customWidth="1"/>
    <col min="7941" max="7941" width="24.5703125" style="1863" customWidth="1"/>
    <col min="7942" max="7942" width="1.7109375" style="1863" customWidth="1"/>
    <col min="7943" max="7943" width="19.140625" style="1863" bestFit="1" customWidth="1"/>
    <col min="7944" max="7944" width="1.7109375" style="1863" customWidth="1"/>
    <col min="7945" max="7945" width="36.140625" style="1863" customWidth="1"/>
    <col min="7946" max="7946" width="3.140625" style="1863" customWidth="1"/>
    <col min="7947" max="8192" width="9.140625" style="1863"/>
    <col min="8193" max="8193" width="36.85546875" style="1863" customWidth="1"/>
    <col min="8194" max="8194" width="1.7109375" style="1863" customWidth="1"/>
    <col min="8195" max="8195" width="23.85546875" style="1863" customWidth="1"/>
    <col min="8196" max="8196" width="1.7109375" style="1863" customWidth="1"/>
    <col min="8197" max="8197" width="24.5703125" style="1863" customWidth="1"/>
    <col min="8198" max="8198" width="1.7109375" style="1863" customWidth="1"/>
    <col min="8199" max="8199" width="19.140625" style="1863" bestFit="1" customWidth="1"/>
    <col min="8200" max="8200" width="1.7109375" style="1863" customWidth="1"/>
    <col min="8201" max="8201" width="36.140625" style="1863" customWidth="1"/>
    <col min="8202" max="8202" width="3.140625" style="1863" customWidth="1"/>
    <col min="8203" max="8448" width="9.140625" style="1863"/>
    <col min="8449" max="8449" width="36.85546875" style="1863" customWidth="1"/>
    <col min="8450" max="8450" width="1.7109375" style="1863" customWidth="1"/>
    <col min="8451" max="8451" width="23.85546875" style="1863" customWidth="1"/>
    <col min="8452" max="8452" width="1.7109375" style="1863" customWidth="1"/>
    <col min="8453" max="8453" width="24.5703125" style="1863" customWidth="1"/>
    <col min="8454" max="8454" width="1.7109375" style="1863" customWidth="1"/>
    <col min="8455" max="8455" width="19.140625" style="1863" bestFit="1" customWidth="1"/>
    <col min="8456" max="8456" width="1.7109375" style="1863" customWidth="1"/>
    <col min="8457" max="8457" width="36.140625" style="1863" customWidth="1"/>
    <col min="8458" max="8458" width="3.140625" style="1863" customWidth="1"/>
    <col min="8459" max="8704" width="9.140625" style="1863"/>
    <col min="8705" max="8705" width="36.85546875" style="1863" customWidth="1"/>
    <col min="8706" max="8706" width="1.7109375" style="1863" customWidth="1"/>
    <col min="8707" max="8707" width="23.85546875" style="1863" customWidth="1"/>
    <col min="8708" max="8708" width="1.7109375" style="1863" customWidth="1"/>
    <col min="8709" max="8709" width="24.5703125" style="1863" customWidth="1"/>
    <col min="8710" max="8710" width="1.7109375" style="1863" customWidth="1"/>
    <col min="8711" max="8711" width="19.140625" style="1863" bestFit="1" customWidth="1"/>
    <col min="8712" max="8712" width="1.7109375" style="1863" customWidth="1"/>
    <col min="8713" max="8713" width="36.140625" style="1863" customWidth="1"/>
    <col min="8714" max="8714" width="3.140625" style="1863" customWidth="1"/>
    <col min="8715" max="8960" width="9.140625" style="1863"/>
    <col min="8961" max="8961" width="36.85546875" style="1863" customWidth="1"/>
    <col min="8962" max="8962" width="1.7109375" style="1863" customWidth="1"/>
    <col min="8963" max="8963" width="23.85546875" style="1863" customWidth="1"/>
    <col min="8964" max="8964" width="1.7109375" style="1863" customWidth="1"/>
    <col min="8965" max="8965" width="24.5703125" style="1863" customWidth="1"/>
    <col min="8966" max="8966" width="1.7109375" style="1863" customWidth="1"/>
    <col min="8967" max="8967" width="19.140625" style="1863" bestFit="1" customWidth="1"/>
    <col min="8968" max="8968" width="1.7109375" style="1863" customWidth="1"/>
    <col min="8969" max="8969" width="36.140625" style="1863" customWidth="1"/>
    <col min="8970" max="8970" width="3.140625" style="1863" customWidth="1"/>
    <col min="8971" max="9216" width="9.140625" style="1863"/>
    <col min="9217" max="9217" width="36.85546875" style="1863" customWidth="1"/>
    <col min="9218" max="9218" width="1.7109375" style="1863" customWidth="1"/>
    <col min="9219" max="9219" width="23.85546875" style="1863" customWidth="1"/>
    <col min="9220" max="9220" width="1.7109375" style="1863" customWidth="1"/>
    <col min="9221" max="9221" width="24.5703125" style="1863" customWidth="1"/>
    <col min="9222" max="9222" width="1.7109375" style="1863" customWidth="1"/>
    <col min="9223" max="9223" width="19.140625" style="1863" bestFit="1" customWidth="1"/>
    <col min="9224" max="9224" width="1.7109375" style="1863" customWidth="1"/>
    <col min="9225" max="9225" width="36.140625" style="1863" customWidth="1"/>
    <col min="9226" max="9226" width="3.140625" style="1863" customWidth="1"/>
    <col min="9227" max="9472" width="9.140625" style="1863"/>
    <col min="9473" max="9473" width="36.85546875" style="1863" customWidth="1"/>
    <col min="9474" max="9474" width="1.7109375" style="1863" customWidth="1"/>
    <col min="9475" max="9475" width="23.85546875" style="1863" customWidth="1"/>
    <col min="9476" max="9476" width="1.7109375" style="1863" customWidth="1"/>
    <col min="9477" max="9477" width="24.5703125" style="1863" customWidth="1"/>
    <col min="9478" max="9478" width="1.7109375" style="1863" customWidth="1"/>
    <col min="9479" max="9479" width="19.140625" style="1863" bestFit="1" customWidth="1"/>
    <col min="9480" max="9480" width="1.7109375" style="1863" customWidth="1"/>
    <col min="9481" max="9481" width="36.140625" style="1863" customWidth="1"/>
    <col min="9482" max="9482" width="3.140625" style="1863" customWidth="1"/>
    <col min="9483" max="9728" width="9.140625" style="1863"/>
    <col min="9729" max="9729" width="36.85546875" style="1863" customWidth="1"/>
    <col min="9730" max="9730" width="1.7109375" style="1863" customWidth="1"/>
    <col min="9731" max="9731" width="23.85546875" style="1863" customWidth="1"/>
    <col min="9732" max="9732" width="1.7109375" style="1863" customWidth="1"/>
    <col min="9733" max="9733" width="24.5703125" style="1863" customWidth="1"/>
    <col min="9734" max="9734" width="1.7109375" style="1863" customWidth="1"/>
    <col min="9735" max="9735" width="19.140625" style="1863" bestFit="1" customWidth="1"/>
    <col min="9736" max="9736" width="1.7109375" style="1863" customWidth="1"/>
    <col min="9737" max="9737" width="36.140625" style="1863" customWidth="1"/>
    <col min="9738" max="9738" width="3.140625" style="1863" customWidth="1"/>
    <col min="9739" max="9984" width="9.140625" style="1863"/>
    <col min="9985" max="9985" width="36.85546875" style="1863" customWidth="1"/>
    <col min="9986" max="9986" width="1.7109375" style="1863" customWidth="1"/>
    <col min="9987" max="9987" width="23.85546875" style="1863" customWidth="1"/>
    <col min="9988" max="9988" width="1.7109375" style="1863" customWidth="1"/>
    <col min="9989" max="9989" width="24.5703125" style="1863" customWidth="1"/>
    <col min="9990" max="9990" width="1.7109375" style="1863" customWidth="1"/>
    <col min="9991" max="9991" width="19.140625" style="1863" bestFit="1" customWidth="1"/>
    <col min="9992" max="9992" width="1.7109375" style="1863" customWidth="1"/>
    <col min="9993" max="9993" width="36.140625" style="1863" customWidth="1"/>
    <col min="9994" max="9994" width="3.140625" style="1863" customWidth="1"/>
    <col min="9995" max="10240" width="9.140625" style="1863"/>
    <col min="10241" max="10241" width="36.85546875" style="1863" customWidth="1"/>
    <col min="10242" max="10242" width="1.7109375" style="1863" customWidth="1"/>
    <col min="10243" max="10243" width="23.85546875" style="1863" customWidth="1"/>
    <col min="10244" max="10244" width="1.7109375" style="1863" customWidth="1"/>
    <col min="10245" max="10245" width="24.5703125" style="1863" customWidth="1"/>
    <col min="10246" max="10246" width="1.7109375" style="1863" customWidth="1"/>
    <col min="10247" max="10247" width="19.140625" style="1863" bestFit="1" customWidth="1"/>
    <col min="10248" max="10248" width="1.7109375" style="1863" customWidth="1"/>
    <col min="10249" max="10249" width="36.140625" style="1863" customWidth="1"/>
    <col min="10250" max="10250" width="3.140625" style="1863" customWidth="1"/>
    <col min="10251" max="10496" width="9.140625" style="1863"/>
    <col min="10497" max="10497" width="36.85546875" style="1863" customWidth="1"/>
    <col min="10498" max="10498" width="1.7109375" style="1863" customWidth="1"/>
    <col min="10499" max="10499" width="23.85546875" style="1863" customWidth="1"/>
    <col min="10500" max="10500" width="1.7109375" style="1863" customWidth="1"/>
    <col min="10501" max="10501" width="24.5703125" style="1863" customWidth="1"/>
    <col min="10502" max="10502" width="1.7109375" style="1863" customWidth="1"/>
    <col min="10503" max="10503" width="19.140625" style="1863" bestFit="1" customWidth="1"/>
    <col min="10504" max="10504" width="1.7109375" style="1863" customWidth="1"/>
    <col min="10505" max="10505" width="36.140625" style="1863" customWidth="1"/>
    <col min="10506" max="10506" width="3.140625" style="1863" customWidth="1"/>
    <col min="10507" max="10752" width="9.140625" style="1863"/>
    <col min="10753" max="10753" width="36.85546875" style="1863" customWidth="1"/>
    <col min="10754" max="10754" width="1.7109375" style="1863" customWidth="1"/>
    <col min="10755" max="10755" width="23.85546875" style="1863" customWidth="1"/>
    <col min="10756" max="10756" width="1.7109375" style="1863" customWidth="1"/>
    <col min="10757" max="10757" width="24.5703125" style="1863" customWidth="1"/>
    <col min="10758" max="10758" width="1.7109375" style="1863" customWidth="1"/>
    <col min="10759" max="10759" width="19.140625" style="1863" bestFit="1" customWidth="1"/>
    <col min="10760" max="10760" width="1.7109375" style="1863" customWidth="1"/>
    <col min="10761" max="10761" width="36.140625" style="1863" customWidth="1"/>
    <col min="10762" max="10762" width="3.140625" style="1863" customWidth="1"/>
    <col min="10763" max="11008" width="9.140625" style="1863"/>
    <col min="11009" max="11009" width="36.85546875" style="1863" customWidth="1"/>
    <col min="11010" max="11010" width="1.7109375" style="1863" customWidth="1"/>
    <col min="11011" max="11011" width="23.85546875" style="1863" customWidth="1"/>
    <col min="11012" max="11012" width="1.7109375" style="1863" customWidth="1"/>
    <col min="11013" max="11013" width="24.5703125" style="1863" customWidth="1"/>
    <col min="11014" max="11014" width="1.7109375" style="1863" customWidth="1"/>
    <col min="11015" max="11015" width="19.140625" style="1863" bestFit="1" customWidth="1"/>
    <col min="11016" max="11016" width="1.7109375" style="1863" customWidth="1"/>
    <col min="11017" max="11017" width="36.140625" style="1863" customWidth="1"/>
    <col min="11018" max="11018" width="3.140625" style="1863" customWidth="1"/>
    <col min="11019" max="11264" width="9.140625" style="1863"/>
    <col min="11265" max="11265" width="36.85546875" style="1863" customWidth="1"/>
    <col min="11266" max="11266" width="1.7109375" style="1863" customWidth="1"/>
    <col min="11267" max="11267" width="23.85546875" style="1863" customWidth="1"/>
    <col min="11268" max="11268" width="1.7109375" style="1863" customWidth="1"/>
    <col min="11269" max="11269" width="24.5703125" style="1863" customWidth="1"/>
    <col min="11270" max="11270" width="1.7109375" style="1863" customWidth="1"/>
    <col min="11271" max="11271" width="19.140625" style="1863" bestFit="1" customWidth="1"/>
    <col min="11272" max="11272" width="1.7109375" style="1863" customWidth="1"/>
    <col min="11273" max="11273" width="36.140625" style="1863" customWidth="1"/>
    <col min="11274" max="11274" width="3.140625" style="1863" customWidth="1"/>
    <col min="11275" max="11520" width="9.140625" style="1863"/>
    <col min="11521" max="11521" width="36.85546875" style="1863" customWidth="1"/>
    <col min="11522" max="11522" width="1.7109375" style="1863" customWidth="1"/>
    <col min="11523" max="11523" width="23.85546875" style="1863" customWidth="1"/>
    <col min="11524" max="11524" width="1.7109375" style="1863" customWidth="1"/>
    <col min="11525" max="11525" width="24.5703125" style="1863" customWidth="1"/>
    <col min="11526" max="11526" width="1.7109375" style="1863" customWidth="1"/>
    <col min="11527" max="11527" width="19.140625" style="1863" bestFit="1" customWidth="1"/>
    <col min="11528" max="11528" width="1.7109375" style="1863" customWidth="1"/>
    <col min="11529" max="11529" width="36.140625" style="1863" customWidth="1"/>
    <col min="11530" max="11530" width="3.140625" style="1863" customWidth="1"/>
    <col min="11531" max="11776" width="9.140625" style="1863"/>
    <col min="11777" max="11777" width="36.85546875" style="1863" customWidth="1"/>
    <col min="11778" max="11778" width="1.7109375" style="1863" customWidth="1"/>
    <col min="11779" max="11779" width="23.85546875" style="1863" customWidth="1"/>
    <col min="11780" max="11780" width="1.7109375" style="1863" customWidth="1"/>
    <col min="11781" max="11781" width="24.5703125" style="1863" customWidth="1"/>
    <col min="11782" max="11782" width="1.7109375" style="1863" customWidth="1"/>
    <col min="11783" max="11783" width="19.140625" style="1863" bestFit="1" customWidth="1"/>
    <col min="11784" max="11784" width="1.7109375" style="1863" customWidth="1"/>
    <col min="11785" max="11785" width="36.140625" style="1863" customWidth="1"/>
    <col min="11786" max="11786" width="3.140625" style="1863" customWidth="1"/>
    <col min="11787" max="12032" width="9.140625" style="1863"/>
    <col min="12033" max="12033" width="36.85546875" style="1863" customWidth="1"/>
    <col min="12034" max="12034" width="1.7109375" style="1863" customWidth="1"/>
    <col min="12035" max="12035" width="23.85546875" style="1863" customWidth="1"/>
    <col min="12036" max="12036" width="1.7109375" style="1863" customWidth="1"/>
    <col min="12037" max="12037" width="24.5703125" style="1863" customWidth="1"/>
    <col min="12038" max="12038" width="1.7109375" style="1863" customWidth="1"/>
    <col min="12039" max="12039" width="19.140625" style="1863" bestFit="1" customWidth="1"/>
    <col min="12040" max="12040" width="1.7109375" style="1863" customWidth="1"/>
    <col min="12041" max="12041" width="36.140625" style="1863" customWidth="1"/>
    <col min="12042" max="12042" width="3.140625" style="1863" customWidth="1"/>
    <col min="12043" max="12288" width="9.140625" style="1863"/>
    <col min="12289" max="12289" width="36.85546875" style="1863" customWidth="1"/>
    <col min="12290" max="12290" width="1.7109375" style="1863" customWidth="1"/>
    <col min="12291" max="12291" width="23.85546875" style="1863" customWidth="1"/>
    <col min="12292" max="12292" width="1.7109375" style="1863" customWidth="1"/>
    <col min="12293" max="12293" width="24.5703125" style="1863" customWidth="1"/>
    <col min="12294" max="12294" width="1.7109375" style="1863" customWidth="1"/>
    <col min="12295" max="12295" width="19.140625" style="1863" bestFit="1" customWidth="1"/>
    <col min="12296" max="12296" width="1.7109375" style="1863" customWidth="1"/>
    <col min="12297" max="12297" width="36.140625" style="1863" customWidth="1"/>
    <col min="12298" max="12298" width="3.140625" style="1863" customWidth="1"/>
    <col min="12299" max="12544" width="9.140625" style="1863"/>
    <col min="12545" max="12545" width="36.85546875" style="1863" customWidth="1"/>
    <col min="12546" max="12546" width="1.7109375" style="1863" customWidth="1"/>
    <col min="12547" max="12547" width="23.85546875" style="1863" customWidth="1"/>
    <col min="12548" max="12548" width="1.7109375" style="1863" customWidth="1"/>
    <col min="12549" max="12549" width="24.5703125" style="1863" customWidth="1"/>
    <col min="12550" max="12550" width="1.7109375" style="1863" customWidth="1"/>
    <col min="12551" max="12551" width="19.140625" style="1863" bestFit="1" customWidth="1"/>
    <col min="12552" max="12552" width="1.7109375" style="1863" customWidth="1"/>
    <col min="12553" max="12553" width="36.140625" style="1863" customWidth="1"/>
    <col min="12554" max="12554" width="3.140625" style="1863" customWidth="1"/>
    <col min="12555" max="12800" width="9.140625" style="1863"/>
    <col min="12801" max="12801" width="36.85546875" style="1863" customWidth="1"/>
    <col min="12802" max="12802" width="1.7109375" style="1863" customWidth="1"/>
    <col min="12803" max="12803" width="23.85546875" style="1863" customWidth="1"/>
    <col min="12804" max="12804" width="1.7109375" style="1863" customWidth="1"/>
    <col min="12805" max="12805" width="24.5703125" style="1863" customWidth="1"/>
    <col min="12806" max="12806" width="1.7109375" style="1863" customWidth="1"/>
    <col min="12807" max="12807" width="19.140625" style="1863" bestFit="1" customWidth="1"/>
    <col min="12808" max="12808" width="1.7109375" style="1863" customWidth="1"/>
    <col min="12809" max="12809" width="36.140625" style="1863" customWidth="1"/>
    <col min="12810" max="12810" width="3.140625" style="1863" customWidth="1"/>
    <col min="12811" max="13056" width="9.140625" style="1863"/>
    <col min="13057" max="13057" width="36.85546875" style="1863" customWidth="1"/>
    <col min="13058" max="13058" width="1.7109375" style="1863" customWidth="1"/>
    <col min="13059" max="13059" width="23.85546875" style="1863" customWidth="1"/>
    <col min="13060" max="13060" width="1.7109375" style="1863" customWidth="1"/>
    <col min="13061" max="13061" width="24.5703125" style="1863" customWidth="1"/>
    <col min="13062" max="13062" width="1.7109375" style="1863" customWidth="1"/>
    <col min="13063" max="13063" width="19.140625" style="1863" bestFit="1" customWidth="1"/>
    <col min="13064" max="13064" width="1.7109375" style="1863" customWidth="1"/>
    <col min="13065" max="13065" width="36.140625" style="1863" customWidth="1"/>
    <col min="13066" max="13066" width="3.140625" style="1863" customWidth="1"/>
    <col min="13067" max="13312" width="9.140625" style="1863"/>
    <col min="13313" max="13313" width="36.85546875" style="1863" customWidth="1"/>
    <col min="13314" max="13314" width="1.7109375" style="1863" customWidth="1"/>
    <col min="13315" max="13315" width="23.85546875" style="1863" customWidth="1"/>
    <col min="13316" max="13316" width="1.7109375" style="1863" customWidth="1"/>
    <col min="13317" max="13317" width="24.5703125" style="1863" customWidth="1"/>
    <col min="13318" max="13318" width="1.7109375" style="1863" customWidth="1"/>
    <col min="13319" max="13319" width="19.140625" style="1863" bestFit="1" customWidth="1"/>
    <col min="13320" max="13320" width="1.7109375" style="1863" customWidth="1"/>
    <col min="13321" max="13321" width="36.140625" style="1863" customWidth="1"/>
    <col min="13322" max="13322" width="3.140625" style="1863" customWidth="1"/>
    <col min="13323" max="13568" width="9.140625" style="1863"/>
    <col min="13569" max="13569" width="36.85546875" style="1863" customWidth="1"/>
    <col min="13570" max="13570" width="1.7109375" style="1863" customWidth="1"/>
    <col min="13571" max="13571" width="23.85546875" style="1863" customWidth="1"/>
    <col min="13572" max="13572" width="1.7109375" style="1863" customWidth="1"/>
    <col min="13573" max="13573" width="24.5703125" style="1863" customWidth="1"/>
    <col min="13574" max="13574" width="1.7109375" style="1863" customWidth="1"/>
    <col min="13575" max="13575" width="19.140625" style="1863" bestFit="1" customWidth="1"/>
    <col min="13576" max="13576" width="1.7109375" style="1863" customWidth="1"/>
    <col min="13577" max="13577" width="36.140625" style="1863" customWidth="1"/>
    <col min="13578" max="13578" width="3.140625" style="1863" customWidth="1"/>
    <col min="13579" max="13824" width="9.140625" style="1863"/>
    <col min="13825" max="13825" width="36.85546875" style="1863" customWidth="1"/>
    <col min="13826" max="13826" width="1.7109375" style="1863" customWidth="1"/>
    <col min="13827" max="13827" width="23.85546875" style="1863" customWidth="1"/>
    <col min="13828" max="13828" width="1.7109375" style="1863" customWidth="1"/>
    <col min="13829" max="13829" width="24.5703125" style="1863" customWidth="1"/>
    <col min="13830" max="13830" width="1.7109375" style="1863" customWidth="1"/>
    <col min="13831" max="13831" width="19.140625" style="1863" bestFit="1" customWidth="1"/>
    <col min="13832" max="13832" width="1.7109375" style="1863" customWidth="1"/>
    <col min="13833" max="13833" width="36.140625" style="1863" customWidth="1"/>
    <col min="13834" max="13834" width="3.140625" style="1863" customWidth="1"/>
    <col min="13835" max="14080" width="9.140625" style="1863"/>
    <col min="14081" max="14081" width="36.85546875" style="1863" customWidth="1"/>
    <col min="14082" max="14082" width="1.7109375" style="1863" customWidth="1"/>
    <col min="14083" max="14083" width="23.85546875" style="1863" customWidth="1"/>
    <col min="14084" max="14084" width="1.7109375" style="1863" customWidth="1"/>
    <col min="14085" max="14085" width="24.5703125" style="1863" customWidth="1"/>
    <col min="14086" max="14086" width="1.7109375" style="1863" customWidth="1"/>
    <col min="14087" max="14087" width="19.140625" style="1863" bestFit="1" customWidth="1"/>
    <col min="14088" max="14088" width="1.7109375" style="1863" customWidth="1"/>
    <col min="14089" max="14089" width="36.140625" style="1863" customWidth="1"/>
    <col min="14090" max="14090" width="3.140625" style="1863" customWidth="1"/>
    <col min="14091" max="14336" width="9.140625" style="1863"/>
    <col min="14337" max="14337" width="36.85546875" style="1863" customWidth="1"/>
    <col min="14338" max="14338" width="1.7109375" style="1863" customWidth="1"/>
    <col min="14339" max="14339" width="23.85546875" style="1863" customWidth="1"/>
    <col min="14340" max="14340" width="1.7109375" style="1863" customWidth="1"/>
    <col min="14341" max="14341" width="24.5703125" style="1863" customWidth="1"/>
    <col min="14342" max="14342" width="1.7109375" style="1863" customWidth="1"/>
    <col min="14343" max="14343" width="19.140625" style="1863" bestFit="1" customWidth="1"/>
    <col min="14344" max="14344" width="1.7109375" style="1863" customWidth="1"/>
    <col min="14345" max="14345" width="36.140625" style="1863" customWidth="1"/>
    <col min="14346" max="14346" width="3.140625" style="1863" customWidth="1"/>
    <col min="14347" max="14592" width="9.140625" style="1863"/>
    <col min="14593" max="14593" width="36.85546875" style="1863" customWidth="1"/>
    <col min="14594" max="14594" width="1.7109375" style="1863" customWidth="1"/>
    <col min="14595" max="14595" width="23.85546875" style="1863" customWidth="1"/>
    <col min="14596" max="14596" width="1.7109375" style="1863" customWidth="1"/>
    <col min="14597" max="14597" width="24.5703125" style="1863" customWidth="1"/>
    <col min="14598" max="14598" width="1.7109375" style="1863" customWidth="1"/>
    <col min="14599" max="14599" width="19.140625" style="1863" bestFit="1" customWidth="1"/>
    <col min="14600" max="14600" width="1.7109375" style="1863" customWidth="1"/>
    <col min="14601" max="14601" width="36.140625" style="1863" customWidth="1"/>
    <col min="14602" max="14602" width="3.140625" style="1863" customWidth="1"/>
    <col min="14603" max="14848" width="9.140625" style="1863"/>
    <col min="14849" max="14849" width="36.85546875" style="1863" customWidth="1"/>
    <col min="14850" max="14850" width="1.7109375" style="1863" customWidth="1"/>
    <col min="14851" max="14851" width="23.85546875" style="1863" customWidth="1"/>
    <col min="14852" max="14852" width="1.7109375" style="1863" customWidth="1"/>
    <col min="14853" max="14853" width="24.5703125" style="1863" customWidth="1"/>
    <col min="14854" max="14854" width="1.7109375" style="1863" customWidth="1"/>
    <col min="14855" max="14855" width="19.140625" style="1863" bestFit="1" customWidth="1"/>
    <col min="14856" max="14856" width="1.7109375" style="1863" customWidth="1"/>
    <col min="14857" max="14857" width="36.140625" style="1863" customWidth="1"/>
    <col min="14858" max="14858" width="3.140625" style="1863" customWidth="1"/>
    <col min="14859" max="15104" width="9.140625" style="1863"/>
    <col min="15105" max="15105" width="36.85546875" style="1863" customWidth="1"/>
    <col min="15106" max="15106" width="1.7109375" style="1863" customWidth="1"/>
    <col min="15107" max="15107" width="23.85546875" style="1863" customWidth="1"/>
    <col min="15108" max="15108" width="1.7109375" style="1863" customWidth="1"/>
    <col min="15109" max="15109" width="24.5703125" style="1863" customWidth="1"/>
    <col min="15110" max="15110" width="1.7109375" style="1863" customWidth="1"/>
    <col min="15111" max="15111" width="19.140625" style="1863" bestFit="1" customWidth="1"/>
    <col min="15112" max="15112" width="1.7109375" style="1863" customWidth="1"/>
    <col min="15113" max="15113" width="36.140625" style="1863" customWidth="1"/>
    <col min="15114" max="15114" width="3.140625" style="1863" customWidth="1"/>
    <col min="15115" max="15360" width="9.140625" style="1863"/>
    <col min="15361" max="15361" width="36.85546875" style="1863" customWidth="1"/>
    <col min="15362" max="15362" width="1.7109375" style="1863" customWidth="1"/>
    <col min="15363" max="15363" width="23.85546875" style="1863" customWidth="1"/>
    <col min="15364" max="15364" width="1.7109375" style="1863" customWidth="1"/>
    <col min="15365" max="15365" width="24.5703125" style="1863" customWidth="1"/>
    <col min="15366" max="15366" width="1.7109375" style="1863" customWidth="1"/>
    <col min="15367" max="15367" width="19.140625" style="1863" bestFit="1" customWidth="1"/>
    <col min="15368" max="15368" width="1.7109375" style="1863" customWidth="1"/>
    <col min="15369" max="15369" width="36.140625" style="1863" customWidth="1"/>
    <col min="15370" max="15370" width="3.140625" style="1863" customWidth="1"/>
    <col min="15371" max="15616" width="9.140625" style="1863"/>
    <col min="15617" max="15617" width="36.85546875" style="1863" customWidth="1"/>
    <col min="15618" max="15618" width="1.7109375" style="1863" customWidth="1"/>
    <col min="15619" max="15619" width="23.85546875" style="1863" customWidth="1"/>
    <col min="15620" max="15620" width="1.7109375" style="1863" customWidth="1"/>
    <col min="15621" max="15621" width="24.5703125" style="1863" customWidth="1"/>
    <col min="15622" max="15622" width="1.7109375" style="1863" customWidth="1"/>
    <col min="15623" max="15623" width="19.140625" style="1863" bestFit="1" customWidth="1"/>
    <col min="15624" max="15624" width="1.7109375" style="1863" customWidth="1"/>
    <col min="15625" max="15625" width="36.140625" style="1863" customWidth="1"/>
    <col min="15626" max="15626" width="3.140625" style="1863" customWidth="1"/>
    <col min="15627" max="15872" width="9.140625" style="1863"/>
    <col min="15873" max="15873" width="36.85546875" style="1863" customWidth="1"/>
    <col min="15874" max="15874" width="1.7109375" style="1863" customWidth="1"/>
    <col min="15875" max="15875" width="23.85546875" style="1863" customWidth="1"/>
    <col min="15876" max="15876" width="1.7109375" style="1863" customWidth="1"/>
    <col min="15877" max="15877" width="24.5703125" style="1863" customWidth="1"/>
    <col min="15878" max="15878" width="1.7109375" style="1863" customWidth="1"/>
    <col min="15879" max="15879" width="19.140625" style="1863" bestFit="1" customWidth="1"/>
    <col min="15880" max="15880" width="1.7109375" style="1863" customWidth="1"/>
    <col min="15881" max="15881" width="36.140625" style="1863" customWidth="1"/>
    <col min="15882" max="15882" width="3.140625" style="1863" customWidth="1"/>
    <col min="15883" max="16128" width="9.140625" style="1863"/>
    <col min="16129" max="16129" width="36.85546875" style="1863" customWidth="1"/>
    <col min="16130" max="16130" width="1.7109375" style="1863" customWidth="1"/>
    <col min="16131" max="16131" width="23.85546875" style="1863" customWidth="1"/>
    <col min="16132" max="16132" width="1.7109375" style="1863" customWidth="1"/>
    <col min="16133" max="16133" width="24.5703125" style="1863" customWidth="1"/>
    <col min="16134" max="16134" width="1.7109375" style="1863" customWidth="1"/>
    <col min="16135" max="16135" width="19.140625" style="1863" bestFit="1" customWidth="1"/>
    <col min="16136" max="16136" width="1.7109375" style="1863" customWidth="1"/>
    <col min="16137" max="16137" width="36.140625" style="1863" customWidth="1"/>
    <col min="16138" max="16138" width="3.140625" style="1863" customWidth="1"/>
    <col min="16139" max="16384" width="9.140625" style="1863"/>
  </cols>
  <sheetData>
    <row r="1" spans="1:58" ht="18">
      <c r="A1" s="2478"/>
      <c r="B1" s="2478"/>
      <c r="C1" s="2478"/>
      <c r="D1" s="3043" t="s">
        <v>3057</v>
      </c>
      <c r="E1" s="3043"/>
      <c r="F1" s="2479"/>
      <c r="G1" s="2478"/>
      <c r="H1" s="2478"/>
    </row>
    <row r="2" spans="1:58" ht="18">
      <c r="A2" s="2478"/>
      <c r="B2" s="2478"/>
      <c r="C2" s="2478"/>
      <c r="D2" s="3043" t="s">
        <v>3058</v>
      </c>
      <c r="E2" s="3043"/>
      <c r="F2" s="2479"/>
      <c r="G2" s="2478"/>
      <c r="H2" s="2478"/>
    </row>
    <row r="3" spans="1:58" ht="18">
      <c r="A3" s="2478"/>
      <c r="B3" s="2478"/>
      <c r="C3" s="2478"/>
      <c r="D3" s="3043" t="s">
        <v>3519</v>
      </c>
      <c r="E3" s="3043"/>
      <c r="F3" s="2479"/>
      <c r="G3" s="2478"/>
      <c r="H3" s="2478"/>
    </row>
    <row r="4" spans="1:58" ht="18">
      <c r="A4" s="2736"/>
      <c r="B4" s="2736"/>
      <c r="C4" s="2736"/>
      <c r="D4" s="3045" t="str">
        <f>'CU3-Deficit Ending Equity'!D4</f>
        <v>June 30, 2021</v>
      </c>
      <c r="E4" s="2736"/>
      <c r="F4" s="2736"/>
      <c r="G4" s="2736"/>
      <c r="H4" s="2736"/>
    </row>
    <row r="5" spans="1:58" ht="18">
      <c r="A5" s="2545"/>
      <c r="B5" s="2545"/>
      <c r="C5" s="2545"/>
      <c r="D5" s="2545"/>
      <c r="E5" s="2546"/>
      <c r="F5" s="2546"/>
      <c r="G5" s="2546"/>
      <c r="H5" s="2546"/>
    </row>
    <row r="6" spans="1:58" ht="20.25">
      <c r="A6" s="2515"/>
      <c r="B6" s="2513"/>
      <c r="C6" s="1751"/>
      <c r="D6" s="2513"/>
      <c r="E6" s="2516" t="s">
        <v>3033</v>
      </c>
      <c r="F6" s="2514"/>
      <c r="G6" s="2514"/>
      <c r="H6" s="2514"/>
      <c r="I6" s="2515"/>
    </row>
    <row r="7" spans="1:58" ht="20.25">
      <c r="A7" s="2515"/>
      <c r="B7" s="2513"/>
      <c r="C7" s="1751"/>
      <c r="D7" s="2513"/>
      <c r="E7" s="2516" t="s">
        <v>3034</v>
      </c>
      <c r="F7" s="2514"/>
      <c r="G7" s="2514"/>
      <c r="H7" s="2514"/>
      <c r="I7" s="2515"/>
    </row>
    <row r="8" spans="1:58" ht="18">
      <c r="A8" s="2545"/>
      <c r="B8" s="2545"/>
      <c r="C8" s="2545"/>
      <c r="D8" s="2545"/>
      <c r="E8" s="2546"/>
      <c r="F8" s="2546"/>
      <c r="G8" s="2546"/>
      <c r="H8" s="2546"/>
    </row>
    <row r="9" spans="1:58" ht="18">
      <c r="A9" s="2480"/>
      <c r="B9" s="2480"/>
      <c r="C9" s="2480"/>
      <c r="D9" s="2480"/>
      <c r="E9" s="2480"/>
      <c r="F9" s="2481"/>
      <c r="G9" s="2480"/>
      <c r="H9" s="2480"/>
    </row>
    <row r="10" spans="1:58" s="2023" customFormat="1" ht="18" customHeight="1">
      <c r="A10" s="2482" t="s">
        <v>3520</v>
      </c>
      <c r="B10" s="2488"/>
      <c r="C10" s="3253" t="e">
        <f>'Adjustment Form'!B9</f>
        <v>#N/A</v>
      </c>
      <c r="D10" s="2488"/>
      <c r="E10" s="2865"/>
      <c r="F10" s="2488"/>
      <c r="G10" s="2488"/>
      <c r="H10" s="2866"/>
      <c r="I10" s="2866"/>
      <c r="J10" s="2866"/>
      <c r="K10" s="2866"/>
      <c r="L10" s="2866"/>
      <c r="M10" s="2866"/>
      <c r="N10" s="2866"/>
      <c r="O10" s="2866"/>
      <c r="P10" s="2866"/>
      <c r="Q10" s="2866"/>
      <c r="R10" s="2866"/>
      <c r="S10" s="2866"/>
      <c r="T10" s="2866"/>
      <c r="U10" s="2866"/>
      <c r="V10" s="2866"/>
      <c r="W10" s="2866"/>
      <c r="X10" s="2866"/>
      <c r="Y10" s="2866"/>
      <c r="Z10" s="2866"/>
      <c r="AA10" s="2866"/>
      <c r="AB10" s="2866"/>
      <c r="AC10" s="2866"/>
      <c r="AD10" s="2866"/>
      <c r="AE10" s="2866"/>
      <c r="AF10" s="2866"/>
      <c r="AG10" s="2866"/>
      <c r="AH10" s="2866"/>
      <c r="AI10" s="2866"/>
      <c r="AJ10" s="2866"/>
      <c r="AK10" s="2866"/>
      <c r="AL10" s="2866"/>
      <c r="AM10" s="2866"/>
      <c r="AN10" s="2866"/>
      <c r="AO10" s="2866"/>
      <c r="AP10" s="2866"/>
      <c r="AQ10" s="2866"/>
      <c r="AR10" s="2866"/>
      <c r="AS10" s="2866"/>
      <c r="AT10" s="2866"/>
      <c r="AU10" s="2866"/>
      <c r="AV10" s="2866"/>
      <c r="AW10" s="2866"/>
      <c r="AX10" s="2866"/>
      <c r="AY10" s="2866"/>
      <c r="AZ10" s="2866"/>
      <c r="BA10" s="2866"/>
      <c r="BB10" s="2866"/>
      <c r="BC10" s="2866"/>
      <c r="BD10" s="2866"/>
      <c r="BE10" s="2866"/>
      <c r="BF10" s="2866"/>
    </row>
    <row r="11" spans="1:58" ht="15.75">
      <c r="A11" s="2482"/>
      <c r="B11" s="2483"/>
      <c r="C11" s="2485"/>
      <c r="D11" s="2483"/>
      <c r="E11" s="2483"/>
      <c r="F11" s="2484"/>
      <c r="G11" s="2483"/>
      <c r="H11" s="2483"/>
    </row>
    <row r="12" spans="1:58" ht="15.75">
      <c r="A12" s="2482" t="s">
        <v>3516</v>
      </c>
      <c r="B12" s="2483"/>
      <c r="C12" s="2485"/>
      <c r="D12" s="2483"/>
      <c r="E12" s="2483"/>
      <c r="F12" s="2484"/>
      <c r="G12" s="2483"/>
      <c r="H12" s="2483"/>
    </row>
    <row r="13" spans="1:58" ht="15.75">
      <c r="A13" s="2483"/>
      <c r="B13" s="2483"/>
      <c r="C13" s="2483"/>
      <c r="D13" s="2483"/>
      <c r="E13" s="2483"/>
      <c r="F13" s="2484"/>
      <c r="G13" s="2483"/>
      <c r="H13" s="2483"/>
    </row>
    <row r="14" spans="1:58" ht="32.25" customHeight="1" thickBot="1">
      <c r="A14" s="2547" t="s">
        <v>3521</v>
      </c>
      <c r="B14" s="2483"/>
      <c r="C14" s="2547" t="s">
        <v>3522</v>
      </c>
      <c r="D14" s="2483"/>
      <c r="E14" s="2547" t="s">
        <v>3523</v>
      </c>
      <c r="F14" s="2486"/>
      <c r="G14" s="2737" t="s">
        <v>3524</v>
      </c>
      <c r="H14" s="2737"/>
      <c r="I14" s="2737"/>
    </row>
    <row r="15" spans="1:58" ht="15" customHeight="1">
      <c r="A15" s="2487"/>
      <c r="B15" s="2483"/>
      <c r="C15" s="2483"/>
      <c r="D15" s="2483"/>
      <c r="E15" s="2483"/>
      <c r="F15" s="2484"/>
      <c r="G15" s="2483"/>
      <c r="H15" s="2483"/>
    </row>
    <row r="16" spans="1:58" ht="15" customHeight="1">
      <c r="A16" s="2548"/>
      <c r="B16" s="2483"/>
      <c r="C16" s="2518"/>
      <c r="D16" s="2488"/>
      <c r="E16" s="2548"/>
      <c r="F16" s="2489"/>
      <c r="G16" s="2738"/>
      <c r="H16" s="2738"/>
      <c r="I16" s="2738"/>
    </row>
    <row r="17" spans="1:9" ht="15" customHeight="1">
      <c r="A17" s="2490"/>
      <c r="B17" s="2483"/>
      <c r="C17" s="2491"/>
      <c r="D17" s="2483"/>
      <c r="E17" s="2492"/>
      <c r="F17" s="2493"/>
      <c r="G17" s="2491"/>
      <c r="H17" s="2483"/>
    </row>
    <row r="18" spans="1:9" ht="15" customHeight="1">
      <c r="A18" s="2548"/>
      <c r="B18" s="2483"/>
      <c r="C18" s="2518"/>
      <c r="D18" s="2488"/>
      <c r="E18" s="2548"/>
      <c r="F18" s="2489"/>
      <c r="G18" s="2738"/>
      <c r="H18" s="2738"/>
      <c r="I18" s="2738"/>
    </row>
    <row r="19" spans="1:9" ht="15" customHeight="1">
      <c r="A19" s="2490"/>
      <c r="B19" s="2483"/>
      <c r="C19" s="2491"/>
      <c r="D19" s="2483"/>
      <c r="E19" s="2490"/>
      <c r="F19" s="2489"/>
      <c r="G19" s="2491"/>
      <c r="H19" s="2483"/>
    </row>
    <row r="20" spans="1:9" ht="15" customHeight="1">
      <c r="A20" s="2548"/>
      <c r="B20" s="2483"/>
      <c r="C20" s="2518"/>
      <c r="D20" s="2488"/>
      <c r="E20" s="2548"/>
      <c r="F20" s="2489"/>
      <c r="G20" s="2738"/>
      <c r="H20" s="2738"/>
      <c r="I20" s="2738"/>
    </row>
    <row r="21" spans="1:9" ht="15" customHeight="1">
      <c r="A21" s="2490"/>
      <c r="B21" s="2483"/>
      <c r="C21" s="2494"/>
      <c r="D21" s="2483"/>
      <c r="E21" s="2490"/>
      <c r="F21" s="2489"/>
      <c r="G21" s="2491"/>
      <c r="H21" s="2483"/>
    </row>
    <row r="22" spans="1:9" s="393" customFormat="1">
      <c r="F22" s="2495"/>
    </row>
    <row r="23" spans="1:9" s="393" customFormat="1">
      <c r="A23" s="175" t="s">
        <v>4205</v>
      </c>
      <c r="F23" s="2495"/>
      <c r="G23" s="734"/>
    </row>
    <row r="24" spans="1:9" s="393" customFormat="1">
      <c r="F24" s="2495"/>
    </row>
    <row r="25" spans="1:9" s="393" customFormat="1">
      <c r="F25" s="2495"/>
    </row>
    <row r="26" spans="1:9" s="393" customFormat="1">
      <c r="F26" s="2495"/>
    </row>
    <row r="27" spans="1:9" s="393" customFormat="1">
      <c r="F27" s="2495"/>
    </row>
    <row r="28" spans="1:9" s="393" customFormat="1">
      <c r="F28" s="2495"/>
    </row>
    <row r="29" spans="1:9" s="393" customFormat="1">
      <c r="F29" s="2495"/>
    </row>
    <row r="30" spans="1:9" s="393" customFormat="1">
      <c r="F30" s="2495"/>
    </row>
    <row r="31" spans="1:9" s="393" customFormat="1">
      <c r="F31" s="2495"/>
    </row>
    <row r="32" spans="1:9" s="393" customFormat="1">
      <c r="F32" s="2495"/>
    </row>
    <row r="33" spans="6:6" s="393" customFormat="1">
      <c r="F33" s="2495"/>
    </row>
    <row r="34" spans="6:6" s="393" customFormat="1">
      <c r="F34" s="2495"/>
    </row>
    <row r="35" spans="6:6" s="393" customFormat="1">
      <c r="F35" s="2495"/>
    </row>
    <row r="36" spans="6:6" s="393" customFormat="1">
      <c r="F36" s="2495"/>
    </row>
    <row r="37" spans="6:6" s="393" customFormat="1">
      <c r="F37" s="2495"/>
    </row>
    <row r="38" spans="6:6" s="393" customFormat="1">
      <c r="F38" s="2495"/>
    </row>
    <row r="39" spans="6:6" s="393" customFormat="1">
      <c r="F39" s="2495"/>
    </row>
    <row r="40" spans="6:6" s="393" customFormat="1">
      <c r="F40" s="2495"/>
    </row>
    <row r="41" spans="6:6" s="393" customFormat="1">
      <c r="F41" s="2495"/>
    </row>
    <row r="42" spans="6:6" s="393" customFormat="1">
      <c r="F42" s="2495"/>
    </row>
    <row r="43" spans="6:6" s="393" customFormat="1">
      <c r="F43" s="2495"/>
    </row>
    <row r="44" spans="6:6" s="393" customFormat="1">
      <c r="F44" s="2495"/>
    </row>
    <row r="45" spans="6:6" s="393" customFormat="1">
      <c r="F45" s="2495"/>
    </row>
    <row r="46" spans="6:6" s="393" customFormat="1">
      <c r="F46" s="2495"/>
    </row>
    <row r="47" spans="6:6" s="393" customFormat="1">
      <c r="F47" s="2495"/>
    </row>
    <row r="48" spans="6:6" s="393" customFormat="1">
      <c r="F48" s="2495"/>
    </row>
    <row r="49" spans="6:6" s="393" customFormat="1">
      <c r="F49" s="2495"/>
    </row>
    <row r="50" spans="6:6" s="393" customFormat="1">
      <c r="F50" s="2495"/>
    </row>
    <row r="51" spans="6:6" s="393" customFormat="1">
      <c r="F51" s="2495"/>
    </row>
    <row r="52" spans="6:6" s="393" customFormat="1">
      <c r="F52" s="2495"/>
    </row>
    <row r="53" spans="6:6" s="393" customFormat="1">
      <c r="F53" s="2495"/>
    </row>
    <row r="54" spans="6:6" s="393" customFormat="1">
      <c r="F54" s="2495"/>
    </row>
    <row r="55" spans="6:6" s="393" customFormat="1">
      <c r="F55" s="2495"/>
    </row>
    <row r="56" spans="6:6" s="393" customFormat="1">
      <c r="F56" s="2495"/>
    </row>
    <row r="57" spans="6:6" s="393" customFormat="1">
      <c r="F57" s="2495"/>
    </row>
    <row r="58" spans="6:6" s="393" customFormat="1">
      <c r="F58" s="2495"/>
    </row>
    <row r="59" spans="6:6" s="393" customFormat="1">
      <c r="F59" s="2495"/>
    </row>
    <row r="60" spans="6:6" s="393" customFormat="1">
      <c r="F60" s="2495"/>
    </row>
    <row r="61" spans="6:6" s="393" customFormat="1">
      <c r="F61" s="2495"/>
    </row>
    <row r="62" spans="6:6" s="393" customFormat="1">
      <c r="F62" s="2495"/>
    </row>
    <row r="63" spans="6:6" s="393" customFormat="1">
      <c r="F63" s="2495"/>
    </row>
    <row r="64" spans="6:6" s="393" customFormat="1">
      <c r="F64" s="2495"/>
    </row>
    <row r="65" spans="6:6" s="393" customFormat="1">
      <c r="F65" s="2495"/>
    </row>
    <row r="66" spans="6:6" s="393" customFormat="1">
      <c r="F66" s="2495"/>
    </row>
    <row r="67" spans="6:6" s="393" customFormat="1">
      <c r="F67" s="2495"/>
    </row>
    <row r="68" spans="6:6" s="393" customFormat="1">
      <c r="F68" s="2495"/>
    </row>
    <row r="69" spans="6:6" s="393" customFormat="1">
      <c r="F69" s="2495"/>
    </row>
    <row r="70" spans="6:6" s="393" customFormat="1">
      <c r="F70" s="2495"/>
    </row>
    <row r="71" spans="6:6" s="393" customFormat="1">
      <c r="F71" s="2495"/>
    </row>
    <row r="72" spans="6:6" s="393" customFormat="1">
      <c r="F72" s="2495"/>
    </row>
    <row r="73" spans="6:6" s="393" customFormat="1">
      <c r="F73" s="2495"/>
    </row>
    <row r="74" spans="6:6" s="393" customFormat="1">
      <c r="F74" s="2495"/>
    </row>
    <row r="75" spans="6:6" s="393" customFormat="1">
      <c r="F75" s="2495"/>
    </row>
    <row r="76" spans="6:6" s="393" customFormat="1">
      <c r="F76" s="2495"/>
    </row>
    <row r="77" spans="6:6" s="393" customFormat="1">
      <c r="F77" s="2495"/>
    </row>
    <row r="78" spans="6:6" s="393" customFormat="1">
      <c r="F78" s="2495"/>
    </row>
    <row r="79" spans="6:6" s="393" customFormat="1">
      <c r="F79" s="2495"/>
    </row>
    <row r="80" spans="6:6" s="393" customFormat="1">
      <c r="F80" s="2495"/>
    </row>
    <row r="81" spans="6:6" s="393" customFormat="1">
      <c r="F81" s="2495"/>
    </row>
    <row r="82" spans="6:6" s="393" customFormat="1">
      <c r="F82" s="2495"/>
    </row>
    <row r="83" spans="6:6" s="393" customFormat="1">
      <c r="F83" s="2495"/>
    </row>
    <row r="84" spans="6:6" s="393" customFormat="1">
      <c r="F84" s="2495"/>
    </row>
    <row r="85" spans="6:6" s="393" customFormat="1">
      <c r="F85" s="2495"/>
    </row>
    <row r="86" spans="6:6" s="393" customFormat="1">
      <c r="F86" s="2495"/>
    </row>
    <row r="87" spans="6:6" s="393" customFormat="1">
      <c r="F87" s="2495"/>
    </row>
    <row r="88" spans="6:6" s="393" customFormat="1">
      <c r="F88" s="2495"/>
    </row>
    <row r="89" spans="6:6" s="393" customFormat="1">
      <c r="F89" s="2495"/>
    </row>
    <row r="90" spans="6:6" s="393" customFormat="1">
      <c r="F90" s="2495"/>
    </row>
    <row r="91" spans="6:6" s="393" customFormat="1">
      <c r="F91" s="2495"/>
    </row>
    <row r="92" spans="6:6" s="393" customFormat="1">
      <c r="F92" s="2495"/>
    </row>
    <row r="93" spans="6:6" s="393" customFormat="1">
      <c r="F93" s="2495"/>
    </row>
    <row r="94" spans="6:6" s="393" customFormat="1">
      <c r="F94" s="2495"/>
    </row>
    <row r="95" spans="6:6" s="393" customFormat="1">
      <c r="F95" s="2495"/>
    </row>
    <row r="96" spans="6:6" s="393" customFormat="1">
      <c r="F96" s="2495"/>
    </row>
    <row r="97" spans="6:6" s="393" customFormat="1">
      <c r="F97" s="2495"/>
    </row>
    <row r="98" spans="6:6" s="393" customFormat="1">
      <c r="F98" s="2495"/>
    </row>
    <row r="99" spans="6:6" s="393" customFormat="1">
      <c r="F99" s="2495"/>
    </row>
    <row r="100" spans="6:6" s="393" customFormat="1">
      <c r="F100" s="2495"/>
    </row>
    <row r="101" spans="6:6" s="393" customFormat="1">
      <c r="F101" s="2495"/>
    </row>
    <row r="102" spans="6:6" s="393" customFormat="1">
      <c r="F102" s="2495"/>
    </row>
    <row r="103" spans="6:6" s="393" customFormat="1">
      <c r="F103" s="2495"/>
    </row>
    <row r="104" spans="6:6" s="393" customFormat="1">
      <c r="F104" s="2495"/>
    </row>
    <row r="105" spans="6:6" s="393" customFormat="1">
      <c r="F105" s="2495"/>
    </row>
    <row r="106" spans="6:6" s="393" customFormat="1">
      <c r="F106" s="2495"/>
    </row>
    <row r="107" spans="6:6" s="393" customFormat="1">
      <c r="F107" s="2495"/>
    </row>
    <row r="108" spans="6:6" s="393" customFormat="1">
      <c r="F108" s="2495"/>
    </row>
    <row r="109" spans="6:6" s="393" customFormat="1">
      <c r="F109" s="2495"/>
    </row>
    <row r="110" spans="6:6" s="393" customFormat="1">
      <c r="F110" s="2495"/>
    </row>
    <row r="111" spans="6:6" s="393" customFormat="1">
      <c r="F111" s="2495"/>
    </row>
    <row r="112" spans="6:6" s="393" customFormat="1">
      <c r="F112" s="2495"/>
    </row>
    <row r="113" spans="6:6" s="393" customFormat="1">
      <c r="F113" s="2495"/>
    </row>
    <row r="114" spans="6:6" s="393" customFormat="1">
      <c r="F114" s="2495"/>
    </row>
    <row r="115" spans="6:6" s="393" customFormat="1">
      <c r="F115" s="2495"/>
    </row>
    <row r="116" spans="6:6" s="393" customFormat="1">
      <c r="F116" s="2495"/>
    </row>
    <row r="117" spans="6:6" s="393" customFormat="1">
      <c r="F117" s="2495"/>
    </row>
    <row r="118" spans="6:6" s="393" customFormat="1">
      <c r="F118" s="2495"/>
    </row>
    <row r="119" spans="6:6" s="393" customFormat="1">
      <c r="F119" s="2495"/>
    </row>
    <row r="120" spans="6:6" s="393" customFormat="1">
      <c r="F120" s="2495"/>
    </row>
    <row r="121" spans="6:6" s="393" customFormat="1">
      <c r="F121" s="2495"/>
    </row>
    <row r="122" spans="6:6" s="393" customFormat="1">
      <c r="F122" s="2495"/>
    </row>
    <row r="123" spans="6:6" s="393" customFormat="1">
      <c r="F123" s="2495"/>
    </row>
    <row r="124" spans="6:6" s="393" customFormat="1">
      <c r="F124" s="2495"/>
    </row>
    <row r="125" spans="6:6" s="393" customFormat="1">
      <c r="F125" s="2495"/>
    </row>
    <row r="126" spans="6:6" s="393" customFormat="1">
      <c r="F126" s="2495"/>
    </row>
    <row r="127" spans="6:6" s="393" customFormat="1">
      <c r="F127" s="2495"/>
    </row>
    <row r="128" spans="6:6" s="393" customFormat="1">
      <c r="F128" s="2495"/>
    </row>
    <row r="129" spans="6:6" s="393" customFormat="1">
      <c r="F129" s="2495"/>
    </row>
    <row r="130" spans="6:6" s="393" customFormat="1">
      <c r="F130" s="2495"/>
    </row>
    <row r="131" spans="6:6" s="393" customFormat="1">
      <c r="F131" s="2495"/>
    </row>
    <row r="132" spans="6:6" s="393" customFormat="1">
      <c r="F132" s="2495"/>
    </row>
    <row r="133" spans="6:6" s="393" customFormat="1">
      <c r="F133" s="2495"/>
    </row>
    <row r="134" spans="6:6" s="393" customFormat="1">
      <c r="F134" s="2495"/>
    </row>
    <row r="135" spans="6:6" s="393" customFormat="1">
      <c r="F135" s="2495"/>
    </row>
    <row r="136" spans="6:6" s="393" customFormat="1">
      <c r="F136" s="2495"/>
    </row>
    <row r="137" spans="6:6" s="393" customFormat="1">
      <c r="F137" s="2495"/>
    </row>
    <row r="138" spans="6:6" s="393" customFormat="1">
      <c r="F138" s="2495"/>
    </row>
    <row r="139" spans="6:6" s="393" customFormat="1">
      <c r="F139" s="2495"/>
    </row>
    <row r="140" spans="6:6" s="393" customFormat="1">
      <c r="F140" s="2495"/>
    </row>
    <row r="141" spans="6:6" s="393" customFormat="1">
      <c r="F141" s="2495"/>
    </row>
    <row r="142" spans="6:6" s="393" customFormat="1">
      <c r="F142" s="2495"/>
    </row>
    <row r="143" spans="6:6" s="393" customFormat="1">
      <c r="F143" s="2495"/>
    </row>
    <row r="144" spans="6:6" s="393" customFormat="1">
      <c r="F144" s="2495"/>
    </row>
    <row r="145" spans="6:6" s="393" customFormat="1">
      <c r="F145" s="2495"/>
    </row>
    <row r="146" spans="6:6" s="393" customFormat="1">
      <c r="F146" s="2495"/>
    </row>
    <row r="147" spans="6:6" s="393" customFormat="1">
      <c r="F147" s="2495"/>
    </row>
    <row r="148" spans="6:6" s="393" customFormat="1">
      <c r="F148" s="2495"/>
    </row>
    <row r="149" spans="6:6" s="393" customFormat="1">
      <c r="F149" s="2495"/>
    </row>
    <row r="150" spans="6:6" s="393" customFormat="1">
      <c r="F150" s="2495"/>
    </row>
    <row r="151" spans="6:6" s="393" customFormat="1">
      <c r="F151" s="2495"/>
    </row>
    <row r="152" spans="6:6" s="393" customFormat="1">
      <c r="F152" s="2495"/>
    </row>
    <row r="153" spans="6:6" s="393" customFormat="1">
      <c r="F153" s="2495"/>
    </row>
    <row r="154" spans="6:6" s="393" customFormat="1">
      <c r="F154" s="2495"/>
    </row>
    <row r="155" spans="6:6" s="393" customFormat="1">
      <c r="F155" s="2495"/>
    </row>
    <row r="156" spans="6:6" s="393" customFormat="1">
      <c r="F156" s="2495"/>
    </row>
    <row r="157" spans="6:6" s="393" customFormat="1">
      <c r="F157" s="2495"/>
    </row>
    <row r="158" spans="6:6" s="393" customFormat="1">
      <c r="F158" s="2495"/>
    </row>
    <row r="159" spans="6:6" s="393" customFormat="1">
      <c r="F159" s="2495"/>
    </row>
    <row r="160" spans="6:6" s="393" customFormat="1">
      <c r="F160" s="2495"/>
    </row>
    <row r="161" spans="6:6" s="393" customFormat="1">
      <c r="F161" s="2495"/>
    </row>
    <row r="162" spans="6:6" s="393" customFormat="1">
      <c r="F162" s="2495"/>
    </row>
    <row r="163" spans="6:6" s="393" customFormat="1">
      <c r="F163" s="2495"/>
    </row>
    <row r="164" spans="6:6" s="393" customFormat="1">
      <c r="F164" s="2495"/>
    </row>
    <row r="165" spans="6:6" s="393" customFormat="1">
      <c r="F165" s="2495"/>
    </row>
    <row r="166" spans="6:6" s="393" customFormat="1">
      <c r="F166" s="2495"/>
    </row>
    <row r="167" spans="6:6" s="393" customFormat="1">
      <c r="F167" s="2495"/>
    </row>
    <row r="168" spans="6:6" s="393" customFormat="1">
      <c r="F168" s="2495"/>
    </row>
    <row r="169" spans="6:6" s="393" customFormat="1">
      <c r="F169" s="2495"/>
    </row>
    <row r="170" spans="6:6" s="393" customFormat="1">
      <c r="F170" s="2495"/>
    </row>
    <row r="171" spans="6:6" s="393" customFormat="1">
      <c r="F171" s="2495"/>
    </row>
    <row r="172" spans="6:6" s="393" customFormat="1">
      <c r="F172" s="2495"/>
    </row>
    <row r="173" spans="6:6" s="393" customFormat="1">
      <c r="F173" s="2495"/>
    </row>
    <row r="174" spans="6:6" s="393" customFormat="1">
      <c r="F174" s="2495"/>
    </row>
    <row r="175" spans="6:6" s="393" customFormat="1">
      <c r="F175" s="2495"/>
    </row>
    <row r="176" spans="6:6" s="393" customFormat="1">
      <c r="F176" s="2495"/>
    </row>
    <row r="177" spans="6:6" s="393" customFormat="1">
      <c r="F177" s="2495"/>
    </row>
    <row r="178" spans="6:6" s="393" customFormat="1">
      <c r="F178" s="2495"/>
    </row>
    <row r="179" spans="6:6" s="393" customFormat="1">
      <c r="F179" s="2495"/>
    </row>
    <row r="180" spans="6:6" s="393" customFormat="1">
      <c r="F180" s="2495"/>
    </row>
    <row r="181" spans="6:6" s="393" customFormat="1">
      <c r="F181" s="2495"/>
    </row>
    <row r="182" spans="6:6" s="393" customFormat="1">
      <c r="F182" s="2495"/>
    </row>
    <row r="183" spans="6:6" s="393" customFormat="1">
      <c r="F183" s="2495"/>
    </row>
    <row r="184" spans="6:6" s="393" customFormat="1">
      <c r="F184" s="2495"/>
    </row>
    <row r="185" spans="6:6" s="393" customFormat="1">
      <c r="F185" s="2495"/>
    </row>
    <row r="186" spans="6:6" s="393" customFormat="1">
      <c r="F186" s="2495"/>
    </row>
    <row r="187" spans="6:6" s="393" customFormat="1">
      <c r="F187" s="2495"/>
    </row>
    <row r="188" spans="6:6" s="393" customFormat="1">
      <c r="F188" s="2495"/>
    </row>
    <row r="189" spans="6:6" s="393" customFormat="1">
      <c r="F189" s="2495"/>
    </row>
    <row r="190" spans="6:6" s="393" customFormat="1">
      <c r="F190" s="2495"/>
    </row>
    <row r="191" spans="6:6" s="393" customFormat="1">
      <c r="F191" s="2495"/>
    </row>
    <row r="192" spans="6:6" s="393" customFormat="1">
      <c r="F192" s="2495"/>
    </row>
    <row r="193" spans="6:6" s="393" customFormat="1">
      <c r="F193" s="2495"/>
    </row>
    <row r="194" spans="6:6" s="393" customFormat="1">
      <c r="F194" s="2495"/>
    </row>
  </sheetData>
  <sheetProtection algorithmName="SHA-512" hashValue="g/0c9ZG0o8euPbpPxAPiaHr50fyNuvd1es46ps3pbzp3Ke3HwXxZWSOTGfRhbUr2hpShnzJkzVpYzdiSodYEjw==" saltValue="X6mDwG6nIE2egmhRcUTT4A==" spinCount="100000" sheet="1" objects="1" scenarios="1"/>
  <pageMargins left="0.7" right="0.7" top="0.75" bottom="0.75" header="0.3" footer="0.3"/>
  <pageSetup scale="8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L1192"/>
  <sheetViews>
    <sheetView workbookViewId="0"/>
  </sheetViews>
  <sheetFormatPr defaultColWidth="9.28515625" defaultRowHeight="12.75"/>
  <cols>
    <col min="1" max="1" width="6" style="4233" bestFit="1" customWidth="1"/>
    <col min="2" max="2" width="90.28515625" style="4233" bestFit="1" customWidth="1"/>
    <col min="3" max="3" width="3.28515625" style="4233" customWidth="1"/>
    <col min="4" max="4" width="8.28515625" style="4233" bestFit="1" customWidth="1"/>
    <col min="5" max="5" width="13.28515625" style="4233" bestFit="1" customWidth="1"/>
    <col min="6" max="6" width="23" style="4233" customWidth="1"/>
    <col min="7" max="7" width="3.28515625" style="4233" customWidth="1"/>
    <col min="8" max="8" width="18.42578125" style="4233" bestFit="1" customWidth="1"/>
    <col min="9" max="9" width="9.5703125" style="4233" bestFit="1" customWidth="1"/>
    <col min="10" max="10" width="3.28515625" style="4233" customWidth="1"/>
    <col min="11" max="11" width="12.85546875" style="4233" bestFit="1" customWidth="1"/>
    <col min="12" max="12" width="17.7109375" style="4233" customWidth="1"/>
    <col min="13" max="13" width="3.28515625" style="4233" customWidth="1"/>
    <col min="14" max="16384" width="9.28515625" style="4233"/>
  </cols>
  <sheetData>
    <row r="1" spans="1:12" ht="15">
      <c r="A1" s="4232" t="s">
        <v>2257</v>
      </c>
      <c r="B1" s="4232" t="s">
        <v>4254</v>
      </c>
      <c r="D1" s="4234" t="s">
        <v>908</v>
      </c>
      <c r="E1" s="4234" t="s">
        <v>4255</v>
      </c>
      <c r="F1" s="4234" t="s">
        <v>4256</v>
      </c>
      <c r="H1" s="4235" t="s">
        <v>4257</v>
      </c>
      <c r="I1" s="4235" t="s">
        <v>114</v>
      </c>
      <c r="K1" s="4234" t="s">
        <v>908</v>
      </c>
      <c r="L1" s="4234" t="s">
        <v>4255</v>
      </c>
    </row>
    <row r="2" spans="1:12" ht="15">
      <c r="A2" s="4236" t="s">
        <v>4258</v>
      </c>
      <c r="B2" s="4236" t="s">
        <v>15</v>
      </c>
      <c r="D2" s="4236">
        <v>111</v>
      </c>
      <c r="E2" s="4236" t="s">
        <v>2525</v>
      </c>
      <c r="F2" s="4236" t="s">
        <v>4259</v>
      </c>
      <c r="H2" s="4237">
        <v>110000101000002</v>
      </c>
      <c r="I2" s="4238" t="s">
        <v>4260</v>
      </c>
      <c r="K2" s="4236">
        <v>112</v>
      </c>
      <c r="L2" s="4236" t="s">
        <v>4261</v>
      </c>
    </row>
    <row r="3" spans="1:12" ht="15">
      <c r="A3" s="4236" t="s">
        <v>4262</v>
      </c>
      <c r="B3" s="4236" t="s">
        <v>15</v>
      </c>
      <c r="D3" s="4236">
        <v>112</v>
      </c>
      <c r="E3" s="4236" t="s">
        <v>4263</v>
      </c>
      <c r="F3" s="4236" t="s">
        <v>4263</v>
      </c>
      <c r="H3" s="4237">
        <v>110000101000003</v>
      </c>
      <c r="I3" s="4238" t="s">
        <v>4260</v>
      </c>
      <c r="K3" s="4236">
        <v>145</v>
      </c>
      <c r="L3" s="4236" t="s">
        <v>4264</v>
      </c>
    </row>
    <row r="4" spans="1:12" ht="15">
      <c r="A4" s="4236" t="s">
        <v>4265</v>
      </c>
      <c r="B4" s="4236" t="s">
        <v>947</v>
      </c>
      <c r="D4" s="4236">
        <v>113</v>
      </c>
      <c r="E4" s="4236" t="s">
        <v>2525</v>
      </c>
      <c r="F4" s="4236" t="s">
        <v>4259</v>
      </c>
      <c r="H4" s="4237">
        <v>110000101000004</v>
      </c>
      <c r="I4" s="4238" t="s">
        <v>4260</v>
      </c>
      <c r="K4" s="4236">
        <v>146</v>
      </c>
      <c r="L4" s="4236" t="s">
        <v>4264</v>
      </c>
    </row>
    <row r="5" spans="1:12" ht="15">
      <c r="A5" s="4236" t="s">
        <v>4266</v>
      </c>
      <c r="B5" s="4236" t="s">
        <v>16</v>
      </c>
      <c r="D5" s="4236">
        <v>121</v>
      </c>
      <c r="E5" s="4236" t="s">
        <v>2525</v>
      </c>
      <c r="F5" s="4236" t="s">
        <v>4259</v>
      </c>
      <c r="H5" s="4237">
        <v>110000101000008</v>
      </c>
      <c r="I5" s="4238" t="s">
        <v>4260</v>
      </c>
      <c r="K5" s="4236">
        <v>147</v>
      </c>
      <c r="L5" s="4236" t="s">
        <v>4264</v>
      </c>
    </row>
    <row r="6" spans="1:12" ht="15">
      <c r="A6" s="4236" t="s">
        <v>4267</v>
      </c>
      <c r="B6" s="4236" t="s">
        <v>4268</v>
      </c>
      <c r="D6" s="4236">
        <v>122</v>
      </c>
      <c r="E6" s="4236" t="s">
        <v>2525</v>
      </c>
      <c r="F6" s="4236" t="s">
        <v>4259</v>
      </c>
      <c r="H6" s="4237">
        <v>110000101000010</v>
      </c>
      <c r="I6" s="4238" t="s">
        <v>4260</v>
      </c>
      <c r="K6" s="4236">
        <v>222</v>
      </c>
      <c r="L6" s="4236" t="s">
        <v>4261</v>
      </c>
    </row>
    <row r="7" spans="1:12" ht="15">
      <c r="A7" s="4236" t="s">
        <v>4269</v>
      </c>
      <c r="B7" s="4236" t="s">
        <v>4270</v>
      </c>
      <c r="D7" s="4236">
        <v>124</v>
      </c>
      <c r="E7" s="4236" t="s">
        <v>2525</v>
      </c>
      <c r="F7" s="4236" t="s">
        <v>4259</v>
      </c>
      <c r="H7" s="4237">
        <v>110000101000013</v>
      </c>
      <c r="I7" s="4238" t="s">
        <v>4260</v>
      </c>
      <c r="K7" s="4236">
        <v>227</v>
      </c>
      <c r="L7" s="4236" t="s">
        <v>4264</v>
      </c>
    </row>
    <row r="8" spans="1:12" ht="15">
      <c r="A8" s="4236" t="s">
        <v>4271</v>
      </c>
      <c r="B8" s="4236" t="s">
        <v>4272</v>
      </c>
      <c r="D8" s="4236">
        <v>141</v>
      </c>
      <c r="E8" s="4236" t="s">
        <v>2525</v>
      </c>
      <c r="F8" s="4236" t="s">
        <v>4259</v>
      </c>
      <c r="H8" s="4237">
        <v>110000101000499</v>
      </c>
      <c r="I8" s="4238" t="s">
        <v>4260</v>
      </c>
      <c r="K8" s="4236">
        <v>245</v>
      </c>
      <c r="L8" s="4236" t="s">
        <v>4264</v>
      </c>
    </row>
    <row r="9" spans="1:12" ht="15">
      <c r="A9" s="4236" t="s">
        <v>4273</v>
      </c>
      <c r="B9" s="4236" t="s">
        <v>4274</v>
      </c>
      <c r="D9" s="4236">
        <v>142</v>
      </c>
      <c r="E9" s="4236" t="s">
        <v>2525</v>
      </c>
      <c r="F9" s="4236" t="s">
        <v>4259</v>
      </c>
      <c r="H9" s="4237">
        <v>110000102339092</v>
      </c>
      <c r="I9" s="4238" t="s">
        <v>4260</v>
      </c>
      <c r="K9" s="4236">
        <v>246</v>
      </c>
      <c r="L9" s="4236" t="s">
        <v>4264</v>
      </c>
    </row>
    <row r="10" spans="1:12" ht="15">
      <c r="A10" s="4236" t="s">
        <v>4275</v>
      </c>
      <c r="B10" s="4236" t="s">
        <v>4276</v>
      </c>
      <c r="D10" s="4236">
        <v>143</v>
      </c>
      <c r="E10" s="4236" t="s">
        <v>2525</v>
      </c>
      <c r="F10" s="4236" t="s">
        <v>4259</v>
      </c>
      <c r="H10" s="4237">
        <v>110000502203001</v>
      </c>
      <c r="I10" s="4238" t="s">
        <v>4277</v>
      </c>
      <c r="K10" s="4236">
        <v>247</v>
      </c>
      <c r="L10" s="4236" t="s">
        <v>4264</v>
      </c>
    </row>
    <row r="11" spans="1:12" ht="15">
      <c r="A11" s="4236" t="s">
        <v>4278</v>
      </c>
      <c r="B11" s="4236" t="s">
        <v>4279</v>
      </c>
      <c r="D11" s="4236">
        <v>144</v>
      </c>
      <c r="E11" s="4236" t="s">
        <v>2525</v>
      </c>
      <c r="F11" s="4236" t="s">
        <v>4259</v>
      </c>
      <c r="H11" s="4237">
        <v>110000502442001</v>
      </c>
      <c r="I11" s="4238" t="s">
        <v>4277</v>
      </c>
      <c r="K11" s="4236">
        <v>263</v>
      </c>
      <c r="L11" s="4236" t="s">
        <v>4280</v>
      </c>
    </row>
    <row r="12" spans="1:12" ht="15">
      <c r="A12" s="4236" t="s">
        <v>4281</v>
      </c>
      <c r="B12" s="4236" t="s">
        <v>4282</v>
      </c>
      <c r="D12" s="4236">
        <v>145</v>
      </c>
      <c r="E12" s="4236" t="s">
        <v>4283</v>
      </c>
      <c r="F12" s="4236" t="s">
        <v>4283</v>
      </c>
      <c r="H12" s="4237">
        <v>110000809000001</v>
      </c>
      <c r="I12" s="4238" t="s">
        <v>4284</v>
      </c>
      <c r="K12" s="4236">
        <v>264</v>
      </c>
      <c r="L12" s="4236" t="s">
        <v>4280</v>
      </c>
    </row>
    <row r="13" spans="1:12" ht="15">
      <c r="A13" s="4236" t="s">
        <v>4285</v>
      </c>
      <c r="B13" s="4236" t="s">
        <v>4286</v>
      </c>
      <c r="D13" s="4236">
        <v>146</v>
      </c>
      <c r="E13" s="4236" t="s">
        <v>4283</v>
      </c>
      <c r="F13" s="4236" t="s">
        <v>4283</v>
      </c>
      <c r="H13" s="4237">
        <v>110000809000002</v>
      </c>
      <c r="I13" s="4238" t="s">
        <v>4284</v>
      </c>
      <c r="K13" s="4236">
        <v>265</v>
      </c>
      <c r="L13" s="4236" t="s">
        <v>4280</v>
      </c>
    </row>
    <row r="14" spans="1:12" ht="15">
      <c r="A14" s="4236" t="s">
        <v>4287</v>
      </c>
      <c r="B14" s="4236" t="s">
        <v>4288</v>
      </c>
      <c r="D14" s="4236">
        <v>147</v>
      </c>
      <c r="E14" s="4236" t="s">
        <v>4283</v>
      </c>
      <c r="F14" s="4236" t="s">
        <v>4289</v>
      </c>
      <c r="H14" s="4237">
        <v>110000809000003</v>
      </c>
      <c r="I14" s="4238" t="s">
        <v>4284</v>
      </c>
      <c r="K14" s="4236">
        <v>266</v>
      </c>
      <c r="L14" s="4236" t="s">
        <v>4280</v>
      </c>
    </row>
    <row r="15" spans="1:12" ht="15">
      <c r="A15" s="4236" t="s">
        <v>4290</v>
      </c>
      <c r="B15" s="4236" t="s">
        <v>4291</v>
      </c>
      <c r="D15" s="4236">
        <v>148</v>
      </c>
      <c r="E15" s="4236" t="s">
        <v>1792</v>
      </c>
      <c r="F15" s="4236" t="s">
        <v>4259</v>
      </c>
      <c r="H15" s="4237">
        <v>110000809110001</v>
      </c>
      <c r="I15" s="4238" t="s">
        <v>4284</v>
      </c>
      <c r="K15" s="4236">
        <v>267</v>
      </c>
      <c r="L15" s="4236" t="s">
        <v>4280</v>
      </c>
    </row>
    <row r="16" spans="1:12" ht="15">
      <c r="A16" s="4236" t="s">
        <v>4292</v>
      </c>
      <c r="B16" s="4236" t="s">
        <v>4293</v>
      </c>
      <c r="D16" s="4236">
        <v>149</v>
      </c>
      <c r="E16" s="4236" t="s">
        <v>1792</v>
      </c>
      <c r="F16" s="4236" t="s">
        <v>4259</v>
      </c>
      <c r="H16" s="4237">
        <v>210000101000021</v>
      </c>
      <c r="I16" s="4238" t="s">
        <v>4260</v>
      </c>
      <c r="K16" s="4236">
        <v>268</v>
      </c>
      <c r="L16" s="4236" t="s">
        <v>4280</v>
      </c>
    </row>
    <row r="17" spans="1:12" ht="15">
      <c r="A17" s="4236" t="s">
        <v>4294</v>
      </c>
      <c r="B17" s="4236" t="s">
        <v>4295</v>
      </c>
      <c r="D17" s="4236">
        <v>151</v>
      </c>
      <c r="E17" s="4236" t="s">
        <v>1792</v>
      </c>
      <c r="F17" s="4236" t="s">
        <v>4259</v>
      </c>
      <c r="H17" s="4237">
        <v>210000101000023</v>
      </c>
      <c r="I17" s="4238" t="s">
        <v>4260</v>
      </c>
      <c r="K17" s="4236">
        <v>271</v>
      </c>
      <c r="L17" s="4236" t="s">
        <v>4280</v>
      </c>
    </row>
    <row r="18" spans="1:12" ht="15">
      <c r="A18" s="4236" t="s">
        <v>4296</v>
      </c>
      <c r="B18" s="4236" t="s">
        <v>4297</v>
      </c>
      <c r="D18" s="4236">
        <v>152</v>
      </c>
      <c r="E18" s="4236" t="s">
        <v>1792</v>
      </c>
      <c r="F18" s="4236" t="s">
        <v>4259</v>
      </c>
      <c r="H18" s="4237">
        <v>210000101000024</v>
      </c>
      <c r="I18" s="4238" t="s">
        <v>4260</v>
      </c>
      <c r="K18" s="4236">
        <v>272</v>
      </c>
      <c r="L18" s="4236" t="s">
        <v>4280</v>
      </c>
    </row>
    <row r="19" spans="1:12" ht="15">
      <c r="A19" s="4236" t="s">
        <v>4298</v>
      </c>
      <c r="B19" s="4236" t="s">
        <v>4299</v>
      </c>
      <c r="D19" s="4236">
        <v>153</v>
      </c>
      <c r="E19" s="4236" t="s">
        <v>1792</v>
      </c>
      <c r="F19" s="4236" t="s">
        <v>4259</v>
      </c>
      <c r="H19" s="4237">
        <v>210000101000025</v>
      </c>
      <c r="I19" s="4238" t="s">
        <v>4260</v>
      </c>
      <c r="K19" s="4236">
        <v>273</v>
      </c>
      <c r="L19" s="4236" t="s">
        <v>4280</v>
      </c>
    </row>
    <row r="20" spans="1:12" ht="15">
      <c r="A20" s="4236" t="s">
        <v>4300</v>
      </c>
      <c r="B20" s="4236" t="s">
        <v>4301</v>
      </c>
      <c r="D20" s="4236">
        <v>154</v>
      </c>
      <c r="E20" s="4236" t="s">
        <v>1792</v>
      </c>
      <c r="F20" s="4236" t="s">
        <v>4259</v>
      </c>
      <c r="H20" s="4237">
        <v>210000101000026</v>
      </c>
      <c r="I20" s="4238" t="s">
        <v>4260</v>
      </c>
      <c r="K20" s="4236">
        <v>274</v>
      </c>
      <c r="L20" s="4236" t="s">
        <v>4280</v>
      </c>
    </row>
    <row r="21" spans="1:12" ht="15">
      <c r="A21" s="4236" t="s">
        <v>4302</v>
      </c>
      <c r="B21" s="4236" t="s">
        <v>4303</v>
      </c>
      <c r="D21" s="4236">
        <v>156</v>
      </c>
      <c r="E21" s="4236" t="s">
        <v>1792</v>
      </c>
      <c r="F21" s="4236" t="s">
        <v>4259</v>
      </c>
      <c r="H21" s="4237">
        <v>210000101000028</v>
      </c>
      <c r="I21" s="4238" t="s">
        <v>4260</v>
      </c>
      <c r="K21" s="4236">
        <v>275</v>
      </c>
      <c r="L21" s="4236" t="s">
        <v>4280</v>
      </c>
    </row>
    <row r="22" spans="1:12" ht="15">
      <c r="A22" s="4236" t="s">
        <v>4304</v>
      </c>
      <c r="B22" s="4236" t="s">
        <v>4305</v>
      </c>
      <c r="D22" s="4236">
        <v>157</v>
      </c>
      <c r="E22" s="4236" t="s">
        <v>1792</v>
      </c>
      <c r="F22" s="4236" t="s">
        <v>4259</v>
      </c>
      <c r="H22" s="4237">
        <v>210000101000029</v>
      </c>
      <c r="I22" s="4238" t="s">
        <v>4260</v>
      </c>
      <c r="K22" s="4236">
        <v>276</v>
      </c>
      <c r="L22" s="4236" t="s">
        <v>4280</v>
      </c>
    </row>
    <row r="23" spans="1:12" ht="15">
      <c r="A23" s="4236" t="s">
        <v>945</v>
      </c>
      <c r="B23" s="4236" t="s">
        <v>4306</v>
      </c>
      <c r="D23" s="4236">
        <v>159</v>
      </c>
      <c r="E23" s="4236" t="s">
        <v>1792</v>
      </c>
      <c r="F23" s="4236" t="s">
        <v>4259</v>
      </c>
      <c r="H23" s="4237">
        <v>210000101000031</v>
      </c>
      <c r="I23" s="4238" t="s">
        <v>4260</v>
      </c>
      <c r="K23" s="4236">
        <v>277</v>
      </c>
      <c r="L23" s="4236" t="s">
        <v>4280</v>
      </c>
    </row>
    <row r="24" spans="1:12" ht="15">
      <c r="A24" s="4236" t="s">
        <v>948</v>
      </c>
      <c r="B24" s="4236" t="s">
        <v>4307</v>
      </c>
      <c r="D24" s="4236">
        <v>161</v>
      </c>
      <c r="E24" s="4236" t="s">
        <v>4308</v>
      </c>
      <c r="F24" s="4236" t="s">
        <v>4308</v>
      </c>
      <c r="H24" s="4237">
        <v>210000101000032</v>
      </c>
      <c r="I24" s="4238" t="s">
        <v>4260</v>
      </c>
      <c r="K24" s="4236">
        <v>278</v>
      </c>
      <c r="L24" s="4236" t="s">
        <v>4309</v>
      </c>
    </row>
    <row r="25" spans="1:12" ht="15">
      <c r="A25" s="4236" t="s">
        <v>4310</v>
      </c>
      <c r="B25" s="4236" t="s">
        <v>4311</v>
      </c>
      <c r="D25" s="4236">
        <v>162</v>
      </c>
      <c r="E25" s="4236" t="s">
        <v>4308</v>
      </c>
      <c r="F25" s="4236" t="s">
        <v>4308</v>
      </c>
      <c r="H25" s="4237">
        <v>210000101000033</v>
      </c>
      <c r="I25" s="4238" t="s">
        <v>4260</v>
      </c>
      <c r="K25" s="4236">
        <v>282</v>
      </c>
      <c r="L25" s="4236" t="s">
        <v>4280</v>
      </c>
    </row>
    <row r="26" spans="1:12" ht="15">
      <c r="A26" s="4236" t="s">
        <v>952</v>
      </c>
      <c r="B26" s="4236" t="s">
        <v>4312</v>
      </c>
      <c r="D26" s="4236">
        <v>163</v>
      </c>
      <c r="E26" s="4236" t="s">
        <v>4313</v>
      </c>
      <c r="F26" s="4236" t="s">
        <v>4313</v>
      </c>
      <c r="H26" s="4237">
        <v>210000101000035</v>
      </c>
      <c r="I26" s="4238" t="s">
        <v>4260</v>
      </c>
      <c r="K26" s="4236">
        <v>283</v>
      </c>
      <c r="L26" s="4236" t="s">
        <v>4280</v>
      </c>
    </row>
    <row r="27" spans="1:12" ht="15">
      <c r="A27" s="4236" t="s">
        <v>955</v>
      </c>
      <c r="B27" s="4236" t="s">
        <v>4314</v>
      </c>
      <c r="D27" s="4236">
        <v>164</v>
      </c>
      <c r="E27" s="4236" t="s">
        <v>1792</v>
      </c>
      <c r="F27" s="4236" t="s">
        <v>4259</v>
      </c>
      <c r="H27" s="4237">
        <v>210000101000036</v>
      </c>
      <c r="I27" s="4238" t="s">
        <v>4260</v>
      </c>
      <c r="K27" s="4236">
        <v>284</v>
      </c>
      <c r="L27" s="4236" t="s">
        <v>4280</v>
      </c>
    </row>
    <row r="28" spans="1:12" ht="15">
      <c r="A28" s="4236" t="s">
        <v>966</v>
      </c>
      <c r="B28" s="4236" t="s">
        <v>4315</v>
      </c>
      <c r="D28" s="4236">
        <v>165</v>
      </c>
      <c r="E28" s="4236" t="s">
        <v>1792</v>
      </c>
      <c r="F28" s="4236" t="s">
        <v>4259</v>
      </c>
      <c r="H28" s="4237">
        <v>210000101000037</v>
      </c>
      <c r="I28" s="4238" t="s">
        <v>4260</v>
      </c>
      <c r="K28" s="4236">
        <v>285</v>
      </c>
      <c r="L28" s="4236" t="s">
        <v>4280</v>
      </c>
    </row>
    <row r="29" spans="1:12" ht="15">
      <c r="A29" s="4236" t="s">
        <v>4316</v>
      </c>
      <c r="B29" s="4236" t="s">
        <v>4317</v>
      </c>
      <c r="D29" s="4236">
        <v>167</v>
      </c>
      <c r="E29" s="4236" t="s">
        <v>1792</v>
      </c>
      <c r="F29" s="4236" t="s">
        <v>4259</v>
      </c>
      <c r="H29" s="4237">
        <v>210000101000038</v>
      </c>
      <c r="I29" s="4238" t="s">
        <v>4260</v>
      </c>
      <c r="K29" s="4236">
        <v>288</v>
      </c>
      <c r="L29" s="4236" t="s">
        <v>4280</v>
      </c>
    </row>
    <row r="30" spans="1:12" ht="15">
      <c r="A30" s="4236" t="s">
        <v>985</v>
      </c>
      <c r="B30" s="4236" t="s">
        <v>4318</v>
      </c>
      <c r="D30" s="4236">
        <v>168</v>
      </c>
      <c r="E30" s="4236" t="s">
        <v>1792</v>
      </c>
      <c r="F30" s="4236" t="s">
        <v>4259</v>
      </c>
      <c r="H30" s="4237">
        <v>210000101000039</v>
      </c>
      <c r="I30" s="4238" t="s">
        <v>4260</v>
      </c>
      <c r="K30" s="4236">
        <v>289</v>
      </c>
      <c r="L30" s="4236" t="s">
        <v>4280</v>
      </c>
    </row>
    <row r="31" spans="1:12" ht="15">
      <c r="A31" s="4236" t="s">
        <v>4319</v>
      </c>
      <c r="B31" s="4236" t="s">
        <v>4320</v>
      </c>
      <c r="D31" s="4236">
        <v>169</v>
      </c>
      <c r="E31" s="4236" t="s">
        <v>4308</v>
      </c>
      <c r="F31" s="4236" t="s">
        <v>4321</v>
      </c>
      <c r="H31" s="4237">
        <v>210000101000041</v>
      </c>
      <c r="I31" s="4238" t="s">
        <v>4260</v>
      </c>
      <c r="K31" s="4236">
        <v>299</v>
      </c>
      <c r="L31" s="4236" t="s">
        <v>4280</v>
      </c>
    </row>
    <row r="32" spans="1:12" ht="15">
      <c r="A32" s="4236" t="s">
        <v>4322</v>
      </c>
      <c r="B32" s="4236" t="s">
        <v>4323</v>
      </c>
      <c r="D32" s="4236">
        <v>171</v>
      </c>
      <c r="E32" s="4236" t="s">
        <v>1792</v>
      </c>
      <c r="F32" s="4236" t="s">
        <v>4259</v>
      </c>
      <c r="H32" s="4237">
        <v>210000101000042</v>
      </c>
      <c r="I32" s="4238" t="s">
        <v>4260</v>
      </c>
      <c r="K32" s="4236">
        <v>315</v>
      </c>
      <c r="L32" s="4236" t="s">
        <v>4324</v>
      </c>
    </row>
    <row r="33" spans="1:12" ht="15">
      <c r="A33" s="4236" t="s">
        <v>4325</v>
      </c>
      <c r="B33" s="4236" t="s">
        <v>4326</v>
      </c>
      <c r="D33" s="4236">
        <v>172</v>
      </c>
      <c r="E33" s="4236" t="s">
        <v>1792</v>
      </c>
      <c r="F33" s="4236" t="s">
        <v>4259</v>
      </c>
      <c r="H33" s="4237">
        <v>210000101000044</v>
      </c>
      <c r="I33" s="4238" t="s">
        <v>4260</v>
      </c>
      <c r="K33" s="4236">
        <v>324</v>
      </c>
      <c r="L33" s="4236" t="s">
        <v>4324</v>
      </c>
    </row>
    <row r="34" spans="1:12" ht="15">
      <c r="A34" s="4236" t="s">
        <v>4327</v>
      </c>
      <c r="B34" s="4236" t="s">
        <v>4328</v>
      </c>
      <c r="D34" s="4236">
        <v>191</v>
      </c>
      <c r="E34" s="4236" t="s">
        <v>1792</v>
      </c>
      <c r="F34" s="4236" t="s">
        <v>4259</v>
      </c>
      <c r="H34" s="4237">
        <v>210000101000045</v>
      </c>
      <c r="I34" s="4238" t="s">
        <v>4260</v>
      </c>
      <c r="K34" s="4236">
        <v>358</v>
      </c>
      <c r="L34" s="4236" t="s">
        <v>4324</v>
      </c>
    </row>
    <row r="35" spans="1:12" ht="15">
      <c r="A35" s="4236" t="s">
        <v>4329</v>
      </c>
      <c r="B35" s="4236" t="s">
        <v>621</v>
      </c>
      <c r="D35" s="4236">
        <v>192</v>
      </c>
      <c r="E35" s="4236" t="s">
        <v>1792</v>
      </c>
      <c r="F35" s="4236" t="s">
        <v>4259</v>
      </c>
      <c r="H35" s="4237">
        <v>210000101000047</v>
      </c>
      <c r="I35" s="4238" t="s">
        <v>4260</v>
      </c>
      <c r="K35" s="4236">
        <v>371</v>
      </c>
      <c r="L35" s="4236" t="s">
        <v>4330</v>
      </c>
    </row>
    <row r="36" spans="1:12" ht="15">
      <c r="A36" s="4236" t="s">
        <v>4331</v>
      </c>
      <c r="B36" s="4236" t="s">
        <v>4332</v>
      </c>
      <c r="D36" s="4236">
        <v>199</v>
      </c>
      <c r="E36" s="4236" t="s">
        <v>1792</v>
      </c>
      <c r="F36" s="4236" t="s">
        <v>4259</v>
      </c>
      <c r="H36" s="4237">
        <v>210000101000049</v>
      </c>
      <c r="I36" s="4238" t="s">
        <v>4260</v>
      </c>
      <c r="K36" s="4236">
        <v>372</v>
      </c>
      <c r="L36" s="4236" t="s">
        <v>4330</v>
      </c>
    </row>
    <row r="37" spans="1:12" ht="15">
      <c r="A37" s="4236" t="s">
        <v>4333</v>
      </c>
      <c r="B37" s="4236" t="s">
        <v>3185</v>
      </c>
      <c r="D37" s="4236">
        <v>212</v>
      </c>
      <c r="E37" s="4236" t="s">
        <v>1792</v>
      </c>
      <c r="F37" s="4236" t="s">
        <v>4259</v>
      </c>
      <c r="H37" s="4237">
        <v>210000101000051</v>
      </c>
      <c r="I37" s="4238" t="s">
        <v>4260</v>
      </c>
      <c r="K37" s="4236">
        <v>384</v>
      </c>
      <c r="L37" s="4236" t="s">
        <v>4324</v>
      </c>
    </row>
    <row r="38" spans="1:12" ht="15">
      <c r="A38" s="4236" t="s">
        <v>4334</v>
      </c>
      <c r="B38" s="4236" t="s">
        <v>4335</v>
      </c>
      <c r="D38" s="4236">
        <v>222</v>
      </c>
      <c r="E38" s="4236" t="s">
        <v>4263</v>
      </c>
      <c r="F38" s="4236" t="s">
        <v>4263</v>
      </c>
      <c r="H38" s="4237">
        <v>210000101000053</v>
      </c>
      <c r="I38" s="4238" t="s">
        <v>4260</v>
      </c>
      <c r="K38" s="4236">
        <v>385</v>
      </c>
      <c r="L38" s="4236" t="s">
        <v>4336</v>
      </c>
    </row>
    <row r="39" spans="1:12" ht="15">
      <c r="A39" s="4236" t="s">
        <v>4337</v>
      </c>
      <c r="B39" s="4236" t="s">
        <v>623</v>
      </c>
      <c r="D39" s="4236">
        <v>227</v>
      </c>
      <c r="E39" s="4236" t="s">
        <v>4283</v>
      </c>
      <c r="F39" s="4236" t="s">
        <v>4283</v>
      </c>
      <c r="H39" s="4237">
        <v>210000101000054</v>
      </c>
      <c r="I39" s="4238" t="s">
        <v>4260</v>
      </c>
      <c r="K39" s="4236">
        <v>386</v>
      </c>
      <c r="L39" s="4236" t="s">
        <v>4324</v>
      </c>
    </row>
    <row r="40" spans="1:12" ht="15">
      <c r="A40" s="4236" t="s">
        <v>4338</v>
      </c>
      <c r="B40" s="4236" t="s">
        <v>625</v>
      </c>
      <c r="D40" s="4236">
        <v>231</v>
      </c>
      <c r="E40" s="4236" t="s">
        <v>1792</v>
      </c>
      <c r="F40" s="4236" t="s">
        <v>4259</v>
      </c>
      <c r="H40" s="4237">
        <v>210000101000056</v>
      </c>
      <c r="I40" s="4238" t="s">
        <v>4260</v>
      </c>
      <c r="K40" s="4236">
        <v>387</v>
      </c>
      <c r="L40" s="4236" t="s">
        <v>4336</v>
      </c>
    </row>
    <row r="41" spans="1:12" ht="15">
      <c r="A41" s="4236" t="s">
        <v>4339</v>
      </c>
      <c r="B41" s="4236" t="s">
        <v>4340</v>
      </c>
      <c r="D41" s="4236">
        <v>232</v>
      </c>
      <c r="E41" s="4236" t="s">
        <v>1792</v>
      </c>
      <c r="F41" s="4236" t="s">
        <v>4259</v>
      </c>
      <c r="H41" s="4237">
        <v>210000101000062</v>
      </c>
      <c r="I41" s="4238" t="s">
        <v>4260</v>
      </c>
      <c r="K41" s="4236">
        <v>388</v>
      </c>
      <c r="L41" s="4236" t="s">
        <v>4324</v>
      </c>
    </row>
    <row r="42" spans="1:12" ht="15">
      <c r="A42" s="4236" t="s">
        <v>4341</v>
      </c>
      <c r="B42" s="4236" t="s">
        <v>637</v>
      </c>
      <c r="D42" s="4236">
        <v>233</v>
      </c>
      <c r="E42" s="4236" t="s">
        <v>4342</v>
      </c>
      <c r="F42" s="4236" t="s">
        <v>4259</v>
      </c>
      <c r="H42" s="4237">
        <v>210000101000064</v>
      </c>
      <c r="I42" s="4238" t="s">
        <v>4260</v>
      </c>
      <c r="K42" s="4236">
        <v>389</v>
      </c>
      <c r="L42" s="4236" t="s">
        <v>4324</v>
      </c>
    </row>
    <row r="43" spans="1:12" ht="15">
      <c r="A43" s="4236" t="s">
        <v>4343</v>
      </c>
      <c r="B43" s="4236" t="s">
        <v>4344</v>
      </c>
      <c r="D43" s="4236">
        <v>234</v>
      </c>
      <c r="E43" s="4236" t="s">
        <v>4342</v>
      </c>
      <c r="F43" s="4236" t="s">
        <v>4259</v>
      </c>
      <c r="H43" s="4237">
        <v>210000101000067</v>
      </c>
      <c r="I43" s="4238" t="s">
        <v>4260</v>
      </c>
      <c r="K43" s="4236">
        <v>391</v>
      </c>
      <c r="L43" s="4236" t="s">
        <v>4324</v>
      </c>
    </row>
    <row r="44" spans="1:12" ht="15">
      <c r="A44" s="4236" t="s">
        <v>4345</v>
      </c>
      <c r="B44" s="4236" t="s">
        <v>4346</v>
      </c>
      <c r="D44" s="4236">
        <v>235</v>
      </c>
      <c r="E44" s="4236" t="s">
        <v>1792</v>
      </c>
      <c r="F44" s="4236" t="s">
        <v>4259</v>
      </c>
      <c r="H44" s="4237">
        <v>210000101000069</v>
      </c>
      <c r="I44" s="4238" t="s">
        <v>4260</v>
      </c>
      <c r="K44" s="4236">
        <v>395</v>
      </c>
      <c r="L44" s="4236" t="s">
        <v>4324</v>
      </c>
    </row>
    <row r="45" spans="1:12" ht="15">
      <c r="A45" s="4236" t="s">
        <v>4347</v>
      </c>
      <c r="B45" s="4236" t="s">
        <v>4348</v>
      </c>
      <c r="D45" s="4236">
        <v>236</v>
      </c>
      <c r="E45" s="4236" t="s">
        <v>1792</v>
      </c>
      <c r="F45" s="4236" t="s">
        <v>4259</v>
      </c>
      <c r="H45" s="4237">
        <v>210000101000931</v>
      </c>
      <c r="I45" s="4238" t="s">
        <v>4260</v>
      </c>
      <c r="K45" s="4236">
        <v>396</v>
      </c>
      <c r="L45" s="4236" t="s">
        <v>4324</v>
      </c>
    </row>
    <row r="46" spans="1:12" ht="15">
      <c r="A46" s="4236" t="s">
        <v>4349</v>
      </c>
      <c r="B46" s="4236" t="s">
        <v>4350</v>
      </c>
      <c r="D46" s="4236">
        <v>237</v>
      </c>
      <c r="E46" s="4236" t="s">
        <v>1792</v>
      </c>
      <c r="F46" s="4236" t="s">
        <v>4259</v>
      </c>
      <c r="H46" s="4237">
        <v>210000101000932</v>
      </c>
      <c r="I46" s="4238" t="s">
        <v>4260</v>
      </c>
      <c r="K46" s="4236">
        <v>399</v>
      </c>
      <c r="L46" s="4236" t="s">
        <v>4324</v>
      </c>
    </row>
    <row r="47" spans="1:12" ht="15">
      <c r="A47" s="4236" t="s">
        <v>4351</v>
      </c>
      <c r="B47" s="4236" t="s">
        <v>4352</v>
      </c>
      <c r="D47" s="4236">
        <v>238</v>
      </c>
      <c r="E47" s="4236" t="s">
        <v>1792</v>
      </c>
      <c r="F47" s="4236" t="s">
        <v>4259</v>
      </c>
      <c r="H47" s="4237">
        <v>210000101000933</v>
      </c>
      <c r="I47" s="4238" t="s">
        <v>4260</v>
      </c>
      <c r="K47" s="4236">
        <v>445</v>
      </c>
      <c r="L47" s="4236" t="s">
        <v>4330</v>
      </c>
    </row>
    <row r="48" spans="1:12" ht="15">
      <c r="A48" s="4236" t="s">
        <v>4353</v>
      </c>
      <c r="B48" s="4236" t="s">
        <v>4354</v>
      </c>
      <c r="D48" s="4236">
        <v>239</v>
      </c>
      <c r="E48" s="4236" t="s">
        <v>1792</v>
      </c>
      <c r="F48" s="4236" t="s">
        <v>4259</v>
      </c>
      <c r="H48" s="4237">
        <v>210000101000941</v>
      </c>
      <c r="I48" s="4238" t="s">
        <v>4260</v>
      </c>
      <c r="K48" s="4236">
        <v>455</v>
      </c>
      <c r="L48" s="4236" t="s">
        <v>4324</v>
      </c>
    </row>
    <row r="49" spans="1:12" ht="15">
      <c r="A49" s="4236" t="s">
        <v>4355</v>
      </c>
      <c r="B49" s="4236" t="s">
        <v>4356</v>
      </c>
      <c r="D49" s="4236">
        <v>241</v>
      </c>
      <c r="E49" s="4236" t="s">
        <v>1792</v>
      </c>
      <c r="F49" s="4236" t="s">
        <v>4259</v>
      </c>
      <c r="H49" s="4237">
        <v>210000202058001</v>
      </c>
      <c r="I49" s="4238" t="s">
        <v>4357</v>
      </c>
      <c r="K49" s="4236">
        <v>456</v>
      </c>
      <c r="L49" s="4236" t="s">
        <v>4324</v>
      </c>
    </row>
    <row r="50" spans="1:12" ht="15">
      <c r="A50" s="4236" t="s">
        <v>4358</v>
      </c>
      <c r="B50" s="4236" t="s">
        <v>4359</v>
      </c>
      <c r="D50" s="4236">
        <v>244</v>
      </c>
      <c r="E50" s="4236" t="s">
        <v>1792</v>
      </c>
      <c r="F50" s="4236" t="s">
        <v>4259</v>
      </c>
      <c r="H50" s="4237">
        <v>210000202058002</v>
      </c>
      <c r="I50" s="4238" t="s">
        <v>4357</v>
      </c>
      <c r="K50" s="4236">
        <v>458</v>
      </c>
      <c r="L50" s="4236" t="s">
        <v>4324</v>
      </c>
    </row>
    <row r="51" spans="1:12" ht="15">
      <c r="A51" s="4236" t="s">
        <v>4360</v>
      </c>
      <c r="B51" s="4236" t="s">
        <v>4361</v>
      </c>
      <c r="D51" s="4236">
        <v>246</v>
      </c>
      <c r="E51" s="4236" t="s">
        <v>4283</v>
      </c>
      <c r="F51" s="4236" t="s">
        <v>4283</v>
      </c>
      <c r="H51" s="4237">
        <v>210000202058003</v>
      </c>
      <c r="I51" s="4238" t="s">
        <v>4357</v>
      </c>
      <c r="K51" s="4236">
        <v>461</v>
      </c>
      <c r="L51" s="4236" t="s">
        <v>4330</v>
      </c>
    </row>
    <row r="52" spans="1:12" ht="15">
      <c r="A52" s="4236" t="s">
        <v>4362</v>
      </c>
      <c r="B52" s="4236" t="s">
        <v>4363</v>
      </c>
      <c r="D52" s="4236">
        <v>247</v>
      </c>
      <c r="E52" s="4236" t="s">
        <v>4283</v>
      </c>
      <c r="F52" s="4236" t="s">
        <v>4289</v>
      </c>
      <c r="H52" s="4237">
        <v>210000202058004</v>
      </c>
      <c r="I52" s="4238" t="s">
        <v>4357</v>
      </c>
      <c r="K52" s="4236">
        <v>462</v>
      </c>
      <c r="L52" s="4236" t="s">
        <v>4330</v>
      </c>
    </row>
    <row r="53" spans="1:12" ht="15">
      <c r="A53" s="4236" t="s">
        <v>4364</v>
      </c>
      <c r="B53" s="4236" t="s">
        <v>4365</v>
      </c>
      <c r="D53" s="4236">
        <v>251</v>
      </c>
      <c r="E53" s="4236" t="s">
        <v>4313</v>
      </c>
      <c r="F53" s="4236" t="s">
        <v>4366</v>
      </c>
      <c r="H53" s="4237">
        <v>210000202058005</v>
      </c>
      <c r="I53" s="4238" t="s">
        <v>4357</v>
      </c>
      <c r="K53" s="4236">
        <v>463</v>
      </c>
      <c r="L53" s="4236" t="s">
        <v>4324</v>
      </c>
    </row>
    <row r="54" spans="1:12" ht="15">
      <c r="A54" s="4236" t="s">
        <v>4367</v>
      </c>
      <c r="B54" s="4236" t="s">
        <v>4368</v>
      </c>
      <c r="D54" s="4236">
        <v>254</v>
      </c>
      <c r="E54" s="4236" t="s">
        <v>1792</v>
      </c>
      <c r="F54" s="4236" t="s">
        <v>4259</v>
      </c>
      <c r="H54" s="4237">
        <v>210000202058006</v>
      </c>
      <c r="I54" s="4238" t="s">
        <v>4357</v>
      </c>
      <c r="K54" s="4236">
        <v>464</v>
      </c>
      <c r="L54" s="4236" t="s">
        <v>4324</v>
      </c>
    </row>
    <row r="55" spans="1:12" ht="15">
      <c r="A55" s="4236" t="s">
        <v>4369</v>
      </c>
      <c r="B55" s="4236" t="s">
        <v>637</v>
      </c>
      <c r="D55" s="4236">
        <v>255</v>
      </c>
      <c r="E55" s="4236" t="s">
        <v>1792</v>
      </c>
      <c r="F55" s="4236" t="s">
        <v>4259</v>
      </c>
      <c r="H55" s="4237">
        <v>210000202058007</v>
      </c>
      <c r="I55" s="4238" t="s">
        <v>4357</v>
      </c>
      <c r="K55" s="4236">
        <v>466</v>
      </c>
      <c r="L55" s="4236" t="s">
        <v>4324</v>
      </c>
    </row>
    <row r="56" spans="1:12" ht="15">
      <c r="A56" s="4236" t="s">
        <v>4370</v>
      </c>
      <c r="B56" s="4236" t="s">
        <v>20</v>
      </c>
      <c r="D56" s="4236">
        <v>257</v>
      </c>
      <c r="E56" s="4236" t="s">
        <v>4308</v>
      </c>
      <c r="F56" s="4236" t="s">
        <v>4308</v>
      </c>
      <c r="H56" s="4237">
        <v>210000202058008</v>
      </c>
      <c r="I56" s="4238" t="s">
        <v>4357</v>
      </c>
      <c r="K56" s="4236">
        <v>484</v>
      </c>
      <c r="L56" s="4236" t="s">
        <v>4324</v>
      </c>
    </row>
    <row r="57" spans="1:12" ht="15">
      <c r="A57" s="4236" t="s">
        <v>986</v>
      </c>
      <c r="B57" s="4236" t="s">
        <v>4371</v>
      </c>
      <c r="D57" s="4236">
        <v>258</v>
      </c>
      <c r="E57" s="4236" t="s">
        <v>1792</v>
      </c>
      <c r="F57" s="4236" t="s">
        <v>4259</v>
      </c>
      <c r="H57" s="4237">
        <v>210000202058009</v>
      </c>
      <c r="I57" s="4238" t="s">
        <v>4357</v>
      </c>
      <c r="K57" s="4236">
        <v>485</v>
      </c>
      <c r="L57" s="4236" t="s">
        <v>4336</v>
      </c>
    </row>
    <row r="58" spans="1:12" ht="15">
      <c r="A58" s="4236" t="s">
        <v>4372</v>
      </c>
      <c r="B58" s="4236" t="s">
        <v>4373</v>
      </c>
      <c r="D58" s="4236">
        <v>263</v>
      </c>
      <c r="E58" s="4236" t="s">
        <v>4374</v>
      </c>
      <c r="F58" s="4236" t="s">
        <v>4375</v>
      </c>
      <c r="H58" s="4237">
        <v>210000202058010</v>
      </c>
      <c r="I58" s="4238" t="s">
        <v>4357</v>
      </c>
      <c r="K58" s="4236">
        <v>487</v>
      </c>
      <c r="L58" s="4236" t="s">
        <v>4336</v>
      </c>
    </row>
    <row r="59" spans="1:12" ht="15">
      <c r="A59" s="4236" t="s">
        <v>4376</v>
      </c>
      <c r="B59" s="4236" t="s">
        <v>4377</v>
      </c>
      <c r="D59" s="4236">
        <v>264</v>
      </c>
      <c r="E59" s="4236" t="s">
        <v>4374</v>
      </c>
      <c r="F59" s="4236" t="s">
        <v>4378</v>
      </c>
      <c r="H59" s="4237">
        <v>210000202058011</v>
      </c>
      <c r="I59" s="4238" t="s">
        <v>4357</v>
      </c>
      <c r="K59" s="4236">
        <v>488</v>
      </c>
      <c r="L59" s="4236" t="s">
        <v>4324</v>
      </c>
    </row>
    <row r="60" spans="1:12" ht="15">
      <c r="A60" s="4236" t="s">
        <v>4379</v>
      </c>
      <c r="B60" s="4236" t="s">
        <v>4377</v>
      </c>
      <c r="D60" s="4236">
        <v>265</v>
      </c>
      <c r="E60" s="4236" t="s">
        <v>4374</v>
      </c>
      <c r="F60" s="4236" t="s">
        <v>4375</v>
      </c>
      <c r="H60" s="4237">
        <v>210000202058012</v>
      </c>
      <c r="I60" s="4238" t="s">
        <v>4357</v>
      </c>
      <c r="K60" s="4236">
        <v>489</v>
      </c>
      <c r="L60" s="4236" t="s">
        <v>4324</v>
      </c>
    </row>
    <row r="61" spans="1:12" ht="15">
      <c r="A61" s="4236" t="s">
        <v>988</v>
      </c>
      <c r="B61" s="4236" t="s">
        <v>4380</v>
      </c>
      <c r="D61" s="4236">
        <v>266</v>
      </c>
      <c r="E61" s="4236" t="s">
        <v>4374</v>
      </c>
      <c r="F61" s="4236" t="s">
        <v>4375</v>
      </c>
      <c r="H61" s="4237">
        <v>210000202058013</v>
      </c>
      <c r="I61" s="4238" t="s">
        <v>4357</v>
      </c>
      <c r="K61" s="4236">
        <v>491</v>
      </c>
      <c r="L61" s="4236" t="s">
        <v>4324</v>
      </c>
    </row>
    <row r="62" spans="1:12" ht="15">
      <c r="A62" s="4236" t="s">
        <v>994</v>
      </c>
      <c r="B62" s="4236" t="s">
        <v>4381</v>
      </c>
      <c r="D62" s="4236">
        <v>267</v>
      </c>
      <c r="E62" s="4236" t="s">
        <v>4374</v>
      </c>
      <c r="F62" s="4236" t="s">
        <v>4375</v>
      </c>
      <c r="H62" s="4237">
        <v>210000202058014</v>
      </c>
      <c r="I62" s="4238" t="s">
        <v>4357</v>
      </c>
      <c r="K62" s="4236">
        <v>494</v>
      </c>
      <c r="L62" s="4236" t="s">
        <v>4324</v>
      </c>
    </row>
    <row r="63" spans="1:12" ht="15">
      <c r="A63" s="4236" t="s">
        <v>4382</v>
      </c>
      <c r="B63" s="4236" t="s">
        <v>20</v>
      </c>
      <c r="D63" s="4236">
        <v>268</v>
      </c>
      <c r="E63" s="4236" t="s">
        <v>4374</v>
      </c>
      <c r="F63" s="4236" t="s">
        <v>4375</v>
      </c>
      <c r="H63" s="4237">
        <v>210000202058015</v>
      </c>
      <c r="I63" s="4238" t="s">
        <v>4357</v>
      </c>
      <c r="K63" s="4236">
        <v>495</v>
      </c>
      <c r="L63" s="4236" t="s">
        <v>4324</v>
      </c>
    </row>
    <row r="64" spans="1:12" ht="15">
      <c r="A64" s="4236" t="s">
        <v>4383</v>
      </c>
      <c r="B64" s="4236" t="s">
        <v>4384</v>
      </c>
      <c r="D64" s="4236">
        <v>271</v>
      </c>
      <c r="E64" s="4236" t="s">
        <v>4374</v>
      </c>
      <c r="F64" s="4236" t="s">
        <v>4378</v>
      </c>
      <c r="H64" s="4237">
        <v>210000202058016</v>
      </c>
      <c r="I64" s="4238" t="s">
        <v>4357</v>
      </c>
      <c r="K64" s="4236">
        <v>496</v>
      </c>
      <c r="L64" s="4236" t="s">
        <v>4324</v>
      </c>
    </row>
    <row r="65" spans="1:12" ht="15">
      <c r="A65" s="4236" t="s">
        <v>4385</v>
      </c>
      <c r="B65" s="4236" t="s">
        <v>4386</v>
      </c>
      <c r="D65" s="4236">
        <v>272</v>
      </c>
      <c r="E65" s="4236" t="s">
        <v>4374</v>
      </c>
      <c r="F65" s="4236" t="s">
        <v>4378</v>
      </c>
      <c r="H65" s="4237">
        <v>210000202058017</v>
      </c>
      <c r="I65" s="4238" t="s">
        <v>4357</v>
      </c>
      <c r="K65" s="4236">
        <v>498</v>
      </c>
      <c r="L65" s="4236" t="s">
        <v>4324</v>
      </c>
    </row>
    <row r="66" spans="1:12" ht="15">
      <c r="A66" s="4236" t="s">
        <v>4387</v>
      </c>
      <c r="B66" s="4236" t="s">
        <v>4388</v>
      </c>
      <c r="D66" s="4236">
        <v>273</v>
      </c>
      <c r="E66" s="4236" t="s">
        <v>4374</v>
      </c>
      <c r="F66" s="4239" t="s">
        <v>4375</v>
      </c>
      <c r="H66" s="4237">
        <v>210000202058018</v>
      </c>
      <c r="I66" s="4238" t="s">
        <v>4357</v>
      </c>
      <c r="K66" s="4236">
        <v>499</v>
      </c>
      <c r="L66" s="4236" t="s">
        <v>4324</v>
      </c>
    </row>
    <row r="67" spans="1:12" ht="15">
      <c r="A67" s="4236" t="s">
        <v>4389</v>
      </c>
      <c r="B67" s="4236" t="s">
        <v>623</v>
      </c>
      <c r="D67" s="4236">
        <v>274</v>
      </c>
      <c r="E67" s="4236" t="s">
        <v>4374</v>
      </c>
      <c r="F67" s="4239" t="s">
        <v>4375</v>
      </c>
      <c r="H67" s="4237">
        <v>210000202058019</v>
      </c>
      <c r="I67" s="4238" t="s">
        <v>4357</v>
      </c>
      <c r="K67" s="4240">
        <v>532</v>
      </c>
      <c r="L67" s="4240" t="s">
        <v>4390</v>
      </c>
    </row>
    <row r="68" spans="1:12" ht="15">
      <c r="A68" s="4236" t="s">
        <v>4391</v>
      </c>
      <c r="B68" s="4236" t="s">
        <v>625</v>
      </c>
      <c r="D68" s="4236">
        <v>275</v>
      </c>
      <c r="E68" s="4236" t="s">
        <v>4374</v>
      </c>
      <c r="F68" s="4239" t="s">
        <v>4375</v>
      </c>
      <c r="H68" s="4237">
        <v>210000202058020</v>
      </c>
      <c r="I68" s="4238" t="s">
        <v>4357</v>
      </c>
      <c r="K68" s="4240">
        <v>775</v>
      </c>
      <c r="L68" s="4240" t="s">
        <v>4280</v>
      </c>
    </row>
    <row r="69" spans="1:12" ht="15">
      <c r="A69" s="4236" t="s">
        <v>4392</v>
      </c>
      <c r="B69" s="4236" t="s">
        <v>4393</v>
      </c>
      <c r="D69" s="4236">
        <v>276</v>
      </c>
      <c r="E69" s="4236" t="s">
        <v>4374</v>
      </c>
      <c r="F69" s="4236" t="s">
        <v>4378</v>
      </c>
      <c r="H69" s="4237">
        <v>210000202059001</v>
      </c>
      <c r="I69" s="4238" t="s">
        <v>4357</v>
      </c>
    </row>
    <row r="70" spans="1:12" ht="15">
      <c r="A70" s="4236" t="s">
        <v>4394</v>
      </c>
      <c r="B70" s="4236" t="s">
        <v>4395</v>
      </c>
      <c r="D70" s="4236">
        <v>277</v>
      </c>
      <c r="E70" s="4236" t="s">
        <v>4374</v>
      </c>
      <c r="F70" s="4236" t="s">
        <v>4378</v>
      </c>
      <c r="H70" s="4237">
        <v>210000202059002</v>
      </c>
      <c r="I70" s="4238" t="s">
        <v>4357</v>
      </c>
    </row>
    <row r="71" spans="1:12" ht="15">
      <c r="A71" s="4236" t="s">
        <v>4396</v>
      </c>
      <c r="B71" s="4236" t="s">
        <v>4397</v>
      </c>
      <c r="D71" s="4236">
        <v>278</v>
      </c>
      <c r="E71" s="4236" t="s">
        <v>4374</v>
      </c>
      <c r="F71" s="4236" t="s">
        <v>4378</v>
      </c>
      <c r="H71" s="4237">
        <v>210000202059003</v>
      </c>
      <c r="I71" s="4238" t="s">
        <v>4357</v>
      </c>
    </row>
    <row r="72" spans="1:12" ht="15">
      <c r="A72" s="4236" t="s">
        <v>4398</v>
      </c>
      <c r="B72" s="4236" t="s">
        <v>4399</v>
      </c>
      <c r="D72" s="4236">
        <v>282</v>
      </c>
      <c r="E72" s="4236" t="s">
        <v>4374</v>
      </c>
      <c r="F72" s="4236" t="s">
        <v>4378</v>
      </c>
      <c r="H72" s="4237">
        <v>210000202059004</v>
      </c>
      <c r="I72" s="4238" t="s">
        <v>4357</v>
      </c>
    </row>
    <row r="73" spans="1:12" ht="15">
      <c r="A73" s="4236" t="s">
        <v>4400</v>
      </c>
      <c r="B73" s="4236" t="s">
        <v>4401</v>
      </c>
      <c r="D73" s="4236">
        <v>283</v>
      </c>
      <c r="E73" s="4236" t="s">
        <v>4374</v>
      </c>
      <c r="F73" s="4236" t="s">
        <v>4378</v>
      </c>
      <c r="H73" s="4237">
        <v>210000202059005</v>
      </c>
      <c r="I73" s="4238" t="s">
        <v>4357</v>
      </c>
    </row>
    <row r="74" spans="1:12" ht="15">
      <c r="A74" s="4236" t="s">
        <v>4402</v>
      </c>
      <c r="B74" s="4236" t="s">
        <v>4403</v>
      </c>
      <c r="D74" s="4236">
        <v>284</v>
      </c>
      <c r="E74" s="4236" t="s">
        <v>4374</v>
      </c>
      <c r="F74" s="4239" t="s">
        <v>4375</v>
      </c>
      <c r="H74" s="4237">
        <v>210000202059006</v>
      </c>
      <c r="I74" s="4238" t="s">
        <v>4357</v>
      </c>
    </row>
    <row r="75" spans="1:12" ht="15">
      <c r="A75" s="4236" t="s">
        <v>4404</v>
      </c>
      <c r="B75" s="4236" t="s">
        <v>4405</v>
      </c>
      <c r="D75" s="4236">
        <v>285</v>
      </c>
      <c r="E75" s="4236" t="s">
        <v>4374</v>
      </c>
      <c r="F75" s="4236" t="s">
        <v>4378</v>
      </c>
      <c r="H75" s="4237">
        <v>210000202059007</v>
      </c>
      <c r="I75" s="4238" t="s">
        <v>4357</v>
      </c>
    </row>
    <row r="76" spans="1:12" ht="15">
      <c r="A76" s="4236" t="s">
        <v>4406</v>
      </c>
      <c r="B76" s="4236" t="s">
        <v>4407</v>
      </c>
      <c r="D76" s="4236">
        <v>288</v>
      </c>
      <c r="E76" s="4236" t="s">
        <v>4374</v>
      </c>
      <c r="F76" s="4236" t="s">
        <v>4378</v>
      </c>
      <c r="H76" s="4237">
        <v>210000202059008</v>
      </c>
      <c r="I76" s="4238" t="s">
        <v>4357</v>
      </c>
    </row>
    <row r="77" spans="1:12" ht="15">
      <c r="A77" s="4236" t="s">
        <v>4408</v>
      </c>
      <c r="B77" s="4236" t="s">
        <v>4409</v>
      </c>
      <c r="D77" s="4236">
        <v>289</v>
      </c>
      <c r="E77" s="4236" t="s">
        <v>4374</v>
      </c>
      <c r="F77" s="4236" t="s">
        <v>4378</v>
      </c>
      <c r="H77" s="4237">
        <v>210000202059009</v>
      </c>
      <c r="I77" s="4238" t="s">
        <v>4357</v>
      </c>
    </row>
    <row r="78" spans="1:12" ht="15">
      <c r="A78" s="4236" t="s">
        <v>4410</v>
      </c>
      <c r="B78" s="4236" t="s">
        <v>4411</v>
      </c>
      <c r="D78" s="4236">
        <v>299</v>
      </c>
      <c r="E78" s="4236" t="s">
        <v>4374</v>
      </c>
      <c r="F78" s="4239" t="s">
        <v>4375</v>
      </c>
      <c r="H78" s="4237">
        <v>210000202059010</v>
      </c>
      <c r="I78" s="4238" t="s">
        <v>4357</v>
      </c>
    </row>
    <row r="79" spans="1:12" ht="15">
      <c r="A79" s="4236" t="s">
        <v>4412</v>
      </c>
      <c r="B79" s="4236" t="s">
        <v>4413</v>
      </c>
      <c r="D79" s="4236">
        <v>311</v>
      </c>
      <c r="E79" s="4236" t="s">
        <v>1792</v>
      </c>
      <c r="F79" s="4239" t="s">
        <v>4259</v>
      </c>
      <c r="H79" s="4237">
        <v>210000202059011</v>
      </c>
      <c r="I79" s="4238" t="s">
        <v>4357</v>
      </c>
    </row>
    <row r="80" spans="1:12" ht="15">
      <c r="A80" s="4236" t="s">
        <v>4414</v>
      </c>
      <c r="B80" s="4236" t="s">
        <v>4415</v>
      </c>
      <c r="D80" s="4236">
        <v>314</v>
      </c>
      <c r="E80" s="4236" t="s">
        <v>1792</v>
      </c>
      <c r="F80" s="4239" t="s">
        <v>4259</v>
      </c>
      <c r="H80" s="4237">
        <v>210000202059012</v>
      </c>
      <c r="I80" s="4238" t="s">
        <v>4357</v>
      </c>
    </row>
    <row r="81" spans="1:9" ht="15">
      <c r="A81" s="4236" t="s">
        <v>4416</v>
      </c>
      <c r="B81" s="4236" t="s">
        <v>4340</v>
      </c>
      <c r="D81" s="4241">
        <v>315</v>
      </c>
      <c r="E81" s="4236" t="s">
        <v>4417</v>
      </c>
      <c r="F81" s="4239"/>
      <c r="H81" s="4237">
        <v>210000202059013</v>
      </c>
      <c r="I81" s="4238" t="s">
        <v>4357</v>
      </c>
    </row>
    <row r="82" spans="1:9" ht="15">
      <c r="A82" s="4236" t="s">
        <v>4418</v>
      </c>
      <c r="B82" s="4236" t="s">
        <v>4363</v>
      </c>
      <c r="D82" s="4241">
        <v>321</v>
      </c>
      <c r="E82" s="4236" t="s">
        <v>1792</v>
      </c>
      <c r="F82" s="4239" t="s">
        <v>4259</v>
      </c>
      <c r="H82" s="4237">
        <v>210000202059014</v>
      </c>
      <c r="I82" s="4238" t="s">
        <v>4357</v>
      </c>
    </row>
    <row r="83" spans="1:9" ht="15">
      <c r="A83" s="4236" t="s">
        <v>4419</v>
      </c>
      <c r="B83" s="4236" t="s">
        <v>4420</v>
      </c>
      <c r="D83" s="4241">
        <v>322</v>
      </c>
      <c r="E83" s="4236" t="s">
        <v>4417</v>
      </c>
      <c r="F83" s="4239"/>
      <c r="H83" s="4237">
        <v>210000202059015</v>
      </c>
      <c r="I83" s="4238" t="s">
        <v>4357</v>
      </c>
    </row>
    <row r="84" spans="1:9" ht="15">
      <c r="A84" s="4236" t="s">
        <v>4421</v>
      </c>
      <c r="B84" s="4236" t="s">
        <v>4422</v>
      </c>
      <c r="D84" s="4241">
        <v>323</v>
      </c>
      <c r="E84" s="4236" t="s">
        <v>4417</v>
      </c>
      <c r="F84" s="4239" t="s">
        <v>4259</v>
      </c>
      <c r="H84" s="4237">
        <v>210000202059016</v>
      </c>
      <c r="I84" s="4238" t="s">
        <v>4357</v>
      </c>
    </row>
    <row r="85" spans="1:9" ht="15">
      <c r="A85" s="4236" t="s">
        <v>4423</v>
      </c>
      <c r="B85" s="4236" t="s">
        <v>4348</v>
      </c>
      <c r="D85" s="4241">
        <v>329</v>
      </c>
      <c r="E85" s="4236" t="s">
        <v>1792</v>
      </c>
      <c r="F85" s="4239" t="s">
        <v>4259</v>
      </c>
      <c r="H85" s="4237">
        <v>210000202059017</v>
      </c>
      <c r="I85" s="4238" t="s">
        <v>4357</v>
      </c>
    </row>
    <row r="86" spans="1:9" ht="15">
      <c r="A86" s="4236" t="s">
        <v>4424</v>
      </c>
      <c r="B86" s="4236" t="s">
        <v>4425</v>
      </c>
      <c r="D86" s="4241">
        <v>331</v>
      </c>
      <c r="E86" s="4236" t="s">
        <v>1792</v>
      </c>
      <c r="F86" s="4239" t="s">
        <v>4259</v>
      </c>
      <c r="H86" s="4237">
        <v>210000202059018</v>
      </c>
      <c r="I86" s="4238" t="s">
        <v>4357</v>
      </c>
    </row>
    <row r="87" spans="1:9" ht="15">
      <c r="A87" s="4236" t="s">
        <v>4426</v>
      </c>
      <c r="B87" s="4236" t="s">
        <v>629</v>
      </c>
      <c r="D87" s="4241">
        <v>332</v>
      </c>
      <c r="E87" s="4236" t="s">
        <v>1792</v>
      </c>
      <c r="F87" s="4239" t="s">
        <v>4259</v>
      </c>
      <c r="H87" s="4237">
        <v>210000202059019</v>
      </c>
      <c r="I87" s="4238" t="s">
        <v>4357</v>
      </c>
    </row>
    <row r="88" spans="1:9" ht="15">
      <c r="A88" s="4236" t="s">
        <v>4427</v>
      </c>
      <c r="B88" s="4236" t="s">
        <v>4428</v>
      </c>
      <c r="D88" s="4236">
        <v>351</v>
      </c>
      <c r="E88" s="4236" t="s">
        <v>4308</v>
      </c>
      <c r="F88" s="4239" t="s">
        <v>4429</v>
      </c>
      <c r="H88" s="4237">
        <v>210000202059020</v>
      </c>
      <c r="I88" s="4238" t="s">
        <v>4357</v>
      </c>
    </row>
    <row r="89" spans="1:9" ht="15">
      <c r="A89" s="4236" t="s">
        <v>4430</v>
      </c>
      <c r="B89" s="4236" t="s">
        <v>4431</v>
      </c>
      <c r="D89" s="4236">
        <v>352</v>
      </c>
      <c r="E89" s="4236" t="s">
        <v>4308</v>
      </c>
      <c r="F89" s="4239" t="s">
        <v>4429</v>
      </c>
      <c r="H89" s="4237">
        <v>210000202073001</v>
      </c>
      <c r="I89" s="4238" t="s">
        <v>4357</v>
      </c>
    </row>
    <row r="90" spans="1:9" ht="15">
      <c r="A90" s="4236" t="s">
        <v>4432</v>
      </c>
      <c r="B90" s="4236" t="s">
        <v>4433</v>
      </c>
      <c r="D90" s="4236">
        <v>353</v>
      </c>
      <c r="E90" s="4236" t="s">
        <v>4313</v>
      </c>
      <c r="F90" s="4239" t="s">
        <v>4434</v>
      </c>
      <c r="H90" s="4237">
        <v>210000202073002</v>
      </c>
      <c r="I90" s="4238" t="s">
        <v>4357</v>
      </c>
    </row>
    <row r="91" spans="1:9" ht="15">
      <c r="A91" s="4236" t="s">
        <v>4435</v>
      </c>
      <c r="B91" s="4236" t="s">
        <v>4436</v>
      </c>
      <c r="D91" s="4236">
        <v>354</v>
      </c>
      <c r="E91" s="4236" t="s">
        <v>1792</v>
      </c>
      <c r="F91" s="4239" t="s">
        <v>4259</v>
      </c>
      <c r="H91" s="4237">
        <v>210000202073003</v>
      </c>
      <c r="I91" s="4238" t="s">
        <v>4357</v>
      </c>
    </row>
    <row r="92" spans="1:9" ht="15">
      <c r="A92" s="4236" t="s">
        <v>4437</v>
      </c>
      <c r="B92" s="4236" t="s">
        <v>4438</v>
      </c>
      <c r="D92" s="4236">
        <v>355</v>
      </c>
      <c r="E92" s="4236" t="s">
        <v>1792</v>
      </c>
      <c r="F92" s="4239" t="s">
        <v>4259</v>
      </c>
      <c r="H92" s="4237">
        <v>210000202084008</v>
      </c>
      <c r="I92" s="4238" t="s">
        <v>4357</v>
      </c>
    </row>
    <row r="93" spans="1:9" ht="15">
      <c r="A93" s="4236" t="s">
        <v>4439</v>
      </c>
      <c r="B93" s="4236" t="s">
        <v>4440</v>
      </c>
      <c r="D93" s="4236">
        <v>356</v>
      </c>
      <c r="E93" s="4236" t="s">
        <v>4441</v>
      </c>
      <c r="F93" s="4239" t="s">
        <v>4259</v>
      </c>
      <c r="H93" s="4237">
        <v>210000202095001</v>
      </c>
      <c r="I93" s="4238" t="s">
        <v>4357</v>
      </c>
    </row>
    <row r="94" spans="1:9" ht="15">
      <c r="A94" s="4236" t="s">
        <v>4442</v>
      </c>
      <c r="B94" s="4236" t="s">
        <v>4443</v>
      </c>
      <c r="D94" s="4236">
        <v>357</v>
      </c>
      <c r="E94" s="4236" t="s">
        <v>1792</v>
      </c>
      <c r="F94" s="4239" t="s">
        <v>4259</v>
      </c>
      <c r="H94" s="4237">
        <v>210000202316001</v>
      </c>
      <c r="I94" s="4238" t="s">
        <v>4357</v>
      </c>
    </row>
    <row r="95" spans="1:9" ht="15">
      <c r="A95" s="4236" t="s">
        <v>4444</v>
      </c>
      <c r="B95" s="4236" t="s">
        <v>4445</v>
      </c>
      <c r="D95" s="4236">
        <v>359</v>
      </c>
      <c r="E95" s="4236" t="s">
        <v>4308</v>
      </c>
      <c r="F95" s="4239" t="s">
        <v>4429</v>
      </c>
      <c r="H95" s="4237">
        <v>210000202316002</v>
      </c>
      <c r="I95" s="4238" t="s">
        <v>4357</v>
      </c>
    </row>
    <row r="96" spans="1:9" ht="15">
      <c r="A96" s="4236" t="s">
        <v>4446</v>
      </c>
      <c r="B96" s="4236" t="s">
        <v>4447</v>
      </c>
      <c r="D96" s="4236">
        <v>371</v>
      </c>
      <c r="E96" s="4236" t="s">
        <v>4448</v>
      </c>
      <c r="F96" s="4239"/>
      <c r="H96" s="4237">
        <v>210000202316004</v>
      </c>
      <c r="I96" s="4238" t="s">
        <v>4357</v>
      </c>
    </row>
    <row r="97" spans="1:9" ht="15">
      <c r="A97" s="4236" t="s">
        <v>4449</v>
      </c>
      <c r="B97" s="4236" t="s">
        <v>4450</v>
      </c>
      <c r="D97" s="4236">
        <v>372</v>
      </c>
      <c r="E97" s="4236" t="s">
        <v>4448</v>
      </c>
      <c r="F97" s="4239" t="s">
        <v>4259</v>
      </c>
      <c r="H97" s="4237">
        <v>210000202316005</v>
      </c>
      <c r="I97" s="4238" t="s">
        <v>4357</v>
      </c>
    </row>
    <row r="98" spans="1:9" ht="15">
      <c r="A98" s="4236" t="s">
        <v>4451</v>
      </c>
      <c r="B98" s="4236" t="s">
        <v>4452</v>
      </c>
      <c r="D98" s="4236">
        <v>373</v>
      </c>
      <c r="E98" s="4236" t="s">
        <v>4448</v>
      </c>
      <c r="F98" s="4239"/>
      <c r="H98" s="4237">
        <v>210000202316006</v>
      </c>
      <c r="I98" s="4238" t="s">
        <v>4357</v>
      </c>
    </row>
    <row r="99" spans="1:9" ht="15">
      <c r="A99" s="4236" t="s">
        <v>4453</v>
      </c>
      <c r="B99" s="4236" t="s">
        <v>4454</v>
      </c>
      <c r="D99" s="4236">
        <v>384</v>
      </c>
      <c r="E99" s="4236" t="s">
        <v>4417</v>
      </c>
      <c r="F99" s="4239" t="s">
        <v>4259</v>
      </c>
      <c r="H99" s="4237">
        <v>210000202316007</v>
      </c>
      <c r="I99" s="4238" t="s">
        <v>4357</v>
      </c>
    </row>
    <row r="100" spans="1:9" ht="15">
      <c r="A100" s="4236" t="s">
        <v>4455</v>
      </c>
      <c r="B100" s="4236" t="s">
        <v>4456</v>
      </c>
      <c r="D100" s="4236">
        <v>385</v>
      </c>
      <c r="E100" s="4236" t="s">
        <v>4457</v>
      </c>
      <c r="F100" s="4239" t="s">
        <v>4458</v>
      </c>
      <c r="H100" s="4237">
        <v>210000202316008</v>
      </c>
      <c r="I100" s="4238" t="s">
        <v>4357</v>
      </c>
    </row>
    <row r="101" spans="1:9" ht="15">
      <c r="A101" s="4236" t="s">
        <v>4459</v>
      </c>
      <c r="B101" s="4236" t="s">
        <v>4460</v>
      </c>
      <c r="D101" s="4236">
        <v>386</v>
      </c>
      <c r="E101" s="4236" t="s">
        <v>4461</v>
      </c>
      <c r="F101" s="4239" t="s">
        <v>4462</v>
      </c>
      <c r="H101" s="4237">
        <v>210000202316009</v>
      </c>
      <c r="I101" s="4238" t="s">
        <v>4357</v>
      </c>
    </row>
    <row r="102" spans="1:9" ht="15">
      <c r="A102" s="4236" t="s">
        <v>488</v>
      </c>
      <c r="B102" s="4236" t="s">
        <v>486</v>
      </c>
      <c r="D102" s="4236">
        <v>387</v>
      </c>
      <c r="E102" s="4236" t="s">
        <v>4457</v>
      </c>
      <c r="F102" s="4239" t="s">
        <v>4463</v>
      </c>
      <c r="H102" s="4237">
        <v>210000202316011</v>
      </c>
      <c r="I102" s="4238" t="s">
        <v>4357</v>
      </c>
    </row>
    <row r="103" spans="1:9" ht="15">
      <c r="A103" s="4236" t="s">
        <v>4464</v>
      </c>
      <c r="B103" s="4236" t="s">
        <v>4465</v>
      </c>
      <c r="D103" s="4241">
        <v>388</v>
      </c>
      <c r="E103" s="4236" t="s">
        <v>4417</v>
      </c>
      <c r="F103" s="4239" t="s">
        <v>4259</v>
      </c>
      <c r="H103" s="4237">
        <v>210000202316015</v>
      </c>
      <c r="I103" s="4238" t="s">
        <v>4357</v>
      </c>
    </row>
    <row r="104" spans="1:9" ht="15">
      <c r="A104" s="4236" t="s">
        <v>4466</v>
      </c>
      <c r="B104" s="4236" t="s">
        <v>4467</v>
      </c>
      <c r="D104" s="4241">
        <v>389</v>
      </c>
      <c r="E104" s="4236" t="s">
        <v>4417</v>
      </c>
      <c r="F104" s="4239" t="s">
        <v>4259</v>
      </c>
      <c r="H104" s="4237">
        <v>210000202316016</v>
      </c>
      <c r="I104" s="4238" t="s">
        <v>4357</v>
      </c>
    </row>
    <row r="105" spans="1:9" ht="15">
      <c r="A105" s="4236" t="s">
        <v>4468</v>
      </c>
      <c r="B105" s="4236" t="s">
        <v>4469</v>
      </c>
      <c r="D105" s="4241">
        <v>391</v>
      </c>
      <c r="E105" s="4236" t="s">
        <v>4417</v>
      </c>
      <c r="F105" s="4239" t="s">
        <v>4259</v>
      </c>
      <c r="H105" s="4237">
        <v>210000202316017</v>
      </c>
      <c r="I105" s="4238" t="s">
        <v>4357</v>
      </c>
    </row>
    <row r="106" spans="1:9" ht="15">
      <c r="A106" s="4236" t="s">
        <v>4470</v>
      </c>
      <c r="B106" s="4236" t="s">
        <v>4471</v>
      </c>
      <c r="D106" s="4236">
        <v>392</v>
      </c>
      <c r="E106" s="4236" t="s">
        <v>4417</v>
      </c>
      <c r="F106" s="4236"/>
      <c r="H106" s="4237">
        <v>210000202316019</v>
      </c>
      <c r="I106" s="4238" t="s">
        <v>4357</v>
      </c>
    </row>
    <row r="107" spans="1:9" ht="15">
      <c r="A107" s="4236" t="s">
        <v>4472</v>
      </c>
      <c r="B107" s="4236" t="s">
        <v>4473</v>
      </c>
      <c r="D107" s="4236">
        <v>393</v>
      </c>
      <c r="E107" s="4236" t="s">
        <v>1792</v>
      </c>
      <c r="F107" s="4236" t="s">
        <v>4259</v>
      </c>
      <c r="H107" s="4237">
        <v>210000202316020</v>
      </c>
      <c r="I107" s="4238" t="s">
        <v>4357</v>
      </c>
    </row>
    <row r="108" spans="1:9" ht="15">
      <c r="A108" s="4236" t="s">
        <v>4474</v>
      </c>
      <c r="B108" s="4236" t="s">
        <v>4475</v>
      </c>
      <c r="D108" s="4236">
        <v>394</v>
      </c>
      <c r="E108" s="4236" t="s">
        <v>1792</v>
      </c>
      <c r="F108" s="4236" t="s">
        <v>4259</v>
      </c>
      <c r="H108" s="4237">
        <v>210000202339002</v>
      </c>
      <c r="I108" s="4238" t="s">
        <v>4357</v>
      </c>
    </row>
    <row r="109" spans="1:9" ht="15">
      <c r="A109" s="4236" t="s">
        <v>4476</v>
      </c>
      <c r="B109" s="4236" t="s">
        <v>4477</v>
      </c>
      <c r="D109" s="4236">
        <v>395</v>
      </c>
      <c r="E109" s="4236" t="s">
        <v>4417</v>
      </c>
      <c r="F109" s="4236" t="s">
        <v>4259</v>
      </c>
      <c r="H109" s="4237">
        <v>210000202339003</v>
      </c>
      <c r="I109" s="4238" t="s">
        <v>4357</v>
      </c>
    </row>
    <row r="110" spans="1:9" ht="15">
      <c r="A110" s="4236" t="s">
        <v>4478</v>
      </c>
      <c r="B110" s="4236" t="s">
        <v>4479</v>
      </c>
      <c r="D110" s="4236">
        <v>396</v>
      </c>
      <c r="E110" s="4236" t="s">
        <v>4417</v>
      </c>
      <c r="F110" s="4236"/>
      <c r="H110" s="4237">
        <v>210000202339004</v>
      </c>
      <c r="I110" s="4238" t="s">
        <v>4357</v>
      </c>
    </row>
    <row r="111" spans="1:9" ht="15">
      <c r="A111" s="4236" t="s">
        <v>4480</v>
      </c>
      <c r="B111" s="4236" t="s">
        <v>4481</v>
      </c>
      <c r="D111" s="4236">
        <v>397</v>
      </c>
      <c r="E111" s="4236" t="s">
        <v>1792</v>
      </c>
      <c r="F111" s="4236" t="s">
        <v>4259</v>
      </c>
      <c r="H111" s="4237">
        <v>210000202339005</v>
      </c>
      <c r="I111" s="4238" t="s">
        <v>4357</v>
      </c>
    </row>
    <row r="112" spans="1:9" ht="15">
      <c r="A112" s="4236" t="s">
        <v>4482</v>
      </c>
      <c r="B112" s="4236" t="s">
        <v>4483</v>
      </c>
      <c r="D112" s="4236">
        <v>398</v>
      </c>
      <c r="E112" s="4236" t="s">
        <v>1792</v>
      </c>
      <c r="F112" s="4236" t="s">
        <v>4259</v>
      </c>
      <c r="H112" s="4237">
        <v>210000202339006</v>
      </c>
      <c r="I112" s="4238" t="s">
        <v>4357</v>
      </c>
    </row>
    <row r="113" spans="1:9" ht="15">
      <c r="A113" s="4236" t="s">
        <v>4484</v>
      </c>
      <c r="B113" s="4236" t="s">
        <v>4485</v>
      </c>
      <c r="D113" s="4236">
        <v>399</v>
      </c>
      <c r="E113" s="4236" t="s">
        <v>1792</v>
      </c>
      <c r="F113" s="4236" t="s">
        <v>4259</v>
      </c>
      <c r="H113" s="4237">
        <v>210000202339007</v>
      </c>
      <c r="I113" s="4238" t="s">
        <v>4357</v>
      </c>
    </row>
    <row r="114" spans="1:9" ht="15">
      <c r="A114" s="4236" t="s">
        <v>4486</v>
      </c>
      <c r="B114" s="4236" t="s">
        <v>4487</v>
      </c>
      <c r="D114" s="4236">
        <v>422</v>
      </c>
      <c r="E114" s="4236" t="s">
        <v>4417</v>
      </c>
      <c r="F114" s="4236"/>
      <c r="H114" s="4237">
        <v>210000202339008</v>
      </c>
      <c r="I114" s="4238" t="s">
        <v>4357</v>
      </c>
    </row>
    <row r="115" spans="1:9" ht="15">
      <c r="A115" s="4236" t="s">
        <v>4488</v>
      </c>
      <c r="B115" s="4236" t="s">
        <v>4489</v>
      </c>
      <c r="D115" s="4236">
        <v>423</v>
      </c>
      <c r="E115" s="4236" t="s">
        <v>4417</v>
      </c>
      <c r="F115" s="4236" t="s">
        <v>4259</v>
      </c>
      <c r="H115" s="4237">
        <v>210000202339009</v>
      </c>
      <c r="I115" s="4238" t="s">
        <v>4357</v>
      </c>
    </row>
    <row r="116" spans="1:9" ht="15">
      <c r="A116" s="4236" t="s">
        <v>4490</v>
      </c>
      <c r="B116" s="4236" t="s">
        <v>4491</v>
      </c>
      <c r="D116" s="4236">
        <v>445</v>
      </c>
      <c r="E116" s="4236" t="s">
        <v>4448</v>
      </c>
      <c r="F116" s="4236"/>
      <c r="H116" s="4237">
        <v>210000202339010</v>
      </c>
      <c r="I116" s="4238" t="s">
        <v>4357</v>
      </c>
    </row>
    <row r="117" spans="1:9" ht="15">
      <c r="A117" s="4236" t="s">
        <v>4492</v>
      </c>
      <c r="B117" s="4236" t="s">
        <v>4493</v>
      </c>
      <c r="D117" s="4236">
        <v>451</v>
      </c>
      <c r="E117" s="4236" t="s">
        <v>4313</v>
      </c>
      <c r="F117" s="4236" t="s">
        <v>4366</v>
      </c>
      <c r="H117" s="4237">
        <v>210000202339011</v>
      </c>
      <c r="I117" s="4238" t="s">
        <v>4357</v>
      </c>
    </row>
    <row r="118" spans="1:9" ht="15">
      <c r="A118" s="4236" t="s">
        <v>4494</v>
      </c>
      <c r="B118" s="4236" t="s">
        <v>4495</v>
      </c>
      <c r="D118" s="4236">
        <v>455</v>
      </c>
      <c r="E118" s="4236" t="s">
        <v>4417</v>
      </c>
      <c r="F118" s="4236" t="s">
        <v>4259</v>
      </c>
      <c r="H118" s="4237">
        <v>210000202339012</v>
      </c>
      <c r="I118" s="4238" t="s">
        <v>4357</v>
      </c>
    </row>
    <row r="119" spans="1:9" ht="15">
      <c r="A119" s="4236" t="s">
        <v>4496</v>
      </c>
      <c r="B119" s="4236" t="s">
        <v>4497</v>
      </c>
      <c r="D119" s="4236">
        <v>456</v>
      </c>
      <c r="E119" s="4236" t="s">
        <v>4417</v>
      </c>
      <c r="F119" s="4236"/>
      <c r="H119" s="4237">
        <v>210000202339013</v>
      </c>
      <c r="I119" s="4238" t="s">
        <v>4357</v>
      </c>
    </row>
    <row r="120" spans="1:9" ht="15">
      <c r="A120" s="4236" t="s">
        <v>4498</v>
      </c>
      <c r="B120" s="4236" t="s">
        <v>4491</v>
      </c>
      <c r="D120" s="4236">
        <v>457</v>
      </c>
      <c r="E120" s="4236" t="s">
        <v>4308</v>
      </c>
      <c r="F120" s="4239" t="s">
        <v>4308</v>
      </c>
      <c r="H120" s="4237">
        <v>210000202339014</v>
      </c>
      <c r="I120" s="4238" t="s">
        <v>4357</v>
      </c>
    </row>
    <row r="121" spans="1:9" ht="15">
      <c r="A121" s="4236" t="s">
        <v>4499</v>
      </c>
      <c r="B121" s="4236" t="s">
        <v>4500</v>
      </c>
      <c r="D121" s="4236">
        <v>461</v>
      </c>
      <c r="E121" s="4236" t="s">
        <v>4448</v>
      </c>
      <c r="F121" s="4239" t="s">
        <v>4259</v>
      </c>
      <c r="H121" s="4237">
        <v>210000202339015</v>
      </c>
      <c r="I121" s="4238" t="s">
        <v>4357</v>
      </c>
    </row>
    <row r="122" spans="1:9" ht="15">
      <c r="A122" s="4236" t="s">
        <v>4501</v>
      </c>
      <c r="B122" s="4236" t="s">
        <v>4502</v>
      </c>
      <c r="D122" s="4236">
        <v>462</v>
      </c>
      <c r="E122" s="4236" t="s">
        <v>4448</v>
      </c>
      <c r="F122" s="4239"/>
      <c r="H122" s="4237">
        <v>210000202339016</v>
      </c>
      <c r="I122" s="4238" t="s">
        <v>4357</v>
      </c>
    </row>
    <row r="123" spans="1:9" ht="15">
      <c r="A123" s="4236" t="s">
        <v>4503</v>
      </c>
      <c r="B123" s="4236" t="s">
        <v>4504</v>
      </c>
      <c r="D123" s="4236">
        <v>463</v>
      </c>
      <c r="E123" s="4236" t="s">
        <v>4448</v>
      </c>
      <c r="F123" s="4239"/>
      <c r="H123" s="4237">
        <v>210000202339017</v>
      </c>
      <c r="I123" s="4238" t="s">
        <v>4357</v>
      </c>
    </row>
    <row r="124" spans="1:9" ht="15">
      <c r="A124" s="4236" t="s">
        <v>4505</v>
      </c>
      <c r="B124" s="4236" t="s">
        <v>4506</v>
      </c>
      <c r="D124" s="4236">
        <v>464</v>
      </c>
      <c r="E124" s="4236" t="s">
        <v>4448</v>
      </c>
      <c r="F124" s="4239" t="s">
        <v>4259</v>
      </c>
      <c r="H124" s="4237">
        <v>210000202339018</v>
      </c>
      <c r="I124" s="4238" t="s">
        <v>4357</v>
      </c>
    </row>
    <row r="125" spans="1:9" ht="15">
      <c r="A125" s="4236" t="s">
        <v>4507</v>
      </c>
      <c r="B125" s="4236" t="s">
        <v>4508</v>
      </c>
      <c r="D125" s="4236">
        <v>465</v>
      </c>
      <c r="E125" s="4236" t="s">
        <v>4417</v>
      </c>
      <c r="F125" s="4239"/>
      <c r="H125" s="4237">
        <v>210000202339019</v>
      </c>
      <c r="I125" s="4238" t="s">
        <v>4357</v>
      </c>
    </row>
    <row r="126" spans="1:9" ht="15">
      <c r="A126" s="4236" t="s">
        <v>4509</v>
      </c>
      <c r="B126" s="4236" t="s">
        <v>4510</v>
      </c>
      <c r="D126" s="4236">
        <v>466</v>
      </c>
      <c r="E126" s="4236" t="s">
        <v>4448</v>
      </c>
      <c r="F126" s="4239"/>
      <c r="H126" s="4237">
        <v>210000202339020</v>
      </c>
      <c r="I126" s="4238" t="s">
        <v>4357</v>
      </c>
    </row>
    <row r="127" spans="1:9" ht="15">
      <c r="A127" s="4236" t="s">
        <v>4511</v>
      </c>
      <c r="B127" s="4236" t="s">
        <v>4512</v>
      </c>
      <c r="D127" s="4236">
        <v>469</v>
      </c>
      <c r="E127" s="4236" t="s">
        <v>1792</v>
      </c>
      <c r="F127" s="4239" t="s">
        <v>4259</v>
      </c>
      <c r="H127" s="4237">
        <v>210000202339021</v>
      </c>
      <c r="I127" s="4238" t="s">
        <v>4357</v>
      </c>
    </row>
    <row r="128" spans="1:9" ht="15">
      <c r="A128" s="4236" t="s">
        <v>4513</v>
      </c>
      <c r="B128" s="4236" t="s">
        <v>4514</v>
      </c>
      <c r="D128" s="4236">
        <v>471</v>
      </c>
      <c r="E128" s="4236" t="s">
        <v>1792</v>
      </c>
      <c r="F128" s="4239" t="s">
        <v>4259</v>
      </c>
      <c r="H128" s="4237">
        <v>210000202339022</v>
      </c>
      <c r="I128" s="4238" t="s">
        <v>4357</v>
      </c>
    </row>
    <row r="129" spans="1:9" ht="15">
      <c r="A129" s="4236" t="s">
        <v>4515</v>
      </c>
      <c r="B129" s="4236" t="s">
        <v>4516</v>
      </c>
      <c r="D129" s="4236">
        <v>472</v>
      </c>
      <c r="E129" s="4236" t="s">
        <v>1792</v>
      </c>
      <c r="F129" s="4239" t="s">
        <v>4259</v>
      </c>
      <c r="H129" s="4237">
        <v>210000202339023</v>
      </c>
      <c r="I129" s="4238" t="s">
        <v>4357</v>
      </c>
    </row>
    <row r="130" spans="1:9" ht="15">
      <c r="A130" s="4236" t="s">
        <v>4517</v>
      </c>
      <c r="B130" s="4236" t="s">
        <v>4518</v>
      </c>
      <c r="D130" s="4236">
        <v>473</v>
      </c>
      <c r="E130" s="4236" t="s">
        <v>4519</v>
      </c>
      <c r="F130" s="4239" t="s">
        <v>4259</v>
      </c>
      <c r="H130" s="4237">
        <v>210000202339024</v>
      </c>
      <c r="I130" s="4238" t="s">
        <v>4357</v>
      </c>
    </row>
    <row r="131" spans="1:9" ht="15">
      <c r="A131" s="4236" t="s">
        <v>4520</v>
      </c>
      <c r="B131" s="4236" t="s">
        <v>4521</v>
      </c>
      <c r="D131" s="4236">
        <v>474</v>
      </c>
      <c r="E131" s="4236" t="s">
        <v>1792</v>
      </c>
      <c r="F131" s="4239" t="s">
        <v>4259</v>
      </c>
      <c r="H131" s="4237">
        <v>210000202339026</v>
      </c>
      <c r="I131" s="4238" t="s">
        <v>4357</v>
      </c>
    </row>
    <row r="132" spans="1:9" ht="15">
      <c r="A132" s="4236" t="s">
        <v>4522</v>
      </c>
      <c r="B132" s="4236" t="s">
        <v>4523</v>
      </c>
      <c r="D132" s="4236">
        <v>475</v>
      </c>
      <c r="E132" s="4236" t="s">
        <v>4342</v>
      </c>
      <c r="F132" s="4239" t="s">
        <v>4259</v>
      </c>
      <c r="H132" s="4237">
        <v>210000202339027</v>
      </c>
      <c r="I132" s="4238" t="s">
        <v>4357</v>
      </c>
    </row>
    <row r="133" spans="1:9" ht="15">
      <c r="A133" s="4236" t="s">
        <v>4524</v>
      </c>
      <c r="B133" s="4236" t="s">
        <v>4525</v>
      </c>
      <c r="D133" s="4236">
        <v>476</v>
      </c>
      <c r="E133" s="4236" t="s">
        <v>4342</v>
      </c>
      <c r="F133" s="4239" t="s">
        <v>4259</v>
      </c>
      <c r="H133" s="4237">
        <v>210000202339030</v>
      </c>
      <c r="I133" s="4238" t="s">
        <v>4357</v>
      </c>
    </row>
    <row r="134" spans="1:9" ht="15">
      <c r="A134" s="4236" t="s">
        <v>1003</v>
      </c>
      <c r="B134" s="4236" t="s">
        <v>4526</v>
      </c>
      <c r="D134" s="4236">
        <v>477</v>
      </c>
      <c r="E134" s="4236" t="s">
        <v>1792</v>
      </c>
      <c r="F134" s="4239" t="s">
        <v>4259</v>
      </c>
      <c r="H134" s="4237">
        <v>210000202339031</v>
      </c>
      <c r="I134" s="4238" t="s">
        <v>4357</v>
      </c>
    </row>
    <row r="135" spans="1:9" ht="15">
      <c r="A135" s="4236" t="s">
        <v>4527</v>
      </c>
      <c r="B135" s="4236" t="s">
        <v>4528</v>
      </c>
      <c r="D135" s="4236">
        <v>478</v>
      </c>
      <c r="E135" s="4236" t="s">
        <v>1792</v>
      </c>
      <c r="F135" s="4239" t="s">
        <v>4259</v>
      </c>
      <c r="H135" s="4237">
        <v>210000202339032</v>
      </c>
      <c r="I135" s="4238" t="s">
        <v>4357</v>
      </c>
    </row>
    <row r="136" spans="1:9" ht="15">
      <c r="A136" s="4236" t="s">
        <v>4529</v>
      </c>
      <c r="B136" s="4236" t="s">
        <v>4530</v>
      </c>
      <c r="D136" s="4236">
        <v>479</v>
      </c>
      <c r="E136" s="4236" t="s">
        <v>1792</v>
      </c>
      <c r="F136" s="4239" t="s">
        <v>4259</v>
      </c>
      <c r="H136" s="4237">
        <v>210000202339033</v>
      </c>
      <c r="I136" s="4238" t="s">
        <v>4357</v>
      </c>
    </row>
    <row r="137" spans="1:9" ht="15">
      <c r="A137" s="4236" t="s">
        <v>4531</v>
      </c>
      <c r="B137" s="4236" t="s">
        <v>4532</v>
      </c>
      <c r="D137" s="4236">
        <v>481</v>
      </c>
      <c r="E137" s="4236" t="s">
        <v>1792</v>
      </c>
      <c r="F137" s="4239" t="s">
        <v>4259</v>
      </c>
      <c r="H137" s="4237">
        <v>210000202339035</v>
      </c>
      <c r="I137" s="4238" t="s">
        <v>4357</v>
      </c>
    </row>
    <row r="138" spans="1:9" ht="15">
      <c r="A138" s="4236" t="s">
        <v>4533</v>
      </c>
      <c r="B138" s="4236" t="s">
        <v>4534</v>
      </c>
      <c r="D138" s="4236">
        <v>482</v>
      </c>
      <c r="E138" s="4236" t="s">
        <v>1792</v>
      </c>
      <c r="F138" s="4239" t="s">
        <v>4259</v>
      </c>
      <c r="H138" s="4237">
        <v>210000202339038</v>
      </c>
      <c r="I138" s="4238" t="s">
        <v>4357</v>
      </c>
    </row>
    <row r="139" spans="1:9" ht="15">
      <c r="A139" s="4236" t="s">
        <v>4535</v>
      </c>
      <c r="B139" s="4236" t="s">
        <v>4528</v>
      </c>
      <c r="D139" s="4236">
        <v>484</v>
      </c>
      <c r="E139" s="4236" t="s">
        <v>4417</v>
      </c>
      <c r="F139" s="4239" t="s">
        <v>4259</v>
      </c>
      <c r="H139" s="4237">
        <v>210000202339039</v>
      </c>
      <c r="I139" s="4238" t="s">
        <v>4357</v>
      </c>
    </row>
    <row r="140" spans="1:9" ht="15">
      <c r="A140" s="4236" t="s">
        <v>4536</v>
      </c>
      <c r="B140" s="4236" t="s">
        <v>4537</v>
      </c>
      <c r="D140" s="4236">
        <v>485</v>
      </c>
      <c r="E140" s="4236" t="s">
        <v>4457</v>
      </c>
      <c r="F140" s="4239" t="s">
        <v>4458</v>
      </c>
      <c r="H140" s="4237">
        <v>210000202339040</v>
      </c>
      <c r="I140" s="4238" t="s">
        <v>4357</v>
      </c>
    </row>
    <row r="141" spans="1:9" ht="15">
      <c r="A141" s="4236" t="s">
        <v>4538</v>
      </c>
      <c r="B141" s="4236" t="s">
        <v>4539</v>
      </c>
      <c r="D141" s="4236">
        <v>486</v>
      </c>
      <c r="E141" s="4236" t="s">
        <v>4461</v>
      </c>
      <c r="F141" s="4239" t="s">
        <v>4462</v>
      </c>
      <c r="H141" s="4237">
        <v>210000202339041</v>
      </c>
      <c r="I141" s="4238" t="s">
        <v>4357</v>
      </c>
    </row>
    <row r="142" spans="1:9" ht="15">
      <c r="A142" s="4236" t="s">
        <v>4540</v>
      </c>
      <c r="B142" s="4236" t="s">
        <v>4530</v>
      </c>
      <c r="D142" s="4236">
        <v>487</v>
      </c>
      <c r="E142" s="4236" t="s">
        <v>4457</v>
      </c>
      <c r="F142" s="4239" t="s">
        <v>4458</v>
      </c>
      <c r="H142" s="4237">
        <v>210000202339042</v>
      </c>
      <c r="I142" s="4238" t="s">
        <v>4357</v>
      </c>
    </row>
    <row r="143" spans="1:9" ht="15">
      <c r="A143" s="4236" t="s">
        <v>494</v>
      </c>
      <c r="B143" s="4236" t="s">
        <v>22</v>
      </c>
      <c r="D143" s="4241">
        <v>488</v>
      </c>
      <c r="E143" s="4236" t="s">
        <v>4417</v>
      </c>
      <c r="F143" s="4239"/>
      <c r="H143" s="4237">
        <v>210000202339043</v>
      </c>
      <c r="I143" s="4238" t="s">
        <v>4357</v>
      </c>
    </row>
    <row r="144" spans="1:9" ht="15">
      <c r="A144" s="4236" t="s">
        <v>4541</v>
      </c>
      <c r="B144" s="4236" t="s">
        <v>4542</v>
      </c>
      <c r="D144" s="4241">
        <v>489</v>
      </c>
      <c r="E144" s="4236" t="s">
        <v>4417</v>
      </c>
      <c r="F144" s="4239"/>
      <c r="H144" s="4237">
        <v>210000202339044</v>
      </c>
      <c r="I144" s="4238" t="s">
        <v>4357</v>
      </c>
    </row>
    <row r="145" spans="1:9" ht="15">
      <c r="A145" s="4236" t="s">
        <v>4543</v>
      </c>
      <c r="B145" s="4236" t="s">
        <v>941</v>
      </c>
      <c r="D145" s="4242">
        <v>491</v>
      </c>
      <c r="E145" s="4236" t="s">
        <v>4417</v>
      </c>
      <c r="F145" s="4239" t="s">
        <v>4259</v>
      </c>
      <c r="H145" s="4237">
        <v>210000202339049</v>
      </c>
      <c r="I145" s="4238" t="s">
        <v>4357</v>
      </c>
    </row>
    <row r="146" spans="1:9" ht="15">
      <c r="A146" s="4236" t="s">
        <v>4544</v>
      </c>
      <c r="B146" s="4236" t="s">
        <v>4545</v>
      </c>
      <c r="D146" s="4242">
        <v>494</v>
      </c>
      <c r="E146" s="4236" t="s">
        <v>4417</v>
      </c>
      <c r="F146" s="4239" t="s">
        <v>4259</v>
      </c>
      <c r="H146" s="4237">
        <v>210000202339051</v>
      </c>
      <c r="I146" s="4238" t="s">
        <v>4357</v>
      </c>
    </row>
    <row r="147" spans="1:9" ht="15">
      <c r="A147" s="4236" t="s">
        <v>4546</v>
      </c>
      <c r="B147" s="4236" t="s">
        <v>4547</v>
      </c>
      <c r="D147" s="4242">
        <v>495</v>
      </c>
      <c r="E147" s="4236" t="s">
        <v>4417</v>
      </c>
      <c r="F147" s="4239" t="s">
        <v>4259</v>
      </c>
      <c r="H147" s="4237">
        <v>210000202339133</v>
      </c>
      <c r="I147" s="4238" t="s">
        <v>4357</v>
      </c>
    </row>
    <row r="148" spans="1:9" ht="15">
      <c r="A148" s="4236" t="s">
        <v>4548</v>
      </c>
      <c r="B148" s="4236" t="s">
        <v>4549</v>
      </c>
      <c r="D148" s="4242">
        <v>496</v>
      </c>
      <c r="E148" s="4236" t="s">
        <v>4417</v>
      </c>
      <c r="F148" s="4239" t="s">
        <v>4259</v>
      </c>
      <c r="H148" s="4237">
        <v>210000202339134</v>
      </c>
      <c r="I148" s="4238" t="s">
        <v>4357</v>
      </c>
    </row>
    <row r="149" spans="1:9" ht="15">
      <c r="A149" s="4236" t="s">
        <v>4550</v>
      </c>
      <c r="B149" s="4236" t="s">
        <v>4551</v>
      </c>
      <c r="D149" s="4241">
        <v>497</v>
      </c>
      <c r="E149" s="4236" t="s">
        <v>4417</v>
      </c>
      <c r="F149" s="4239"/>
      <c r="H149" s="4237">
        <v>210000202339137</v>
      </c>
      <c r="I149" s="4238" t="s">
        <v>4357</v>
      </c>
    </row>
    <row r="150" spans="1:9" ht="15">
      <c r="A150" s="4236" t="s">
        <v>4552</v>
      </c>
      <c r="B150" s="4236" t="s">
        <v>4553</v>
      </c>
      <c r="D150" s="4241">
        <v>498</v>
      </c>
      <c r="E150" s="4236" t="s">
        <v>4417</v>
      </c>
      <c r="F150" s="4239"/>
      <c r="H150" s="4237">
        <v>210000202974001</v>
      </c>
      <c r="I150" s="4238" t="s">
        <v>4357</v>
      </c>
    </row>
    <row r="151" spans="1:9" ht="15">
      <c r="A151" s="4236" t="s">
        <v>4554</v>
      </c>
      <c r="B151" s="4236" t="s">
        <v>4523</v>
      </c>
      <c r="D151" s="4241">
        <v>499</v>
      </c>
      <c r="E151" s="4236" t="s">
        <v>4417</v>
      </c>
      <c r="F151" s="4239" t="s">
        <v>4259</v>
      </c>
      <c r="H151" s="4237">
        <v>210000202974002</v>
      </c>
      <c r="I151" s="4238" t="s">
        <v>4357</v>
      </c>
    </row>
    <row r="152" spans="1:9" ht="15">
      <c r="A152" s="4236" t="s">
        <v>4555</v>
      </c>
      <c r="B152" s="4236" t="s">
        <v>4556</v>
      </c>
      <c r="D152" s="4236">
        <v>518</v>
      </c>
      <c r="E152" s="4236" t="s">
        <v>4313</v>
      </c>
      <c r="F152" s="4239" t="s">
        <v>4313</v>
      </c>
      <c r="H152" s="4237">
        <v>210000202974003</v>
      </c>
      <c r="I152" s="4238" t="s">
        <v>4357</v>
      </c>
    </row>
    <row r="153" spans="1:9" ht="15">
      <c r="A153" s="4236" t="s">
        <v>4557</v>
      </c>
      <c r="B153" s="4236" t="s">
        <v>4558</v>
      </c>
      <c r="D153" s="4236">
        <v>519</v>
      </c>
      <c r="E153" s="4236" t="s">
        <v>4313</v>
      </c>
      <c r="F153" s="4239" t="s">
        <v>4313</v>
      </c>
      <c r="H153" s="4237">
        <v>210000202974004</v>
      </c>
      <c r="I153" s="4238" t="s">
        <v>4357</v>
      </c>
    </row>
    <row r="154" spans="1:9" ht="15">
      <c r="A154" s="4236" t="s">
        <v>491</v>
      </c>
      <c r="B154" s="4236" t="s">
        <v>23</v>
      </c>
      <c r="D154" s="4236">
        <v>532</v>
      </c>
      <c r="E154" s="4236" t="s">
        <v>4559</v>
      </c>
      <c r="F154" s="4239" t="s">
        <v>4559</v>
      </c>
      <c r="H154" s="4237">
        <v>210000202974005</v>
      </c>
      <c r="I154" s="4238" t="s">
        <v>4357</v>
      </c>
    </row>
    <row r="155" spans="1:9" ht="15">
      <c r="A155" s="4236" t="s">
        <v>4560</v>
      </c>
      <c r="B155" s="4236" t="s">
        <v>4561</v>
      </c>
      <c r="D155" s="4236">
        <v>536</v>
      </c>
      <c r="E155" s="4236" t="s">
        <v>4562</v>
      </c>
      <c r="F155" s="4239"/>
      <c r="H155" s="4237">
        <v>210000202974006</v>
      </c>
      <c r="I155" s="4238" t="s">
        <v>4357</v>
      </c>
    </row>
    <row r="156" spans="1:9" ht="15">
      <c r="A156" s="4236" t="s">
        <v>1006</v>
      </c>
      <c r="B156" s="4236" t="s">
        <v>4563</v>
      </c>
      <c r="D156" s="4236">
        <v>538</v>
      </c>
      <c r="E156" s="4236" t="s">
        <v>4564</v>
      </c>
      <c r="F156" s="4239" t="s">
        <v>4564</v>
      </c>
      <c r="H156" s="4237">
        <v>210000202974007</v>
      </c>
      <c r="I156" s="4238" t="s">
        <v>4357</v>
      </c>
    </row>
    <row r="157" spans="1:9" ht="15">
      <c r="A157" s="4236" t="s">
        <v>1012</v>
      </c>
      <c r="B157" s="4236" t="s">
        <v>4565</v>
      </c>
      <c r="D157" s="4236">
        <v>542</v>
      </c>
      <c r="E157" s="4236" t="s">
        <v>4559</v>
      </c>
      <c r="F157" s="4239" t="s">
        <v>4559</v>
      </c>
      <c r="H157" s="4237">
        <v>210000202974008</v>
      </c>
      <c r="I157" s="4238" t="s">
        <v>4357</v>
      </c>
    </row>
    <row r="158" spans="1:9" ht="15">
      <c r="A158" s="4236" t="s">
        <v>4566</v>
      </c>
      <c r="B158" s="4236" t="s">
        <v>4567</v>
      </c>
      <c r="D158" s="4236">
        <v>619</v>
      </c>
      <c r="E158" s="4236" t="s">
        <v>4568</v>
      </c>
      <c r="F158" s="4239" t="s">
        <v>4568</v>
      </c>
      <c r="H158" s="4237">
        <v>210000202974009</v>
      </c>
      <c r="I158" s="4238" t="s">
        <v>4357</v>
      </c>
    </row>
    <row r="159" spans="1:9" ht="15">
      <c r="A159" s="4236" t="s">
        <v>4569</v>
      </c>
      <c r="B159" s="4236" t="s">
        <v>4570</v>
      </c>
      <c r="D159" s="4236">
        <v>652</v>
      </c>
      <c r="E159" s="4236" t="s">
        <v>4313</v>
      </c>
      <c r="F159" s="4239" t="s">
        <v>4313</v>
      </c>
      <c r="H159" s="4237">
        <v>210000202974010</v>
      </c>
      <c r="I159" s="4238" t="s">
        <v>4357</v>
      </c>
    </row>
    <row r="160" spans="1:9" ht="15">
      <c r="A160" s="4236" t="s">
        <v>4571</v>
      </c>
      <c r="B160" s="4236" t="s">
        <v>4572</v>
      </c>
      <c r="D160" s="4236">
        <v>655</v>
      </c>
      <c r="E160" s="4236" t="s">
        <v>4308</v>
      </c>
      <c r="F160" s="4239" t="s">
        <v>4308</v>
      </c>
      <c r="H160" s="4237">
        <v>210000202974011</v>
      </c>
      <c r="I160" s="4238" t="s">
        <v>4357</v>
      </c>
    </row>
    <row r="161" spans="1:9" ht="15">
      <c r="A161" s="4236" t="s">
        <v>4573</v>
      </c>
      <c r="B161" s="4236" t="s">
        <v>4574</v>
      </c>
      <c r="D161" s="4236">
        <v>656</v>
      </c>
      <c r="E161" s="4236" t="s">
        <v>4313</v>
      </c>
      <c r="F161" s="4239" t="s">
        <v>4313</v>
      </c>
      <c r="H161" s="4237">
        <v>210000202974012</v>
      </c>
      <c r="I161" s="4238" t="s">
        <v>4357</v>
      </c>
    </row>
    <row r="162" spans="1:9" ht="15">
      <c r="A162" s="4236" t="s">
        <v>4575</v>
      </c>
      <c r="B162" s="4236" t="s">
        <v>4576</v>
      </c>
      <c r="D162" s="4236">
        <v>657</v>
      </c>
      <c r="E162" s="4236" t="s">
        <v>4308</v>
      </c>
      <c r="F162" s="4239" t="s">
        <v>4308</v>
      </c>
      <c r="H162" s="4237">
        <v>210000202974013</v>
      </c>
      <c r="I162" s="4238" t="s">
        <v>4357</v>
      </c>
    </row>
    <row r="163" spans="1:9" ht="15">
      <c r="A163" s="4236" t="s">
        <v>4577</v>
      </c>
      <c r="B163" s="4236" t="s">
        <v>4578</v>
      </c>
      <c r="D163" s="4236">
        <v>659</v>
      </c>
      <c r="E163" s="4236" t="s">
        <v>4313</v>
      </c>
      <c r="F163" s="4239" t="s">
        <v>4313</v>
      </c>
      <c r="H163" s="4237">
        <v>210000202974014</v>
      </c>
      <c r="I163" s="4238" t="s">
        <v>4357</v>
      </c>
    </row>
    <row r="164" spans="1:9" ht="15">
      <c r="A164" s="4236" t="s">
        <v>4579</v>
      </c>
      <c r="B164" s="4236" t="s">
        <v>4580</v>
      </c>
      <c r="D164" s="4236">
        <v>679</v>
      </c>
      <c r="E164" s="4236" t="s">
        <v>4568</v>
      </c>
      <c r="F164" s="4239" t="s">
        <v>4568</v>
      </c>
      <c r="H164" s="4237">
        <v>210000202974015</v>
      </c>
      <c r="I164" s="4238" t="s">
        <v>4357</v>
      </c>
    </row>
    <row r="165" spans="1:9" ht="15">
      <c r="A165" s="4236" t="s">
        <v>4581</v>
      </c>
      <c r="B165" s="4236" t="s">
        <v>4582</v>
      </c>
      <c r="D165" s="4236">
        <v>689</v>
      </c>
      <c r="E165" s="4236" t="s">
        <v>4568</v>
      </c>
      <c r="F165" s="4239" t="s">
        <v>4568</v>
      </c>
      <c r="H165" s="4237">
        <v>210000202974016</v>
      </c>
      <c r="I165" s="4238" t="s">
        <v>4357</v>
      </c>
    </row>
    <row r="166" spans="1:9" ht="15">
      <c r="A166" s="4236" t="s">
        <v>4583</v>
      </c>
      <c r="B166" s="4236" t="s">
        <v>4584</v>
      </c>
      <c r="D166" s="4236">
        <v>699</v>
      </c>
      <c r="E166" s="4236" t="s">
        <v>4568</v>
      </c>
      <c r="F166" s="4239" t="s">
        <v>4568</v>
      </c>
      <c r="H166" s="4237">
        <v>210000202974017</v>
      </c>
      <c r="I166" s="4238" t="s">
        <v>4357</v>
      </c>
    </row>
    <row r="167" spans="1:9" ht="15">
      <c r="A167" s="4236" t="s">
        <v>4585</v>
      </c>
      <c r="B167" s="4236" t="s">
        <v>4586</v>
      </c>
      <c r="D167" s="4236">
        <v>718</v>
      </c>
      <c r="E167" s="4236" t="s">
        <v>4587</v>
      </c>
      <c r="F167" s="4239" t="s">
        <v>4587</v>
      </c>
      <c r="H167" s="4237">
        <v>210000202974018</v>
      </c>
      <c r="I167" s="4238" t="s">
        <v>4357</v>
      </c>
    </row>
    <row r="168" spans="1:9" ht="15">
      <c r="A168" s="4236" t="s">
        <v>4588</v>
      </c>
      <c r="B168" s="4236" t="s">
        <v>4589</v>
      </c>
      <c r="D168" s="4236">
        <v>719</v>
      </c>
      <c r="E168" s="4236" t="s">
        <v>4587</v>
      </c>
      <c r="F168" s="4239" t="s">
        <v>4587</v>
      </c>
      <c r="H168" s="4237">
        <v>210000202974019</v>
      </c>
      <c r="I168" s="4238" t="s">
        <v>4357</v>
      </c>
    </row>
    <row r="169" spans="1:9" ht="15">
      <c r="A169" s="4236" t="s">
        <v>4590</v>
      </c>
      <c r="B169" s="4236" t="s">
        <v>4591</v>
      </c>
      <c r="D169" s="4236">
        <v>725</v>
      </c>
      <c r="E169" s="4236"/>
      <c r="F169" s="4239" t="s">
        <v>4375</v>
      </c>
      <c r="H169" s="4237">
        <v>210000202974020</v>
      </c>
      <c r="I169" s="4238" t="s">
        <v>4357</v>
      </c>
    </row>
    <row r="170" spans="1:9" ht="15">
      <c r="A170" s="4236" t="s">
        <v>4592</v>
      </c>
      <c r="B170" s="4236" t="s">
        <v>4593</v>
      </c>
      <c r="D170" s="4236">
        <v>752</v>
      </c>
      <c r="E170" s="4236" t="s">
        <v>4313</v>
      </c>
      <c r="F170" s="4239" t="s">
        <v>4313</v>
      </c>
      <c r="H170" s="4237">
        <v>210000202976001</v>
      </c>
      <c r="I170" s="4238" t="s">
        <v>4357</v>
      </c>
    </row>
    <row r="171" spans="1:9" ht="15">
      <c r="A171" s="4236" t="s">
        <v>4594</v>
      </c>
      <c r="B171" s="4236" t="s">
        <v>4595</v>
      </c>
      <c r="D171" s="4236">
        <v>755</v>
      </c>
      <c r="E171" s="4236" t="s">
        <v>4308</v>
      </c>
      <c r="F171" s="4239" t="s">
        <v>4308</v>
      </c>
      <c r="H171" s="4237">
        <v>210000202976002</v>
      </c>
      <c r="I171" s="4238" t="s">
        <v>4357</v>
      </c>
    </row>
    <row r="172" spans="1:9" ht="15">
      <c r="A172" s="4236" t="s">
        <v>4596</v>
      </c>
      <c r="B172" s="4236" t="s">
        <v>4597</v>
      </c>
      <c r="D172" s="4236">
        <v>756</v>
      </c>
      <c r="E172" s="4236" t="s">
        <v>4313</v>
      </c>
      <c r="F172" s="4239" t="s">
        <v>4313</v>
      </c>
      <c r="H172" s="4237">
        <v>210000202976003</v>
      </c>
      <c r="I172" s="4238" t="s">
        <v>4357</v>
      </c>
    </row>
    <row r="173" spans="1:9" ht="15">
      <c r="A173" s="4236" t="s">
        <v>4598</v>
      </c>
      <c r="B173" s="4236" t="s">
        <v>4323</v>
      </c>
      <c r="D173" s="4236">
        <v>757</v>
      </c>
      <c r="E173" s="4236" t="s">
        <v>4308</v>
      </c>
      <c r="F173" s="4239" t="s">
        <v>4308</v>
      </c>
      <c r="H173" s="4237">
        <v>210000202976004</v>
      </c>
      <c r="I173" s="4238" t="s">
        <v>4357</v>
      </c>
    </row>
    <row r="174" spans="1:9" ht="15">
      <c r="A174" s="4236" t="s">
        <v>4599</v>
      </c>
      <c r="B174" s="4236" t="s">
        <v>4323</v>
      </c>
      <c r="D174" s="4236">
        <v>759</v>
      </c>
      <c r="E174" s="4236" t="s">
        <v>4313</v>
      </c>
      <c r="F174" s="4239" t="s">
        <v>4313</v>
      </c>
      <c r="H174" s="4237">
        <v>210000202976005</v>
      </c>
      <c r="I174" s="4238" t="s">
        <v>4357</v>
      </c>
    </row>
    <row r="175" spans="1:9" ht="15">
      <c r="A175" s="4236" t="s">
        <v>4600</v>
      </c>
      <c r="B175" s="4236" t="s">
        <v>4323</v>
      </c>
      <c r="D175" s="4236">
        <v>775</v>
      </c>
      <c r="E175" s="4236"/>
      <c r="F175" s="4239" t="s">
        <v>4375</v>
      </c>
      <c r="H175" s="4237">
        <v>210000748500101</v>
      </c>
      <c r="I175" s="4238" t="s">
        <v>4260</v>
      </c>
    </row>
    <row r="176" spans="1:9" ht="15">
      <c r="A176" s="4236" t="s">
        <v>4601</v>
      </c>
      <c r="B176" s="4236" t="s">
        <v>4323</v>
      </c>
      <c r="D176" s="4236">
        <v>787</v>
      </c>
      <c r="E176" s="4236" t="s">
        <v>4587</v>
      </c>
      <c r="F176" s="4239" t="s">
        <v>4587</v>
      </c>
      <c r="H176" s="4237">
        <v>210000748500201</v>
      </c>
      <c r="I176" s="4238" t="s">
        <v>4260</v>
      </c>
    </row>
    <row r="177" spans="1:9" ht="15">
      <c r="A177" s="4236" t="s">
        <v>4602</v>
      </c>
      <c r="B177" s="4236" t="s">
        <v>4323</v>
      </c>
      <c r="D177" s="4240">
        <v>788</v>
      </c>
      <c r="E177" s="4240" t="s">
        <v>4587</v>
      </c>
      <c r="F177" s="4240" t="s">
        <v>4587</v>
      </c>
      <c r="H177" s="4237">
        <v>210000748500401</v>
      </c>
      <c r="I177" s="4238" t="s">
        <v>4260</v>
      </c>
    </row>
    <row r="178" spans="1:9" ht="15">
      <c r="A178" s="4236" t="s">
        <v>4603</v>
      </c>
      <c r="B178" s="4236" t="s">
        <v>4604</v>
      </c>
      <c r="H178" s="4237">
        <v>210000748500402</v>
      </c>
      <c r="I178" s="4238" t="s">
        <v>4260</v>
      </c>
    </row>
    <row r="179" spans="1:9" ht="15">
      <c r="A179" s="4236" t="s">
        <v>4605</v>
      </c>
      <c r="B179" s="4236" t="s">
        <v>4606</v>
      </c>
      <c r="H179" s="4237">
        <v>210000748500601</v>
      </c>
      <c r="I179" s="4238" t="s">
        <v>4260</v>
      </c>
    </row>
    <row r="180" spans="1:9" ht="15">
      <c r="A180" s="4236" t="s">
        <v>4607</v>
      </c>
      <c r="B180" s="4236" t="s">
        <v>4608</v>
      </c>
      <c r="H180" s="4237">
        <v>210000748500701</v>
      </c>
      <c r="I180" s="4238" t="s">
        <v>4260</v>
      </c>
    </row>
    <row r="181" spans="1:9" ht="15">
      <c r="A181" s="4236" t="s">
        <v>4609</v>
      </c>
      <c r="B181" s="4236" t="s">
        <v>4610</v>
      </c>
      <c r="H181" s="4237">
        <v>210000748500901</v>
      </c>
      <c r="I181" s="4238" t="s">
        <v>4260</v>
      </c>
    </row>
    <row r="182" spans="1:9" ht="15">
      <c r="A182" s="4236" t="s">
        <v>4611</v>
      </c>
      <c r="B182" s="4236" t="s">
        <v>4612</v>
      </c>
      <c r="H182" s="4237">
        <v>210000748501002</v>
      </c>
      <c r="I182" s="4238" t="s">
        <v>4260</v>
      </c>
    </row>
    <row r="183" spans="1:9" ht="15">
      <c r="A183" s="4236" t="s">
        <v>4613</v>
      </c>
      <c r="B183" s="4236" t="s">
        <v>4614</v>
      </c>
      <c r="H183" s="4237">
        <v>210000748501003</v>
      </c>
      <c r="I183" s="4238" t="s">
        <v>4260</v>
      </c>
    </row>
    <row r="184" spans="1:9" ht="15">
      <c r="A184" s="4236" t="s">
        <v>4615</v>
      </c>
      <c r="B184" s="4236" t="s">
        <v>4616</v>
      </c>
      <c r="H184" s="4237">
        <v>210000748501101</v>
      </c>
      <c r="I184" s="4238" t="s">
        <v>4260</v>
      </c>
    </row>
    <row r="185" spans="1:9" ht="15">
      <c r="A185" s="4236" t="s">
        <v>4617</v>
      </c>
      <c r="B185" s="4236" t="s">
        <v>4618</v>
      </c>
      <c r="H185" s="4237">
        <v>210000748501104</v>
      </c>
      <c r="I185" s="4238" t="s">
        <v>4260</v>
      </c>
    </row>
    <row r="186" spans="1:9" ht="15">
      <c r="A186" s="4236" t="s">
        <v>4619</v>
      </c>
      <c r="B186" s="4236" t="s">
        <v>4620</v>
      </c>
      <c r="H186" s="4237">
        <v>210000748501105</v>
      </c>
      <c r="I186" s="4238" t="s">
        <v>4260</v>
      </c>
    </row>
    <row r="187" spans="1:9" ht="15">
      <c r="A187" s="4236" t="s">
        <v>4621</v>
      </c>
      <c r="B187" s="4236" t="s">
        <v>4622</v>
      </c>
      <c r="H187" s="4237">
        <v>210000748501202</v>
      </c>
      <c r="I187" s="4238" t="s">
        <v>4260</v>
      </c>
    </row>
    <row r="188" spans="1:9" ht="15">
      <c r="A188" s="4236" t="s">
        <v>4623</v>
      </c>
      <c r="B188" s="4236" t="s">
        <v>4624</v>
      </c>
      <c r="H188" s="4237">
        <v>210000748501401</v>
      </c>
      <c r="I188" s="4238" t="s">
        <v>4260</v>
      </c>
    </row>
    <row r="189" spans="1:9" ht="15">
      <c r="A189" s="4236" t="s">
        <v>4625</v>
      </c>
      <c r="B189" s="4236" t="s">
        <v>4626</v>
      </c>
      <c r="H189" s="4237">
        <v>210000748501402</v>
      </c>
      <c r="I189" s="4238" t="s">
        <v>4260</v>
      </c>
    </row>
    <row r="190" spans="1:9" ht="15">
      <c r="A190" s="4236" t="s">
        <v>198</v>
      </c>
      <c r="B190" s="4236" t="s">
        <v>4627</v>
      </c>
      <c r="H190" s="4237">
        <v>210000748501501</v>
      </c>
      <c r="I190" s="4238" t="s">
        <v>4260</v>
      </c>
    </row>
    <row r="191" spans="1:9" ht="15">
      <c r="A191" s="4236" t="s">
        <v>4628</v>
      </c>
      <c r="B191" s="4236" t="s">
        <v>4629</v>
      </c>
      <c r="H191" s="4237">
        <v>210000748501502</v>
      </c>
      <c r="I191" s="4238" t="s">
        <v>4260</v>
      </c>
    </row>
    <row r="192" spans="1:9" ht="15">
      <c r="A192" s="4236" t="s">
        <v>203</v>
      </c>
      <c r="B192" s="4236" t="s">
        <v>4630</v>
      </c>
      <c r="H192" s="4237">
        <v>210000748501503</v>
      </c>
      <c r="I192" s="4238" t="s">
        <v>4260</v>
      </c>
    </row>
    <row r="193" spans="1:9" ht="15">
      <c r="A193" s="4236" t="s">
        <v>4631</v>
      </c>
      <c r="B193" s="4236" t="s">
        <v>4632</v>
      </c>
      <c r="H193" s="4237">
        <v>210000748501601</v>
      </c>
      <c r="I193" s="4238" t="s">
        <v>4260</v>
      </c>
    </row>
    <row r="194" spans="1:9" ht="15">
      <c r="A194" s="4236" t="s">
        <v>4633</v>
      </c>
      <c r="B194" s="4236" t="s">
        <v>4634</v>
      </c>
      <c r="H194" s="4237">
        <v>210000748501602</v>
      </c>
      <c r="I194" s="4238" t="s">
        <v>4260</v>
      </c>
    </row>
    <row r="195" spans="1:9" ht="15">
      <c r="A195" s="4236" t="s">
        <v>4635</v>
      </c>
      <c r="B195" s="4236" t="s">
        <v>4636</v>
      </c>
      <c r="H195" s="4237">
        <v>210000748501801</v>
      </c>
      <c r="I195" s="4238" t="s">
        <v>4260</v>
      </c>
    </row>
    <row r="196" spans="1:9" ht="15">
      <c r="A196" s="4236" t="s">
        <v>206</v>
      </c>
      <c r="B196" s="4236" t="s">
        <v>26</v>
      </c>
      <c r="H196" s="4237">
        <v>210000748501802</v>
      </c>
      <c r="I196" s="4238" t="s">
        <v>4260</v>
      </c>
    </row>
    <row r="197" spans="1:9" ht="15">
      <c r="A197" s="4236" t="s">
        <v>1023</v>
      </c>
      <c r="B197" s="4236" t="s">
        <v>4637</v>
      </c>
      <c r="H197" s="4237">
        <v>210000748501803</v>
      </c>
      <c r="I197" s="4238" t="s">
        <v>4260</v>
      </c>
    </row>
    <row r="198" spans="1:9" ht="15">
      <c r="A198" s="4236" t="s">
        <v>1027</v>
      </c>
      <c r="B198" s="4236" t="s">
        <v>4638</v>
      </c>
      <c r="H198" s="4237">
        <v>210000748501804</v>
      </c>
      <c r="I198" s="4238" t="s">
        <v>4260</v>
      </c>
    </row>
    <row r="199" spans="1:9" ht="15">
      <c r="A199" s="4236" t="s">
        <v>1030</v>
      </c>
      <c r="B199" s="4236" t="s">
        <v>4639</v>
      </c>
      <c r="H199" s="4237">
        <v>210000748501901</v>
      </c>
      <c r="I199" s="4238" t="s">
        <v>4260</v>
      </c>
    </row>
    <row r="200" spans="1:9" ht="15">
      <c r="A200" s="4236" t="s">
        <v>4640</v>
      </c>
      <c r="B200" s="4236" t="s">
        <v>4641</v>
      </c>
      <c r="H200" s="4237">
        <v>210000748502001</v>
      </c>
      <c r="I200" s="4238" t="s">
        <v>4260</v>
      </c>
    </row>
    <row r="201" spans="1:9" ht="15">
      <c r="A201" s="4236" t="s">
        <v>4642</v>
      </c>
      <c r="B201" s="4236" t="s">
        <v>4643</v>
      </c>
      <c r="H201" s="4237">
        <v>210000748502002</v>
      </c>
      <c r="I201" s="4238" t="s">
        <v>4260</v>
      </c>
    </row>
    <row r="202" spans="1:9" ht="15">
      <c r="A202" s="4236" t="s">
        <v>4644</v>
      </c>
      <c r="B202" s="4236" t="s">
        <v>4645</v>
      </c>
      <c r="H202" s="4237">
        <v>210000748502003</v>
      </c>
      <c r="I202" s="4238" t="s">
        <v>4260</v>
      </c>
    </row>
    <row r="203" spans="1:9" ht="15">
      <c r="A203" s="4236" t="s">
        <v>4646</v>
      </c>
      <c r="B203" s="4236" t="s">
        <v>4647</v>
      </c>
      <c r="H203" s="4237">
        <v>210000748600202</v>
      </c>
      <c r="I203" s="4238" t="s">
        <v>4260</v>
      </c>
    </row>
    <row r="204" spans="1:9" ht="15">
      <c r="A204" s="4236" t="s">
        <v>211</v>
      </c>
      <c r="B204" s="4236" t="s">
        <v>4648</v>
      </c>
      <c r="H204" s="4237">
        <v>210000748600402</v>
      </c>
      <c r="I204" s="4238" t="s">
        <v>4260</v>
      </c>
    </row>
    <row r="205" spans="1:9" ht="15">
      <c r="A205" s="4236" t="s">
        <v>215</v>
      </c>
      <c r="B205" s="4236" t="s">
        <v>28</v>
      </c>
      <c r="H205" s="4237">
        <v>210000748600902</v>
      </c>
      <c r="I205" s="4238" t="s">
        <v>4260</v>
      </c>
    </row>
    <row r="206" spans="1:9" ht="15">
      <c r="A206" s="4236" t="s">
        <v>1075</v>
      </c>
      <c r="B206" s="4236" t="s">
        <v>4649</v>
      </c>
      <c r="H206" s="4237">
        <v>210000748601102</v>
      </c>
      <c r="I206" s="4238" t="s">
        <v>4260</v>
      </c>
    </row>
    <row r="207" spans="1:9" ht="15">
      <c r="A207" s="4236" t="s">
        <v>218</v>
      </c>
      <c r="B207" s="4236" t="s">
        <v>29</v>
      </c>
      <c r="H207" s="4237">
        <v>210000748601902</v>
      </c>
      <c r="I207" s="4238" t="s">
        <v>4260</v>
      </c>
    </row>
    <row r="208" spans="1:9" ht="15">
      <c r="A208" s="4236" t="s">
        <v>1179</v>
      </c>
      <c r="B208" s="4236" t="s">
        <v>4323</v>
      </c>
      <c r="H208" s="4237">
        <v>210000748602002</v>
      </c>
      <c r="I208" s="4238" t="s">
        <v>4260</v>
      </c>
    </row>
    <row r="209" spans="1:9" ht="15">
      <c r="A209" s="4236" t="s">
        <v>1189</v>
      </c>
      <c r="B209" s="4236" t="s">
        <v>4650</v>
      </c>
      <c r="H209" s="4237">
        <v>210000748702002</v>
      </c>
      <c r="I209" s="4238" t="s">
        <v>4260</v>
      </c>
    </row>
    <row r="210" spans="1:9" ht="15">
      <c r="A210" s="4236" t="s">
        <v>1192</v>
      </c>
      <c r="B210" s="4236" t="s">
        <v>30</v>
      </c>
      <c r="H210" s="4237">
        <v>210000809000021</v>
      </c>
      <c r="I210" s="4238" t="s">
        <v>4284</v>
      </c>
    </row>
    <row r="211" spans="1:9" ht="15">
      <c r="A211" s="4236" t="s">
        <v>1195</v>
      </c>
      <c r="B211" s="4236" t="s">
        <v>4651</v>
      </c>
      <c r="H211" s="4237">
        <v>210000809000022</v>
      </c>
      <c r="I211" s="4238" t="s">
        <v>4284</v>
      </c>
    </row>
    <row r="212" spans="1:9" ht="15">
      <c r="A212" s="4236" t="s">
        <v>1198</v>
      </c>
      <c r="B212" s="4236" t="s">
        <v>32</v>
      </c>
      <c r="H212" s="4237">
        <v>210000809000023</v>
      </c>
      <c r="I212" s="4238" t="s">
        <v>4284</v>
      </c>
    </row>
    <row r="213" spans="1:9" ht="15">
      <c r="A213" s="4236" t="s">
        <v>1200</v>
      </c>
      <c r="B213" s="4236" t="s">
        <v>4652</v>
      </c>
      <c r="H213" s="4237">
        <v>210000809000024</v>
      </c>
      <c r="I213" s="4238" t="s">
        <v>4284</v>
      </c>
    </row>
    <row r="214" spans="1:9" ht="15">
      <c r="A214" s="4236" t="s">
        <v>1203</v>
      </c>
      <c r="B214" s="4236" t="s">
        <v>4653</v>
      </c>
      <c r="H214" s="4237">
        <v>210000809000025</v>
      </c>
      <c r="I214" s="4238" t="s">
        <v>4284</v>
      </c>
    </row>
    <row r="215" spans="1:9" ht="15">
      <c r="A215" s="4236" t="s">
        <v>4654</v>
      </c>
      <c r="B215" s="4236" t="s">
        <v>34</v>
      </c>
      <c r="H215" s="4237">
        <v>210000809000026</v>
      </c>
      <c r="I215" s="4238" t="s">
        <v>4284</v>
      </c>
    </row>
    <row r="216" spans="1:9" ht="15">
      <c r="A216" s="4236" t="s">
        <v>1238</v>
      </c>
      <c r="B216" s="4236" t="s">
        <v>4655</v>
      </c>
      <c r="H216" s="4237">
        <v>210000809000027</v>
      </c>
      <c r="I216" s="4238" t="s">
        <v>4284</v>
      </c>
    </row>
    <row r="217" spans="1:9" ht="15">
      <c r="A217" s="4236" t="s">
        <v>4656</v>
      </c>
      <c r="B217" s="4236" t="s">
        <v>4657</v>
      </c>
      <c r="H217" s="4237">
        <v>210000809000028</v>
      </c>
      <c r="I217" s="4238" t="s">
        <v>4284</v>
      </c>
    </row>
    <row r="218" spans="1:9" ht="15">
      <c r="A218" s="4236" t="s">
        <v>1240</v>
      </c>
      <c r="B218" s="4236" t="s">
        <v>4658</v>
      </c>
      <c r="H218" s="4237">
        <v>210000809000029</v>
      </c>
      <c r="I218" s="4238" t="s">
        <v>4284</v>
      </c>
    </row>
    <row r="219" spans="1:9" ht="15">
      <c r="A219" s="4236" t="s">
        <v>4659</v>
      </c>
      <c r="B219" s="4236" t="s">
        <v>4660</v>
      </c>
      <c r="H219" s="4237">
        <v>210000809000031</v>
      </c>
      <c r="I219" s="4238" t="s">
        <v>4284</v>
      </c>
    </row>
    <row r="220" spans="1:9" ht="15">
      <c r="A220" s="4236" t="s">
        <v>242</v>
      </c>
      <c r="B220" s="4236" t="s">
        <v>4661</v>
      </c>
      <c r="H220" s="4237">
        <v>210000809000032</v>
      </c>
      <c r="I220" s="4238" t="s">
        <v>4284</v>
      </c>
    </row>
    <row r="221" spans="1:9" ht="15">
      <c r="A221" s="4236" t="s">
        <v>244</v>
      </c>
      <c r="B221" s="4236" t="s">
        <v>4662</v>
      </c>
      <c r="H221" s="4237">
        <v>210000809000033</v>
      </c>
      <c r="I221" s="4238" t="s">
        <v>4284</v>
      </c>
    </row>
    <row r="222" spans="1:9" ht="15">
      <c r="A222" s="4236" t="s">
        <v>4663</v>
      </c>
      <c r="B222" s="4236" t="s">
        <v>4664</v>
      </c>
      <c r="H222" s="4237">
        <v>210000809000034</v>
      </c>
      <c r="I222" s="4238" t="s">
        <v>4284</v>
      </c>
    </row>
    <row r="223" spans="1:9" ht="15">
      <c r="A223" s="4236" t="s">
        <v>246</v>
      </c>
      <c r="B223" s="4236" t="s">
        <v>4665</v>
      </c>
      <c r="H223" s="4237">
        <v>210000809000035</v>
      </c>
      <c r="I223" s="4238" t="s">
        <v>4284</v>
      </c>
    </row>
    <row r="224" spans="1:9" ht="15">
      <c r="A224" s="4236" t="s">
        <v>249</v>
      </c>
      <c r="B224" s="4236" t="s">
        <v>4666</v>
      </c>
      <c r="H224" s="4237">
        <v>210000809000036</v>
      </c>
      <c r="I224" s="4238" t="s">
        <v>4284</v>
      </c>
    </row>
    <row r="225" spans="1:9" ht="15">
      <c r="A225" s="4236" t="s">
        <v>4667</v>
      </c>
      <c r="B225" s="4236" t="s">
        <v>4668</v>
      </c>
      <c r="H225" s="4237">
        <v>210000809000037</v>
      </c>
      <c r="I225" s="4238" t="s">
        <v>4284</v>
      </c>
    </row>
    <row r="226" spans="1:9" ht="15">
      <c r="A226" s="4236" t="s">
        <v>4669</v>
      </c>
      <c r="B226" s="4236" t="s">
        <v>4670</v>
      </c>
      <c r="H226" s="4237">
        <v>210000809000038</v>
      </c>
      <c r="I226" s="4238" t="s">
        <v>4284</v>
      </c>
    </row>
    <row r="227" spans="1:9" ht="15">
      <c r="A227" s="4236" t="s">
        <v>4671</v>
      </c>
      <c r="B227" s="4236" t="s">
        <v>4672</v>
      </c>
      <c r="H227" s="4237">
        <v>210000809000039</v>
      </c>
      <c r="I227" s="4238" t="s">
        <v>4284</v>
      </c>
    </row>
    <row r="228" spans="1:9" ht="15">
      <c r="A228" s="4236" t="s">
        <v>4673</v>
      </c>
      <c r="B228" s="4236" t="s">
        <v>4323</v>
      </c>
      <c r="H228" s="4237">
        <v>210000809000041</v>
      </c>
      <c r="I228" s="4238" t="s">
        <v>4284</v>
      </c>
    </row>
    <row r="229" spans="1:9" ht="15">
      <c r="A229" s="4236" t="s">
        <v>4674</v>
      </c>
      <c r="B229" s="4236" t="s">
        <v>4675</v>
      </c>
      <c r="H229" s="4237">
        <v>210000809000042</v>
      </c>
      <c r="I229" s="4238" t="s">
        <v>4284</v>
      </c>
    </row>
    <row r="230" spans="1:9" ht="15">
      <c r="A230" s="4236" t="s">
        <v>4676</v>
      </c>
      <c r="B230" s="4236" t="s">
        <v>4677</v>
      </c>
      <c r="H230" s="4237">
        <v>210000809000044</v>
      </c>
      <c r="I230" s="4238" t="s">
        <v>4284</v>
      </c>
    </row>
    <row r="231" spans="1:9" ht="15">
      <c r="A231" s="4236" t="s">
        <v>4678</v>
      </c>
      <c r="B231" s="4236" t="s">
        <v>20</v>
      </c>
      <c r="H231" s="4237">
        <v>210000809000045</v>
      </c>
      <c r="I231" s="4238" t="s">
        <v>4284</v>
      </c>
    </row>
    <row r="232" spans="1:9" ht="15">
      <c r="A232" s="4236" t="s">
        <v>4679</v>
      </c>
      <c r="B232" s="4236" t="s">
        <v>4680</v>
      </c>
      <c r="H232" s="4237">
        <v>210000809000046</v>
      </c>
      <c r="I232" s="4238" t="s">
        <v>4284</v>
      </c>
    </row>
    <row r="233" spans="1:9" ht="15">
      <c r="A233" s="4236" t="s">
        <v>4681</v>
      </c>
      <c r="B233" s="4236" t="s">
        <v>4682</v>
      </c>
      <c r="H233" s="4237">
        <v>210000809000047</v>
      </c>
      <c r="I233" s="4238" t="s">
        <v>4284</v>
      </c>
    </row>
    <row r="234" spans="1:9" ht="15">
      <c r="A234" s="4236" t="s">
        <v>4683</v>
      </c>
      <c r="B234" s="4236" t="s">
        <v>4684</v>
      </c>
      <c r="H234" s="4237">
        <v>210000809000048</v>
      </c>
      <c r="I234" s="4238" t="s">
        <v>4284</v>
      </c>
    </row>
    <row r="235" spans="1:9" ht="15">
      <c r="A235" s="4236" t="s">
        <v>4685</v>
      </c>
      <c r="B235" s="4236" t="s">
        <v>623</v>
      </c>
      <c r="H235" s="4237">
        <v>210000809000049</v>
      </c>
      <c r="I235" s="4238" t="s">
        <v>4284</v>
      </c>
    </row>
    <row r="236" spans="1:9" ht="15">
      <c r="A236" s="4236" t="s">
        <v>4686</v>
      </c>
      <c r="B236" s="4236" t="s">
        <v>625</v>
      </c>
      <c r="H236" s="4237">
        <v>210000809000051</v>
      </c>
      <c r="I236" s="4238" t="s">
        <v>4284</v>
      </c>
    </row>
    <row r="237" spans="1:9" ht="15">
      <c r="A237" s="4236" t="s">
        <v>4687</v>
      </c>
      <c r="B237" s="4236" t="s">
        <v>4688</v>
      </c>
      <c r="H237" s="4237">
        <v>210000809000052</v>
      </c>
      <c r="I237" s="4238" t="s">
        <v>4284</v>
      </c>
    </row>
    <row r="238" spans="1:9" ht="15">
      <c r="A238" s="4236" t="s">
        <v>4689</v>
      </c>
      <c r="B238" s="4236" t="s">
        <v>4690</v>
      </c>
      <c r="H238" s="4237">
        <v>210000809000053</v>
      </c>
      <c r="I238" s="4238" t="s">
        <v>4284</v>
      </c>
    </row>
    <row r="239" spans="1:9" ht="15">
      <c r="A239" s="4236" t="s">
        <v>4691</v>
      </c>
      <c r="B239" s="4236" t="s">
        <v>4692</v>
      </c>
      <c r="H239" s="4237">
        <v>210000809000054</v>
      </c>
      <c r="I239" s="4238" t="s">
        <v>4284</v>
      </c>
    </row>
    <row r="240" spans="1:9" ht="15">
      <c r="A240" s="4236" t="s">
        <v>4693</v>
      </c>
      <c r="B240" s="4236" t="s">
        <v>4694</v>
      </c>
      <c r="H240" s="4237">
        <v>210000809000055</v>
      </c>
      <c r="I240" s="4238" t="s">
        <v>4284</v>
      </c>
    </row>
    <row r="241" spans="1:9" ht="15">
      <c r="A241" s="4236" t="s">
        <v>4695</v>
      </c>
      <c r="B241" s="4236" t="s">
        <v>4696</v>
      </c>
      <c r="H241" s="4237">
        <v>210000809000057</v>
      </c>
      <c r="I241" s="4238" t="s">
        <v>4284</v>
      </c>
    </row>
    <row r="242" spans="1:9" ht="15">
      <c r="A242" s="4236" t="s">
        <v>4697</v>
      </c>
      <c r="B242" s="4236" t="s">
        <v>4698</v>
      </c>
      <c r="H242" s="4237">
        <v>210000809000058</v>
      </c>
      <c r="I242" s="4238" t="s">
        <v>4284</v>
      </c>
    </row>
    <row r="243" spans="1:9" ht="15">
      <c r="A243" s="4236" t="s">
        <v>4699</v>
      </c>
      <c r="B243" s="4236" t="s">
        <v>4700</v>
      </c>
      <c r="H243" s="4237">
        <v>210000809000059</v>
      </c>
      <c r="I243" s="4238" t="s">
        <v>4284</v>
      </c>
    </row>
    <row r="244" spans="1:9" ht="15">
      <c r="A244" s="4236" t="s">
        <v>4701</v>
      </c>
      <c r="B244" s="4236" t="s">
        <v>4702</v>
      </c>
      <c r="H244" s="4237">
        <v>210000809000063</v>
      </c>
      <c r="I244" s="4238" t="s">
        <v>4284</v>
      </c>
    </row>
    <row r="245" spans="1:9" ht="15">
      <c r="A245" s="4236" t="s">
        <v>4703</v>
      </c>
      <c r="B245" s="4236" t="s">
        <v>4704</v>
      </c>
      <c r="H245" s="4237">
        <v>210000809000064</v>
      </c>
      <c r="I245" s="4238" t="s">
        <v>4284</v>
      </c>
    </row>
    <row r="246" spans="1:9" ht="15">
      <c r="A246" s="4236" t="s">
        <v>4705</v>
      </c>
      <c r="B246" s="4236" t="s">
        <v>4706</v>
      </c>
      <c r="H246" s="4237">
        <v>210000809000065</v>
      </c>
      <c r="I246" s="4238" t="s">
        <v>4284</v>
      </c>
    </row>
    <row r="247" spans="1:9" ht="15">
      <c r="A247" s="4236" t="s">
        <v>4707</v>
      </c>
      <c r="B247" s="4236" t="s">
        <v>4708</v>
      </c>
      <c r="H247" s="4237">
        <v>210000809000067</v>
      </c>
      <c r="I247" s="4238" t="s">
        <v>4284</v>
      </c>
    </row>
    <row r="248" spans="1:9" ht="15">
      <c r="A248" s="4236" t="s">
        <v>4709</v>
      </c>
      <c r="B248" s="4236" t="s">
        <v>4710</v>
      </c>
      <c r="H248" s="4237">
        <v>210000809000069</v>
      </c>
      <c r="I248" s="4238" t="s">
        <v>4284</v>
      </c>
    </row>
    <row r="249" spans="1:9" ht="15">
      <c r="A249" s="4236" t="s">
        <v>4711</v>
      </c>
      <c r="B249" s="4236" t="s">
        <v>4712</v>
      </c>
      <c r="H249" s="4237">
        <v>210000809000931</v>
      </c>
      <c r="I249" s="4238" t="s">
        <v>4284</v>
      </c>
    </row>
    <row r="250" spans="1:9" ht="15">
      <c r="A250" s="4236" t="s">
        <v>4713</v>
      </c>
      <c r="B250" s="4236" t="s">
        <v>4714</v>
      </c>
      <c r="H250" s="4237">
        <v>210000809000932</v>
      </c>
      <c r="I250" s="4238" t="s">
        <v>4284</v>
      </c>
    </row>
    <row r="251" spans="1:9" ht="15">
      <c r="A251" s="4236" t="s">
        <v>4715</v>
      </c>
      <c r="B251" s="4236" t="s">
        <v>4716</v>
      </c>
      <c r="H251" s="4237">
        <v>210000809000933</v>
      </c>
      <c r="I251" s="4238" t="s">
        <v>4284</v>
      </c>
    </row>
    <row r="252" spans="1:9" ht="15">
      <c r="A252" s="4236" t="s">
        <v>4717</v>
      </c>
      <c r="B252" s="4236" t="s">
        <v>4718</v>
      </c>
      <c r="H252" s="4237">
        <v>210000809000941</v>
      </c>
      <c r="I252" s="4238" t="s">
        <v>4284</v>
      </c>
    </row>
    <row r="253" spans="1:9" ht="15">
      <c r="A253" s="4236" t="s">
        <v>4719</v>
      </c>
      <c r="B253" s="4236" t="s">
        <v>4335</v>
      </c>
      <c r="H253" s="4237">
        <v>220000101000014</v>
      </c>
      <c r="I253" s="4238" t="s">
        <v>4260</v>
      </c>
    </row>
    <row r="254" spans="1:9" ht="15">
      <c r="A254" s="4236" t="s">
        <v>4720</v>
      </c>
      <c r="B254" s="4236" t="s">
        <v>4721</v>
      </c>
      <c r="H254" s="4237">
        <v>220000101000015</v>
      </c>
      <c r="I254" s="4238" t="s">
        <v>4260</v>
      </c>
    </row>
    <row r="255" spans="1:9" ht="15">
      <c r="A255" s="4236" t="s">
        <v>4722</v>
      </c>
      <c r="B255" s="4236" t="s">
        <v>4723</v>
      </c>
      <c r="H255" s="4237">
        <v>220000101000068</v>
      </c>
      <c r="I255" s="4238" t="s">
        <v>4260</v>
      </c>
    </row>
    <row r="256" spans="1:9" ht="15">
      <c r="A256" s="4236" t="s">
        <v>4724</v>
      </c>
      <c r="B256" s="4236" t="s">
        <v>4725</v>
      </c>
      <c r="H256" s="4237">
        <v>220000101000071</v>
      </c>
      <c r="I256" s="4238" t="s">
        <v>4260</v>
      </c>
    </row>
    <row r="257" spans="1:9" ht="15">
      <c r="A257" s="4236" t="s">
        <v>4726</v>
      </c>
      <c r="B257" s="4236" t="s">
        <v>4727</v>
      </c>
      <c r="H257" s="4237">
        <v>220000202021026</v>
      </c>
      <c r="I257" s="4238" t="s">
        <v>4357</v>
      </c>
    </row>
    <row r="258" spans="1:9" ht="15">
      <c r="A258" s="4236" t="s">
        <v>4728</v>
      </c>
      <c r="B258" s="4236" t="s">
        <v>4729</v>
      </c>
      <c r="H258" s="4237">
        <v>220000202057001</v>
      </c>
      <c r="I258" s="4238" t="s">
        <v>4357</v>
      </c>
    </row>
    <row r="259" spans="1:9" ht="15">
      <c r="A259" s="4236" t="s">
        <v>4730</v>
      </c>
      <c r="B259" s="4236" t="s">
        <v>4731</v>
      </c>
      <c r="H259" s="4237">
        <v>220000202146001</v>
      </c>
      <c r="I259" s="4238" t="s">
        <v>4357</v>
      </c>
    </row>
    <row r="260" spans="1:9" ht="15">
      <c r="A260" s="4236" t="s">
        <v>4732</v>
      </c>
      <c r="B260" s="4236" t="s">
        <v>4733</v>
      </c>
      <c r="H260" s="4237">
        <v>220000202261003</v>
      </c>
      <c r="I260" s="4238" t="s">
        <v>4357</v>
      </c>
    </row>
    <row r="261" spans="1:9" ht="15">
      <c r="A261" s="4236" t="s">
        <v>4734</v>
      </c>
      <c r="B261" s="4236" t="s">
        <v>4735</v>
      </c>
      <c r="H261" s="4237">
        <v>220000202339001</v>
      </c>
      <c r="I261" s="4238" t="s">
        <v>4357</v>
      </c>
    </row>
    <row r="262" spans="1:9" ht="15">
      <c r="A262" s="4236" t="s">
        <v>1248</v>
      </c>
      <c r="B262" s="4236" t="s">
        <v>4736</v>
      </c>
      <c r="H262" s="4237">
        <v>220000809000014</v>
      </c>
      <c r="I262" s="4238" t="s">
        <v>4284</v>
      </c>
    </row>
    <row r="263" spans="1:9" ht="15">
      <c r="A263" s="4236" t="s">
        <v>4737</v>
      </c>
      <c r="B263" s="4236" t="s">
        <v>4738</v>
      </c>
      <c r="H263" s="4237">
        <v>220000809000015</v>
      </c>
      <c r="I263" s="4238" t="s">
        <v>4284</v>
      </c>
    </row>
    <row r="264" spans="1:9" ht="15">
      <c r="A264" s="4236" t="s">
        <v>4739</v>
      </c>
      <c r="B264" s="4236" t="s">
        <v>4740</v>
      </c>
      <c r="H264" s="4237">
        <v>220000809000068</v>
      </c>
      <c r="I264" s="4238" t="s">
        <v>4284</v>
      </c>
    </row>
    <row r="265" spans="1:9" ht="15">
      <c r="A265" s="4236" t="s">
        <v>4741</v>
      </c>
      <c r="B265" s="4236" t="s">
        <v>4742</v>
      </c>
      <c r="H265" s="4237">
        <v>220000809000071</v>
      </c>
      <c r="I265" s="4238" t="s">
        <v>4284</v>
      </c>
    </row>
    <row r="266" spans="1:9" ht="15">
      <c r="A266" s="4236" t="s">
        <v>4743</v>
      </c>
      <c r="B266" s="4236" t="s">
        <v>4744</v>
      </c>
      <c r="H266" s="4237">
        <v>220000809000072</v>
      </c>
      <c r="I266" s="4238" t="s">
        <v>4284</v>
      </c>
    </row>
    <row r="267" spans="1:9" ht="15">
      <c r="A267" s="4236" t="s">
        <v>4745</v>
      </c>
      <c r="B267" s="4236" t="s">
        <v>4746</v>
      </c>
      <c r="H267" s="4237">
        <v>220000809021026</v>
      </c>
      <c r="I267" s="4238" t="s">
        <v>4284</v>
      </c>
    </row>
    <row r="268" spans="1:9" ht="15">
      <c r="A268" s="4236" t="s">
        <v>4747</v>
      </c>
      <c r="B268" s="4236" t="s">
        <v>4748</v>
      </c>
      <c r="H268" s="4237">
        <v>220000809057001</v>
      </c>
      <c r="I268" s="4238" t="s">
        <v>4284</v>
      </c>
    </row>
    <row r="269" spans="1:9" ht="15">
      <c r="A269" s="4236" t="s">
        <v>4749</v>
      </c>
      <c r="B269" s="4236" t="s">
        <v>4750</v>
      </c>
      <c r="H269" s="4237">
        <v>220000809146001</v>
      </c>
      <c r="I269" s="4238" t="s">
        <v>4284</v>
      </c>
    </row>
    <row r="270" spans="1:9" ht="15">
      <c r="A270" s="4236" t="s">
        <v>4751</v>
      </c>
      <c r="B270" s="4236" t="s">
        <v>4752</v>
      </c>
      <c r="H270" s="4237">
        <v>220000809213001</v>
      </c>
      <c r="I270" s="4238" t="s">
        <v>4284</v>
      </c>
    </row>
    <row r="271" spans="1:9" ht="15">
      <c r="A271" s="4236" t="s">
        <v>4753</v>
      </c>
      <c r="B271" s="4236" t="s">
        <v>23</v>
      </c>
      <c r="H271" s="4237">
        <v>220000809261003</v>
      </c>
      <c r="I271" s="4238" t="s">
        <v>4284</v>
      </c>
    </row>
    <row r="272" spans="1:9" ht="15">
      <c r="A272" s="4236" t="s">
        <v>4754</v>
      </c>
      <c r="B272" s="4236" t="s">
        <v>4755</v>
      </c>
      <c r="H272" s="4237">
        <v>220000809339001</v>
      </c>
      <c r="I272" s="4238" t="s">
        <v>4284</v>
      </c>
    </row>
    <row r="273" spans="1:9" ht="15">
      <c r="A273" s="4236" t="s">
        <v>4756</v>
      </c>
      <c r="B273" s="4236" t="s">
        <v>4757</v>
      </c>
      <c r="H273" s="4237">
        <v>220000809510019</v>
      </c>
      <c r="I273" s="4238" t="s">
        <v>4284</v>
      </c>
    </row>
    <row r="274" spans="1:9" ht="15">
      <c r="A274" s="4236" t="s">
        <v>4758</v>
      </c>
      <c r="B274" s="4236" t="s">
        <v>4759</v>
      </c>
      <c r="H274" s="4237">
        <v>310000101000092</v>
      </c>
      <c r="I274" s="4238" t="s">
        <v>4260</v>
      </c>
    </row>
    <row r="275" spans="1:9" ht="15">
      <c r="A275" s="4236" t="s">
        <v>4760</v>
      </c>
      <c r="B275" s="4236" t="s">
        <v>40</v>
      </c>
      <c r="H275" s="4237">
        <v>310000101000232</v>
      </c>
      <c r="I275" s="4238" t="s">
        <v>4260</v>
      </c>
    </row>
    <row r="276" spans="1:9" ht="15">
      <c r="A276" s="4236" t="s">
        <v>4761</v>
      </c>
      <c r="B276" s="4236" t="s">
        <v>41</v>
      </c>
      <c r="H276" s="4237">
        <v>310000102021007</v>
      </c>
      <c r="I276" s="4238" t="s">
        <v>4260</v>
      </c>
    </row>
    <row r="277" spans="1:9" ht="15">
      <c r="A277" s="4236" t="s">
        <v>4762</v>
      </c>
      <c r="B277" s="4236" t="s">
        <v>42</v>
      </c>
      <c r="H277" s="4237">
        <v>310000202191001</v>
      </c>
      <c r="I277" s="4238" t="s">
        <v>4763</v>
      </c>
    </row>
    <row r="278" spans="1:9" ht="15">
      <c r="A278" s="4236" t="s">
        <v>1297</v>
      </c>
      <c r="B278" s="4236" t="s">
        <v>4764</v>
      </c>
      <c r="H278" s="4237">
        <v>310000202261037</v>
      </c>
      <c r="I278" s="4238" t="s">
        <v>4763</v>
      </c>
    </row>
    <row r="279" spans="1:9" ht="15">
      <c r="A279" s="4236" t="s">
        <v>1301</v>
      </c>
      <c r="B279" s="4236" t="s">
        <v>44</v>
      </c>
      <c r="H279" s="4237">
        <v>310000202339028</v>
      </c>
      <c r="I279" s="4238" t="s">
        <v>4763</v>
      </c>
    </row>
    <row r="280" spans="1:9" ht="15">
      <c r="A280" s="4236" t="s">
        <v>1305</v>
      </c>
      <c r="B280" s="4236" t="s">
        <v>4765</v>
      </c>
      <c r="H280" s="4237">
        <v>310000202339047</v>
      </c>
      <c r="I280" s="4238" t="s">
        <v>4766</v>
      </c>
    </row>
    <row r="281" spans="1:9" ht="15">
      <c r="A281" s="4236" t="s">
        <v>1308</v>
      </c>
      <c r="B281" s="4236" t="s">
        <v>46</v>
      </c>
      <c r="H281" s="4237">
        <v>310000202339948</v>
      </c>
      <c r="I281" s="4238" t="s">
        <v>4763</v>
      </c>
    </row>
    <row r="282" spans="1:9" ht="15">
      <c r="A282" s="4236" t="s">
        <v>4767</v>
      </c>
      <c r="B282" s="4236" t="s">
        <v>4768</v>
      </c>
      <c r="H282" s="4237">
        <v>310000202535001</v>
      </c>
      <c r="I282" s="4238" t="s">
        <v>4260</v>
      </c>
    </row>
    <row r="283" spans="1:9" ht="15">
      <c r="A283" s="4236" t="s">
        <v>4769</v>
      </c>
      <c r="B283" s="4236" t="s">
        <v>48</v>
      </c>
      <c r="H283" s="4237">
        <v>310000202750001</v>
      </c>
      <c r="I283" s="4238" t="s">
        <v>4763</v>
      </c>
    </row>
    <row r="284" spans="1:9" ht="15">
      <c r="A284" s="4236" t="s">
        <v>4770</v>
      </c>
      <c r="B284" s="4236" t="s">
        <v>2211</v>
      </c>
      <c r="H284" s="4237">
        <v>310000208530014</v>
      </c>
      <c r="I284" s="4238" t="s">
        <v>4763</v>
      </c>
    </row>
    <row r="285" spans="1:9" ht="15">
      <c r="A285" s="4236" t="s">
        <v>4771</v>
      </c>
      <c r="B285" s="4236" t="s">
        <v>4772</v>
      </c>
      <c r="H285" s="4237">
        <v>310000502510060</v>
      </c>
      <c r="I285" s="4238" t="s">
        <v>4277</v>
      </c>
    </row>
    <row r="286" spans="1:9" ht="15">
      <c r="A286" s="4236" t="s">
        <v>4773</v>
      </c>
      <c r="B286" s="4236" t="s">
        <v>4774</v>
      </c>
      <c r="H286" s="4237">
        <v>310000748310002</v>
      </c>
      <c r="I286" s="4238" t="s">
        <v>4260</v>
      </c>
    </row>
    <row r="287" spans="1:9" ht="15">
      <c r="A287" s="4236" t="s">
        <v>4775</v>
      </c>
      <c r="B287" s="4236" t="s">
        <v>4776</v>
      </c>
      <c r="H287" s="4237">
        <v>310000748310003</v>
      </c>
      <c r="I287" s="4238" t="s">
        <v>4260</v>
      </c>
    </row>
    <row r="288" spans="1:9" ht="15">
      <c r="A288" s="4236" t="s">
        <v>4777</v>
      </c>
      <c r="B288" s="4236" t="s">
        <v>4778</v>
      </c>
      <c r="H288" s="4237">
        <v>310000809000001</v>
      </c>
      <c r="I288" s="4238" t="s">
        <v>4284</v>
      </c>
    </row>
    <row r="289" spans="1:9" ht="15">
      <c r="A289" s="4236" t="s">
        <v>4779</v>
      </c>
      <c r="B289" s="4236" t="s">
        <v>4780</v>
      </c>
      <c r="H289" s="4237">
        <v>310000809000232</v>
      </c>
      <c r="I289" s="4238" t="s">
        <v>4284</v>
      </c>
    </row>
    <row r="290" spans="1:9" ht="15">
      <c r="A290" s="4236" t="s">
        <v>4781</v>
      </c>
      <c r="B290" s="4236" t="s">
        <v>4782</v>
      </c>
      <c r="H290" s="4237">
        <v>310000809021007</v>
      </c>
      <c r="I290" s="4238" t="s">
        <v>4284</v>
      </c>
    </row>
    <row r="291" spans="1:9" ht="15">
      <c r="A291" s="4236" t="s">
        <v>4783</v>
      </c>
      <c r="B291" s="4236" t="s">
        <v>50</v>
      </c>
      <c r="H291" s="4237">
        <v>310000809191001</v>
      </c>
      <c r="I291" s="4238" t="s">
        <v>4284</v>
      </c>
    </row>
    <row r="292" spans="1:9" ht="15">
      <c r="A292" s="4236" t="s">
        <v>1315</v>
      </c>
      <c r="B292" s="4236" t="s">
        <v>2110</v>
      </c>
      <c r="H292" s="4237">
        <v>310000809261037</v>
      </c>
      <c r="I292" s="4238" t="s">
        <v>4284</v>
      </c>
    </row>
    <row r="293" spans="1:9" ht="15">
      <c r="A293" s="4236" t="s">
        <v>1318</v>
      </c>
      <c r="B293" s="4236" t="s">
        <v>4784</v>
      </c>
      <c r="H293" s="4237">
        <v>310000809339047</v>
      </c>
      <c r="I293" s="4238" t="s">
        <v>4284</v>
      </c>
    </row>
    <row r="294" spans="1:9" ht="15">
      <c r="A294" s="4236" t="s">
        <v>1321</v>
      </c>
      <c r="B294" s="4236" t="s">
        <v>51</v>
      </c>
      <c r="H294" s="4237">
        <v>310000809339948</v>
      </c>
      <c r="I294" s="4238" t="s">
        <v>4284</v>
      </c>
    </row>
    <row r="295" spans="1:9" ht="15">
      <c r="A295" s="4236" t="s">
        <v>1324</v>
      </c>
      <c r="B295" s="4236" t="s">
        <v>4785</v>
      </c>
      <c r="H295" s="4237">
        <v>310000809750001</v>
      </c>
      <c r="I295" s="4238" t="s">
        <v>4284</v>
      </c>
    </row>
    <row r="296" spans="1:9" ht="15">
      <c r="A296" s="4236" t="s">
        <v>1333</v>
      </c>
      <c r="B296" s="4236" t="s">
        <v>4786</v>
      </c>
      <c r="H296" s="4237">
        <v>310000908530014</v>
      </c>
      <c r="I296" s="4243" t="s">
        <v>4787</v>
      </c>
    </row>
    <row r="297" spans="1:9" ht="15">
      <c r="A297" s="4236" t="s">
        <v>4788</v>
      </c>
      <c r="B297" s="4236" t="s">
        <v>4786</v>
      </c>
      <c r="H297" s="4237">
        <v>360000502510020</v>
      </c>
      <c r="I297" s="4238" t="s">
        <v>4789</v>
      </c>
    </row>
    <row r="298" spans="1:9" ht="15">
      <c r="A298" s="4236" t="s">
        <v>4790</v>
      </c>
      <c r="B298" s="4236" t="s">
        <v>4791</v>
      </c>
      <c r="H298" s="4237">
        <v>370000101000286</v>
      </c>
      <c r="I298" s="4238" t="s">
        <v>4260</v>
      </c>
    </row>
    <row r="299" spans="1:9" ht="15">
      <c r="A299" s="4236" t="s">
        <v>4792</v>
      </c>
      <c r="B299" s="4236" t="s">
        <v>4793</v>
      </c>
      <c r="H299" s="4237">
        <v>370000102021024</v>
      </c>
      <c r="I299" s="4238" t="s">
        <v>4260</v>
      </c>
    </row>
    <row r="300" spans="1:9" ht="15">
      <c r="A300" s="4236" t="s">
        <v>236</v>
      </c>
      <c r="B300" s="4236" t="s">
        <v>4794</v>
      </c>
      <c r="H300" s="4237">
        <v>370000202035001</v>
      </c>
      <c r="I300" s="4238" t="s">
        <v>4795</v>
      </c>
    </row>
    <row r="301" spans="1:9" ht="15">
      <c r="A301" s="4236" t="s">
        <v>251</v>
      </c>
      <c r="B301" s="4236" t="s">
        <v>56</v>
      </c>
      <c r="H301" s="4237">
        <v>370000202044001</v>
      </c>
      <c r="I301" s="4238" t="s">
        <v>4795</v>
      </c>
    </row>
    <row r="302" spans="1:9" ht="15">
      <c r="A302" s="4236" t="s">
        <v>4796</v>
      </c>
      <c r="B302" s="4236" t="s">
        <v>4797</v>
      </c>
      <c r="H302" s="4237">
        <v>370000202050001</v>
      </c>
      <c r="I302" s="4238" t="s">
        <v>4795</v>
      </c>
    </row>
    <row r="303" spans="1:9" ht="15">
      <c r="A303" s="4236" t="s">
        <v>4798</v>
      </c>
      <c r="B303" s="4236" t="s">
        <v>4799</v>
      </c>
      <c r="H303" s="4237">
        <v>370000202099001</v>
      </c>
      <c r="I303" s="4238" t="s">
        <v>4795</v>
      </c>
    </row>
    <row r="304" spans="1:9" ht="15">
      <c r="A304" s="4236" t="s">
        <v>4800</v>
      </c>
      <c r="B304" s="4236" t="s">
        <v>4801</v>
      </c>
      <c r="H304" s="4237">
        <v>370000202099005</v>
      </c>
      <c r="I304" s="4238" t="s">
        <v>4795</v>
      </c>
    </row>
    <row r="305" spans="1:9" ht="15">
      <c r="A305" s="4236" t="s">
        <v>4802</v>
      </c>
      <c r="B305" s="4236" t="s">
        <v>4803</v>
      </c>
      <c r="H305" s="4237">
        <v>370000202131001</v>
      </c>
      <c r="I305" s="4238" t="s">
        <v>4795</v>
      </c>
    </row>
    <row r="306" spans="1:9" ht="15">
      <c r="A306" s="4236" t="s">
        <v>4804</v>
      </c>
      <c r="B306" s="4236" t="s">
        <v>4805</v>
      </c>
      <c r="H306" s="4237">
        <v>370000202193001</v>
      </c>
      <c r="I306" s="4238" t="s">
        <v>4795</v>
      </c>
    </row>
    <row r="307" spans="1:9" ht="15">
      <c r="A307" s="4236" t="s">
        <v>4806</v>
      </c>
      <c r="B307" s="4236" t="s">
        <v>4807</v>
      </c>
      <c r="H307" s="4237">
        <v>370000202212001</v>
      </c>
      <c r="I307" s="4238" t="s">
        <v>4795</v>
      </c>
    </row>
    <row r="308" spans="1:9" ht="15">
      <c r="A308" s="4236" t="s">
        <v>4808</v>
      </c>
      <c r="B308" s="4236" t="s">
        <v>4809</v>
      </c>
      <c r="H308" s="4237">
        <v>370000202221013</v>
      </c>
      <c r="I308" s="4238" t="s">
        <v>4795</v>
      </c>
    </row>
    <row r="309" spans="1:9" ht="15">
      <c r="A309" s="4236" t="s">
        <v>4810</v>
      </c>
      <c r="B309" s="4236" t="s">
        <v>4811</v>
      </c>
      <c r="H309" s="4237">
        <v>370000202221016</v>
      </c>
      <c r="I309" s="4238" t="s">
        <v>4795</v>
      </c>
    </row>
    <row r="310" spans="1:9" ht="15">
      <c r="A310" s="4236" t="s">
        <v>1388</v>
      </c>
      <c r="B310" s="4236" t="s">
        <v>4812</v>
      </c>
      <c r="H310" s="4237">
        <v>370000202221017</v>
      </c>
      <c r="I310" s="4238" t="s">
        <v>4795</v>
      </c>
    </row>
    <row r="311" spans="1:9" ht="15">
      <c r="A311" s="4236" t="s">
        <v>4813</v>
      </c>
      <c r="B311" s="4236" t="s">
        <v>4814</v>
      </c>
      <c r="H311" s="4237">
        <v>370000202244001</v>
      </c>
      <c r="I311" s="4238" t="s">
        <v>4795</v>
      </c>
    </row>
    <row r="312" spans="1:9" ht="15">
      <c r="A312" s="4236" t="s">
        <v>4815</v>
      </c>
      <c r="B312" s="4236" t="s">
        <v>4816</v>
      </c>
      <c r="H312" s="4237">
        <v>370000202261019</v>
      </c>
      <c r="I312" s="4238" t="s">
        <v>4795</v>
      </c>
    </row>
    <row r="313" spans="1:9" ht="15">
      <c r="A313" s="4236" t="s">
        <v>1391</v>
      </c>
      <c r="B313" s="4236" t="s">
        <v>4817</v>
      </c>
      <c r="H313" s="4237">
        <v>370000202332011</v>
      </c>
      <c r="I313" s="4238" t="s">
        <v>4795</v>
      </c>
    </row>
    <row r="314" spans="1:9" ht="15">
      <c r="A314" s="4236" t="s">
        <v>4818</v>
      </c>
      <c r="B314" s="4236" t="s">
        <v>4819</v>
      </c>
      <c r="H314" s="4237">
        <v>370000202339074</v>
      </c>
      <c r="I314" s="4238" t="s">
        <v>4795</v>
      </c>
    </row>
    <row r="315" spans="1:9" ht="15">
      <c r="A315" s="4236" t="s">
        <v>4820</v>
      </c>
      <c r="B315" s="4236" t="s">
        <v>4821</v>
      </c>
      <c r="H315" s="4237">
        <v>370000202348014</v>
      </c>
      <c r="I315" s="4238" t="s">
        <v>4795</v>
      </c>
    </row>
    <row r="316" spans="1:9" ht="15">
      <c r="A316" s="4236" t="s">
        <v>4822</v>
      </c>
      <c r="B316" s="4236" t="s">
        <v>4817</v>
      </c>
      <c r="H316" s="4237">
        <v>370000202348020</v>
      </c>
      <c r="I316" s="4238" t="s">
        <v>4795</v>
      </c>
    </row>
    <row r="317" spans="1:9" ht="15">
      <c r="A317" s="4236" t="s">
        <v>4823</v>
      </c>
      <c r="B317" s="4236" t="s">
        <v>4824</v>
      </c>
      <c r="H317" s="4237">
        <v>370000202408001</v>
      </c>
      <c r="I317" s="4238" t="s">
        <v>4795</v>
      </c>
    </row>
    <row r="318" spans="1:9" ht="15">
      <c r="A318" s="4236" t="s">
        <v>4825</v>
      </c>
      <c r="B318" s="4236" t="s">
        <v>4826</v>
      </c>
      <c r="H318" s="4237">
        <v>370000202423001</v>
      </c>
      <c r="I318" s="4238" t="s">
        <v>4795</v>
      </c>
    </row>
    <row r="319" spans="1:9" ht="15">
      <c r="A319" s="4236" t="s">
        <v>1394</v>
      </c>
      <c r="B319" s="4236" t="s">
        <v>4827</v>
      </c>
      <c r="H319" s="4237">
        <v>370000202499001</v>
      </c>
      <c r="I319" s="4238" t="s">
        <v>4795</v>
      </c>
    </row>
    <row r="320" spans="1:9" ht="15">
      <c r="A320" s="4236" t="s">
        <v>4828</v>
      </c>
      <c r="B320" s="4236" t="s">
        <v>4829</v>
      </c>
      <c r="H320" s="4237">
        <v>370000202506002</v>
      </c>
      <c r="I320" s="4238" t="s">
        <v>4795</v>
      </c>
    </row>
    <row r="321" spans="1:9" ht="15">
      <c r="A321" s="4236" t="s">
        <v>4830</v>
      </c>
      <c r="B321" s="4236" t="s">
        <v>4831</v>
      </c>
      <c r="H321" s="4237">
        <v>370000202526001</v>
      </c>
      <c r="I321" s="4238" t="s">
        <v>4795</v>
      </c>
    </row>
    <row r="322" spans="1:9" ht="15">
      <c r="A322" s="4236" t="s">
        <v>4832</v>
      </c>
      <c r="B322" s="4236" t="s">
        <v>4833</v>
      </c>
      <c r="H322" s="4237">
        <v>370000202603001</v>
      </c>
      <c r="I322" s="4238" t="s">
        <v>4795</v>
      </c>
    </row>
    <row r="323" spans="1:9" ht="15">
      <c r="A323" s="4236" t="s">
        <v>4834</v>
      </c>
      <c r="B323" s="4236" t="s">
        <v>4835</v>
      </c>
      <c r="H323" s="4237">
        <v>370000202644001</v>
      </c>
      <c r="I323" s="4238" t="s">
        <v>4795</v>
      </c>
    </row>
    <row r="324" spans="1:9" ht="15">
      <c r="A324" s="4236" t="s">
        <v>1397</v>
      </c>
      <c r="B324" s="4236" t="s">
        <v>4836</v>
      </c>
      <c r="H324" s="4237">
        <v>370000202661001</v>
      </c>
      <c r="I324" s="4238" t="s">
        <v>4795</v>
      </c>
    </row>
    <row r="325" spans="1:9" ht="15">
      <c r="A325" s="4236" t="s">
        <v>1400</v>
      </c>
      <c r="B325" s="4236" t="s">
        <v>4837</v>
      </c>
      <c r="H325" s="4237">
        <v>370000202675002</v>
      </c>
      <c r="I325" s="4238" t="s">
        <v>4795</v>
      </c>
    </row>
    <row r="326" spans="1:9" ht="15">
      <c r="A326" s="4236" t="s">
        <v>4838</v>
      </c>
      <c r="B326" s="4236" t="s">
        <v>4839</v>
      </c>
      <c r="H326" s="4237">
        <v>370000202776001</v>
      </c>
      <c r="I326" s="4238" t="s">
        <v>4795</v>
      </c>
    </row>
    <row r="327" spans="1:9" ht="15">
      <c r="A327" s="4236" t="s">
        <v>4840</v>
      </c>
      <c r="B327" s="4236" t="s">
        <v>4841</v>
      </c>
      <c r="H327" s="4237">
        <v>370000202780001</v>
      </c>
      <c r="I327" s="4238" t="s">
        <v>4795</v>
      </c>
    </row>
    <row r="328" spans="1:9" ht="15">
      <c r="A328" s="4236" t="s">
        <v>4842</v>
      </c>
      <c r="B328" s="4236" t="s">
        <v>4843</v>
      </c>
      <c r="H328" s="4237">
        <v>370000258002115</v>
      </c>
      <c r="I328" s="4238" t="s">
        <v>4844</v>
      </c>
    </row>
    <row r="329" spans="1:9" ht="15">
      <c r="A329" s="4236" t="s">
        <v>4845</v>
      </c>
      <c r="B329" s="4236" t="s">
        <v>4846</v>
      </c>
      <c r="H329" s="4237">
        <v>370000258002215</v>
      </c>
      <c r="I329" s="4238" t="s">
        <v>4847</v>
      </c>
    </row>
    <row r="330" spans="1:9" ht="15">
      <c r="A330" s="4236" t="s">
        <v>1406</v>
      </c>
      <c r="B330" s="4236" t="s">
        <v>4725</v>
      </c>
      <c r="H330" s="4237">
        <v>370000258002315</v>
      </c>
      <c r="I330" s="4238" t="s">
        <v>4848</v>
      </c>
    </row>
    <row r="331" spans="1:9" ht="15">
      <c r="A331" s="4236" t="s">
        <v>4849</v>
      </c>
      <c r="B331" s="4236" t="s">
        <v>4727</v>
      </c>
      <c r="H331" s="4237">
        <v>370000258002415</v>
      </c>
      <c r="I331" s="4238" t="s">
        <v>4850</v>
      </c>
    </row>
    <row r="332" spans="1:9" ht="15">
      <c r="A332" s="4236" t="s">
        <v>4851</v>
      </c>
      <c r="B332" s="4236" t="s">
        <v>4729</v>
      </c>
      <c r="H332" s="4237">
        <v>370000258002515</v>
      </c>
      <c r="I332" s="4238" t="s">
        <v>4852</v>
      </c>
    </row>
    <row r="333" spans="1:9" ht="15">
      <c r="A333" s="4236" t="s">
        <v>4853</v>
      </c>
      <c r="B333" s="4236" t="s">
        <v>4731</v>
      </c>
      <c r="H333" s="4237">
        <v>370000602792010</v>
      </c>
      <c r="I333" s="4238" t="s">
        <v>4854</v>
      </c>
    </row>
    <row r="334" spans="1:9" ht="15">
      <c r="A334" s="4236" t="s">
        <v>4855</v>
      </c>
      <c r="B334" s="4236" t="s">
        <v>4856</v>
      </c>
      <c r="H334" s="4237">
        <v>370000748300085</v>
      </c>
      <c r="I334" s="4238" t="s">
        <v>4795</v>
      </c>
    </row>
    <row r="335" spans="1:9" ht="15">
      <c r="A335" s="4236" t="s">
        <v>4857</v>
      </c>
      <c r="B335" s="4236" t="s">
        <v>4858</v>
      </c>
      <c r="H335" s="4237">
        <v>370000748300252</v>
      </c>
      <c r="I335" s="4238" t="s">
        <v>4795</v>
      </c>
    </row>
    <row r="336" spans="1:9" ht="15">
      <c r="A336" s="4236" t="s">
        <v>4859</v>
      </c>
      <c r="B336" s="4236" t="s">
        <v>4860</v>
      </c>
      <c r="H336" s="4237">
        <v>370000748300264</v>
      </c>
      <c r="I336" s="4238" t="s">
        <v>4795</v>
      </c>
    </row>
    <row r="337" spans="1:9" ht="15">
      <c r="A337" s="4236" t="s">
        <v>4861</v>
      </c>
      <c r="B337" s="4236" t="s">
        <v>4862</v>
      </c>
      <c r="H337" s="4237">
        <v>370000748300810</v>
      </c>
      <c r="I337" s="4238" t="s">
        <v>4795</v>
      </c>
    </row>
    <row r="338" spans="1:9" ht="15">
      <c r="A338" s="4236" t="s">
        <v>1409</v>
      </c>
      <c r="B338" s="4236" t="s">
        <v>4863</v>
      </c>
      <c r="H338" s="4237">
        <v>370000748500005</v>
      </c>
      <c r="I338" s="4238" t="s">
        <v>4795</v>
      </c>
    </row>
    <row r="339" spans="1:9" ht="15">
      <c r="A339" s="4236" t="s">
        <v>260</v>
      </c>
      <c r="B339" s="4236" t="s">
        <v>57</v>
      </c>
      <c r="H339" s="4237">
        <v>370000748500050</v>
      </c>
      <c r="I339" s="4238" t="s">
        <v>4795</v>
      </c>
    </row>
    <row r="340" spans="1:9" ht="15">
      <c r="A340" s="4236" t="s">
        <v>271</v>
      </c>
      <c r="B340" s="4236" t="s">
        <v>58</v>
      </c>
      <c r="H340" s="4237">
        <v>370000748500106</v>
      </c>
      <c r="I340" s="4238" t="s">
        <v>4795</v>
      </c>
    </row>
    <row r="341" spans="1:9" ht="15">
      <c r="A341" s="4236" t="s">
        <v>4864</v>
      </c>
      <c r="B341" s="4236" t="s">
        <v>4865</v>
      </c>
      <c r="H341" s="4237">
        <v>370000748500202</v>
      </c>
      <c r="I341" s="4238" t="s">
        <v>4795</v>
      </c>
    </row>
    <row r="342" spans="1:9" ht="15">
      <c r="A342" s="4236" t="s">
        <v>257</v>
      </c>
      <c r="B342" s="4236" t="s">
        <v>4866</v>
      </c>
      <c r="H342" s="4237">
        <v>370000748500228</v>
      </c>
      <c r="I342" s="4238" t="s">
        <v>4795</v>
      </c>
    </row>
    <row r="343" spans="1:9" ht="15">
      <c r="A343" s="4236" t="s">
        <v>4867</v>
      </c>
      <c r="B343" s="4236" t="s">
        <v>4868</v>
      </c>
      <c r="H343" s="4237">
        <v>370000809000001</v>
      </c>
      <c r="I343" s="4238" t="s">
        <v>4284</v>
      </c>
    </row>
    <row r="344" spans="1:9" ht="15">
      <c r="A344" s="4236" t="s">
        <v>4869</v>
      </c>
      <c r="B344" s="4236" t="s">
        <v>4870</v>
      </c>
      <c r="H344" s="4237">
        <v>400000101000415</v>
      </c>
      <c r="I344" s="4238" t="s">
        <v>4260</v>
      </c>
    </row>
    <row r="345" spans="1:9" ht="15">
      <c r="A345" s="4236" t="s">
        <v>4871</v>
      </c>
      <c r="B345" s="4236" t="s">
        <v>4872</v>
      </c>
      <c r="H345" s="4237">
        <v>400000102021063</v>
      </c>
      <c r="I345" s="4238" t="s">
        <v>4260</v>
      </c>
    </row>
    <row r="346" spans="1:9" ht="15">
      <c r="A346" s="4236" t="s">
        <v>254</v>
      </c>
      <c r="B346" s="4236" t="s">
        <v>253</v>
      </c>
      <c r="H346" s="4237">
        <v>400000158043001</v>
      </c>
      <c r="I346" s="4238" t="s">
        <v>4873</v>
      </c>
    </row>
    <row r="347" spans="1:9" ht="15">
      <c r="A347" s="4236" t="s">
        <v>4874</v>
      </c>
      <c r="B347" s="4236" t="s">
        <v>253</v>
      </c>
      <c r="H347" s="4237">
        <v>400000158810005</v>
      </c>
      <c r="I347" s="4238" t="s">
        <v>4873</v>
      </c>
    </row>
    <row r="348" spans="1:9" ht="15">
      <c r="A348" s="4236" t="s">
        <v>273</v>
      </c>
      <c r="B348" s="4236" t="s">
        <v>4875</v>
      </c>
      <c r="H348" s="4237">
        <v>400000158810016</v>
      </c>
      <c r="I348" s="4238" t="s">
        <v>4873</v>
      </c>
    </row>
    <row r="349" spans="1:9" ht="15">
      <c r="A349" s="4236" t="s">
        <v>4876</v>
      </c>
      <c r="B349" s="4236" t="s">
        <v>4877</v>
      </c>
      <c r="H349" s="4237">
        <v>400000202041001</v>
      </c>
      <c r="I349" s="4238" t="s">
        <v>4763</v>
      </c>
    </row>
    <row r="350" spans="1:9" ht="15">
      <c r="A350" s="4236" t="s">
        <v>4878</v>
      </c>
      <c r="B350" s="4236" t="s">
        <v>4879</v>
      </c>
      <c r="H350" s="4237">
        <v>400000202043001</v>
      </c>
      <c r="I350" s="4238" t="s">
        <v>4763</v>
      </c>
    </row>
    <row r="351" spans="1:9" ht="15">
      <c r="A351" s="4236" t="s">
        <v>4880</v>
      </c>
      <c r="B351" s="4236" t="s">
        <v>4881</v>
      </c>
      <c r="H351" s="4237">
        <v>400000202109002</v>
      </c>
      <c r="I351" s="4238" t="s">
        <v>4763</v>
      </c>
    </row>
    <row r="352" spans="1:9" ht="15">
      <c r="A352" s="4236" t="s">
        <v>4882</v>
      </c>
      <c r="B352" s="4236" t="s">
        <v>4883</v>
      </c>
      <c r="H352" s="4237">
        <v>400000202160001</v>
      </c>
      <c r="I352" s="4238" t="s">
        <v>4884</v>
      </c>
    </row>
    <row r="353" spans="1:9" ht="15">
      <c r="A353" s="4236" t="s">
        <v>4885</v>
      </c>
      <c r="B353" s="4236" t="s">
        <v>4886</v>
      </c>
      <c r="H353" s="4237">
        <v>400000202177001</v>
      </c>
      <c r="I353" s="4238" t="s">
        <v>4763</v>
      </c>
    </row>
    <row r="354" spans="1:9" ht="15">
      <c r="A354" s="4236" t="s">
        <v>4887</v>
      </c>
      <c r="B354" s="4236" t="s">
        <v>4888</v>
      </c>
      <c r="H354" s="4237">
        <v>400000202195003</v>
      </c>
      <c r="I354" s="4238" t="s">
        <v>4884</v>
      </c>
    </row>
    <row r="355" spans="1:9" ht="15">
      <c r="A355" s="4236" t="s">
        <v>4889</v>
      </c>
      <c r="B355" s="4236" t="s">
        <v>4890</v>
      </c>
      <c r="H355" s="4237">
        <v>400000202195004</v>
      </c>
      <c r="I355" s="4238" t="s">
        <v>4884</v>
      </c>
    </row>
    <row r="356" spans="1:9" ht="15">
      <c r="A356" s="4236" t="s">
        <v>4891</v>
      </c>
      <c r="B356" s="4236" t="s">
        <v>4892</v>
      </c>
      <c r="H356" s="4237">
        <v>400000202261006</v>
      </c>
      <c r="I356" s="4238" t="s">
        <v>4763</v>
      </c>
    </row>
    <row r="357" spans="1:9" ht="15">
      <c r="A357" s="4236" t="s">
        <v>4893</v>
      </c>
      <c r="B357" s="4236" t="s">
        <v>4894</v>
      </c>
      <c r="H357" s="4237">
        <v>400000202338002</v>
      </c>
      <c r="I357" s="4238" t="s">
        <v>4763</v>
      </c>
    </row>
    <row r="358" spans="1:9" ht="15">
      <c r="A358" s="4236" t="s">
        <v>4895</v>
      </c>
      <c r="B358" s="4236" t="s">
        <v>4896</v>
      </c>
      <c r="H358" s="4237">
        <v>400000202339098</v>
      </c>
      <c r="I358" s="4238" t="s">
        <v>4763</v>
      </c>
    </row>
    <row r="359" spans="1:9" ht="15">
      <c r="A359" s="4236" t="s">
        <v>4897</v>
      </c>
      <c r="B359" s="4236" t="s">
        <v>4898</v>
      </c>
      <c r="H359" s="4237">
        <v>400000202401001</v>
      </c>
      <c r="I359" s="4238" t="s">
        <v>4884</v>
      </c>
    </row>
    <row r="360" spans="1:9" ht="15">
      <c r="A360" s="4236" t="s">
        <v>4899</v>
      </c>
      <c r="B360" s="4236" t="s">
        <v>4900</v>
      </c>
      <c r="H360" s="4237">
        <v>400000202551001</v>
      </c>
      <c r="I360" s="4238" t="s">
        <v>4763</v>
      </c>
    </row>
    <row r="361" spans="1:9" ht="15">
      <c r="A361" s="4236" t="s">
        <v>4901</v>
      </c>
      <c r="B361" s="4236" t="s">
        <v>4902</v>
      </c>
      <c r="H361" s="4237">
        <v>400000202600005</v>
      </c>
      <c r="I361" s="4238" t="s">
        <v>4260</v>
      </c>
    </row>
    <row r="362" spans="1:9" ht="15">
      <c r="A362" s="4236" t="s">
        <v>4903</v>
      </c>
      <c r="B362" s="4236" t="s">
        <v>4904</v>
      </c>
      <c r="H362" s="4237">
        <v>400000202648001</v>
      </c>
      <c r="I362" s="4238" t="s">
        <v>4884</v>
      </c>
    </row>
    <row r="363" spans="1:9" ht="15">
      <c r="A363" s="4236" t="s">
        <v>4905</v>
      </c>
      <c r="B363" s="4236" t="s">
        <v>4906</v>
      </c>
      <c r="H363" s="4237">
        <v>400000202722001</v>
      </c>
      <c r="I363" s="4238" t="s">
        <v>4763</v>
      </c>
    </row>
    <row r="364" spans="1:9" ht="15">
      <c r="A364" s="4236" t="s">
        <v>4907</v>
      </c>
      <c r="B364" s="4236" t="s">
        <v>4908</v>
      </c>
      <c r="H364" s="4237">
        <v>400000208500023</v>
      </c>
      <c r="I364" s="4238" t="s">
        <v>4909</v>
      </c>
    </row>
    <row r="365" spans="1:9" ht="15">
      <c r="A365" s="4236" t="s">
        <v>4910</v>
      </c>
      <c r="B365" s="4236" t="s">
        <v>4911</v>
      </c>
      <c r="H365" s="4237">
        <v>400000208520001</v>
      </c>
      <c r="I365" s="4238" t="s">
        <v>4912</v>
      </c>
    </row>
    <row r="366" spans="1:9" ht="15">
      <c r="A366" s="4236" t="s">
        <v>4913</v>
      </c>
      <c r="B366" s="4236" t="s">
        <v>4914</v>
      </c>
      <c r="H366" s="4237">
        <v>400000502765002</v>
      </c>
      <c r="I366" s="4238" t="s">
        <v>4915</v>
      </c>
    </row>
    <row r="367" spans="1:9" ht="15">
      <c r="A367" s="4236" t="s">
        <v>4916</v>
      </c>
      <c r="B367" s="4236" t="s">
        <v>4917</v>
      </c>
      <c r="H367" s="4237">
        <v>400000502767002</v>
      </c>
      <c r="I367" s="4238" t="s">
        <v>4915</v>
      </c>
    </row>
    <row r="368" spans="1:9" ht="15">
      <c r="A368" s="4236" t="s">
        <v>4918</v>
      </c>
      <c r="B368" s="4236" t="s">
        <v>4919</v>
      </c>
      <c r="H368" s="4237">
        <v>400000508530015</v>
      </c>
      <c r="I368" s="4238" t="s">
        <v>4920</v>
      </c>
    </row>
    <row r="369" spans="1:9" ht="15">
      <c r="A369" s="4236" t="s">
        <v>4921</v>
      </c>
      <c r="B369" s="4236" t="s">
        <v>4922</v>
      </c>
      <c r="H369" s="4237">
        <v>400000558250001</v>
      </c>
      <c r="I369" s="4238" t="s">
        <v>4923</v>
      </c>
    </row>
    <row r="370" spans="1:9" ht="15">
      <c r="A370" s="4236" t="s">
        <v>4924</v>
      </c>
      <c r="B370" s="4236" t="s">
        <v>4925</v>
      </c>
      <c r="H370" s="4237">
        <v>400000808500023</v>
      </c>
      <c r="I370" s="4238" t="s">
        <v>4284</v>
      </c>
    </row>
    <row r="371" spans="1:9" ht="15">
      <c r="A371" s="4236" t="s">
        <v>4926</v>
      </c>
      <c r="B371" s="4236" t="s">
        <v>4927</v>
      </c>
      <c r="H371" s="4237">
        <v>400000809000001</v>
      </c>
      <c r="I371" s="4238" t="s">
        <v>4284</v>
      </c>
    </row>
    <row r="372" spans="1:9" ht="15">
      <c r="A372" s="4236" t="s">
        <v>4928</v>
      </c>
      <c r="B372" s="4236" t="s">
        <v>4929</v>
      </c>
      <c r="H372" s="4237">
        <v>400000908500023</v>
      </c>
      <c r="I372" s="4243" t="s">
        <v>4787</v>
      </c>
    </row>
    <row r="373" spans="1:9" ht="15">
      <c r="A373" s="4236" t="s">
        <v>4930</v>
      </c>
      <c r="B373" s="4236" t="s">
        <v>4931</v>
      </c>
      <c r="H373" s="4237">
        <v>410000101000496</v>
      </c>
      <c r="I373" s="4238" t="s">
        <v>4260</v>
      </c>
    </row>
    <row r="374" spans="1:9" ht="15">
      <c r="A374" s="4236" t="s">
        <v>4932</v>
      </c>
      <c r="B374" s="4236" t="s">
        <v>4933</v>
      </c>
      <c r="H374" s="4237">
        <v>410000202021034</v>
      </c>
      <c r="I374" s="4238" t="s">
        <v>4260</v>
      </c>
    </row>
    <row r="375" spans="1:9" ht="15">
      <c r="A375" s="4236" t="s">
        <v>4934</v>
      </c>
      <c r="B375" s="4236" t="s">
        <v>4935</v>
      </c>
      <c r="H375" s="4237">
        <v>410000202149001</v>
      </c>
      <c r="I375" s="4238" t="s">
        <v>4936</v>
      </c>
    </row>
    <row r="376" spans="1:9" ht="15">
      <c r="A376" s="4236" t="s">
        <v>4937</v>
      </c>
      <c r="B376" s="4236" t="s">
        <v>4938</v>
      </c>
      <c r="H376" s="4237">
        <v>410000202202001</v>
      </c>
      <c r="I376" s="4238" t="s">
        <v>4936</v>
      </c>
    </row>
    <row r="377" spans="1:9" ht="15">
      <c r="A377" s="4236" t="s">
        <v>4939</v>
      </c>
      <c r="B377" s="4236" t="s">
        <v>4940</v>
      </c>
      <c r="H377" s="4237">
        <v>410000202261021</v>
      </c>
      <c r="I377" s="4238" t="s">
        <v>4766</v>
      </c>
    </row>
    <row r="378" spans="1:9" ht="15">
      <c r="A378" s="4236" t="s">
        <v>4941</v>
      </c>
      <c r="B378" s="4236" t="s">
        <v>4942</v>
      </c>
      <c r="H378" s="4237">
        <v>410000202339001</v>
      </c>
      <c r="I378" s="4238" t="s">
        <v>4766</v>
      </c>
    </row>
    <row r="379" spans="1:9" ht="15">
      <c r="A379" s="4236" t="s">
        <v>4943</v>
      </c>
      <c r="B379" s="4236" t="s">
        <v>4944</v>
      </c>
      <c r="H379" s="4237">
        <v>410000202439001</v>
      </c>
      <c r="I379" s="4238" t="s">
        <v>4766</v>
      </c>
    </row>
    <row r="380" spans="1:9" ht="15">
      <c r="A380" s="4236" t="s">
        <v>4945</v>
      </c>
      <c r="B380" s="4236" t="s">
        <v>4946</v>
      </c>
      <c r="H380" s="4237">
        <v>410000202492001</v>
      </c>
      <c r="I380" s="4238" t="s">
        <v>4766</v>
      </c>
    </row>
    <row r="381" spans="1:9" ht="15">
      <c r="A381" s="4236" t="s">
        <v>4947</v>
      </c>
      <c r="B381" s="4236" t="s">
        <v>4948</v>
      </c>
      <c r="H381" s="4237">
        <v>410000202510010</v>
      </c>
      <c r="I381" s="4238" t="s">
        <v>4766</v>
      </c>
    </row>
    <row r="382" spans="1:9" ht="15">
      <c r="A382" s="4236" t="s">
        <v>4949</v>
      </c>
      <c r="B382" s="4236" t="s">
        <v>4950</v>
      </c>
      <c r="H382" s="4237">
        <v>410000202511002</v>
      </c>
      <c r="I382" s="4238" t="s">
        <v>4766</v>
      </c>
    </row>
    <row r="383" spans="1:9" ht="15">
      <c r="A383" s="4236" t="s">
        <v>4951</v>
      </c>
      <c r="B383" s="4236" t="s">
        <v>4952</v>
      </c>
      <c r="H383" s="4237">
        <v>410000502302001</v>
      </c>
      <c r="I383" s="4238" t="s">
        <v>4277</v>
      </c>
    </row>
    <row r="384" spans="1:9" ht="15">
      <c r="A384" s="4236" t="s">
        <v>4953</v>
      </c>
      <c r="B384" s="4236" t="s">
        <v>4954</v>
      </c>
      <c r="H384" s="4237">
        <v>410000602438001</v>
      </c>
      <c r="I384" s="4238" t="s">
        <v>4854</v>
      </c>
    </row>
    <row r="385" spans="1:9" ht="15">
      <c r="A385" s="4236" t="s">
        <v>4955</v>
      </c>
      <c r="B385" s="4236" t="s">
        <v>4956</v>
      </c>
      <c r="H385" s="4237">
        <v>410000742601001</v>
      </c>
      <c r="I385" s="4238" t="s">
        <v>4957</v>
      </c>
    </row>
    <row r="386" spans="1:9" ht="15">
      <c r="A386" s="4236" t="s">
        <v>4958</v>
      </c>
      <c r="B386" s="4236" t="s">
        <v>4959</v>
      </c>
      <c r="H386" s="4237">
        <v>410000748410001</v>
      </c>
      <c r="I386" s="4238" t="s">
        <v>4260</v>
      </c>
    </row>
    <row r="387" spans="1:9" ht="15">
      <c r="A387" s="4236" t="s">
        <v>4960</v>
      </c>
      <c r="B387" s="4236" t="s">
        <v>4961</v>
      </c>
      <c r="H387" s="4237">
        <v>410000748410003</v>
      </c>
      <c r="I387" s="4238" t="s">
        <v>4260</v>
      </c>
    </row>
    <row r="388" spans="1:9" ht="15">
      <c r="A388" s="4236" t="s">
        <v>4962</v>
      </c>
      <c r="B388" s="4236" t="s">
        <v>4963</v>
      </c>
      <c r="H388" s="4237">
        <v>410000748410004</v>
      </c>
      <c r="I388" s="4238" t="s">
        <v>4260</v>
      </c>
    </row>
    <row r="389" spans="1:9" ht="15">
      <c r="A389" s="4236" t="s">
        <v>4964</v>
      </c>
      <c r="B389" s="4236" t="s">
        <v>4965</v>
      </c>
      <c r="H389" s="4237">
        <v>410000809410005</v>
      </c>
      <c r="I389" s="4238" t="s">
        <v>4284</v>
      </c>
    </row>
    <row r="390" spans="1:9" ht="15">
      <c r="A390" s="4236" t="s">
        <v>4966</v>
      </c>
      <c r="B390" s="4236" t="s">
        <v>4967</v>
      </c>
      <c r="H390" s="4237">
        <v>420000101000102</v>
      </c>
      <c r="I390" s="4238" t="s">
        <v>4260</v>
      </c>
    </row>
    <row r="391" spans="1:9" ht="15">
      <c r="A391" s="4236" t="s">
        <v>4968</v>
      </c>
      <c r="B391" s="4236" t="s">
        <v>4969</v>
      </c>
      <c r="H391" s="4237">
        <v>420000101000113</v>
      </c>
      <c r="I391" s="4238" t="s">
        <v>4260</v>
      </c>
    </row>
    <row r="392" spans="1:9" ht="15">
      <c r="A392" s="4236" t="s">
        <v>4970</v>
      </c>
      <c r="B392" s="4236" t="s">
        <v>4971</v>
      </c>
      <c r="H392" s="4237">
        <v>420000101000114</v>
      </c>
      <c r="I392" s="4238" t="s">
        <v>4260</v>
      </c>
    </row>
    <row r="393" spans="1:9" ht="15">
      <c r="A393" s="4236" t="s">
        <v>4972</v>
      </c>
      <c r="B393" s="4236" t="s">
        <v>4973</v>
      </c>
      <c r="H393" s="4237">
        <v>420000101000117</v>
      </c>
      <c r="I393" s="4238" t="s">
        <v>4260</v>
      </c>
    </row>
    <row r="394" spans="1:9" ht="15">
      <c r="A394" s="4236" t="s">
        <v>4974</v>
      </c>
      <c r="B394" s="4236" t="s">
        <v>4975</v>
      </c>
      <c r="H394" s="4237">
        <v>420000101000118</v>
      </c>
      <c r="I394" s="4238" t="s">
        <v>4260</v>
      </c>
    </row>
    <row r="395" spans="1:9" ht="15">
      <c r="A395" s="4236" t="s">
        <v>4976</v>
      </c>
      <c r="B395" s="4236" t="s">
        <v>4977</v>
      </c>
      <c r="H395" s="4237">
        <v>420000101000119</v>
      </c>
      <c r="I395" s="4238" t="s">
        <v>4260</v>
      </c>
    </row>
    <row r="396" spans="1:9" ht="15">
      <c r="A396" s="4236" t="s">
        <v>4978</v>
      </c>
      <c r="B396" s="4236" t="s">
        <v>4979</v>
      </c>
      <c r="H396" s="4237">
        <v>420000102021001</v>
      </c>
      <c r="I396" s="4238" t="s">
        <v>4980</v>
      </c>
    </row>
    <row r="397" spans="1:9" ht="15">
      <c r="A397" s="4236" t="s">
        <v>4981</v>
      </c>
      <c r="B397" s="4236" t="s">
        <v>4982</v>
      </c>
      <c r="H397" s="4237">
        <v>420000158009004</v>
      </c>
      <c r="I397" s="4238" t="s">
        <v>4873</v>
      </c>
    </row>
    <row r="398" spans="1:9" ht="15">
      <c r="A398" s="4236" t="s">
        <v>4983</v>
      </c>
      <c r="B398" s="4236" t="s">
        <v>4984</v>
      </c>
      <c r="H398" s="4237">
        <v>420000202093001</v>
      </c>
      <c r="I398" s="4238" t="s">
        <v>4980</v>
      </c>
    </row>
    <row r="399" spans="1:9" ht="15">
      <c r="A399" s="4236" t="s">
        <v>4985</v>
      </c>
      <c r="B399" s="4236" t="s">
        <v>4986</v>
      </c>
      <c r="H399" s="4237">
        <v>420000202261004</v>
      </c>
      <c r="I399" s="4238" t="s">
        <v>4980</v>
      </c>
    </row>
    <row r="400" spans="1:9" ht="15">
      <c r="A400" s="4236" t="s">
        <v>4987</v>
      </c>
      <c r="B400" s="4236" t="s">
        <v>4988</v>
      </c>
      <c r="H400" s="4237">
        <v>420000202315002</v>
      </c>
      <c r="I400" s="4238" t="s">
        <v>4980</v>
      </c>
    </row>
    <row r="401" spans="1:9" ht="15">
      <c r="A401" s="4236" t="s">
        <v>4989</v>
      </c>
      <c r="B401" s="4236" t="s">
        <v>4990</v>
      </c>
      <c r="H401" s="4237">
        <v>420000202321001</v>
      </c>
      <c r="I401" s="4238" t="s">
        <v>4980</v>
      </c>
    </row>
    <row r="402" spans="1:9" ht="15">
      <c r="A402" s="4236" t="s">
        <v>4991</v>
      </c>
      <c r="B402" s="4236" t="s">
        <v>4992</v>
      </c>
      <c r="H402" s="4237">
        <v>420000202360001</v>
      </c>
      <c r="I402" s="4238" t="s">
        <v>4980</v>
      </c>
    </row>
    <row r="403" spans="1:9" ht="15">
      <c r="A403" s="4236" t="s">
        <v>4993</v>
      </c>
      <c r="B403" s="4236" t="s">
        <v>4994</v>
      </c>
      <c r="H403" s="4237">
        <v>420000202381001</v>
      </c>
      <c r="I403" s="4238" t="s">
        <v>4980</v>
      </c>
    </row>
    <row r="404" spans="1:9" ht="15">
      <c r="A404" s="4236" t="s">
        <v>4995</v>
      </c>
      <c r="B404" s="4236" t="s">
        <v>4996</v>
      </c>
      <c r="H404" s="4237">
        <v>420000202473001</v>
      </c>
      <c r="I404" s="4238" t="s">
        <v>4980</v>
      </c>
    </row>
    <row r="405" spans="1:9" ht="15">
      <c r="A405" s="4236" t="s">
        <v>4997</v>
      </c>
      <c r="B405" s="4236" t="s">
        <v>4998</v>
      </c>
      <c r="H405" s="4237">
        <v>420000202507001</v>
      </c>
      <c r="I405" s="4238" t="s">
        <v>4980</v>
      </c>
    </row>
    <row r="406" spans="1:9" ht="15">
      <c r="A406" s="4236" t="s">
        <v>262</v>
      </c>
      <c r="B406" s="4236" t="s">
        <v>4999</v>
      </c>
      <c r="H406" s="4237">
        <v>420000202609003</v>
      </c>
      <c r="I406" s="4238" t="s">
        <v>4980</v>
      </c>
    </row>
    <row r="407" spans="1:9" ht="15">
      <c r="A407" s="4236" t="s">
        <v>5000</v>
      </c>
      <c r="B407" s="4236" t="s">
        <v>5001</v>
      </c>
      <c r="H407" s="4237">
        <v>420000202719004</v>
      </c>
      <c r="I407" s="4238" t="s">
        <v>4936</v>
      </c>
    </row>
    <row r="408" spans="1:9" ht="15">
      <c r="A408" s="4236" t="s">
        <v>5002</v>
      </c>
      <c r="B408" s="4236" t="s">
        <v>5003</v>
      </c>
      <c r="H408" s="4237">
        <v>420000202773001</v>
      </c>
      <c r="I408" s="4238" t="s">
        <v>4980</v>
      </c>
    </row>
    <row r="409" spans="1:9" ht="15">
      <c r="A409" s="4236" t="s">
        <v>5004</v>
      </c>
      <c r="B409" s="4236" t="s">
        <v>5005</v>
      </c>
      <c r="H409" s="4237">
        <v>420000202931001</v>
      </c>
      <c r="I409" s="4238" t="s">
        <v>4980</v>
      </c>
    </row>
    <row r="410" spans="1:9" ht="15">
      <c r="A410" s="4236" t="s">
        <v>5006</v>
      </c>
      <c r="B410" s="4236" t="s">
        <v>5007</v>
      </c>
      <c r="H410" s="4237">
        <v>420000502163001</v>
      </c>
      <c r="I410" s="4238" t="s">
        <v>4277</v>
      </c>
    </row>
    <row r="411" spans="1:9" ht="15">
      <c r="A411" s="4236" t="s">
        <v>5008</v>
      </c>
      <c r="B411" s="4236" t="s">
        <v>5009</v>
      </c>
      <c r="H411" s="4237">
        <v>420000502528004</v>
      </c>
      <c r="I411" s="4238" t="s">
        <v>4277</v>
      </c>
    </row>
    <row r="412" spans="1:9" ht="15">
      <c r="A412" s="4236" t="s">
        <v>5010</v>
      </c>
      <c r="B412" s="4236" t="s">
        <v>5011</v>
      </c>
      <c r="H412" s="4237">
        <v>420000502920001</v>
      </c>
      <c r="I412" s="4238" t="s">
        <v>4277</v>
      </c>
    </row>
    <row r="413" spans="1:9" ht="15">
      <c r="A413" s="4236" t="s">
        <v>5012</v>
      </c>
      <c r="B413" s="4236" t="s">
        <v>5013</v>
      </c>
      <c r="H413" s="4237">
        <v>420000809000102</v>
      </c>
      <c r="I413" s="4238" t="s">
        <v>4284</v>
      </c>
    </row>
    <row r="414" spans="1:9" ht="15">
      <c r="A414" s="4236" t="s">
        <v>5014</v>
      </c>
      <c r="B414" s="4236" t="s">
        <v>5015</v>
      </c>
      <c r="H414" s="4237">
        <v>430000101000122</v>
      </c>
      <c r="I414" s="4238" t="s">
        <v>4260</v>
      </c>
    </row>
    <row r="415" spans="1:9" ht="15">
      <c r="A415" s="4236" t="s">
        <v>5016</v>
      </c>
      <c r="B415" s="4236" t="s">
        <v>5017</v>
      </c>
      <c r="H415" s="4237">
        <v>430000102021002</v>
      </c>
      <c r="I415" s="4238" t="s">
        <v>5018</v>
      </c>
    </row>
    <row r="416" spans="1:9" ht="15">
      <c r="A416" s="4236" t="s">
        <v>5019</v>
      </c>
      <c r="B416" s="4236" t="s">
        <v>5020</v>
      </c>
      <c r="H416" s="4237">
        <v>430000102078001</v>
      </c>
      <c r="I416" s="4238" t="s">
        <v>4260</v>
      </c>
    </row>
    <row r="417" spans="1:9" ht="15">
      <c r="A417" s="4236" t="s">
        <v>265</v>
      </c>
      <c r="B417" s="4236" t="s">
        <v>5021</v>
      </c>
      <c r="H417" s="4237">
        <v>430000102393001</v>
      </c>
      <c r="I417" s="4238" t="s">
        <v>5018</v>
      </c>
    </row>
    <row r="418" spans="1:9" ht="15">
      <c r="A418" s="4236" t="s">
        <v>5022</v>
      </c>
      <c r="B418" s="4236" t="s">
        <v>5023</v>
      </c>
      <c r="H418" s="4237">
        <v>430000105000001</v>
      </c>
      <c r="I418" s="4238" t="s">
        <v>4260</v>
      </c>
    </row>
    <row r="419" spans="1:9" ht="15">
      <c r="A419" s="4236" t="s">
        <v>5024</v>
      </c>
      <c r="B419" s="4236" t="s">
        <v>5025</v>
      </c>
      <c r="H419" s="4237">
        <v>430000108078001</v>
      </c>
      <c r="I419" s="4238" t="s">
        <v>4260</v>
      </c>
    </row>
    <row r="420" spans="1:9" ht="15">
      <c r="A420" s="4236" t="s">
        <v>5026</v>
      </c>
      <c r="B420" s="4236" t="s">
        <v>5027</v>
      </c>
      <c r="H420" s="4237">
        <v>430000202021003</v>
      </c>
      <c r="I420" s="4238" t="s">
        <v>4766</v>
      </c>
    </row>
    <row r="421" spans="1:9" ht="15">
      <c r="A421" s="4236" t="s">
        <v>5028</v>
      </c>
      <c r="B421" s="4236" t="s">
        <v>5029</v>
      </c>
      <c r="H421" s="4237">
        <v>430000202021004</v>
      </c>
      <c r="I421" s="4238" t="s">
        <v>5030</v>
      </c>
    </row>
    <row r="422" spans="1:9" ht="15">
      <c r="A422" s="4236" t="s">
        <v>5031</v>
      </c>
      <c r="B422" s="4236" t="s">
        <v>5032</v>
      </c>
      <c r="H422" s="4237">
        <v>430000202021018</v>
      </c>
      <c r="I422" s="4238" t="s">
        <v>5018</v>
      </c>
    </row>
    <row r="423" spans="1:9" ht="15">
      <c r="A423" s="4236" t="s">
        <v>5033</v>
      </c>
      <c r="B423" s="4236" t="s">
        <v>5034</v>
      </c>
      <c r="H423" s="4237">
        <v>430000202021029</v>
      </c>
      <c r="I423" s="4238" t="s">
        <v>4766</v>
      </c>
    </row>
    <row r="424" spans="1:9" ht="15">
      <c r="A424" s="4236" t="s">
        <v>275</v>
      </c>
      <c r="B424" s="4236" t="s">
        <v>5035</v>
      </c>
      <c r="H424" s="4237">
        <v>430000202021030</v>
      </c>
      <c r="I424" s="4238" t="s">
        <v>4357</v>
      </c>
    </row>
    <row r="425" spans="1:9" ht="15">
      <c r="A425" s="4236" t="s">
        <v>5036</v>
      </c>
      <c r="B425" s="4236" t="s">
        <v>5037</v>
      </c>
      <c r="H425" s="4237">
        <v>430000202021201</v>
      </c>
      <c r="I425" s="4238" t="s">
        <v>5030</v>
      </c>
    </row>
    <row r="426" spans="1:9" ht="15">
      <c r="A426" s="4236" t="s">
        <v>5038</v>
      </c>
      <c r="B426" s="4236" t="s">
        <v>5039</v>
      </c>
      <c r="H426" s="4237">
        <v>430000202021202</v>
      </c>
      <c r="I426" s="4238" t="s">
        <v>4357</v>
      </c>
    </row>
    <row r="427" spans="1:9" ht="15">
      <c r="A427" s="4236" t="s">
        <v>5040</v>
      </c>
      <c r="B427" s="4236" t="s">
        <v>5041</v>
      </c>
      <c r="H427" s="4237">
        <v>430000202021205</v>
      </c>
      <c r="I427" s="4238" t="s">
        <v>5030</v>
      </c>
    </row>
    <row r="428" spans="1:9" ht="15">
      <c r="A428" s="4236" t="s">
        <v>287</v>
      </c>
      <c r="B428" s="4236" t="s">
        <v>286</v>
      </c>
      <c r="H428" s="4237">
        <v>430000202123001</v>
      </c>
      <c r="I428" s="4238" t="s">
        <v>5042</v>
      </c>
    </row>
    <row r="429" spans="1:9" ht="15">
      <c r="A429" s="4236" t="s">
        <v>281</v>
      </c>
      <c r="B429" s="4236" t="s">
        <v>5043</v>
      </c>
      <c r="H429" s="4237">
        <v>430000202261008</v>
      </c>
      <c r="I429" s="4238" t="s">
        <v>4766</v>
      </c>
    </row>
    <row r="430" spans="1:9" ht="15">
      <c r="A430" s="4236" t="s">
        <v>292</v>
      </c>
      <c r="B430" s="4236" t="s">
        <v>5044</v>
      </c>
      <c r="H430" s="4237">
        <v>430000202393007</v>
      </c>
      <c r="I430" s="4238" t="s">
        <v>5018</v>
      </c>
    </row>
    <row r="431" spans="1:9" ht="15">
      <c r="A431" s="4236" t="s">
        <v>5045</v>
      </c>
      <c r="B431" s="4236" t="s">
        <v>5046</v>
      </c>
      <c r="H431" s="4237">
        <v>430000202487001</v>
      </c>
      <c r="I431" s="4238" t="s">
        <v>4766</v>
      </c>
    </row>
    <row r="432" spans="1:9" ht="15">
      <c r="A432" s="4236" t="s">
        <v>284</v>
      </c>
      <c r="B432" s="4236" t="s">
        <v>5047</v>
      </c>
      <c r="H432" s="4237">
        <v>430000202626001</v>
      </c>
      <c r="I432" s="4238" t="s">
        <v>4766</v>
      </c>
    </row>
    <row r="433" spans="1:9" ht="15">
      <c r="A433" s="4236" t="s">
        <v>5048</v>
      </c>
      <c r="B433" s="4236" t="s">
        <v>5049</v>
      </c>
      <c r="H433" s="4237">
        <v>430000202719001</v>
      </c>
      <c r="I433" s="4238" t="s">
        <v>4936</v>
      </c>
    </row>
    <row r="434" spans="1:9" ht="15">
      <c r="A434" s="4236" t="s">
        <v>268</v>
      </c>
      <c r="B434" s="4236" t="s">
        <v>5050</v>
      </c>
      <c r="H434" s="4237">
        <v>430000202719005</v>
      </c>
      <c r="I434" s="4238" t="s">
        <v>4936</v>
      </c>
    </row>
    <row r="435" spans="1:9" ht="15">
      <c r="A435" s="4236" t="s">
        <v>299</v>
      </c>
      <c r="B435" s="4236" t="s">
        <v>68</v>
      </c>
      <c r="H435" s="4237">
        <v>430000202725001</v>
      </c>
      <c r="I435" s="4238" t="s">
        <v>4260</v>
      </c>
    </row>
    <row r="436" spans="1:9" ht="15">
      <c r="A436" s="4236" t="s">
        <v>5051</v>
      </c>
      <c r="B436" s="4236" t="s">
        <v>5052</v>
      </c>
      <c r="H436" s="4237">
        <v>430000202795003</v>
      </c>
      <c r="I436" s="4238" t="s">
        <v>4884</v>
      </c>
    </row>
    <row r="437" spans="1:9" ht="15">
      <c r="A437" s="4236" t="s">
        <v>5053</v>
      </c>
      <c r="B437" s="4236" t="s">
        <v>5054</v>
      </c>
      <c r="H437" s="4237">
        <v>430000202798001</v>
      </c>
      <c r="I437" s="4238" t="s">
        <v>4884</v>
      </c>
    </row>
    <row r="438" spans="1:9" ht="15">
      <c r="A438" s="4236" t="s">
        <v>5055</v>
      </c>
      <c r="B438" s="4236" t="s">
        <v>5056</v>
      </c>
      <c r="H438" s="4237">
        <v>430000208500002</v>
      </c>
      <c r="I438" s="4238" t="s">
        <v>5057</v>
      </c>
    </row>
    <row r="439" spans="1:9" ht="15">
      <c r="A439" s="4236" t="s">
        <v>297</v>
      </c>
      <c r="B439" s="4236" t="s">
        <v>5058</v>
      </c>
      <c r="H439" s="4237">
        <v>430000208588002</v>
      </c>
      <c r="I439" s="4238" t="s">
        <v>5059</v>
      </c>
    </row>
    <row r="440" spans="1:9" ht="15">
      <c r="A440" s="4236" t="s">
        <v>5060</v>
      </c>
      <c r="B440" s="4236" t="s">
        <v>5061</v>
      </c>
      <c r="H440" s="4237">
        <v>430000502038001</v>
      </c>
      <c r="I440" s="4238" t="s">
        <v>4277</v>
      </c>
    </row>
    <row r="441" spans="1:9" ht="15">
      <c r="A441" s="4236" t="s">
        <v>5062</v>
      </c>
      <c r="B441" s="4236" t="s">
        <v>5063</v>
      </c>
      <c r="H441" s="4237">
        <v>430000502275001</v>
      </c>
      <c r="I441" s="4238" t="s">
        <v>4277</v>
      </c>
    </row>
    <row r="442" spans="1:9" ht="15">
      <c r="A442" s="4236" t="s">
        <v>5064</v>
      </c>
      <c r="B442" s="4236" t="s">
        <v>5065</v>
      </c>
      <c r="H442" s="4237">
        <v>430000502536001</v>
      </c>
      <c r="I442" s="4238" t="s">
        <v>4277</v>
      </c>
    </row>
    <row r="443" spans="1:9" ht="15">
      <c r="A443" s="4236" t="s">
        <v>5066</v>
      </c>
      <c r="B443" s="4236" t="s">
        <v>5067</v>
      </c>
      <c r="H443" s="4237">
        <v>430000502573002</v>
      </c>
      <c r="I443" s="4238" t="s">
        <v>4277</v>
      </c>
    </row>
    <row r="444" spans="1:9" ht="15">
      <c r="A444" s="4236" t="s">
        <v>5068</v>
      </c>
      <c r="B444" s="4236" t="s">
        <v>5069</v>
      </c>
      <c r="H444" s="4237">
        <v>430000502573005</v>
      </c>
      <c r="I444" s="4238" t="s">
        <v>4277</v>
      </c>
    </row>
    <row r="445" spans="1:9" ht="15">
      <c r="A445" s="4236" t="s">
        <v>278</v>
      </c>
      <c r="B445" s="4236" t="s">
        <v>74</v>
      </c>
      <c r="H445" s="4237">
        <v>430000502573007</v>
      </c>
      <c r="I445" s="4238" t="s">
        <v>4277</v>
      </c>
    </row>
    <row r="446" spans="1:9" ht="15">
      <c r="A446" s="4236" t="s">
        <v>5070</v>
      </c>
      <c r="B446" s="4236" t="s">
        <v>5071</v>
      </c>
      <c r="H446" s="4237">
        <v>430000558059001</v>
      </c>
      <c r="I446" s="4238" t="s">
        <v>4873</v>
      </c>
    </row>
    <row r="447" spans="1:9" ht="15">
      <c r="A447" s="4236" t="s">
        <v>5072</v>
      </c>
      <c r="B447" s="4236" t="s">
        <v>5073</v>
      </c>
      <c r="H447" s="4237">
        <v>430000558072001</v>
      </c>
      <c r="I447" s="4238" t="s">
        <v>4873</v>
      </c>
    </row>
    <row r="448" spans="1:9" ht="15">
      <c r="A448" s="4236" t="s">
        <v>5074</v>
      </c>
      <c r="B448" s="4236" t="s">
        <v>5075</v>
      </c>
      <c r="H448" s="4237">
        <v>430000558090001</v>
      </c>
      <c r="I448" s="4238" t="s">
        <v>4873</v>
      </c>
    </row>
    <row r="449" spans="1:9" ht="15">
      <c r="A449" s="4236" t="s">
        <v>5076</v>
      </c>
      <c r="B449" s="4236" t="s">
        <v>5077</v>
      </c>
      <c r="H449" s="4237">
        <v>430000558253001</v>
      </c>
      <c r="I449" s="4238" t="s">
        <v>5078</v>
      </c>
    </row>
    <row r="450" spans="1:9" ht="15">
      <c r="A450" s="4236" t="s">
        <v>5079</v>
      </c>
      <c r="B450" s="4236" t="s">
        <v>5080</v>
      </c>
      <c r="H450" s="4237">
        <v>430000712007001</v>
      </c>
      <c r="I450" s="4238" t="s">
        <v>5081</v>
      </c>
    </row>
    <row r="451" spans="1:9" ht="15">
      <c r="A451" s="4236" t="s">
        <v>5082</v>
      </c>
      <c r="B451" s="4236" t="s">
        <v>4868</v>
      </c>
      <c r="H451" s="4237">
        <v>430000712007002</v>
      </c>
      <c r="I451" s="4238" t="s">
        <v>5081</v>
      </c>
    </row>
    <row r="452" spans="1:9" ht="15">
      <c r="A452" s="4236" t="s">
        <v>5083</v>
      </c>
      <c r="B452" s="4236" t="s">
        <v>5084</v>
      </c>
      <c r="H452" s="4237">
        <v>430000712582001</v>
      </c>
      <c r="I452" s="4238" t="s">
        <v>5085</v>
      </c>
    </row>
    <row r="453" spans="1:9" ht="15">
      <c r="A453" s="4236" t="s">
        <v>1630</v>
      </c>
      <c r="B453" s="4236" t="s">
        <v>5086</v>
      </c>
      <c r="H453" s="4237">
        <v>430000712720001</v>
      </c>
      <c r="I453" s="4238" t="s">
        <v>5085</v>
      </c>
    </row>
    <row r="454" spans="1:9" ht="15">
      <c r="A454" s="4236" t="s">
        <v>5087</v>
      </c>
      <c r="B454" s="4236" t="s">
        <v>3454</v>
      </c>
      <c r="H454" s="4237">
        <v>430000732155001</v>
      </c>
      <c r="I454" s="4238" t="s">
        <v>5088</v>
      </c>
    </row>
    <row r="455" spans="1:9" ht="15">
      <c r="A455" s="4236" t="s">
        <v>5089</v>
      </c>
      <c r="B455" s="4236" t="s">
        <v>5090</v>
      </c>
      <c r="H455" s="4237">
        <v>430000742024001</v>
      </c>
      <c r="I455" s="4238" t="s">
        <v>4957</v>
      </c>
    </row>
    <row r="456" spans="1:9" ht="15">
      <c r="A456" s="4236" t="s">
        <v>5091</v>
      </c>
      <c r="B456" s="4236" t="s">
        <v>5092</v>
      </c>
      <c r="H456" s="4237">
        <v>430000742307001</v>
      </c>
      <c r="I456" s="4238" t="s">
        <v>4957</v>
      </c>
    </row>
    <row r="457" spans="1:9" ht="15">
      <c r="A457" s="4236" t="s">
        <v>5093</v>
      </c>
      <c r="B457" s="4236" t="s">
        <v>5094</v>
      </c>
      <c r="H457" s="4237">
        <v>430000742385001</v>
      </c>
      <c r="I457" s="4238" t="s">
        <v>4957</v>
      </c>
    </row>
    <row r="458" spans="1:9" ht="15">
      <c r="A458" s="4236" t="s">
        <v>1755</v>
      </c>
      <c r="B458" s="4236" t="s">
        <v>5095</v>
      </c>
      <c r="H458" s="4237">
        <v>430000748007001</v>
      </c>
      <c r="I458" s="4238" t="s">
        <v>5081</v>
      </c>
    </row>
    <row r="459" spans="1:9" ht="15">
      <c r="A459" s="4236" t="s">
        <v>5096</v>
      </c>
      <c r="B459" s="4236" t="s">
        <v>5097</v>
      </c>
      <c r="H459" s="4237">
        <v>430000748300001</v>
      </c>
      <c r="I459" s="4238" t="s">
        <v>5085</v>
      </c>
    </row>
    <row r="460" spans="1:9" ht="15">
      <c r="A460" s="4236" t="s">
        <v>5098</v>
      </c>
      <c r="B460" s="4236" t="s">
        <v>5099</v>
      </c>
      <c r="H460" s="4237">
        <v>430000808500002</v>
      </c>
      <c r="I460" s="4238" t="s">
        <v>4284</v>
      </c>
    </row>
    <row r="461" spans="1:9" ht="15">
      <c r="A461" s="4236" t="s">
        <v>306</v>
      </c>
      <c r="B461" s="4236" t="s">
        <v>75</v>
      </c>
      <c r="H461" s="4237">
        <v>430000808588002</v>
      </c>
      <c r="I461" s="4238" t="s">
        <v>4284</v>
      </c>
    </row>
    <row r="462" spans="1:9" ht="15">
      <c r="A462" s="4236" t="s">
        <v>5100</v>
      </c>
      <c r="B462" s="4236" t="s">
        <v>75</v>
      </c>
      <c r="H462" s="4237">
        <v>430000809000001</v>
      </c>
      <c r="I462" s="4238" t="s">
        <v>4284</v>
      </c>
    </row>
    <row r="463" spans="1:9" ht="15">
      <c r="A463" s="4236" t="s">
        <v>1763</v>
      </c>
      <c r="B463" s="4236" t="s">
        <v>3401</v>
      </c>
      <c r="H463" s="4237">
        <v>439000742081001</v>
      </c>
      <c r="I463" s="4238" t="s">
        <v>4957</v>
      </c>
    </row>
    <row r="464" spans="1:9" ht="15">
      <c r="A464" s="4236" t="s">
        <v>5101</v>
      </c>
      <c r="B464" s="4236" t="s">
        <v>5102</v>
      </c>
      <c r="H464" s="4237">
        <v>439000742101001</v>
      </c>
      <c r="I464" s="4238" t="s">
        <v>4957</v>
      </c>
    </row>
    <row r="465" spans="1:9" ht="15">
      <c r="A465" s="4236" t="s">
        <v>1766</v>
      </c>
      <c r="B465" s="4236" t="s">
        <v>5103</v>
      </c>
      <c r="H465" s="4237">
        <v>439000742139001</v>
      </c>
      <c r="I465" s="4238" t="s">
        <v>4957</v>
      </c>
    </row>
    <row r="466" spans="1:9" ht="15">
      <c r="A466" s="4236" t="s">
        <v>5104</v>
      </c>
      <c r="B466" s="4236" t="s">
        <v>5105</v>
      </c>
      <c r="H466" s="4237">
        <v>439000742139002</v>
      </c>
      <c r="I466" s="4238" t="s">
        <v>4957</v>
      </c>
    </row>
    <row r="467" spans="1:9" ht="15">
      <c r="A467" s="4236" t="s">
        <v>5106</v>
      </c>
      <c r="B467" s="4236" t="s">
        <v>5107</v>
      </c>
      <c r="H467" s="4237">
        <v>439000742188001</v>
      </c>
      <c r="I467" s="4238" t="s">
        <v>4957</v>
      </c>
    </row>
    <row r="468" spans="1:9" ht="15">
      <c r="A468" s="4236" t="s">
        <v>1769</v>
      </c>
      <c r="B468" s="4236" t="s">
        <v>5108</v>
      </c>
      <c r="H468" s="4237">
        <v>439000742188002</v>
      </c>
      <c r="I468" s="4238" t="s">
        <v>4957</v>
      </c>
    </row>
    <row r="469" spans="1:9" ht="15">
      <c r="A469" s="4236" t="s">
        <v>1772</v>
      </c>
      <c r="B469" s="4236" t="s">
        <v>5109</v>
      </c>
      <c r="H469" s="4237">
        <v>439000742188003</v>
      </c>
      <c r="I469" s="4238" t="s">
        <v>4957</v>
      </c>
    </row>
    <row r="470" spans="1:9" ht="15">
      <c r="A470" s="4236" t="s">
        <v>1779</v>
      </c>
      <c r="B470" s="4236" t="s">
        <v>5110</v>
      </c>
      <c r="H470" s="4237">
        <v>439000742274001</v>
      </c>
      <c r="I470" s="4238" t="s">
        <v>4957</v>
      </c>
    </row>
    <row r="471" spans="1:9" ht="15">
      <c r="A471" s="4236" t="s">
        <v>1782</v>
      </c>
      <c r="B471" s="4236" t="s">
        <v>5111</v>
      </c>
      <c r="H471" s="4237">
        <v>439000742323001</v>
      </c>
      <c r="I471" s="4238" t="s">
        <v>5112</v>
      </c>
    </row>
    <row r="472" spans="1:9" ht="15">
      <c r="A472" s="4236" t="s">
        <v>1784</v>
      </c>
      <c r="B472" s="4236" t="s">
        <v>5113</v>
      </c>
      <c r="H472" s="4237">
        <v>439000742370001</v>
      </c>
      <c r="I472" s="4238" t="s">
        <v>4957</v>
      </c>
    </row>
    <row r="473" spans="1:9" ht="15">
      <c r="A473" s="4236" t="s">
        <v>1786</v>
      </c>
      <c r="B473" s="4236" t="s">
        <v>5114</v>
      </c>
      <c r="H473" s="4237">
        <v>439000742643001</v>
      </c>
      <c r="I473" s="4238" t="s">
        <v>4957</v>
      </c>
    </row>
    <row r="474" spans="1:9" ht="15">
      <c r="A474" s="4236" t="s">
        <v>353</v>
      </c>
      <c r="B474" s="4236" t="s">
        <v>5115</v>
      </c>
      <c r="H474" s="4237">
        <v>450000101000132</v>
      </c>
      <c r="I474" s="4238" t="s">
        <v>4260</v>
      </c>
    </row>
    <row r="475" spans="1:9" ht="15">
      <c r="A475" s="4236" t="s">
        <v>364</v>
      </c>
      <c r="B475" s="4236" t="s">
        <v>5116</v>
      </c>
      <c r="H475" s="4237">
        <v>450000202261011</v>
      </c>
      <c r="I475" s="4238" t="s">
        <v>5030</v>
      </c>
    </row>
    <row r="476" spans="1:9" ht="15">
      <c r="A476" s="4236" t="s">
        <v>5117</v>
      </c>
      <c r="B476" s="4236" t="s">
        <v>5118</v>
      </c>
      <c r="H476" s="4237">
        <v>450000202261012</v>
      </c>
      <c r="I476" s="4238" t="s">
        <v>5030</v>
      </c>
    </row>
    <row r="477" spans="1:9" ht="15">
      <c r="A477" s="4236" t="s">
        <v>5119</v>
      </c>
      <c r="B477" s="4236" t="s">
        <v>5120</v>
      </c>
      <c r="H477" s="4237">
        <v>450000202261013</v>
      </c>
      <c r="I477" s="4238" t="s">
        <v>5030</v>
      </c>
    </row>
    <row r="478" spans="1:9" ht="15">
      <c r="A478" s="4236" t="s">
        <v>5121</v>
      </c>
      <c r="B478" s="4236" t="s">
        <v>5122</v>
      </c>
      <c r="H478" s="4237">
        <v>450000202261014</v>
      </c>
      <c r="I478" s="4238" t="s">
        <v>5030</v>
      </c>
    </row>
    <row r="479" spans="1:9" ht="15">
      <c r="A479" s="4236" t="s">
        <v>5123</v>
      </c>
      <c r="B479" s="4236" t="s">
        <v>5124</v>
      </c>
      <c r="H479" s="4237">
        <v>450000202339085</v>
      </c>
      <c r="I479" s="4238" t="s">
        <v>5030</v>
      </c>
    </row>
    <row r="480" spans="1:9" ht="15">
      <c r="A480" s="4236" t="s">
        <v>355</v>
      </c>
      <c r="B480" s="4236" t="s">
        <v>5125</v>
      </c>
      <c r="H480" s="4237">
        <v>450000202537001</v>
      </c>
      <c r="I480" s="4238" t="s">
        <v>5030</v>
      </c>
    </row>
    <row r="481" spans="1:9" ht="15">
      <c r="A481" s="4236" t="s">
        <v>357</v>
      </c>
      <c r="B481" s="4236" t="s">
        <v>5126</v>
      </c>
      <c r="H481" s="4237">
        <v>450000602572001</v>
      </c>
      <c r="I481" s="4238" t="s">
        <v>4854</v>
      </c>
    </row>
    <row r="482" spans="1:9" ht="15">
      <c r="A482" s="4236" t="s">
        <v>5127</v>
      </c>
      <c r="B482" s="4236" t="s">
        <v>5128</v>
      </c>
      <c r="H482" s="4237">
        <v>450000809100001</v>
      </c>
      <c r="I482" s="4238" t="s">
        <v>4284</v>
      </c>
    </row>
    <row r="483" spans="1:9" ht="15">
      <c r="A483" s="4236" t="s">
        <v>362</v>
      </c>
      <c r="B483" s="4236" t="s">
        <v>80</v>
      </c>
      <c r="H483" s="4237">
        <v>480000101000180</v>
      </c>
      <c r="I483" s="4238" t="s">
        <v>4260</v>
      </c>
    </row>
    <row r="484" spans="1:9" ht="15">
      <c r="A484" s="4236" t="s">
        <v>360</v>
      </c>
      <c r="B484" s="4236" t="s">
        <v>5129</v>
      </c>
      <c r="H484" s="4237">
        <v>480000101000184</v>
      </c>
      <c r="I484" s="4238" t="s">
        <v>4260</v>
      </c>
    </row>
    <row r="485" spans="1:9" ht="15">
      <c r="A485" s="4236" t="s">
        <v>315</v>
      </c>
      <c r="B485" s="4236" t="s">
        <v>5130</v>
      </c>
      <c r="H485" s="4237">
        <v>480000101000187</v>
      </c>
      <c r="I485" s="4238" t="s">
        <v>4260</v>
      </c>
    </row>
    <row r="486" spans="1:9" ht="15">
      <c r="A486" s="4236" t="s">
        <v>310</v>
      </c>
      <c r="B486" s="4236" t="s">
        <v>5043</v>
      </c>
      <c r="H486" s="4237">
        <v>480000101000188</v>
      </c>
      <c r="I486" s="4238" t="s">
        <v>4260</v>
      </c>
    </row>
    <row r="487" spans="1:9" ht="15">
      <c r="A487" s="4236" t="s">
        <v>318</v>
      </c>
      <c r="B487" s="4236" t="s">
        <v>5131</v>
      </c>
      <c r="H487" s="4237">
        <v>480000101000189</v>
      </c>
      <c r="I487" s="4238" t="s">
        <v>4260</v>
      </c>
    </row>
    <row r="488" spans="1:9" ht="15">
      <c r="A488" s="4236" t="s">
        <v>5132</v>
      </c>
      <c r="B488" s="4236" t="s">
        <v>84</v>
      </c>
      <c r="H488" s="4237">
        <v>480000101000197</v>
      </c>
      <c r="I488" s="4238" t="s">
        <v>4260</v>
      </c>
    </row>
    <row r="489" spans="1:9" ht="15">
      <c r="A489" s="4236" t="s">
        <v>312</v>
      </c>
      <c r="B489" s="4236" t="s">
        <v>3506</v>
      </c>
      <c r="H489" s="4237">
        <v>480000101000211</v>
      </c>
      <c r="I489" s="4238" t="s">
        <v>4260</v>
      </c>
    </row>
    <row r="490" spans="1:9" ht="15">
      <c r="A490" s="4236" t="s">
        <v>5133</v>
      </c>
      <c r="B490" s="4236" t="s">
        <v>5134</v>
      </c>
      <c r="H490" s="4237">
        <v>480000101000260</v>
      </c>
      <c r="I490" s="4238" t="s">
        <v>4260</v>
      </c>
    </row>
    <row r="491" spans="1:9" ht="15">
      <c r="A491" s="4236" t="s">
        <v>1804</v>
      </c>
      <c r="B491" s="4236" t="s">
        <v>5135</v>
      </c>
      <c r="H491" s="4237">
        <v>480000158000101</v>
      </c>
      <c r="I491" s="4238" t="s">
        <v>4873</v>
      </c>
    </row>
    <row r="492" spans="1:9" ht="15">
      <c r="A492" s="4236" t="s">
        <v>325</v>
      </c>
      <c r="B492" s="4236" t="s">
        <v>3705</v>
      </c>
      <c r="H492" s="4237">
        <v>480000158000104</v>
      </c>
      <c r="I492" s="4238" t="s">
        <v>4873</v>
      </c>
    </row>
    <row r="493" spans="1:9" ht="15">
      <c r="A493" s="4236" t="s">
        <v>320</v>
      </c>
      <c r="B493" s="4236" t="s">
        <v>5136</v>
      </c>
      <c r="H493" s="4237">
        <v>480000158000105</v>
      </c>
      <c r="I493" s="4238" t="s">
        <v>4873</v>
      </c>
    </row>
    <row r="494" spans="1:9" ht="15">
      <c r="A494" s="4236" t="s">
        <v>322</v>
      </c>
      <c r="B494" s="4236" t="s">
        <v>5137</v>
      </c>
      <c r="H494" s="4237">
        <v>480000202004001</v>
      </c>
      <c r="I494" s="4238" t="s">
        <v>5138</v>
      </c>
    </row>
    <row r="495" spans="1:9" ht="15">
      <c r="A495" s="4236" t="s">
        <v>1859</v>
      </c>
      <c r="B495" s="4236" t="s">
        <v>5139</v>
      </c>
      <c r="H495" s="4237">
        <v>480000202021005</v>
      </c>
      <c r="I495" s="4238" t="s">
        <v>5138</v>
      </c>
    </row>
    <row r="496" spans="1:9" ht="15">
      <c r="A496" s="4236" t="s">
        <v>1862</v>
      </c>
      <c r="B496" s="4236" t="s">
        <v>5052</v>
      </c>
      <c r="H496" s="4237">
        <v>480000202071001</v>
      </c>
      <c r="I496" s="4238" t="s">
        <v>5138</v>
      </c>
    </row>
    <row r="497" spans="1:9" ht="15">
      <c r="A497" s="4236" t="s">
        <v>5140</v>
      </c>
      <c r="B497" s="4236" t="s">
        <v>5141</v>
      </c>
      <c r="H497" s="4237">
        <v>480000202098002</v>
      </c>
      <c r="I497" s="4238" t="s">
        <v>5138</v>
      </c>
    </row>
    <row r="498" spans="1:9" ht="15">
      <c r="A498" s="4236" t="s">
        <v>308</v>
      </c>
      <c r="B498" s="4236" t="s">
        <v>89</v>
      </c>
      <c r="H498" s="4237">
        <v>480000202178001</v>
      </c>
      <c r="I498" s="4238" t="s">
        <v>5138</v>
      </c>
    </row>
    <row r="499" spans="1:9" ht="15">
      <c r="A499" s="4236" t="s">
        <v>5142</v>
      </c>
      <c r="B499" s="4236" t="s">
        <v>5143</v>
      </c>
      <c r="H499" s="4237">
        <v>480000202222002</v>
      </c>
      <c r="I499" s="4238" t="s">
        <v>5138</v>
      </c>
    </row>
    <row r="500" spans="1:9" ht="15">
      <c r="A500" s="4236" t="s">
        <v>5144</v>
      </c>
      <c r="B500" s="4236" t="s">
        <v>5145</v>
      </c>
      <c r="H500" s="4237">
        <v>480000202240001</v>
      </c>
      <c r="I500" s="4238" t="s">
        <v>5138</v>
      </c>
    </row>
    <row r="501" spans="1:9" ht="15">
      <c r="A501" s="4236" t="s">
        <v>5146</v>
      </c>
      <c r="B501" s="4236" t="s">
        <v>5147</v>
      </c>
      <c r="H501" s="4237">
        <v>480000202261030</v>
      </c>
      <c r="I501" s="4238" t="s">
        <v>5138</v>
      </c>
    </row>
    <row r="502" spans="1:9" ht="15">
      <c r="A502" s="4236" t="s">
        <v>1875</v>
      </c>
      <c r="B502" s="4236" t="s">
        <v>5148</v>
      </c>
      <c r="H502" s="4237">
        <v>480000202270001</v>
      </c>
      <c r="I502" s="4238" t="s">
        <v>4884</v>
      </c>
    </row>
    <row r="503" spans="1:9" ht="15">
      <c r="A503" s="4236" t="s">
        <v>5149</v>
      </c>
      <c r="B503" s="4236" t="s">
        <v>5150</v>
      </c>
      <c r="H503" s="4237">
        <v>480000202270004</v>
      </c>
      <c r="I503" s="4238" t="s">
        <v>4884</v>
      </c>
    </row>
    <row r="504" spans="1:9" ht="15">
      <c r="A504" s="4236" t="s">
        <v>5151</v>
      </c>
      <c r="B504" s="4236" t="s">
        <v>5152</v>
      </c>
      <c r="H504" s="4237">
        <v>480000202339001</v>
      </c>
      <c r="I504" s="4238" t="s">
        <v>5138</v>
      </c>
    </row>
    <row r="505" spans="1:9" ht="15">
      <c r="A505" s="4236" t="s">
        <v>1890</v>
      </c>
      <c r="B505" s="4236" t="s">
        <v>4323</v>
      </c>
      <c r="H505" s="4237">
        <v>480000202339036</v>
      </c>
      <c r="I505" s="4238" t="s">
        <v>4884</v>
      </c>
    </row>
    <row r="506" spans="1:9" ht="15">
      <c r="A506" s="4236" t="s">
        <v>1908</v>
      </c>
      <c r="B506" s="4236" t="s">
        <v>5153</v>
      </c>
      <c r="H506" s="4237">
        <v>480000202339072</v>
      </c>
      <c r="I506" s="4238" t="s">
        <v>5138</v>
      </c>
    </row>
    <row r="507" spans="1:9" ht="15">
      <c r="A507" s="4236" t="s">
        <v>1911</v>
      </c>
      <c r="B507" s="4236" t="s">
        <v>90</v>
      </c>
      <c r="H507" s="4237">
        <v>480000202339080</v>
      </c>
      <c r="I507" s="4238" t="s">
        <v>4884</v>
      </c>
    </row>
    <row r="508" spans="1:9" ht="15">
      <c r="A508" s="4236" t="s">
        <v>5154</v>
      </c>
      <c r="B508" s="4236" t="s">
        <v>5155</v>
      </c>
      <c r="H508" s="4237">
        <v>480000202397001</v>
      </c>
      <c r="I508" s="4238" t="s">
        <v>5138</v>
      </c>
    </row>
    <row r="509" spans="1:9" ht="15">
      <c r="A509" s="4236" t="s">
        <v>1914</v>
      </c>
      <c r="B509" s="4236" t="s">
        <v>5156</v>
      </c>
      <c r="H509" s="4237">
        <v>480000202401002</v>
      </c>
      <c r="I509" s="4238" t="s">
        <v>5138</v>
      </c>
    </row>
    <row r="510" spans="1:9" ht="15">
      <c r="A510" s="4236" t="s">
        <v>2342</v>
      </c>
      <c r="B510" s="4236" t="s">
        <v>5157</v>
      </c>
      <c r="H510" s="4237">
        <v>480000202505001</v>
      </c>
      <c r="I510" s="4238" t="s">
        <v>5138</v>
      </c>
    </row>
    <row r="511" spans="1:9" ht="15">
      <c r="A511" s="4236" t="s">
        <v>1917</v>
      </c>
      <c r="B511" s="4236" t="s">
        <v>5158</v>
      </c>
      <c r="H511" s="4237">
        <v>480000202510013</v>
      </c>
      <c r="I511" s="4238" t="s">
        <v>5138</v>
      </c>
    </row>
    <row r="512" spans="1:9" ht="15">
      <c r="A512" s="4236" t="s">
        <v>2338</v>
      </c>
      <c r="B512" s="4236" t="s">
        <v>95</v>
      </c>
      <c r="H512" s="4237">
        <v>480000202516010</v>
      </c>
      <c r="I512" s="4238" t="s">
        <v>5138</v>
      </c>
    </row>
    <row r="513" spans="1:9" ht="15">
      <c r="A513" s="4236" t="s">
        <v>5159</v>
      </c>
      <c r="B513" s="4236" t="s">
        <v>5160</v>
      </c>
      <c r="H513" s="4237">
        <v>480000202543001</v>
      </c>
      <c r="I513" s="4238" t="s">
        <v>5138</v>
      </c>
    </row>
    <row r="514" spans="1:9" ht="15">
      <c r="A514" s="4236" t="s">
        <v>5161</v>
      </c>
      <c r="B514" s="4236" t="s">
        <v>5162</v>
      </c>
      <c r="H514" s="4237">
        <v>480000202555001</v>
      </c>
      <c r="I514" s="4238" t="s">
        <v>5138</v>
      </c>
    </row>
    <row r="515" spans="1:9" ht="15">
      <c r="A515" s="4236" t="s">
        <v>5163</v>
      </c>
      <c r="B515" s="4236" t="s">
        <v>5164</v>
      </c>
      <c r="H515" s="4237">
        <v>480000202612001</v>
      </c>
      <c r="I515" s="4238" t="s">
        <v>5138</v>
      </c>
    </row>
    <row r="516" spans="1:9" ht="15">
      <c r="A516" s="4236" t="s">
        <v>5165</v>
      </c>
      <c r="B516" s="4236" t="s">
        <v>5166</v>
      </c>
      <c r="H516" s="4237">
        <v>480000208026001</v>
      </c>
      <c r="I516" s="4238" t="s">
        <v>5138</v>
      </c>
    </row>
    <row r="517" spans="1:9" ht="15">
      <c r="A517" s="4236" t="s">
        <v>2343</v>
      </c>
      <c r="B517" s="4236" t="s">
        <v>5167</v>
      </c>
      <c r="H517" s="4237">
        <v>480000208723005</v>
      </c>
      <c r="I517" s="4238" t="s">
        <v>4884</v>
      </c>
    </row>
    <row r="518" spans="1:9" ht="15">
      <c r="A518" s="4236" t="s">
        <v>5168</v>
      </c>
      <c r="B518" s="4236" t="s">
        <v>5169</v>
      </c>
      <c r="H518" s="4237">
        <v>480000208723006</v>
      </c>
      <c r="I518" s="4238" t="s">
        <v>4884</v>
      </c>
    </row>
    <row r="519" spans="1:9" ht="15">
      <c r="A519" s="4236" t="s">
        <v>5170</v>
      </c>
      <c r="B519" s="4236" t="s">
        <v>5171</v>
      </c>
      <c r="H519" s="4237">
        <v>480000208723007</v>
      </c>
      <c r="I519" s="4238" t="s">
        <v>4884</v>
      </c>
    </row>
    <row r="520" spans="1:9" ht="15">
      <c r="A520" s="4236" t="s">
        <v>5172</v>
      </c>
      <c r="B520" s="4236" t="s">
        <v>5173</v>
      </c>
      <c r="H520" s="4237">
        <v>480000502176001</v>
      </c>
      <c r="I520" s="4238" t="s">
        <v>4277</v>
      </c>
    </row>
    <row r="521" spans="1:9" ht="15">
      <c r="A521" s="4236" t="s">
        <v>5174</v>
      </c>
      <c r="B521" s="4236" t="s">
        <v>5175</v>
      </c>
      <c r="H521" s="4237">
        <v>480000502183001</v>
      </c>
      <c r="I521" s="4238" t="s">
        <v>4277</v>
      </c>
    </row>
    <row r="522" spans="1:9" ht="15">
      <c r="A522" s="4236" t="s">
        <v>2344</v>
      </c>
      <c r="B522" s="4236" t="s">
        <v>97</v>
      </c>
      <c r="H522" s="4237">
        <v>480000502380001</v>
      </c>
      <c r="I522" s="4238" t="s">
        <v>4277</v>
      </c>
    </row>
    <row r="523" spans="1:9" ht="15">
      <c r="A523" s="4236" t="s">
        <v>5176</v>
      </c>
      <c r="B523" s="4236" t="s">
        <v>5177</v>
      </c>
      <c r="H523" s="4237">
        <v>480000502727001</v>
      </c>
      <c r="I523" s="4238" t="s">
        <v>4277</v>
      </c>
    </row>
    <row r="524" spans="1:9" ht="15">
      <c r="A524" s="4236" t="s">
        <v>5178</v>
      </c>
      <c r="B524" s="4236" t="s">
        <v>5179</v>
      </c>
      <c r="H524" s="4237">
        <v>480000602792003</v>
      </c>
      <c r="I524" s="4238" t="s">
        <v>5180</v>
      </c>
    </row>
    <row r="525" spans="1:9" ht="15">
      <c r="A525" s="4236" t="s">
        <v>5181</v>
      </c>
      <c r="B525" s="4236" t="s">
        <v>5179</v>
      </c>
      <c r="H525" s="4237">
        <v>480000712718002</v>
      </c>
      <c r="I525" s="4238" t="s">
        <v>5182</v>
      </c>
    </row>
    <row r="526" spans="1:9" ht="15">
      <c r="A526" s="4236" t="s">
        <v>5183</v>
      </c>
      <c r="B526" s="4236" t="s">
        <v>5179</v>
      </c>
      <c r="H526" s="4237">
        <v>480000728330001</v>
      </c>
      <c r="I526" s="4238" t="s">
        <v>5184</v>
      </c>
    </row>
    <row r="527" spans="1:9" ht="15">
      <c r="A527" s="4236" t="s">
        <v>5185</v>
      </c>
      <c r="B527" s="4236" t="s">
        <v>5179</v>
      </c>
      <c r="H527" s="4237">
        <v>480000728360001</v>
      </c>
      <c r="I527" s="4238" t="s">
        <v>5184</v>
      </c>
    </row>
    <row r="528" spans="1:9" ht="15">
      <c r="A528" s="4236" t="s">
        <v>5186</v>
      </c>
      <c r="B528" s="4236" t="s">
        <v>5179</v>
      </c>
      <c r="H528" s="4237">
        <v>480000728390001</v>
      </c>
      <c r="I528" s="4238" t="s">
        <v>5184</v>
      </c>
    </row>
    <row r="529" spans="1:9" ht="15">
      <c r="A529" s="4236" t="s">
        <v>5187</v>
      </c>
      <c r="B529" s="4236" t="s">
        <v>5179</v>
      </c>
      <c r="H529" s="4237">
        <v>480000742026850</v>
      </c>
      <c r="I529" s="4238" t="s">
        <v>4957</v>
      </c>
    </row>
    <row r="530" spans="1:9" ht="15">
      <c r="A530" s="4236" t="s">
        <v>5188</v>
      </c>
      <c r="B530" s="4236" t="s">
        <v>5179</v>
      </c>
      <c r="H530" s="4237">
        <v>480000742730001</v>
      </c>
      <c r="I530" s="4238" t="s">
        <v>4957</v>
      </c>
    </row>
    <row r="531" spans="1:9" ht="15">
      <c r="A531" s="4236" t="s">
        <v>5189</v>
      </c>
      <c r="B531" s="4236" t="s">
        <v>5179</v>
      </c>
      <c r="H531" s="4237">
        <v>480000748800210</v>
      </c>
      <c r="I531" s="4238" t="s">
        <v>4884</v>
      </c>
    </row>
    <row r="532" spans="1:9" ht="15">
      <c r="A532" s="4236" t="s">
        <v>5190</v>
      </c>
      <c r="B532" s="4236" t="s">
        <v>5179</v>
      </c>
      <c r="H532" s="4237">
        <v>480000748800310</v>
      </c>
      <c r="I532" s="4238" t="s">
        <v>4884</v>
      </c>
    </row>
    <row r="533" spans="1:9" ht="15">
      <c r="A533" s="4236" t="s">
        <v>5191</v>
      </c>
      <c r="B533" s="4236" t="s">
        <v>5179</v>
      </c>
      <c r="H533" s="4237">
        <v>480000748800410</v>
      </c>
      <c r="I533" s="4238" t="s">
        <v>4884</v>
      </c>
    </row>
    <row r="534" spans="1:9" ht="15">
      <c r="A534" s="4236" t="s">
        <v>5192</v>
      </c>
      <c r="B534" s="4236" t="s">
        <v>5179</v>
      </c>
      <c r="H534" s="4237">
        <v>480000748800510</v>
      </c>
      <c r="I534" s="4238" t="s">
        <v>4884</v>
      </c>
    </row>
    <row r="535" spans="1:9" ht="15">
      <c r="A535" s="4236" t="s">
        <v>5193</v>
      </c>
      <c r="B535" s="4236" t="s">
        <v>5194</v>
      </c>
      <c r="H535" s="4237">
        <v>480000748800520</v>
      </c>
      <c r="I535" s="4238" t="s">
        <v>4884</v>
      </c>
    </row>
    <row r="536" spans="1:9" ht="15">
      <c r="A536" s="4236" t="s">
        <v>5195</v>
      </c>
      <c r="B536" s="4236" t="s">
        <v>5196</v>
      </c>
      <c r="H536" s="4237">
        <v>480000748800600</v>
      </c>
      <c r="I536" s="4238" t="s">
        <v>4884</v>
      </c>
    </row>
    <row r="537" spans="1:9" ht="15">
      <c r="A537" s="4236" t="s">
        <v>5197</v>
      </c>
      <c r="B537" s="4236" t="s">
        <v>4323</v>
      </c>
      <c r="H537" s="4237">
        <v>480000809000001</v>
      </c>
      <c r="I537" s="4238" t="s">
        <v>4284</v>
      </c>
    </row>
    <row r="538" spans="1:9" ht="15">
      <c r="A538" s="4236" t="s">
        <v>5198</v>
      </c>
      <c r="B538" s="4236" t="s">
        <v>5199</v>
      </c>
      <c r="H538" s="4237">
        <v>480000809000002</v>
      </c>
      <c r="I538" s="4238" t="s">
        <v>4284</v>
      </c>
    </row>
    <row r="539" spans="1:9" ht="15">
      <c r="A539" s="4236" t="s">
        <v>5200</v>
      </c>
      <c r="B539" s="4236" t="s">
        <v>5201</v>
      </c>
      <c r="H539" s="4237">
        <v>480000809000004</v>
      </c>
      <c r="I539" s="4238" t="s">
        <v>4284</v>
      </c>
    </row>
    <row r="540" spans="1:9" ht="15">
      <c r="A540" s="4236" t="s">
        <v>5202</v>
      </c>
      <c r="B540" s="4236" t="s">
        <v>5203</v>
      </c>
      <c r="H540" s="4237">
        <v>480000809000010</v>
      </c>
      <c r="I540" s="4238" t="s">
        <v>4284</v>
      </c>
    </row>
    <row r="541" spans="1:9" ht="15">
      <c r="A541" s="4236" t="s">
        <v>5204</v>
      </c>
      <c r="B541" s="4236" t="s">
        <v>5205</v>
      </c>
      <c r="H541" s="4237">
        <v>480000809000020</v>
      </c>
      <c r="I541" s="4238" t="s">
        <v>4284</v>
      </c>
    </row>
    <row r="542" spans="1:9" ht="15">
      <c r="A542" s="4236" t="s">
        <v>5206</v>
      </c>
      <c r="B542" s="4236" t="s">
        <v>5207</v>
      </c>
      <c r="H542" s="4237">
        <v>480000809000030</v>
      </c>
      <c r="I542" s="4238" t="s">
        <v>4284</v>
      </c>
    </row>
    <row r="543" spans="1:9" ht="15">
      <c r="A543" s="4236" t="s">
        <v>5208</v>
      </c>
      <c r="B543" s="4236" t="s">
        <v>4323</v>
      </c>
      <c r="H543" s="4237">
        <v>480000809000050</v>
      </c>
      <c r="I543" s="4238" t="s">
        <v>4284</v>
      </c>
    </row>
    <row r="544" spans="1:9" ht="15">
      <c r="A544" s="4236" t="s">
        <v>5209</v>
      </c>
      <c r="B544" s="4236" t="s">
        <v>4323</v>
      </c>
      <c r="H544" s="4237">
        <v>480000809000070</v>
      </c>
      <c r="I544" s="4238" t="s">
        <v>4284</v>
      </c>
    </row>
    <row r="545" spans="1:9" ht="15">
      <c r="A545" s="4236" t="s">
        <v>5210</v>
      </c>
      <c r="B545" s="4236" t="s">
        <v>5211</v>
      </c>
      <c r="H545" s="4237">
        <v>480000809000075</v>
      </c>
      <c r="I545" s="4238" t="s">
        <v>4284</v>
      </c>
    </row>
    <row r="546" spans="1:9" ht="15">
      <c r="A546" s="4236" t="s">
        <v>5212</v>
      </c>
      <c r="B546" s="4236" t="s">
        <v>4323</v>
      </c>
      <c r="H546" s="4237">
        <v>480000809000800</v>
      </c>
      <c r="I546" s="4238" t="s">
        <v>4284</v>
      </c>
    </row>
    <row r="547" spans="1:9" ht="15">
      <c r="A547" s="4236" t="s">
        <v>5213</v>
      </c>
      <c r="B547" s="4236" t="s">
        <v>5214</v>
      </c>
      <c r="H547" s="4237">
        <v>480000958000001</v>
      </c>
      <c r="I547" s="4238" t="s">
        <v>5215</v>
      </c>
    </row>
    <row r="548" spans="1:9" ht="15">
      <c r="A548" s="4236" t="s">
        <v>5216</v>
      </c>
      <c r="B548" s="4236" t="s">
        <v>5217</v>
      </c>
      <c r="H548" s="4237">
        <v>480000958000002</v>
      </c>
      <c r="I548" s="4238" t="s">
        <v>5215</v>
      </c>
    </row>
    <row r="549" spans="1:9" ht="15">
      <c r="A549" s="4236" t="s">
        <v>5218</v>
      </c>
      <c r="B549" s="4236" t="s">
        <v>5219</v>
      </c>
      <c r="H549" s="4237">
        <v>480000958000003</v>
      </c>
      <c r="I549" s="4238" t="s">
        <v>5215</v>
      </c>
    </row>
    <row r="550" spans="1:9" ht="15">
      <c r="A550" s="4236" t="s">
        <v>5220</v>
      </c>
      <c r="B550" s="4236" t="s">
        <v>5221</v>
      </c>
      <c r="H550" s="4237">
        <v>480000958000004</v>
      </c>
      <c r="I550" s="4238" t="s">
        <v>5215</v>
      </c>
    </row>
    <row r="551" spans="1:9" ht="15">
      <c r="A551" s="4236" t="s">
        <v>5222</v>
      </c>
      <c r="B551" s="4236" t="s">
        <v>5223</v>
      </c>
      <c r="H551" s="4237">
        <v>480000958000005</v>
      </c>
      <c r="I551" s="4238" t="s">
        <v>5215</v>
      </c>
    </row>
    <row r="552" spans="1:9" ht="15">
      <c r="A552" s="4236" t="s">
        <v>5224</v>
      </c>
      <c r="B552" s="4236" t="s">
        <v>5225</v>
      </c>
      <c r="H552" s="4237">
        <v>480000958000006</v>
      </c>
      <c r="I552" s="4238" t="s">
        <v>5215</v>
      </c>
    </row>
    <row r="553" spans="1:9" ht="15">
      <c r="A553" s="4236" t="s">
        <v>5226</v>
      </c>
      <c r="B553" s="4236" t="s">
        <v>5227</v>
      </c>
      <c r="H553" s="4237">
        <v>480000958000007</v>
      </c>
      <c r="I553" s="4238" t="s">
        <v>5215</v>
      </c>
    </row>
    <row r="554" spans="1:9" ht="15">
      <c r="A554" s="4236" t="s">
        <v>5228</v>
      </c>
      <c r="B554" s="4236" t="s">
        <v>5229</v>
      </c>
      <c r="H554" s="4237">
        <v>480000958000008</v>
      </c>
      <c r="I554" s="4238" t="s">
        <v>5215</v>
      </c>
    </row>
    <row r="555" spans="1:9" ht="15">
      <c r="A555" s="4236" t="s">
        <v>5230</v>
      </c>
      <c r="B555" s="4236" t="s">
        <v>5231</v>
      </c>
      <c r="H555" s="4237">
        <v>480000958000009</v>
      </c>
      <c r="I555" s="4238" t="s">
        <v>5215</v>
      </c>
    </row>
    <row r="556" spans="1:9" ht="15">
      <c r="A556" s="4236" t="s">
        <v>1935</v>
      </c>
      <c r="B556" s="4236" t="s">
        <v>5232</v>
      </c>
      <c r="H556" s="4237">
        <v>480000958000010</v>
      </c>
      <c r="I556" s="4238" t="s">
        <v>5215</v>
      </c>
    </row>
    <row r="557" spans="1:9" ht="15">
      <c r="A557" s="4236" t="s">
        <v>5233</v>
      </c>
      <c r="B557" s="4236" t="s">
        <v>5234</v>
      </c>
      <c r="H557" s="4237">
        <v>480000958000011</v>
      </c>
      <c r="I557" s="4238" t="s">
        <v>5215</v>
      </c>
    </row>
    <row r="558" spans="1:9" ht="15">
      <c r="A558" s="4236" t="s">
        <v>5235</v>
      </c>
      <c r="B558" s="4236" t="s">
        <v>5236</v>
      </c>
      <c r="H558" s="4237">
        <v>480000958000012</v>
      </c>
      <c r="I558" s="4238" t="s">
        <v>5215</v>
      </c>
    </row>
    <row r="559" spans="1:9" ht="15">
      <c r="A559" s="4236" t="s">
        <v>5237</v>
      </c>
      <c r="B559" s="4236" t="s">
        <v>5238</v>
      </c>
      <c r="H559" s="4237">
        <v>480000958000013</v>
      </c>
      <c r="I559" s="4238" t="s">
        <v>5215</v>
      </c>
    </row>
    <row r="560" spans="1:9" ht="15">
      <c r="A560" s="4236" t="s">
        <v>5239</v>
      </c>
      <c r="B560" s="4236" t="s">
        <v>5240</v>
      </c>
      <c r="H560" s="4237">
        <v>480000958000014</v>
      </c>
      <c r="I560" s="4238" t="s">
        <v>5215</v>
      </c>
    </row>
    <row r="561" spans="1:9" ht="15">
      <c r="A561" s="4236" t="s">
        <v>5241</v>
      </c>
      <c r="B561" s="4236" t="s">
        <v>5242</v>
      </c>
      <c r="H561" s="4237">
        <v>480000958000015</v>
      </c>
      <c r="I561" s="4238" t="s">
        <v>5215</v>
      </c>
    </row>
    <row r="562" spans="1:9" ht="15">
      <c r="A562" s="4236" t="s">
        <v>5243</v>
      </c>
      <c r="B562" s="4236" t="s">
        <v>5244</v>
      </c>
      <c r="H562" s="4237">
        <v>480000958000016</v>
      </c>
      <c r="I562" s="4238" t="s">
        <v>5215</v>
      </c>
    </row>
    <row r="563" spans="1:9" ht="15">
      <c r="A563" s="4236" t="s">
        <v>5245</v>
      </c>
      <c r="B563" s="4236" t="s">
        <v>5246</v>
      </c>
      <c r="H563" s="4237">
        <v>480000958000017</v>
      </c>
      <c r="I563" s="4238" t="s">
        <v>5215</v>
      </c>
    </row>
    <row r="564" spans="1:9" ht="15">
      <c r="A564" s="4236" t="s">
        <v>1947</v>
      </c>
      <c r="B564" s="4236" t="s">
        <v>5247</v>
      </c>
      <c r="H564" s="4237">
        <v>480000958000018</v>
      </c>
      <c r="I564" s="4238" t="s">
        <v>5215</v>
      </c>
    </row>
    <row r="565" spans="1:9" ht="15">
      <c r="A565" s="4236" t="s">
        <v>1962</v>
      </c>
      <c r="B565" s="4236" t="s">
        <v>5248</v>
      </c>
      <c r="H565" s="4237">
        <v>480000958000019</v>
      </c>
      <c r="I565" s="4238" t="s">
        <v>5215</v>
      </c>
    </row>
    <row r="566" spans="1:9" ht="15">
      <c r="A566" s="4236" t="s">
        <v>1976</v>
      </c>
      <c r="B566" s="4236" t="s">
        <v>4323</v>
      </c>
      <c r="H566" s="4237">
        <v>480000958000020</v>
      </c>
      <c r="I566" s="4238" t="s">
        <v>5215</v>
      </c>
    </row>
    <row r="567" spans="1:9" ht="15">
      <c r="A567" s="4236" t="s">
        <v>5249</v>
      </c>
      <c r="B567" s="4236" t="s">
        <v>5250</v>
      </c>
      <c r="H567" s="4237">
        <v>480000958000021</v>
      </c>
      <c r="I567" s="4238" t="s">
        <v>5215</v>
      </c>
    </row>
    <row r="568" spans="1:9" ht="15">
      <c r="A568" s="4236" t="s">
        <v>5251</v>
      </c>
      <c r="B568" s="4236" t="s">
        <v>5252</v>
      </c>
      <c r="H568" s="4237">
        <v>480000958000022</v>
      </c>
      <c r="I568" s="4238" t="s">
        <v>5215</v>
      </c>
    </row>
    <row r="569" spans="1:9" ht="15">
      <c r="A569" s="4236" t="s">
        <v>5253</v>
      </c>
      <c r="B569" s="4236" t="s">
        <v>5254</v>
      </c>
      <c r="H569" s="4237">
        <v>480000958000023</v>
      </c>
      <c r="I569" s="4238" t="s">
        <v>5215</v>
      </c>
    </row>
    <row r="570" spans="1:9" ht="15">
      <c r="A570" s="4236" t="s">
        <v>5255</v>
      </c>
      <c r="B570" s="4236" t="s">
        <v>5256</v>
      </c>
      <c r="H570" s="4237">
        <v>480000958000024</v>
      </c>
      <c r="I570" s="4238" t="s">
        <v>5215</v>
      </c>
    </row>
    <row r="571" spans="1:9" ht="15">
      <c r="A571" s="4236" t="s">
        <v>5257</v>
      </c>
      <c r="B571" s="4236" t="s">
        <v>5258</v>
      </c>
      <c r="H571" s="4237">
        <v>480000958000025</v>
      </c>
      <c r="I571" s="4238" t="s">
        <v>5215</v>
      </c>
    </row>
    <row r="572" spans="1:9" ht="15">
      <c r="A572" s="4236" t="s">
        <v>5259</v>
      </c>
      <c r="B572" s="4236" t="s">
        <v>5260</v>
      </c>
      <c r="H572" s="4237">
        <v>480000958000026</v>
      </c>
      <c r="I572" s="4238" t="s">
        <v>5215</v>
      </c>
    </row>
    <row r="573" spans="1:9" ht="15">
      <c r="A573" s="4236" t="s">
        <v>5261</v>
      </c>
      <c r="B573" s="4236" t="s">
        <v>5262</v>
      </c>
      <c r="H573" s="4237">
        <v>480000958000027</v>
      </c>
      <c r="I573" s="4238" t="s">
        <v>5215</v>
      </c>
    </row>
    <row r="574" spans="1:9" ht="15">
      <c r="A574" s="4236" t="s">
        <v>5263</v>
      </c>
      <c r="B574" s="4236" t="s">
        <v>5264</v>
      </c>
      <c r="H574" s="4237">
        <v>480000958000028</v>
      </c>
      <c r="I574" s="4238" t="s">
        <v>5215</v>
      </c>
    </row>
    <row r="575" spans="1:9" ht="15">
      <c r="A575" s="4236" t="s">
        <v>5265</v>
      </c>
      <c r="B575" s="4236" t="s">
        <v>5266</v>
      </c>
      <c r="H575" s="4237">
        <v>489000101000192</v>
      </c>
      <c r="I575" s="4238" t="s">
        <v>4260</v>
      </c>
    </row>
    <row r="576" spans="1:9" ht="15">
      <c r="A576" s="4236" t="s">
        <v>5267</v>
      </c>
      <c r="B576" s="4236" t="s">
        <v>5268</v>
      </c>
      <c r="H576" s="4237">
        <v>489000202021007</v>
      </c>
      <c r="I576" s="4238" t="s">
        <v>5269</v>
      </c>
    </row>
    <row r="577" spans="1:9" ht="15">
      <c r="A577" s="4236" t="s">
        <v>5270</v>
      </c>
      <c r="B577" s="4236" t="s">
        <v>5271</v>
      </c>
      <c r="H577" s="4237">
        <v>489000202261031</v>
      </c>
      <c r="I577" s="4238" t="s">
        <v>5269</v>
      </c>
    </row>
    <row r="578" spans="1:9" ht="15">
      <c r="A578" s="4236" t="s">
        <v>5272</v>
      </c>
      <c r="B578" s="4236" t="s">
        <v>5273</v>
      </c>
      <c r="H578" s="4237">
        <v>489000202339037</v>
      </c>
      <c r="I578" s="4238" t="s">
        <v>5269</v>
      </c>
    </row>
    <row r="579" spans="1:9" ht="15">
      <c r="A579" s="4236" t="s">
        <v>5274</v>
      </c>
      <c r="B579" s="4236" t="s">
        <v>5275</v>
      </c>
      <c r="H579" s="4237">
        <v>489000202555002</v>
      </c>
      <c r="I579" s="4238" t="s">
        <v>5276</v>
      </c>
    </row>
    <row r="580" spans="1:9" ht="15">
      <c r="A580" s="4236" t="s">
        <v>5277</v>
      </c>
      <c r="B580" s="4236" t="s">
        <v>5278</v>
      </c>
      <c r="H580" s="4237">
        <v>489000208082109</v>
      </c>
      <c r="I580" s="4238" t="s">
        <v>5269</v>
      </c>
    </row>
    <row r="581" spans="1:9" ht="15">
      <c r="A581" s="4236" t="s">
        <v>5279</v>
      </c>
      <c r="B581" s="4236" t="s">
        <v>5280</v>
      </c>
      <c r="H581" s="4237">
        <v>489000208084301</v>
      </c>
      <c r="I581" s="4238" t="s">
        <v>5269</v>
      </c>
    </row>
    <row r="582" spans="1:9" ht="15">
      <c r="A582" s="4236" t="s">
        <v>5281</v>
      </c>
      <c r="B582" s="4236" t="s">
        <v>5282</v>
      </c>
      <c r="H582" s="4237">
        <v>489000302137002</v>
      </c>
      <c r="I582" s="4238" t="s">
        <v>5276</v>
      </c>
    </row>
    <row r="583" spans="1:9" ht="15">
      <c r="A583" s="4236" t="s">
        <v>5283</v>
      </c>
      <c r="B583" s="4236" t="s">
        <v>5284</v>
      </c>
      <c r="H583" s="4237">
        <v>489000718084209</v>
      </c>
      <c r="I583" s="4238" t="s">
        <v>5285</v>
      </c>
    </row>
    <row r="584" spans="1:9" ht="15">
      <c r="A584" s="4236" t="s">
        <v>5286</v>
      </c>
      <c r="B584" s="4236" t="s">
        <v>5287</v>
      </c>
      <c r="H584" s="4237">
        <v>489000809000300</v>
      </c>
      <c r="I584" s="4238" t="s">
        <v>4284</v>
      </c>
    </row>
    <row r="585" spans="1:9" ht="15">
      <c r="A585" s="4236" t="s">
        <v>5288</v>
      </c>
      <c r="B585" s="4236" t="s">
        <v>5289</v>
      </c>
      <c r="H585" s="4237">
        <v>491000985000001</v>
      </c>
      <c r="I585" s="4238" t="s">
        <v>5290</v>
      </c>
    </row>
    <row r="586" spans="1:9" ht="15">
      <c r="A586" s="4236" t="s">
        <v>5291</v>
      </c>
      <c r="B586" s="4236" t="s">
        <v>5292</v>
      </c>
      <c r="H586" s="4237">
        <v>492000985000001</v>
      </c>
      <c r="I586" s="4238" t="s">
        <v>5293</v>
      </c>
    </row>
    <row r="587" spans="1:9" ht="15">
      <c r="A587" s="4236" t="s">
        <v>5294</v>
      </c>
      <c r="B587" s="4236" t="s">
        <v>5295</v>
      </c>
      <c r="H587" s="4237">
        <v>493000985000001</v>
      </c>
      <c r="I587" s="4238" t="s">
        <v>5296</v>
      </c>
    </row>
    <row r="588" spans="1:9" ht="15">
      <c r="A588" s="4236" t="s">
        <v>5297</v>
      </c>
      <c r="B588" s="4236" t="s">
        <v>5298</v>
      </c>
      <c r="H588" s="4237">
        <v>494000985000001</v>
      </c>
      <c r="I588" s="4238" t="s">
        <v>5299</v>
      </c>
    </row>
    <row r="589" spans="1:9" ht="15">
      <c r="A589" s="4236" t="s">
        <v>2360</v>
      </c>
      <c r="B589" s="4236" t="s">
        <v>5300</v>
      </c>
      <c r="H589" s="4237">
        <v>494500985000001</v>
      </c>
      <c r="I589" s="4238" t="s">
        <v>5301</v>
      </c>
    </row>
    <row r="590" spans="1:9" ht="15">
      <c r="A590" s="4236" t="s">
        <v>5302</v>
      </c>
      <c r="B590" s="4236" t="s">
        <v>5303</v>
      </c>
      <c r="H590" s="4237">
        <v>495000985000001</v>
      </c>
      <c r="I590" s="4238" t="s">
        <v>5304</v>
      </c>
    </row>
    <row r="591" spans="1:9" ht="15">
      <c r="A591" s="4236" t="s">
        <v>5305</v>
      </c>
      <c r="B591" s="4236" t="s">
        <v>5306</v>
      </c>
      <c r="H591" s="4237">
        <v>495500985000001</v>
      </c>
      <c r="I591" s="4238" t="s">
        <v>5307</v>
      </c>
    </row>
    <row r="592" spans="1:9" ht="15">
      <c r="A592" s="4236" t="s">
        <v>2023</v>
      </c>
      <c r="B592" s="4236" t="s">
        <v>5308</v>
      </c>
      <c r="H592" s="4237">
        <v>496000985000001</v>
      </c>
      <c r="I592" s="4238" t="s">
        <v>5309</v>
      </c>
    </row>
    <row r="593" spans="1:9" ht="15">
      <c r="A593" s="4236" t="s">
        <v>5310</v>
      </c>
      <c r="B593" s="4236" t="s">
        <v>5311</v>
      </c>
      <c r="H593" s="4237">
        <v>497000985000001</v>
      </c>
      <c r="I593" s="4238" t="s">
        <v>5312</v>
      </c>
    </row>
    <row r="594" spans="1:9" ht="15">
      <c r="A594" s="4236" t="s">
        <v>5313</v>
      </c>
      <c r="B594" s="4236" t="s">
        <v>5314</v>
      </c>
      <c r="H594" s="4237">
        <v>498000985000001</v>
      </c>
      <c r="I594" s="4238" t="s">
        <v>5315</v>
      </c>
    </row>
    <row r="595" spans="1:9" ht="15">
      <c r="A595" s="4236" t="s">
        <v>5316</v>
      </c>
      <c r="B595" s="4236" t="s">
        <v>5317</v>
      </c>
      <c r="H595" s="4237">
        <v>499000985000001</v>
      </c>
      <c r="I595" s="4238" t="s">
        <v>5318</v>
      </c>
    </row>
    <row r="596" spans="1:9" ht="15">
      <c r="A596" s="4236" t="s">
        <v>5319</v>
      </c>
      <c r="B596" s="4236" t="s">
        <v>5320</v>
      </c>
      <c r="H596" s="4237">
        <v>499500985000001</v>
      </c>
      <c r="I596" s="4238" t="s">
        <v>5321</v>
      </c>
    </row>
    <row r="597" spans="1:9" ht="15">
      <c r="A597" s="4236" t="s">
        <v>5322</v>
      </c>
      <c r="B597" s="4236" t="s">
        <v>5323</v>
      </c>
      <c r="H597" s="4237">
        <v>500000101000222</v>
      </c>
      <c r="I597" s="4238" t="s">
        <v>4260</v>
      </c>
    </row>
    <row r="598" spans="1:9" ht="15">
      <c r="A598" s="4236" t="s">
        <v>5324</v>
      </c>
      <c r="B598" s="4236" t="s">
        <v>5325</v>
      </c>
      <c r="H598" s="4237">
        <v>500000202261001</v>
      </c>
      <c r="I598" s="4238" t="s">
        <v>5326</v>
      </c>
    </row>
    <row r="599" spans="1:9" ht="15">
      <c r="A599" s="4236" t="s">
        <v>5327</v>
      </c>
      <c r="B599" s="4236" t="s">
        <v>5328</v>
      </c>
      <c r="H599" s="4237">
        <v>500000202339117</v>
      </c>
      <c r="I599" s="4238" t="s">
        <v>5326</v>
      </c>
    </row>
    <row r="600" spans="1:9" ht="15">
      <c r="A600" s="4236" t="s">
        <v>5329</v>
      </c>
      <c r="B600" s="4236" t="s">
        <v>5330</v>
      </c>
      <c r="H600" s="4237">
        <v>500000202516002</v>
      </c>
      <c r="I600" s="4238" t="s">
        <v>5326</v>
      </c>
    </row>
    <row r="601" spans="1:9" ht="15">
      <c r="A601" s="4236" t="s">
        <v>5331</v>
      </c>
      <c r="B601" s="4236" t="s">
        <v>5332</v>
      </c>
      <c r="H601" s="4237">
        <v>500000202692001</v>
      </c>
      <c r="I601" s="4238" t="s">
        <v>5326</v>
      </c>
    </row>
    <row r="602" spans="1:9" ht="15">
      <c r="A602" s="4236" t="s">
        <v>5333</v>
      </c>
      <c r="B602" s="4236" t="s">
        <v>5334</v>
      </c>
      <c r="H602" s="4237">
        <v>500000748550001</v>
      </c>
      <c r="I602" s="4238" t="s">
        <v>4957</v>
      </c>
    </row>
    <row r="603" spans="1:9" ht="15">
      <c r="A603" s="4236" t="s">
        <v>5335</v>
      </c>
      <c r="B603" s="4236" t="s">
        <v>5336</v>
      </c>
      <c r="H603" s="4237">
        <v>500000809000001</v>
      </c>
      <c r="I603" s="4238" t="s">
        <v>4284</v>
      </c>
    </row>
    <row r="604" spans="1:9" ht="15">
      <c r="A604" s="4236" t="s">
        <v>5337</v>
      </c>
      <c r="B604" s="4236" t="s">
        <v>5338</v>
      </c>
      <c r="H604" s="4237">
        <v>550000101000275</v>
      </c>
      <c r="I604" s="4238" t="s">
        <v>4260</v>
      </c>
    </row>
    <row r="605" spans="1:9" ht="15">
      <c r="A605" s="4236" t="s">
        <v>5339</v>
      </c>
      <c r="B605" s="4236" t="s">
        <v>5340</v>
      </c>
      <c r="H605" s="4237">
        <v>550000102540001</v>
      </c>
      <c r="I605" s="4238" t="s">
        <v>5341</v>
      </c>
    </row>
    <row r="606" spans="1:9" ht="15">
      <c r="A606" s="4236" t="s">
        <v>5342</v>
      </c>
      <c r="B606" s="4236" t="s">
        <v>5343</v>
      </c>
      <c r="H606" s="4237">
        <v>550000202586001</v>
      </c>
      <c r="I606" s="4238" t="s">
        <v>5341</v>
      </c>
    </row>
    <row r="607" spans="1:9" ht="15">
      <c r="A607" s="4236" t="s">
        <v>5344</v>
      </c>
      <c r="B607" s="4236" t="s">
        <v>5345</v>
      </c>
      <c r="H607" s="4237">
        <v>550000202586014</v>
      </c>
      <c r="I607" s="4238" t="s">
        <v>5341</v>
      </c>
    </row>
    <row r="608" spans="1:9" ht="15">
      <c r="A608" s="4236" t="s">
        <v>5346</v>
      </c>
      <c r="B608" s="4236" t="s">
        <v>5347</v>
      </c>
      <c r="H608" s="4237">
        <v>550000202586015</v>
      </c>
      <c r="I608" s="4238" t="s">
        <v>5341</v>
      </c>
    </row>
    <row r="609" spans="1:9" ht="15">
      <c r="A609" s="4236" t="s">
        <v>5348</v>
      </c>
      <c r="B609" s="4236" t="s">
        <v>5349</v>
      </c>
      <c r="H609" s="4237">
        <v>550000202586016</v>
      </c>
      <c r="I609" s="4238" t="s">
        <v>5341</v>
      </c>
    </row>
    <row r="610" spans="1:9" ht="15">
      <c r="A610" s="4236" t="s">
        <v>5350</v>
      </c>
      <c r="B610" s="4236" t="s">
        <v>5351</v>
      </c>
      <c r="H610" s="4237">
        <v>550000202586017</v>
      </c>
      <c r="I610" s="4238" t="s">
        <v>5341</v>
      </c>
    </row>
    <row r="611" spans="1:9" ht="15">
      <c r="A611" s="4236" t="s">
        <v>5352</v>
      </c>
      <c r="B611" s="4236" t="s">
        <v>5353</v>
      </c>
      <c r="H611" s="4237">
        <v>550000202731001</v>
      </c>
      <c r="I611" s="4238" t="s">
        <v>5341</v>
      </c>
    </row>
    <row r="612" spans="1:9" ht="15">
      <c r="A612" s="4236" t="s">
        <v>5354</v>
      </c>
      <c r="B612" s="4236" t="s">
        <v>3867</v>
      </c>
      <c r="H612" s="4237">
        <v>550000502324001</v>
      </c>
      <c r="I612" s="4238" t="s">
        <v>5355</v>
      </c>
    </row>
    <row r="613" spans="1:9" ht="15">
      <c r="A613" s="4236" t="s">
        <v>5356</v>
      </c>
      <c r="B613" s="4236" t="s">
        <v>5357</v>
      </c>
      <c r="H613" s="4237">
        <v>550000502326001</v>
      </c>
      <c r="I613" s="4238" t="s">
        <v>5355</v>
      </c>
    </row>
    <row r="614" spans="1:9" ht="15">
      <c r="A614" s="4236" t="s">
        <v>5358</v>
      </c>
      <c r="B614" s="4236" t="s">
        <v>5359</v>
      </c>
      <c r="H614" s="4237">
        <v>550000502340020</v>
      </c>
      <c r="I614" s="4238" t="s">
        <v>5355</v>
      </c>
    </row>
    <row r="615" spans="1:9" ht="15">
      <c r="A615" s="4236" t="s">
        <v>5360</v>
      </c>
      <c r="B615" s="4236" t="s">
        <v>5361</v>
      </c>
      <c r="H615" s="4237">
        <v>550000502340022</v>
      </c>
      <c r="I615" s="4238" t="s">
        <v>5355</v>
      </c>
    </row>
    <row r="616" spans="1:9" ht="15">
      <c r="A616" s="4236" t="s">
        <v>5362</v>
      </c>
      <c r="B616" s="4236" t="s">
        <v>5363</v>
      </c>
      <c r="H616" s="4237">
        <v>550000508403041</v>
      </c>
      <c r="I616" s="4238" t="s">
        <v>5355</v>
      </c>
    </row>
    <row r="617" spans="1:9" ht="15">
      <c r="A617" s="4236" t="s">
        <v>5364</v>
      </c>
      <c r="B617" s="4236" t="s">
        <v>5365</v>
      </c>
      <c r="H617" s="4237">
        <v>550000508415011</v>
      </c>
      <c r="I617" s="4238" t="s">
        <v>5355</v>
      </c>
    </row>
    <row r="618" spans="1:9" ht="15">
      <c r="A618" s="4236" t="s">
        <v>5366</v>
      </c>
      <c r="B618" s="4236" t="s">
        <v>5367</v>
      </c>
      <c r="H618" s="4237">
        <v>550000508415021</v>
      </c>
      <c r="I618" s="4238" t="s">
        <v>5355</v>
      </c>
    </row>
    <row r="619" spans="1:9" ht="15">
      <c r="A619" s="4236" t="s">
        <v>5368</v>
      </c>
      <c r="B619" s="4236" t="s">
        <v>5369</v>
      </c>
      <c r="H619" s="4237">
        <v>550000508415031</v>
      </c>
      <c r="I619" s="4238" t="s">
        <v>5355</v>
      </c>
    </row>
    <row r="620" spans="1:9" ht="15">
      <c r="A620" s="4236" t="s">
        <v>5370</v>
      </c>
      <c r="B620" s="4236" t="s">
        <v>5371</v>
      </c>
      <c r="H620" s="4237">
        <v>550000508415041</v>
      </c>
      <c r="I620" s="4238" t="s">
        <v>5355</v>
      </c>
    </row>
    <row r="621" spans="1:9" ht="15">
      <c r="A621" s="4236" t="s">
        <v>5372</v>
      </c>
      <c r="B621" s="4236" t="s">
        <v>5373</v>
      </c>
      <c r="H621" s="4237">
        <v>550000508415051</v>
      </c>
      <c r="I621" s="4238" t="s">
        <v>5355</v>
      </c>
    </row>
    <row r="622" spans="1:9" ht="15">
      <c r="A622" s="4236" t="s">
        <v>5374</v>
      </c>
      <c r="B622" s="4236" t="s">
        <v>5375</v>
      </c>
      <c r="H622" s="4237">
        <v>550000508415061</v>
      </c>
      <c r="I622" s="4238" t="s">
        <v>5355</v>
      </c>
    </row>
    <row r="623" spans="1:9" ht="15">
      <c r="A623" s="4236" t="s">
        <v>5376</v>
      </c>
      <c r="B623" s="4236" t="s">
        <v>5377</v>
      </c>
      <c r="H623" s="4237">
        <v>550000508459501</v>
      </c>
      <c r="I623" s="4238" t="s">
        <v>5355</v>
      </c>
    </row>
    <row r="624" spans="1:9" ht="15">
      <c r="A624" s="4236" t="s">
        <v>5378</v>
      </c>
      <c r="B624" s="4236" t="s">
        <v>5379</v>
      </c>
      <c r="H624" s="4237">
        <v>550000508471001</v>
      </c>
      <c r="I624" s="4238" t="s">
        <v>5355</v>
      </c>
    </row>
    <row r="625" spans="1:9" ht="15">
      <c r="A625" s="4236" t="s">
        <v>5380</v>
      </c>
      <c r="B625" s="4236" t="s">
        <v>5381</v>
      </c>
      <c r="H625" s="4237">
        <v>550000508476002</v>
      </c>
      <c r="I625" s="4238" t="s">
        <v>5355</v>
      </c>
    </row>
    <row r="626" spans="1:9" ht="15">
      <c r="A626" s="4236" t="s">
        <v>5382</v>
      </c>
      <c r="B626" s="4236" t="s">
        <v>5383</v>
      </c>
      <c r="H626" s="4237">
        <v>550000508495001</v>
      </c>
      <c r="I626" s="4238" t="s">
        <v>5355</v>
      </c>
    </row>
    <row r="627" spans="1:9" ht="15">
      <c r="A627" s="4236" t="s">
        <v>5384</v>
      </c>
      <c r="B627" s="4236" t="s">
        <v>5385</v>
      </c>
      <c r="H627" s="4237">
        <v>550000558693061</v>
      </c>
      <c r="I627" s="4238" t="s">
        <v>5386</v>
      </c>
    </row>
    <row r="628" spans="1:9" ht="15">
      <c r="A628" s="4236" t="s">
        <v>5387</v>
      </c>
      <c r="B628" s="4236" t="s">
        <v>5388</v>
      </c>
      <c r="H628" s="4237">
        <v>550000748476001</v>
      </c>
      <c r="I628" s="4238" t="s">
        <v>4957</v>
      </c>
    </row>
    <row r="629" spans="1:9" ht="15">
      <c r="A629" s="4236" t="s">
        <v>5389</v>
      </c>
      <c r="B629" s="4236" t="s">
        <v>5390</v>
      </c>
      <c r="H629" s="4237">
        <v>550000748550001</v>
      </c>
      <c r="I629" s="4238" t="s">
        <v>5341</v>
      </c>
    </row>
    <row r="630" spans="1:9" ht="15">
      <c r="A630" s="4236" t="s">
        <v>5391</v>
      </c>
      <c r="B630" s="4236" t="s">
        <v>5392</v>
      </c>
      <c r="H630" s="4237">
        <v>550000748550003</v>
      </c>
      <c r="I630" s="4238" t="s">
        <v>5341</v>
      </c>
    </row>
    <row r="631" spans="1:9" ht="15">
      <c r="A631" s="4236" t="s">
        <v>5393</v>
      </c>
      <c r="B631" s="4236" t="s">
        <v>5394</v>
      </c>
      <c r="H631" s="4237">
        <v>550000748550004</v>
      </c>
      <c r="I631" s="4238" t="s">
        <v>5341</v>
      </c>
    </row>
    <row r="632" spans="1:9" ht="15">
      <c r="A632" s="4236" t="s">
        <v>5395</v>
      </c>
      <c r="B632" s="4236" t="s">
        <v>5396</v>
      </c>
      <c r="H632" s="4237">
        <v>550000809000001</v>
      </c>
      <c r="I632" s="4238" t="s">
        <v>4284</v>
      </c>
    </row>
    <row r="633" spans="1:9" ht="15">
      <c r="A633" s="4236" t="s">
        <v>5397</v>
      </c>
      <c r="B633" s="4236" t="s">
        <v>5398</v>
      </c>
      <c r="H633" s="4237">
        <v>570000101000291</v>
      </c>
      <c r="I633" s="4238" t="s">
        <v>4260</v>
      </c>
    </row>
    <row r="634" spans="1:9" ht="15">
      <c r="A634" s="4236" t="s">
        <v>5399</v>
      </c>
      <c r="B634" s="4236" t="s">
        <v>5361</v>
      </c>
      <c r="H634" s="4237">
        <v>570000202090001</v>
      </c>
      <c r="I634" s="4238" t="s">
        <v>5400</v>
      </c>
    </row>
    <row r="635" spans="1:9" ht="15">
      <c r="A635" s="4236" t="s">
        <v>5401</v>
      </c>
      <c r="B635" s="4236" t="s">
        <v>5402</v>
      </c>
      <c r="H635" s="4237">
        <v>570000748010006</v>
      </c>
      <c r="I635" s="4238" t="s">
        <v>5400</v>
      </c>
    </row>
    <row r="636" spans="1:9" ht="15">
      <c r="A636" s="4236" t="s">
        <v>5403</v>
      </c>
      <c r="B636" s="4236" t="s">
        <v>5404</v>
      </c>
      <c r="H636" s="4237">
        <v>570000748010007</v>
      </c>
      <c r="I636" s="4238" t="s">
        <v>5400</v>
      </c>
    </row>
    <row r="637" spans="1:9" ht="15">
      <c r="A637" s="4236" t="s">
        <v>5405</v>
      </c>
      <c r="B637" s="4236" t="s">
        <v>5406</v>
      </c>
      <c r="H637" s="4237">
        <v>570000809090001</v>
      </c>
      <c r="I637" s="4238" t="s">
        <v>4284</v>
      </c>
    </row>
    <row r="638" spans="1:9" ht="15">
      <c r="A638" s="4236" t="s">
        <v>5407</v>
      </c>
      <c r="B638" s="4236" t="s">
        <v>5408</v>
      </c>
      <c r="H638" s="4237">
        <v>600000101000326</v>
      </c>
      <c r="I638" s="4238" t="s">
        <v>4260</v>
      </c>
    </row>
    <row r="639" spans="1:9" ht="15">
      <c r="A639" s="4236" t="s">
        <v>5409</v>
      </c>
      <c r="B639" s="4236" t="s">
        <v>5410</v>
      </c>
      <c r="H639" s="4237">
        <v>600000202021060</v>
      </c>
      <c r="I639" s="4238" t="s">
        <v>5411</v>
      </c>
    </row>
    <row r="640" spans="1:9" ht="15">
      <c r="A640" s="4236" t="s">
        <v>5412</v>
      </c>
      <c r="B640" s="4236" t="s">
        <v>5413</v>
      </c>
      <c r="H640" s="4237">
        <v>600000202027005</v>
      </c>
      <c r="I640" s="4238" t="s">
        <v>5411</v>
      </c>
    </row>
    <row r="641" spans="1:9" ht="15">
      <c r="A641" s="4236" t="s">
        <v>5414</v>
      </c>
      <c r="B641" s="4236" t="s">
        <v>5415</v>
      </c>
      <c r="H641" s="4237">
        <v>600000202083002</v>
      </c>
      <c r="I641" s="4238" t="s">
        <v>5411</v>
      </c>
    </row>
    <row r="642" spans="1:9" ht="15">
      <c r="A642" s="4236" t="s">
        <v>5416</v>
      </c>
      <c r="B642" s="4236" t="s">
        <v>5417</v>
      </c>
      <c r="H642" s="4237">
        <v>600000202157002</v>
      </c>
      <c r="I642" s="4238" t="s">
        <v>5411</v>
      </c>
    </row>
    <row r="643" spans="1:9" ht="15">
      <c r="A643" s="4236" t="s">
        <v>5418</v>
      </c>
      <c r="B643" s="4236" t="s">
        <v>5419</v>
      </c>
      <c r="H643" s="4237">
        <v>600000202261015</v>
      </c>
      <c r="I643" s="4238" t="s">
        <v>5411</v>
      </c>
    </row>
    <row r="644" spans="1:9" ht="15">
      <c r="A644" s="4236" t="s">
        <v>5420</v>
      </c>
      <c r="B644" s="4236" t="s">
        <v>5421</v>
      </c>
      <c r="H644" s="4237">
        <v>600000202339128</v>
      </c>
      <c r="I644" s="4238" t="s">
        <v>5411</v>
      </c>
    </row>
    <row r="645" spans="1:9" ht="15">
      <c r="A645" s="4236" t="s">
        <v>5422</v>
      </c>
      <c r="B645" s="4236" t="s">
        <v>5423</v>
      </c>
      <c r="H645" s="4237">
        <v>600000202401001</v>
      </c>
      <c r="I645" s="4238" t="s">
        <v>5411</v>
      </c>
    </row>
    <row r="646" spans="1:9" ht="15">
      <c r="A646" s="4236" t="s">
        <v>2372</v>
      </c>
      <c r="B646" s="4236" t="s">
        <v>5424</v>
      </c>
      <c r="H646" s="4237">
        <v>600000202516015</v>
      </c>
      <c r="I646" s="4238" t="s">
        <v>5411</v>
      </c>
    </row>
    <row r="647" spans="1:9" ht="15">
      <c r="A647" s="4236" t="s">
        <v>5425</v>
      </c>
      <c r="B647" s="4236" t="s">
        <v>5426</v>
      </c>
      <c r="H647" s="4237">
        <v>600000202639022</v>
      </c>
      <c r="I647" s="4238" t="s">
        <v>5411</v>
      </c>
    </row>
    <row r="648" spans="1:9" ht="15">
      <c r="A648" s="4236" t="s">
        <v>2029</v>
      </c>
      <c r="B648" s="4236" t="s">
        <v>5427</v>
      </c>
      <c r="H648" s="4237">
        <v>600000208112701</v>
      </c>
      <c r="I648" s="4238" t="s">
        <v>5411</v>
      </c>
    </row>
    <row r="649" spans="1:9" ht="15">
      <c r="A649" s="4236" t="s">
        <v>2034</v>
      </c>
      <c r="B649" s="4236" t="s">
        <v>5428</v>
      </c>
      <c r="H649" s="4237">
        <v>600000208302701</v>
      </c>
      <c r="I649" s="4238" t="s">
        <v>5411</v>
      </c>
    </row>
    <row r="650" spans="1:9" ht="15">
      <c r="A650" s="4236" t="s">
        <v>5429</v>
      </c>
      <c r="B650" s="4236" t="s">
        <v>5430</v>
      </c>
      <c r="H650" s="4237">
        <v>600000208532701</v>
      </c>
      <c r="I650" s="4238" t="s">
        <v>5411</v>
      </c>
    </row>
    <row r="651" spans="1:9" ht="15">
      <c r="A651" s="4236" t="s">
        <v>5431</v>
      </c>
      <c r="B651" s="4236" t="s">
        <v>5432</v>
      </c>
      <c r="H651" s="4237">
        <v>600000208552701</v>
      </c>
      <c r="I651" s="4238" t="s">
        <v>5411</v>
      </c>
    </row>
    <row r="652" spans="1:9" ht="15">
      <c r="A652" s="4236" t="s">
        <v>2037</v>
      </c>
      <c r="B652" s="4236" t="s">
        <v>5433</v>
      </c>
      <c r="H652" s="4237">
        <v>600000208562701</v>
      </c>
      <c r="I652" s="4238" t="s">
        <v>5411</v>
      </c>
    </row>
    <row r="653" spans="1:9" ht="15">
      <c r="A653" s="4236" t="s">
        <v>5434</v>
      </c>
      <c r="B653" s="4236" t="s">
        <v>5435</v>
      </c>
      <c r="H653" s="4237">
        <v>600000208572701</v>
      </c>
      <c r="I653" s="4238" t="s">
        <v>5411</v>
      </c>
    </row>
    <row r="654" spans="1:9" ht="15">
      <c r="A654" s="4236" t="s">
        <v>2060</v>
      </c>
      <c r="B654" s="4236" t="s">
        <v>5436</v>
      </c>
      <c r="H654" s="4237">
        <v>600000208592701</v>
      </c>
      <c r="I654" s="4238" t="s">
        <v>5411</v>
      </c>
    </row>
    <row r="655" spans="1:9" ht="15">
      <c r="A655" s="4236" t="s">
        <v>5437</v>
      </c>
      <c r="B655" s="4236" t="s">
        <v>5438</v>
      </c>
      <c r="H655" s="4237">
        <v>600000748004001</v>
      </c>
      <c r="I655" s="4238" t="s">
        <v>4260</v>
      </c>
    </row>
    <row r="656" spans="1:9" ht="15">
      <c r="A656" s="4236" t="s">
        <v>5439</v>
      </c>
      <c r="B656" s="4236" t="s">
        <v>5440</v>
      </c>
      <c r="H656" s="4237">
        <v>600000748011101</v>
      </c>
      <c r="I656" s="4238" t="s">
        <v>4957</v>
      </c>
    </row>
    <row r="657" spans="1:9" ht="15">
      <c r="A657" s="4236" t="s">
        <v>2099</v>
      </c>
      <c r="B657" s="4236" t="s">
        <v>5441</v>
      </c>
      <c r="H657" s="4237">
        <v>600000748011401</v>
      </c>
      <c r="I657" s="4238" t="s">
        <v>4957</v>
      </c>
    </row>
    <row r="658" spans="1:9" ht="15">
      <c r="A658" s="4236" t="s">
        <v>5442</v>
      </c>
      <c r="B658" s="4236" t="s">
        <v>5443</v>
      </c>
      <c r="H658" s="4237">
        <v>600000748021101</v>
      </c>
      <c r="I658" s="4238" t="s">
        <v>4957</v>
      </c>
    </row>
    <row r="659" spans="1:9" ht="15">
      <c r="A659" s="4236" t="s">
        <v>2102</v>
      </c>
      <c r="B659" s="4236" t="s">
        <v>5444</v>
      </c>
      <c r="H659" s="4237">
        <v>600000748021401</v>
      </c>
      <c r="I659" s="4238" t="s">
        <v>4957</v>
      </c>
    </row>
    <row r="660" spans="1:9" ht="15">
      <c r="A660" s="4236" t="s">
        <v>5445</v>
      </c>
      <c r="B660" s="4236" t="s">
        <v>5446</v>
      </c>
      <c r="H660" s="4237">
        <v>600000748031101</v>
      </c>
      <c r="I660" s="4238" t="s">
        <v>4957</v>
      </c>
    </row>
    <row r="661" spans="1:9" ht="15">
      <c r="A661" s="4236" t="s">
        <v>5447</v>
      </c>
      <c r="B661" s="4236" t="s">
        <v>5448</v>
      </c>
      <c r="H661" s="4237">
        <v>600000748031401</v>
      </c>
      <c r="I661" s="4238" t="s">
        <v>4957</v>
      </c>
    </row>
    <row r="662" spans="1:9" ht="15">
      <c r="A662" s="4236" t="s">
        <v>5449</v>
      </c>
      <c r="B662" s="4236" t="s">
        <v>5450</v>
      </c>
      <c r="H662" s="4237">
        <v>600000748041101</v>
      </c>
      <c r="I662" s="4238" t="s">
        <v>4957</v>
      </c>
    </row>
    <row r="663" spans="1:9" ht="15">
      <c r="A663" s="4236" t="s">
        <v>5451</v>
      </c>
      <c r="B663" s="4236" t="s">
        <v>5452</v>
      </c>
      <c r="H663" s="4237">
        <v>600000748041401</v>
      </c>
      <c r="I663" s="4238" t="s">
        <v>4957</v>
      </c>
    </row>
    <row r="664" spans="1:9" ht="15">
      <c r="A664" s="4236" t="s">
        <v>5453</v>
      </c>
      <c r="B664" s="4236" t="s">
        <v>5454</v>
      </c>
      <c r="H664" s="4237">
        <v>600000748071101</v>
      </c>
      <c r="I664" s="4238" t="s">
        <v>4957</v>
      </c>
    </row>
    <row r="665" spans="1:9" ht="15">
      <c r="A665" s="4236" t="s">
        <v>5455</v>
      </c>
      <c r="B665" s="4236" t="s">
        <v>5456</v>
      </c>
      <c r="H665" s="4237">
        <v>600000748071401</v>
      </c>
      <c r="I665" s="4238" t="s">
        <v>4957</v>
      </c>
    </row>
    <row r="666" spans="1:9" ht="15">
      <c r="A666" s="4236" t="s">
        <v>5457</v>
      </c>
      <c r="B666" s="4236" t="s">
        <v>5458</v>
      </c>
      <c r="H666" s="4237">
        <v>600000748092001</v>
      </c>
      <c r="I666" s="4238" t="s">
        <v>4260</v>
      </c>
    </row>
    <row r="667" spans="1:9" ht="15">
      <c r="A667" s="4236" t="s">
        <v>5459</v>
      </c>
      <c r="B667" s="4236" t="s">
        <v>5460</v>
      </c>
      <c r="H667" s="4237">
        <v>600000748101101</v>
      </c>
      <c r="I667" s="4238" t="s">
        <v>4957</v>
      </c>
    </row>
    <row r="668" spans="1:9" ht="15">
      <c r="A668" s="4236" t="s">
        <v>5461</v>
      </c>
      <c r="B668" s="4236" t="s">
        <v>5462</v>
      </c>
      <c r="H668" s="4237">
        <v>600000748101401</v>
      </c>
      <c r="I668" s="4238" t="s">
        <v>4957</v>
      </c>
    </row>
    <row r="669" spans="1:9" ht="15">
      <c r="A669" s="4236" t="s">
        <v>5463</v>
      </c>
      <c r="B669" s="4236" t="s">
        <v>5464</v>
      </c>
      <c r="H669" s="4237">
        <v>600000748111101</v>
      </c>
      <c r="I669" s="4238" t="s">
        <v>4957</v>
      </c>
    </row>
    <row r="670" spans="1:9" ht="15">
      <c r="A670" s="4236" t="s">
        <v>5465</v>
      </c>
      <c r="B670" s="4236" t="s">
        <v>5466</v>
      </c>
      <c r="H670" s="4237">
        <v>600000748111401</v>
      </c>
      <c r="I670" s="4238" t="s">
        <v>4957</v>
      </c>
    </row>
    <row r="671" spans="1:9" ht="15">
      <c r="A671" s="4236" t="s">
        <v>5467</v>
      </c>
      <c r="B671" s="4236" t="s">
        <v>5468</v>
      </c>
      <c r="H671" s="4237">
        <v>600000748116001</v>
      </c>
      <c r="I671" s="4238" t="s">
        <v>4260</v>
      </c>
    </row>
    <row r="672" spans="1:9" ht="15">
      <c r="A672" s="4236" t="s">
        <v>5469</v>
      </c>
      <c r="B672" s="4236" t="s">
        <v>5470</v>
      </c>
      <c r="H672" s="4237">
        <v>600000748121101</v>
      </c>
      <c r="I672" s="4238" t="s">
        <v>4957</v>
      </c>
    </row>
    <row r="673" spans="1:9" ht="15">
      <c r="A673" s="4236" t="s">
        <v>5471</v>
      </c>
      <c r="B673" s="4236" t="s">
        <v>5472</v>
      </c>
      <c r="H673" s="4237">
        <v>600000748128001</v>
      </c>
      <c r="I673" s="4238" t="s">
        <v>4260</v>
      </c>
    </row>
    <row r="674" spans="1:9" ht="15">
      <c r="A674" s="4236" t="s">
        <v>5473</v>
      </c>
      <c r="B674" s="4236" t="s">
        <v>5474</v>
      </c>
      <c r="H674" s="4237">
        <v>600000748131101</v>
      </c>
      <c r="I674" s="4238" t="s">
        <v>4957</v>
      </c>
    </row>
    <row r="675" spans="1:9" ht="15">
      <c r="A675" s="4236" t="s">
        <v>5475</v>
      </c>
      <c r="B675" s="4236" t="s">
        <v>5476</v>
      </c>
      <c r="H675" s="4237">
        <v>600000748131401</v>
      </c>
      <c r="I675" s="4238" t="s">
        <v>4957</v>
      </c>
    </row>
    <row r="676" spans="1:9" ht="15">
      <c r="A676" s="4236" t="s">
        <v>5477</v>
      </c>
      <c r="B676" s="4236" t="s">
        <v>5478</v>
      </c>
      <c r="H676" s="4237">
        <v>600000748136001</v>
      </c>
      <c r="I676" s="4238" t="s">
        <v>4260</v>
      </c>
    </row>
    <row r="677" spans="1:9" ht="15">
      <c r="A677" s="4236" t="s">
        <v>5479</v>
      </c>
      <c r="B677" s="4236" t="s">
        <v>5480</v>
      </c>
      <c r="H677" s="4237">
        <v>600000748141101</v>
      </c>
      <c r="I677" s="4238" t="s">
        <v>4957</v>
      </c>
    </row>
    <row r="678" spans="1:9" ht="15">
      <c r="A678" s="4236" t="s">
        <v>5481</v>
      </c>
      <c r="B678" s="4236" t="s">
        <v>5482</v>
      </c>
      <c r="H678" s="4237">
        <v>600000748141401</v>
      </c>
      <c r="I678" s="4238" t="s">
        <v>4957</v>
      </c>
    </row>
    <row r="679" spans="1:9" ht="15">
      <c r="A679" s="4236" t="s">
        <v>5483</v>
      </c>
      <c r="B679" s="4236" t="s">
        <v>5484</v>
      </c>
      <c r="H679" s="4237">
        <v>600000748143001</v>
      </c>
      <c r="I679" s="4238" t="s">
        <v>4260</v>
      </c>
    </row>
    <row r="680" spans="1:9" ht="15">
      <c r="A680" s="4236" t="s">
        <v>5485</v>
      </c>
      <c r="B680" s="4236" t="s">
        <v>5486</v>
      </c>
      <c r="H680" s="4237">
        <v>600000748151101</v>
      </c>
      <c r="I680" s="4238" t="s">
        <v>4957</v>
      </c>
    </row>
    <row r="681" spans="1:9" ht="15">
      <c r="A681" s="4236" t="s">
        <v>5487</v>
      </c>
      <c r="B681" s="4236" t="s">
        <v>5488</v>
      </c>
      <c r="H681" s="4237">
        <v>600000748190001</v>
      </c>
      <c r="I681" s="4238" t="s">
        <v>4260</v>
      </c>
    </row>
    <row r="682" spans="1:9" ht="15">
      <c r="A682" s="4236" t="s">
        <v>5489</v>
      </c>
      <c r="B682" s="4236" t="s">
        <v>5490</v>
      </c>
      <c r="H682" s="4237">
        <v>600000748231101</v>
      </c>
      <c r="I682" s="4238" t="s">
        <v>4957</v>
      </c>
    </row>
    <row r="683" spans="1:9" ht="15">
      <c r="A683" s="4236" t="s">
        <v>5491</v>
      </c>
      <c r="B683" s="4236" t="s">
        <v>5492</v>
      </c>
      <c r="H683" s="4237">
        <v>600000748231401</v>
      </c>
      <c r="I683" s="4238" t="s">
        <v>4957</v>
      </c>
    </row>
    <row r="684" spans="1:9" ht="15">
      <c r="A684" s="4236" t="s">
        <v>5493</v>
      </c>
      <c r="B684" s="4236" t="s">
        <v>5494</v>
      </c>
      <c r="H684" s="4237">
        <v>600000748531101</v>
      </c>
      <c r="I684" s="4238" t="s">
        <v>4957</v>
      </c>
    </row>
    <row r="685" spans="1:9" ht="15">
      <c r="A685" s="4236" t="s">
        <v>5495</v>
      </c>
      <c r="B685" s="4236" t="s">
        <v>5496</v>
      </c>
      <c r="H685" s="4237">
        <v>600000748551101</v>
      </c>
      <c r="I685" s="4238" t="s">
        <v>4957</v>
      </c>
    </row>
    <row r="686" spans="1:9" ht="15">
      <c r="A686" s="4236" t="s">
        <v>5497</v>
      </c>
      <c r="B686" s="4236" t="s">
        <v>5498</v>
      </c>
      <c r="H686" s="4237">
        <v>600000748561101</v>
      </c>
      <c r="I686" s="4238" t="s">
        <v>4957</v>
      </c>
    </row>
    <row r="687" spans="1:9" ht="15">
      <c r="A687" s="4236" t="s">
        <v>5499</v>
      </c>
      <c r="B687" s="4236" t="s">
        <v>5500</v>
      </c>
      <c r="H687" s="4237">
        <v>600000748571101</v>
      </c>
      <c r="I687" s="4238" t="s">
        <v>4957</v>
      </c>
    </row>
    <row r="688" spans="1:9" ht="15">
      <c r="A688" s="4236" t="s">
        <v>5501</v>
      </c>
      <c r="B688" s="4236" t="s">
        <v>5502</v>
      </c>
      <c r="H688" s="4237">
        <v>600000748591101</v>
      </c>
      <c r="I688" s="4238" t="s">
        <v>4957</v>
      </c>
    </row>
    <row r="689" spans="1:9" ht="15">
      <c r="A689" s="4236" t="s">
        <v>5503</v>
      </c>
      <c r="B689" s="4236" t="s">
        <v>5504</v>
      </c>
      <c r="H689" s="4237">
        <v>600000809130012</v>
      </c>
      <c r="I689" s="4238" t="s">
        <v>4284</v>
      </c>
    </row>
    <row r="690" spans="1:9" ht="15">
      <c r="A690" s="4236" t="s">
        <v>5505</v>
      </c>
      <c r="B690" s="4236" t="s">
        <v>5506</v>
      </c>
      <c r="H690" s="4237">
        <v>610000502573003</v>
      </c>
      <c r="I690" s="4238" t="s">
        <v>4277</v>
      </c>
    </row>
    <row r="691" spans="1:9" ht="15">
      <c r="A691" s="4236" t="s">
        <v>5507</v>
      </c>
      <c r="B691" s="4236" t="s">
        <v>5508</v>
      </c>
      <c r="H691" s="4237">
        <v>620000101000341</v>
      </c>
      <c r="I691" s="4238" t="s">
        <v>4260</v>
      </c>
    </row>
    <row r="692" spans="1:9" ht="15">
      <c r="A692" s="4236" t="s">
        <v>5509</v>
      </c>
      <c r="B692" s="4236" t="s">
        <v>5510</v>
      </c>
      <c r="H692" s="4237">
        <v>620000202039001</v>
      </c>
      <c r="I692" s="4238" t="s">
        <v>5326</v>
      </c>
    </row>
    <row r="693" spans="1:9" ht="15">
      <c r="A693" s="4236" t="s">
        <v>5511</v>
      </c>
      <c r="B693" s="4236" t="s">
        <v>5512</v>
      </c>
      <c r="H693" s="4237">
        <v>620000202069001</v>
      </c>
      <c r="I693" s="4238" t="s">
        <v>5326</v>
      </c>
    </row>
    <row r="694" spans="1:9" ht="15">
      <c r="A694" s="4236" t="s">
        <v>5513</v>
      </c>
      <c r="B694" s="4236" t="s">
        <v>5514</v>
      </c>
      <c r="H694" s="4237">
        <v>620000202087001</v>
      </c>
      <c r="I694" s="4238" t="s">
        <v>5326</v>
      </c>
    </row>
    <row r="695" spans="1:9" ht="15">
      <c r="A695" s="4236" t="s">
        <v>5515</v>
      </c>
      <c r="B695" s="4236" t="s">
        <v>5516</v>
      </c>
      <c r="H695" s="4237">
        <v>620000202261200</v>
      </c>
      <c r="I695" s="4238" t="s">
        <v>5326</v>
      </c>
    </row>
    <row r="696" spans="1:9" ht="15">
      <c r="A696" s="4236" t="s">
        <v>2108</v>
      </c>
      <c r="B696" s="4236" t="s">
        <v>5517</v>
      </c>
      <c r="H696" s="4237">
        <v>620000202261205</v>
      </c>
      <c r="I696" s="4238" t="s">
        <v>5326</v>
      </c>
    </row>
    <row r="697" spans="1:9" ht="15">
      <c r="A697" s="4236" t="s">
        <v>5518</v>
      </c>
      <c r="B697" s="4236" t="s">
        <v>5519</v>
      </c>
      <c r="H697" s="4237">
        <v>620000202261211</v>
      </c>
      <c r="I697" s="4238" t="s">
        <v>5326</v>
      </c>
    </row>
    <row r="698" spans="1:9" ht="15">
      <c r="A698" s="4236" t="s">
        <v>5520</v>
      </c>
      <c r="B698" s="4236" t="s">
        <v>5521</v>
      </c>
      <c r="H698" s="4237">
        <v>620000202261212</v>
      </c>
      <c r="I698" s="4238" t="s">
        <v>5326</v>
      </c>
    </row>
    <row r="699" spans="1:9" ht="15">
      <c r="A699" s="4236" t="s">
        <v>5522</v>
      </c>
      <c r="B699" s="4236" t="s">
        <v>5523</v>
      </c>
      <c r="H699" s="4237">
        <v>620000202261213</v>
      </c>
      <c r="I699" s="4238" t="s">
        <v>5326</v>
      </c>
    </row>
    <row r="700" spans="1:9" ht="15">
      <c r="A700" s="4236" t="s">
        <v>5524</v>
      </c>
      <c r="B700" s="4236" t="s">
        <v>5525</v>
      </c>
      <c r="H700" s="4237">
        <v>620000202261214</v>
      </c>
      <c r="I700" s="4238" t="s">
        <v>5326</v>
      </c>
    </row>
    <row r="701" spans="1:9" ht="15">
      <c r="A701" s="4236" t="s">
        <v>5526</v>
      </c>
      <c r="B701" s="4236" t="s">
        <v>5527</v>
      </c>
      <c r="H701" s="4237">
        <v>620000202261215</v>
      </c>
      <c r="I701" s="4238" t="s">
        <v>5326</v>
      </c>
    </row>
    <row r="702" spans="1:9" ht="15">
      <c r="A702" s="4236" t="s">
        <v>5528</v>
      </c>
      <c r="B702" s="4236" t="s">
        <v>5529</v>
      </c>
      <c r="H702" s="4237">
        <v>620000202261221</v>
      </c>
      <c r="I702" s="4238" t="s">
        <v>5326</v>
      </c>
    </row>
    <row r="703" spans="1:9" ht="15">
      <c r="A703" s="4236" t="s">
        <v>5530</v>
      </c>
      <c r="B703" s="4236" t="s">
        <v>5531</v>
      </c>
      <c r="H703" s="4237">
        <v>620000202261250</v>
      </c>
      <c r="I703" s="4238" t="s">
        <v>5326</v>
      </c>
    </row>
    <row r="704" spans="1:9" ht="15">
      <c r="A704" s="4236" t="s">
        <v>5532</v>
      </c>
      <c r="B704" s="4236" t="s">
        <v>5533</v>
      </c>
      <c r="H704" s="4237">
        <v>620000202719001</v>
      </c>
      <c r="I704" s="4238" t="s">
        <v>4936</v>
      </c>
    </row>
    <row r="705" spans="1:9" ht="15">
      <c r="A705" s="4236" t="s">
        <v>5534</v>
      </c>
      <c r="B705" s="4236" t="s">
        <v>5535</v>
      </c>
      <c r="H705" s="4237">
        <v>620000202719002</v>
      </c>
      <c r="I705" s="4238" t="s">
        <v>4936</v>
      </c>
    </row>
    <row r="706" spans="1:9" ht="15">
      <c r="A706" s="4236" t="s">
        <v>5536</v>
      </c>
      <c r="B706" s="4236" t="s">
        <v>5537</v>
      </c>
      <c r="H706" s="4237">
        <v>620000208000610</v>
      </c>
      <c r="I706" s="4238" t="s">
        <v>5326</v>
      </c>
    </row>
    <row r="707" spans="1:9" ht="15">
      <c r="A707" s="4236" t="s">
        <v>5538</v>
      </c>
      <c r="B707" s="4236" t="s">
        <v>5539</v>
      </c>
      <c r="H707" s="4237">
        <v>620000508000700</v>
      </c>
      <c r="I707" s="4238" t="s">
        <v>4277</v>
      </c>
    </row>
    <row r="708" spans="1:9" ht="15">
      <c r="A708" s="4236" t="s">
        <v>5540</v>
      </c>
      <c r="B708" s="4236" t="s">
        <v>2623</v>
      </c>
      <c r="H708" s="4237">
        <v>620000508000701</v>
      </c>
      <c r="I708" s="4238" t="s">
        <v>4277</v>
      </c>
    </row>
    <row r="709" spans="1:9" ht="15">
      <c r="A709" s="4236" t="s">
        <v>5541</v>
      </c>
      <c r="B709" s="4236" t="s">
        <v>5542</v>
      </c>
      <c r="H709" s="4237">
        <v>620000508000702</v>
      </c>
      <c r="I709" s="4238" t="s">
        <v>4277</v>
      </c>
    </row>
    <row r="710" spans="1:9" ht="15">
      <c r="A710" s="4236" t="s">
        <v>5543</v>
      </c>
      <c r="B710" s="4236" t="s">
        <v>4323</v>
      </c>
      <c r="H710" s="4237">
        <v>620000508000703</v>
      </c>
      <c r="I710" s="4238" t="s">
        <v>4277</v>
      </c>
    </row>
    <row r="711" spans="1:9" ht="15">
      <c r="A711" s="4236" t="s">
        <v>5544</v>
      </c>
      <c r="B711" s="4236" t="s">
        <v>5545</v>
      </c>
      <c r="H711" s="4237">
        <v>620000809000062</v>
      </c>
      <c r="I711" s="4238" t="s">
        <v>4284</v>
      </c>
    </row>
    <row r="712" spans="1:9" ht="15">
      <c r="A712" s="4236" t="s">
        <v>5546</v>
      </c>
      <c r="B712" s="4236" t="s">
        <v>5547</v>
      </c>
      <c r="H712" s="4237">
        <v>620000809039001</v>
      </c>
      <c r="I712" s="4238" t="s">
        <v>4284</v>
      </c>
    </row>
    <row r="713" spans="1:9" ht="15">
      <c r="A713" s="4236" t="s">
        <v>5548</v>
      </c>
      <c r="B713" s="4236" t="s">
        <v>5549</v>
      </c>
      <c r="H713" s="4237">
        <v>620000809039002</v>
      </c>
      <c r="I713" s="4238" t="s">
        <v>4284</v>
      </c>
    </row>
    <row r="714" spans="1:9" ht="15">
      <c r="A714" s="4236" t="s">
        <v>5550</v>
      </c>
      <c r="B714" s="4236" t="s">
        <v>5551</v>
      </c>
      <c r="H714" s="4237">
        <v>640000101000319</v>
      </c>
      <c r="I714" s="4238" t="s">
        <v>4260</v>
      </c>
    </row>
    <row r="715" spans="1:9" ht="15">
      <c r="A715" s="4236" t="s">
        <v>5552</v>
      </c>
      <c r="B715" s="4236" t="s">
        <v>5553</v>
      </c>
      <c r="H715" s="4237">
        <v>640000102021033</v>
      </c>
      <c r="I715" s="4238" t="s">
        <v>5411</v>
      </c>
    </row>
    <row r="716" spans="1:9" ht="15">
      <c r="A716" s="4236" t="s">
        <v>5554</v>
      </c>
      <c r="B716" s="4236" t="s">
        <v>5555</v>
      </c>
      <c r="H716" s="4237">
        <v>640000102516004</v>
      </c>
      <c r="I716" s="4238" t="s">
        <v>5411</v>
      </c>
    </row>
    <row r="717" spans="1:9" ht="15">
      <c r="A717" s="4236" t="s">
        <v>5556</v>
      </c>
      <c r="B717" s="4236" t="s">
        <v>5557</v>
      </c>
      <c r="H717" s="4237">
        <v>640000102639008</v>
      </c>
      <c r="I717" s="4238" t="s">
        <v>5411</v>
      </c>
    </row>
    <row r="718" spans="1:9" ht="15">
      <c r="A718" s="4236" t="s">
        <v>5558</v>
      </c>
      <c r="B718" s="4236" t="s">
        <v>5559</v>
      </c>
      <c r="H718" s="4237">
        <v>640000202089001</v>
      </c>
      <c r="I718" s="4238" t="s">
        <v>5411</v>
      </c>
    </row>
    <row r="719" spans="1:9" ht="15">
      <c r="A719" s="4236" t="s">
        <v>5560</v>
      </c>
      <c r="B719" s="4236" t="s">
        <v>5561</v>
      </c>
      <c r="H719" s="4237">
        <v>640000202122001</v>
      </c>
      <c r="I719" s="4238" t="s">
        <v>5042</v>
      </c>
    </row>
    <row r="720" spans="1:9" ht="15">
      <c r="A720" s="4236" t="s">
        <v>5562</v>
      </c>
      <c r="B720" s="4236" t="s">
        <v>5563</v>
      </c>
      <c r="H720" s="4237">
        <v>640000202141001</v>
      </c>
      <c r="I720" s="4238" t="s">
        <v>5411</v>
      </c>
    </row>
    <row r="721" spans="1:9" ht="15">
      <c r="A721" s="4236" t="s">
        <v>5564</v>
      </c>
      <c r="B721" s="4236" t="s">
        <v>5565</v>
      </c>
      <c r="H721" s="4237">
        <v>640000202168001</v>
      </c>
      <c r="I721" s="4238" t="s">
        <v>5411</v>
      </c>
    </row>
    <row r="722" spans="1:9" ht="15">
      <c r="A722" s="4236" t="s">
        <v>5566</v>
      </c>
      <c r="B722" s="4236" t="s">
        <v>5567</v>
      </c>
      <c r="H722" s="4237">
        <v>640000202192002</v>
      </c>
      <c r="I722" s="4238" t="s">
        <v>5411</v>
      </c>
    </row>
    <row r="723" spans="1:9" ht="15">
      <c r="A723" s="4236" t="s">
        <v>5568</v>
      </c>
      <c r="B723" s="4236" t="s">
        <v>5569</v>
      </c>
      <c r="H723" s="4237">
        <v>640000202197001</v>
      </c>
      <c r="I723" s="4238" t="s">
        <v>5411</v>
      </c>
    </row>
    <row r="724" spans="1:9" ht="15">
      <c r="A724" s="4236" t="s">
        <v>5570</v>
      </c>
      <c r="B724" s="4236" t="s">
        <v>5571</v>
      </c>
      <c r="H724" s="4237">
        <v>640000202245001</v>
      </c>
      <c r="I724" s="4238" t="s">
        <v>5411</v>
      </c>
    </row>
    <row r="725" spans="1:9" ht="15">
      <c r="A725" s="4236" t="s">
        <v>2358</v>
      </c>
      <c r="B725" s="4236" t="s">
        <v>5572</v>
      </c>
      <c r="H725" s="4237">
        <v>640000202261009</v>
      </c>
      <c r="I725" s="4238" t="s">
        <v>5411</v>
      </c>
    </row>
    <row r="726" spans="1:9" ht="15">
      <c r="A726" s="4236" t="s">
        <v>5573</v>
      </c>
      <c r="B726" s="4236" t="s">
        <v>5574</v>
      </c>
      <c r="H726" s="4237">
        <v>640000202261010</v>
      </c>
      <c r="I726" s="4238" t="s">
        <v>5411</v>
      </c>
    </row>
    <row r="727" spans="1:9" ht="15">
      <c r="A727" s="4236" t="s">
        <v>5575</v>
      </c>
      <c r="B727" s="4236" t="s">
        <v>5576</v>
      </c>
      <c r="H727" s="4237">
        <v>640000202339060</v>
      </c>
      <c r="I727" s="4238" t="s">
        <v>5411</v>
      </c>
    </row>
    <row r="728" spans="1:9" ht="15">
      <c r="A728" s="4236" t="s">
        <v>5577</v>
      </c>
      <c r="B728" s="4236" t="s">
        <v>5578</v>
      </c>
      <c r="H728" s="4237">
        <v>640000202390001</v>
      </c>
      <c r="I728" s="4238" t="s">
        <v>5411</v>
      </c>
    </row>
    <row r="729" spans="1:9" ht="15">
      <c r="A729" s="4236" t="s">
        <v>5579</v>
      </c>
      <c r="B729" s="4236" t="s">
        <v>5580</v>
      </c>
      <c r="H729" s="4237">
        <v>640000202475004</v>
      </c>
      <c r="I729" s="4238" t="s">
        <v>5411</v>
      </c>
    </row>
    <row r="730" spans="1:9" ht="15">
      <c r="A730" s="4236" t="s">
        <v>5581</v>
      </c>
      <c r="B730" s="4236" t="s">
        <v>5582</v>
      </c>
      <c r="H730" s="4237">
        <v>640000202531003</v>
      </c>
      <c r="I730" s="4238" t="s">
        <v>5411</v>
      </c>
    </row>
    <row r="731" spans="1:9" ht="15">
      <c r="A731" s="4236" t="s">
        <v>5583</v>
      </c>
      <c r="B731" s="4236" t="s">
        <v>5584</v>
      </c>
      <c r="H731" s="4237">
        <v>640000202539002</v>
      </c>
      <c r="I731" s="4238" t="s">
        <v>5411</v>
      </c>
    </row>
    <row r="732" spans="1:9" ht="15">
      <c r="A732" s="4236" t="s">
        <v>5585</v>
      </c>
      <c r="B732" s="4236" t="s">
        <v>5586</v>
      </c>
      <c r="H732" s="4237">
        <v>640000202569004</v>
      </c>
      <c r="I732" s="4238" t="s">
        <v>5411</v>
      </c>
    </row>
    <row r="733" spans="1:9" ht="15">
      <c r="A733" s="4236" t="s">
        <v>5587</v>
      </c>
      <c r="B733" s="4236" t="s">
        <v>5586</v>
      </c>
      <c r="H733" s="4237">
        <v>640000202738002</v>
      </c>
      <c r="I733" s="4238" t="s">
        <v>5411</v>
      </c>
    </row>
    <row r="734" spans="1:9" ht="15">
      <c r="A734" s="4236" t="s">
        <v>5588</v>
      </c>
      <c r="B734" s="4236" t="s">
        <v>5589</v>
      </c>
      <c r="H734" s="4237">
        <v>640000208300001</v>
      </c>
      <c r="I734" s="4238" t="s">
        <v>5411</v>
      </c>
    </row>
    <row r="735" spans="1:9" ht="15">
      <c r="A735" s="4236" t="s">
        <v>5590</v>
      </c>
      <c r="B735" s="4236" t="s">
        <v>5591</v>
      </c>
      <c r="H735" s="4237">
        <v>640000208306001</v>
      </c>
      <c r="I735" s="4238" t="s">
        <v>5411</v>
      </c>
    </row>
    <row r="736" spans="1:9" ht="15">
      <c r="A736" s="4236" t="s">
        <v>5592</v>
      </c>
      <c r="B736" s="4236" t="s">
        <v>5593</v>
      </c>
      <c r="H736" s="4237">
        <v>640000208317001</v>
      </c>
      <c r="I736" s="4238" t="s">
        <v>5411</v>
      </c>
    </row>
    <row r="737" spans="1:9" ht="15">
      <c r="A737" s="4236" t="s">
        <v>5594</v>
      </c>
      <c r="B737" s="4236" t="s">
        <v>5595</v>
      </c>
      <c r="H737" s="4237">
        <v>640000208326001</v>
      </c>
      <c r="I737" s="4238" t="s">
        <v>5411</v>
      </c>
    </row>
    <row r="738" spans="1:9" ht="15">
      <c r="A738" s="4236" t="s">
        <v>5596</v>
      </c>
      <c r="B738" s="4236" t="s">
        <v>5597</v>
      </c>
      <c r="H738" s="4237">
        <v>640000208348001</v>
      </c>
      <c r="I738" s="4238" t="s">
        <v>5411</v>
      </c>
    </row>
    <row r="739" spans="1:9" ht="15">
      <c r="A739" s="4236" t="s">
        <v>5598</v>
      </c>
      <c r="B739" s="4236" t="s">
        <v>5599</v>
      </c>
      <c r="H739" s="4237">
        <v>640000208354001</v>
      </c>
      <c r="I739" s="4238" t="s">
        <v>5411</v>
      </c>
    </row>
    <row r="740" spans="1:9" ht="15">
      <c r="A740" s="4236" t="s">
        <v>5600</v>
      </c>
      <c r="B740" s="4236" t="s">
        <v>5601</v>
      </c>
      <c r="H740" s="4237">
        <v>640000208356001</v>
      </c>
      <c r="I740" s="4238" t="s">
        <v>5411</v>
      </c>
    </row>
    <row r="741" spans="1:9" ht="15">
      <c r="A741" s="4236" t="s">
        <v>5602</v>
      </c>
      <c r="B741" s="4236" t="s">
        <v>5603</v>
      </c>
      <c r="H741" s="4237">
        <v>640000208359001</v>
      </c>
      <c r="I741" s="4238" t="s">
        <v>5411</v>
      </c>
    </row>
    <row r="742" spans="1:9" ht="15">
      <c r="A742" s="4236" t="s">
        <v>5604</v>
      </c>
      <c r="B742" s="4236" t="s">
        <v>5605</v>
      </c>
      <c r="H742" s="4237">
        <v>640000208363001</v>
      </c>
      <c r="I742" s="4238" t="s">
        <v>5411</v>
      </c>
    </row>
    <row r="743" spans="1:9" ht="15">
      <c r="A743" s="4236" t="s">
        <v>5606</v>
      </c>
      <c r="B743" s="4236" t="s">
        <v>5607</v>
      </c>
      <c r="H743" s="4237">
        <v>640000208370001</v>
      </c>
      <c r="I743" s="4238" t="s">
        <v>5411</v>
      </c>
    </row>
    <row r="744" spans="1:9" ht="15">
      <c r="A744" s="4236" t="s">
        <v>5608</v>
      </c>
      <c r="B744" s="4236" t="s">
        <v>5609</v>
      </c>
      <c r="H744" s="4237">
        <v>640000301000319</v>
      </c>
      <c r="I744" s="4238" t="s">
        <v>5610</v>
      </c>
    </row>
    <row r="745" spans="1:9" ht="15">
      <c r="A745" s="4236" t="s">
        <v>2132</v>
      </c>
      <c r="B745" s="4236" t="s">
        <v>5611</v>
      </c>
      <c r="H745" s="4237">
        <v>640000302021033</v>
      </c>
      <c r="I745" s="4238" t="s">
        <v>5411</v>
      </c>
    </row>
    <row r="746" spans="1:9" ht="15">
      <c r="A746" s="4236" t="s">
        <v>2135</v>
      </c>
      <c r="B746" s="4236" t="s">
        <v>5612</v>
      </c>
      <c r="H746" s="4237">
        <v>640000302122001</v>
      </c>
      <c r="I746" s="4238" t="s">
        <v>5042</v>
      </c>
    </row>
    <row r="747" spans="1:9" ht="15">
      <c r="A747" s="4236" t="s">
        <v>5613</v>
      </c>
      <c r="B747" s="4236" t="s">
        <v>5614</v>
      </c>
      <c r="H747" s="4237">
        <v>640000302141001</v>
      </c>
      <c r="I747" s="4238" t="s">
        <v>5411</v>
      </c>
    </row>
    <row r="748" spans="1:9" ht="15">
      <c r="A748" s="4236" t="s">
        <v>5615</v>
      </c>
      <c r="B748" s="4236" t="s">
        <v>5616</v>
      </c>
      <c r="H748" s="4237">
        <v>640000302531003</v>
      </c>
      <c r="I748" s="4238" t="s">
        <v>5411</v>
      </c>
    </row>
    <row r="749" spans="1:9" ht="15">
      <c r="A749" s="4236" t="s">
        <v>5617</v>
      </c>
      <c r="B749" s="4236" t="s">
        <v>5618</v>
      </c>
      <c r="H749" s="4237">
        <v>640000302569004</v>
      </c>
      <c r="I749" s="4238" t="s">
        <v>5411</v>
      </c>
    </row>
    <row r="750" spans="1:9" ht="15">
      <c r="A750" s="4236" t="s">
        <v>5619</v>
      </c>
      <c r="B750" s="4236" t="s">
        <v>5620</v>
      </c>
      <c r="H750" s="4237">
        <v>640000502352001</v>
      </c>
      <c r="I750" s="4238" t="s">
        <v>4277</v>
      </c>
    </row>
    <row r="751" spans="1:9" ht="15">
      <c r="A751" s="4236" t="s">
        <v>5621</v>
      </c>
      <c r="B751" s="4236" t="s">
        <v>5622</v>
      </c>
      <c r="H751" s="4237">
        <v>640000748100001</v>
      </c>
      <c r="I751" s="4238" t="s">
        <v>4260</v>
      </c>
    </row>
    <row r="752" spans="1:9" ht="15">
      <c r="A752" s="4236" t="s">
        <v>5623</v>
      </c>
      <c r="B752" s="4236" t="s">
        <v>5624</v>
      </c>
      <c r="H752" s="4237">
        <v>640000748101001</v>
      </c>
      <c r="I752" s="4238" t="s">
        <v>4260</v>
      </c>
    </row>
    <row r="753" spans="1:9" ht="15">
      <c r="A753" s="4236" t="s">
        <v>5625</v>
      </c>
      <c r="B753" s="4236" t="s">
        <v>5626</v>
      </c>
      <c r="H753" s="4237">
        <v>640000748105001</v>
      </c>
      <c r="I753" s="4238" t="s">
        <v>4260</v>
      </c>
    </row>
    <row r="754" spans="1:9" ht="15">
      <c r="A754" s="4236" t="s">
        <v>5627</v>
      </c>
      <c r="B754" s="4236" t="s">
        <v>5628</v>
      </c>
      <c r="H754" s="4237">
        <v>640000748106001</v>
      </c>
      <c r="I754" s="4238" t="s">
        <v>4260</v>
      </c>
    </row>
    <row r="755" spans="1:9" ht="15">
      <c r="A755" s="4236" t="s">
        <v>5629</v>
      </c>
      <c r="B755" s="4236" t="s">
        <v>5630</v>
      </c>
      <c r="H755" s="4237">
        <v>640000748110001</v>
      </c>
      <c r="I755" s="4238" t="s">
        <v>4260</v>
      </c>
    </row>
    <row r="756" spans="1:9" ht="15">
      <c r="A756" s="4236" t="s">
        <v>5631</v>
      </c>
      <c r="B756" s="4236" t="s">
        <v>5632</v>
      </c>
      <c r="H756" s="4237">
        <v>640000748111001</v>
      </c>
      <c r="I756" s="4238" t="s">
        <v>4260</v>
      </c>
    </row>
    <row r="757" spans="1:9" ht="15">
      <c r="A757" s="4236" t="s">
        <v>5633</v>
      </c>
      <c r="B757" s="4236" t="s">
        <v>5634</v>
      </c>
      <c r="H757" s="4237">
        <v>640000748113001</v>
      </c>
      <c r="I757" s="4238" t="s">
        <v>4260</v>
      </c>
    </row>
    <row r="758" spans="1:9" ht="15">
      <c r="A758" s="4236" t="s">
        <v>5635</v>
      </c>
      <c r="B758" s="4236" t="s">
        <v>5636</v>
      </c>
      <c r="H758" s="4237">
        <v>640000748114001</v>
      </c>
      <c r="I758" s="4238" t="s">
        <v>4260</v>
      </c>
    </row>
    <row r="759" spans="1:9" ht="15">
      <c r="A759" s="4236" t="s">
        <v>5637</v>
      </c>
      <c r="B759" s="4236" t="s">
        <v>5638</v>
      </c>
      <c r="H759" s="4237">
        <v>640000748117001</v>
      </c>
      <c r="I759" s="4238" t="s">
        <v>4260</v>
      </c>
    </row>
    <row r="760" spans="1:9" ht="15">
      <c r="A760" s="4236" t="s">
        <v>5639</v>
      </c>
      <c r="B760" s="4236" t="s">
        <v>5640</v>
      </c>
      <c r="H760" s="4237">
        <v>640000748129001</v>
      </c>
      <c r="I760" s="4238" t="s">
        <v>4260</v>
      </c>
    </row>
    <row r="761" spans="1:9" ht="15">
      <c r="A761" s="4236" t="s">
        <v>5641</v>
      </c>
      <c r="B761" s="4236" t="s">
        <v>5642</v>
      </c>
      <c r="H761" s="4237">
        <v>640000748136001</v>
      </c>
      <c r="I761" s="4238" t="s">
        <v>4260</v>
      </c>
    </row>
    <row r="762" spans="1:9" ht="15">
      <c r="A762" s="4236" t="s">
        <v>5643</v>
      </c>
      <c r="B762" s="4236" t="s">
        <v>5644</v>
      </c>
      <c r="H762" s="4237">
        <v>640000748142001</v>
      </c>
      <c r="I762" s="4238" t="s">
        <v>4260</v>
      </c>
    </row>
    <row r="763" spans="1:9" ht="15">
      <c r="A763" s="4236" t="s">
        <v>5645</v>
      </c>
      <c r="B763" s="4236" t="s">
        <v>5646</v>
      </c>
      <c r="H763" s="4237">
        <v>640000748143001</v>
      </c>
      <c r="I763" s="4238" t="s">
        <v>4260</v>
      </c>
    </row>
    <row r="764" spans="1:9" ht="15">
      <c r="A764" s="4236" t="s">
        <v>5647</v>
      </c>
      <c r="B764" s="4236" t="s">
        <v>5648</v>
      </c>
      <c r="H764" s="4237">
        <v>640000748144001</v>
      </c>
      <c r="I764" s="4238" t="s">
        <v>4260</v>
      </c>
    </row>
    <row r="765" spans="1:9" ht="15">
      <c r="A765" s="4236" t="s">
        <v>5649</v>
      </c>
      <c r="B765" s="4236" t="s">
        <v>5640</v>
      </c>
      <c r="H765" s="4237">
        <v>640000748148001</v>
      </c>
      <c r="I765" s="4238" t="s">
        <v>4260</v>
      </c>
    </row>
    <row r="766" spans="1:9" ht="15">
      <c r="A766" s="4236" t="s">
        <v>5650</v>
      </c>
      <c r="B766" s="4236" t="s">
        <v>5651</v>
      </c>
      <c r="H766" s="4237">
        <v>640000748149001</v>
      </c>
      <c r="I766" s="4238" t="s">
        <v>4260</v>
      </c>
    </row>
    <row r="767" spans="1:9" ht="15">
      <c r="A767" s="4236" t="s">
        <v>5652</v>
      </c>
      <c r="B767" s="4236" t="s">
        <v>5653</v>
      </c>
      <c r="H767" s="4237">
        <v>640000748150001</v>
      </c>
      <c r="I767" s="4238" t="s">
        <v>4260</v>
      </c>
    </row>
    <row r="768" spans="1:9" ht="15">
      <c r="A768" s="4236" t="s">
        <v>5654</v>
      </c>
      <c r="B768" s="4236" t="s">
        <v>5655</v>
      </c>
      <c r="H768" s="4237">
        <v>640000748151001</v>
      </c>
      <c r="I768" s="4238" t="s">
        <v>4260</v>
      </c>
    </row>
    <row r="769" spans="1:9" ht="15">
      <c r="A769" s="4236" t="s">
        <v>5656</v>
      </c>
      <c r="B769" s="4236" t="s">
        <v>5657</v>
      </c>
      <c r="H769" s="4237">
        <v>640000748152001</v>
      </c>
      <c r="I769" s="4238" t="s">
        <v>4260</v>
      </c>
    </row>
    <row r="770" spans="1:9" ht="15">
      <c r="A770" s="4236" t="s">
        <v>5658</v>
      </c>
      <c r="B770" s="4236" t="s">
        <v>5659</v>
      </c>
      <c r="H770" s="4237">
        <v>640000748153001</v>
      </c>
      <c r="I770" s="4238" t="s">
        <v>4260</v>
      </c>
    </row>
    <row r="771" spans="1:9" ht="15">
      <c r="A771" s="4236" t="s">
        <v>5660</v>
      </c>
      <c r="B771" s="4236" t="s">
        <v>5661</v>
      </c>
      <c r="H771" s="4237">
        <v>640000748158001</v>
      </c>
      <c r="I771" s="4238" t="s">
        <v>4260</v>
      </c>
    </row>
    <row r="772" spans="1:9" ht="15">
      <c r="A772" s="4236" t="s">
        <v>5662</v>
      </c>
      <c r="B772" s="4236" t="s">
        <v>5663</v>
      </c>
      <c r="H772" s="4237">
        <v>640000748470001</v>
      </c>
      <c r="I772" s="4238" t="s">
        <v>4957</v>
      </c>
    </row>
    <row r="773" spans="1:9" ht="15">
      <c r="A773" s="4236" t="s">
        <v>5664</v>
      </c>
      <c r="B773" s="4236" t="s">
        <v>5665</v>
      </c>
      <c r="H773" s="4237">
        <v>640000809641111</v>
      </c>
      <c r="I773" s="4238" t="s">
        <v>4284</v>
      </c>
    </row>
    <row r="774" spans="1:9" ht="15">
      <c r="A774" s="4236" t="s">
        <v>5666</v>
      </c>
      <c r="B774" s="4236" t="s">
        <v>5667</v>
      </c>
      <c r="H774" s="4237">
        <v>650000101000503</v>
      </c>
      <c r="I774" s="4238" t="s">
        <v>4260</v>
      </c>
    </row>
    <row r="775" spans="1:9" ht="15">
      <c r="A775" s="4236" t="s">
        <v>5668</v>
      </c>
      <c r="B775" s="4236" t="s">
        <v>5669</v>
      </c>
      <c r="H775" s="4237">
        <v>650000202021039</v>
      </c>
      <c r="I775" s="4238" t="s">
        <v>5411</v>
      </c>
    </row>
    <row r="776" spans="1:9" ht="15">
      <c r="A776" s="4236" t="s">
        <v>2138</v>
      </c>
      <c r="B776" s="4236" t="s">
        <v>5670</v>
      </c>
      <c r="H776" s="4237">
        <v>650000202261001</v>
      </c>
      <c r="I776" s="4238" t="s">
        <v>5411</v>
      </c>
    </row>
    <row r="777" spans="1:9" ht="15">
      <c r="A777" s="4236" t="s">
        <v>5671</v>
      </c>
      <c r="B777" s="4236" t="s">
        <v>5672</v>
      </c>
      <c r="H777" s="4237">
        <v>650000202339118</v>
      </c>
      <c r="I777" s="4238" t="s">
        <v>5411</v>
      </c>
    </row>
    <row r="778" spans="1:9" ht="15">
      <c r="A778" s="4236" t="s">
        <v>5673</v>
      </c>
      <c r="B778" s="4236" t="s">
        <v>5674</v>
      </c>
      <c r="H778" s="4237">
        <v>650000202516011</v>
      </c>
      <c r="I778" s="4238" t="s">
        <v>5411</v>
      </c>
    </row>
    <row r="779" spans="1:9" ht="15">
      <c r="A779" s="4236" t="s">
        <v>5675</v>
      </c>
      <c r="B779" s="4236" t="s">
        <v>5676</v>
      </c>
      <c r="H779" s="4237">
        <v>650000809000001</v>
      </c>
      <c r="I779" s="4238" t="s">
        <v>4284</v>
      </c>
    </row>
    <row r="780" spans="1:9" ht="15">
      <c r="A780" s="4236" t="s">
        <v>5677</v>
      </c>
      <c r="B780" s="4236" t="s">
        <v>5678</v>
      </c>
      <c r="H780" s="4237">
        <v>670000101000328</v>
      </c>
      <c r="I780" s="4238" t="s">
        <v>4260</v>
      </c>
    </row>
    <row r="781" spans="1:9" ht="15">
      <c r="A781" s="4236" t="s">
        <v>5679</v>
      </c>
      <c r="B781" s="4236" t="s">
        <v>5680</v>
      </c>
      <c r="H781" s="4237">
        <v>670000202021017</v>
      </c>
      <c r="I781" s="4238" t="s">
        <v>5411</v>
      </c>
    </row>
    <row r="782" spans="1:9" ht="15">
      <c r="A782" s="4236" t="s">
        <v>5681</v>
      </c>
      <c r="B782" s="4236" t="s">
        <v>5682</v>
      </c>
      <c r="H782" s="4237">
        <v>670000202261025</v>
      </c>
      <c r="I782" s="4238" t="s">
        <v>5411</v>
      </c>
    </row>
    <row r="783" spans="1:9" ht="15">
      <c r="A783" s="4236" t="s">
        <v>5683</v>
      </c>
      <c r="B783" s="4236" t="s">
        <v>5684</v>
      </c>
      <c r="H783" s="4237">
        <v>670000202516013</v>
      </c>
      <c r="I783" s="4238" t="s">
        <v>5411</v>
      </c>
    </row>
    <row r="784" spans="1:9" ht="15">
      <c r="A784" s="4236" t="s">
        <v>5685</v>
      </c>
      <c r="B784" s="4236" t="s">
        <v>5686</v>
      </c>
      <c r="H784" s="4237">
        <v>670000202639027</v>
      </c>
      <c r="I784" s="4238" t="s">
        <v>5411</v>
      </c>
    </row>
    <row r="785" spans="1:9" ht="15">
      <c r="A785" s="4236" t="s">
        <v>5687</v>
      </c>
      <c r="B785" s="4236" t="s">
        <v>5688</v>
      </c>
      <c r="H785" s="4237">
        <v>670000208622701</v>
      </c>
      <c r="I785" s="4238" t="s">
        <v>5411</v>
      </c>
    </row>
    <row r="786" spans="1:9" ht="15">
      <c r="A786" s="4236" t="s">
        <v>5689</v>
      </c>
      <c r="B786" s="4236" t="s">
        <v>5690</v>
      </c>
      <c r="H786" s="4237">
        <v>670000208652701</v>
      </c>
      <c r="I786" s="4238" t="s">
        <v>5411</v>
      </c>
    </row>
    <row r="787" spans="1:9" ht="15">
      <c r="A787" s="4236" t="s">
        <v>5691</v>
      </c>
      <c r="B787" s="4236" t="s">
        <v>5692</v>
      </c>
      <c r="H787" s="4237">
        <v>670000748006001</v>
      </c>
      <c r="I787" s="4238" t="s">
        <v>4260</v>
      </c>
    </row>
    <row r="788" spans="1:9" ht="15">
      <c r="A788" s="4236" t="s">
        <v>5693</v>
      </c>
      <c r="B788" s="4236" t="s">
        <v>5694</v>
      </c>
      <c r="H788" s="4237">
        <v>670000748110002</v>
      </c>
      <c r="I788" s="4238" t="s">
        <v>4260</v>
      </c>
    </row>
    <row r="789" spans="1:9" ht="15">
      <c r="A789" s="4236" t="s">
        <v>5695</v>
      </c>
      <c r="B789" s="4236" t="s">
        <v>5696</v>
      </c>
      <c r="H789" s="4237">
        <v>670000748110006</v>
      </c>
      <c r="I789" s="4238" t="s">
        <v>4260</v>
      </c>
    </row>
    <row r="790" spans="1:9" ht="15">
      <c r="A790" s="4236" t="s">
        <v>5697</v>
      </c>
      <c r="B790" s="4236" t="s">
        <v>5698</v>
      </c>
      <c r="H790" s="4237">
        <v>670000748621101</v>
      </c>
      <c r="I790" s="4238" t="s">
        <v>4957</v>
      </c>
    </row>
    <row r="791" spans="1:9" ht="15">
      <c r="A791" s="4236" t="s">
        <v>5699</v>
      </c>
      <c r="B791" s="4236" t="s">
        <v>5700</v>
      </c>
      <c r="H791" s="4237">
        <v>670000748651101</v>
      </c>
      <c r="I791" s="4238" t="s">
        <v>4957</v>
      </c>
    </row>
    <row r="792" spans="1:9" ht="15">
      <c r="A792" s="4236" t="s">
        <v>5701</v>
      </c>
      <c r="B792" s="4236" t="s">
        <v>5702</v>
      </c>
      <c r="H792" s="4237">
        <v>670000748651102</v>
      </c>
      <c r="I792" s="4238" t="s">
        <v>4957</v>
      </c>
    </row>
    <row r="793" spans="1:9" ht="15">
      <c r="A793" s="4236" t="s">
        <v>5703</v>
      </c>
      <c r="B793" s="4236" t="s">
        <v>5704</v>
      </c>
      <c r="H793" s="4237">
        <v>670000809130012</v>
      </c>
      <c r="I793" s="4238" t="s">
        <v>4284</v>
      </c>
    </row>
    <row r="794" spans="1:9" ht="15">
      <c r="A794" s="4236" t="s">
        <v>5705</v>
      </c>
      <c r="B794" s="4236" t="s">
        <v>5589</v>
      </c>
      <c r="H794" s="4237">
        <v>680000101000298</v>
      </c>
      <c r="I794" s="4238" t="s">
        <v>4260</v>
      </c>
    </row>
    <row r="795" spans="1:9" ht="15">
      <c r="A795" s="4236" t="s">
        <v>5706</v>
      </c>
      <c r="B795" s="4236" t="s">
        <v>5707</v>
      </c>
      <c r="H795" s="4237">
        <v>680000158100031</v>
      </c>
      <c r="I795" s="4238" t="s">
        <v>4873</v>
      </c>
    </row>
    <row r="796" spans="1:9" ht="15">
      <c r="A796" s="4236" t="s">
        <v>5708</v>
      </c>
      <c r="B796" s="4236" t="s">
        <v>5709</v>
      </c>
      <c r="H796" s="4237">
        <v>680000202003001</v>
      </c>
      <c r="I796" s="4238" t="s">
        <v>5411</v>
      </c>
    </row>
    <row r="797" spans="1:9" ht="15">
      <c r="A797" s="4236" t="s">
        <v>5710</v>
      </c>
      <c r="B797" s="4236" t="s">
        <v>5711</v>
      </c>
      <c r="H797" s="4237">
        <v>680000202021010</v>
      </c>
      <c r="I797" s="4238" t="s">
        <v>5411</v>
      </c>
    </row>
    <row r="798" spans="1:9" ht="15">
      <c r="A798" s="4236" t="s">
        <v>5712</v>
      </c>
      <c r="B798" s="4236" t="s">
        <v>5713</v>
      </c>
      <c r="H798" s="4237">
        <v>680000202126001</v>
      </c>
      <c r="I798" s="4238" t="s">
        <v>5411</v>
      </c>
    </row>
    <row r="799" spans="1:9" ht="15">
      <c r="A799" s="4236" t="s">
        <v>5714</v>
      </c>
      <c r="B799" s="4236" t="s">
        <v>5584</v>
      </c>
      <c r="H799" s="4237">
        <v>680000202339094</v>
      </c>
      <c r="I799" s="4238" t="s">
        <v>5411</v>
      </c>
    </row>
    <row r="800" spans="1:9" ht="15">
      <c r="A800" s="4236" t="s">
        <v>2368</v>
      </c>
      <c r="B800" s="4236" t="s">
        <v>5609</v>
      </c>
      <c r="H800" s="4237">
        <v>680000202474001</v>
      </c>
      <c r="I800" s="4238" t="s">
        <v>5411</v>
      </c>
    </row>
    <row r="801" spans="1:9" ht="15">
      <c r="A801" s="4236" t="s">
        <v>2144</v>
      </c>
      <c r="B801" s="4236" t="s">
        <v>5611</v>
      </c>
      <c r="H801" s="4237">
        <v>680000202565006</v>
      </c>
      <c r="I801" s="4238" t="s">
        <v>5411</v>
      </c>
    </row>
    <row r="802" spans="1:9" ht="15">
      <c r="A802" s="4236" t="s">
        <v>2369</v>
      </c>
      <c r="B802" s="4236" t="s">
        <v>2871</v>
      </c>
      <c r="H802" s="4237">
        <v>680000202579001</v>
      </c>
      <c r="I802" s="4238" t="s">
        <v>5411</v>
      </c>
    </row>
    <row r="803" spans="1:9" ht="15">
      <c r="A803" s="4236" t="s">
        <v>5715</v>
      </c>
      <c r="B803" s="4236" t="s">
        <v>5716</v>
      </c>
      <c r="H803" s="4237">
        <v>680000748680001</v>
      </c>
      <c r="I803" s="4238" t="s">
        <v>5411</v>
      </c>
    </row>
    <row r="804" spans="1:9" ht="15">
      <c r="A804" s="4236" t="s">
        <v>5717</v>
      </c>
      <c r="B804" s="4236" t="s">
        <v>5718</v>
      </c>
      <c r="H804" s="4237">
        <v>680000809003001</v>
      </c>
      <c r="I804" s="4238" t="s">
        <v>4284</v>
      </c>
    </row>
    <row r="805" spans="1:9" ht="15">
      <c r="A805" s="4236" t="s">
        <v>5719</v>
      </c>
      <c r="B805" s="4236" t="s">
        <v>5720</v>
      </c>
      <c r="H805" s="4237">
        <v>700000101000361</v>
      </c>
      <c r="I805" s="4238" t="s">
        <v>4260</v>
      </c>
    </row>
    <row r="806" spans="1:9" ht="15">
      <c r="A806" s="4236" t="s">
        <v>5721</v>
      </c>
      <c r="B806" s="4236" t="s">
        <v>5722</v>
      </c>
      <c r="H806" s="4237">
        <v>700000101000364</v>
      </c>
      <c r="I806" s="4238" t="s">
        <v>4260</v>
      </c>
    </row>
    <row r="807" spans="1:9" ht="15">
      <c r="A807" s="4236" t="s">
        <v>5723</v>
      </c>
      <c r="B807" s="4236" t="s">
        <v>5724</v>
      </c>
      <c r="H807" s="4237">
        <v>700000101000365</v>
      </c>
      <c r="I807" s="4238" t="s">
        <v>4260</v>
      </c>
    </row>
    <row r="808" spans="1:9" ht="15">
      <c r="A808" s="4236" t="s">
        <v>5725</v>
      </c>
      <c r="B808" s="4236" t="s">
        <v>5726</v>
      </c>
      <c r="H808" s="4237">
        <v>700000101000908</v>
      </c>
      <c r="I808" s="4238" t="s">
        <v>4260</v>
      </c>
    </row>
    <row r="809" spans="1:9" ht="15">
      <c r="A809" s="4236" t="s">
        <v>5727</v>
      </c>
      <c r="B809" s="4236" t="s">
        <v>5728</v>
      </c>
      <c r="H809" s="4237">
        <v>700000101000935</v>
      </c>
      <c r="I809" s="4238" t="s">
        <v>4260</v>
      </c>
    </row>
    <row r="810" spans="1:9" ht="15">
      <c r="A810" s="4236" t="s">
        <v>5729</v>
      </c>
      <c r="B810" s="4236" t="s">
        <v>5730</v>
      </c>
      <c r="H810" s="4237">
        <v>700000202021067</v>
      </c>
      <c r="I810" s="4238" t="s">
        <v>5731</v>
      </c>
    </row>
    <row r="811" spans="1:9" ht="15">
      <c r="A811" s="4236" t="s">
        <v>5732</v>
      </c>
      <c r="B811" s="4236" t="s">
        <v>5733</v>
      </c>
      <c r="H811" s="4237">
        <v>700000202148001</v>
      </c>
      <c r="I811" s="4238" t="s">
        <v>5731</v>
      </c>
    </row>
    <row r="812" spans="1:9" ht="15">
      <c r="A812" s="4236" t="s">
        <v>5734</v>
      </c>
      <c r="B812" s="4236" t="s">
        <v>5735</v>
      </c>
      <c r="H812" s="4237">
        <v>700000202261027</v>
      </c>
      <c r="I812" s="4238" t="s">
        <v>5731</v>
      </c>
    </row>
    <row r="813" spans="1:9" ht="15">
      <c r="A813" s="4236" t="s">
        <v>5736</v>
      </c>
      <c r="B813" s="4236" t="s">
        <v>5424</v>
      </c>
      <c r="H813" s="4237">
        <v>700000202339063</v>
      </c>
      <c r="I813" s="4238" t="s">
        <v>5731</v>
      </c>
    </row>
    <row r="814" spans="1:9" ht="15">
      <c r="A814" s="4236" t="s">
        <v>5737</v>
      </c>
      <c r="B814" s="4236" t="s">
        <v>5738</v>
      </c>
      <c r="H814" s="4237">
        <v>700000202606001</v>
      </c>
      <c r="I814" s="4238" t="s">
        <v>5731</v>
      </c>
    </row>
    <row r="815" spans="1:9" ht="15">
      <c r="A815" s="4236" t="s">
        <v>2362</v>
      </c>
      <c r="B815" s="4236" t="s">
        <v>5739</v>
      </c>
      <c r="H815" s="4237">
        <v>700000202623001</v>
      </c>
      <c r="I815" s="4238" t="s">
        <v>5731</v>
      </c>
    </row>
    <row r="816" spans="1:9" ht="15">
      <c r="A816" s="4236" t="s">
        <v>5740</v>
      </c>
      <c r="B816" s="4236" t="s">
        <v>5741</v>
      </c>
      <c r="H816" s="4237">
        <v>700000301000001</v>
      </c>
      <c r="I816" s="4238" t="s">
        <v>5610</v>
      </c>
    </row>
    <row r="817" spans="1:9" ht="15">
      <c r="A817" s="4236" t="s">
        <v>5742</v>
      </c>
      <c r="B817" s="4236" t="s">
        <v>5743</v>
      </c>
      <c r="H817" s="4237">
        <v>700000302261027</v>
      </c>
      <c r="I817" s="4238" t="s">
        <v>5610</v>
      </c>
    </row>
    <row r="818" spans="1:9" ht="15">
      <c r="A818" s="4236" t="s">
        <v>5744</v>
      </c>
      <c r="B818" s="4236" t="s">
        <v>5347</v>
      </c>
      <c r="H818" s="4237">
        <v>700000302339063</v>
      </c>
      <c r="I818" s="4238" t="s">
        <v>5731</v>
      </c>
    </row>
    <row r="819" spans="1:9" ht="15">
      <c r="A819" s="4236" t="s">
        <v>5745</v>
      </c>
      <c r="B819" s="4236" t="s">
        <v>5746</v>
      </c>
      <c r="H819" s="4237">
        <v>700000508800008</v>
      </c>
      <c r="I819" s="4238" t="s">
        <v>5747</v>
      </c>
    </row>
    <row r="820" spans="1:9" ht="15">
      <c r="A820" s="4236" t="s">
        <v>5748</v>
      </c>
      <c r="B820" s="4236" t="s">
        <v>5749</v>
      </c>
      <c r="H820" s="4237">
        <v>700000558800007</v>
      </c>
      <c r="I820" s="4238" t="s">
        <v>4873</v>
      </c>
    </row>
    <row r="821" spans="1:9" ht="15">
      <c r="A821" s="4236" t="s">
        <v>5750</v>
      </c>
      <c r="B821" s="4236" t="s">
        <v>5751</v>
      </c>
      <c r="H821" s="4237">
        <v>700000602151001</v>
      </c>
      <c r="I821" s="4238" t="s">
        <v>4854</v>
      </c>
    </row>
    <row r="822" spans="1:9" ht="15">
      <c r="A822" s="4236" t="s">
        <v>5752</v>
      </c>
      <c r="B822" s="4236" t="s">
        <v>5753</v>
      </c>
      <c r="H822" s="4237">
        <v>700000748800001</v>
      </c>
      <c r="I822" s="4238" t="s">
        <v>4260</v>
      </c>
    </row>
    <row r="823" spans="1:9" ht="15">
      <c r="A823" s="4236" t="s">
        <v>5754</v>
      </c>
      <c r="B823" s="4236" t="s">
        <v>5753</v>
      </c>
      <c r="H823" s="4237">
        <v>700000748800004</v>
      </c>
      <c r="I823" s="4238" t="s">
        <v>4957</v>
      </c>
    </row>
    <row r="824" spans="1:9" ht="15">
      <c r="A824" s="4236" t="s">
        <v>5755</v>
      </c>
      <c r="B824" s="4236" t="s">
        <v>5756</v>
      </c>
      <c r="H824" s="4237">
        <v>700000748800006</v>
      </c>
      <c r="I824" s="4238" t="s">
        <v>4957</v>
      </c>
    </row>
    <row r="825" spans="1:9" ht="15">
      <c r="A825" s="4236" t="s">
        <v>5757</v>
      </c>
      <c r="B825" s="4236" t="s">
        <v>5758</v>
      </c>
      <c r="H825" s="4237">
        <v>700000748800009</v>
      </c>
      <c r="I825" s="4238" t="s">
        <v>4260</v>
      </c>
    </row>
    <row r="826" spans="1:9" ht="15">
      <c r="A826" s="4236" t="s">
        <v>5759</v>
      </c>
      <c r="B826" s="4236" t="s">
        <v>5760</v>
      </c>
      <c r="H826" s="4237">
        <v>700000809000001</v>
      </c>
      <c r="I826" s="4238" t="s">
        <v>4284</v>
      </c>
    </row>
    <row r="827" spans="1:9" ht="15">
      <c r="A827" s="4236" t="s">
        <v>2195</v>
      </c>
      <c r="B827" s="4236" t="s">
        <v>5761</v>
      </c>
      <c r="H827" s="4237">
        <v>710000101000371</v>
      </c>
      <c r="I827" s="4238" t="s">
        <v>4260</v>
      </c>
    </row>
    <row r="828" spans="1:9" ht="15">
      <c r="A828" s="4236" t="s">
        <v>2198</v>
      </c>
      <c r="B828" s="4236" t="s">
        <v>5762</v>
      </c>
      <c r="H828" s="4237">
        <v>710000101000373</v>
      </c>
      <c r="I828" s="4238" t="s">
        <v>4260</v>
      </c>
    </row>
    <row r="829" spans="1:9" ht="15">
      <c r="A829" s="4236" t="s">
        <v>5763</v>
      </c>
      <c r="B829" s="4236" t="s">
        <v>5764</v>
      </c>
      <c r="H829" s="4237">
        <v>710000101000377</v>
      </c>
      <c r="I829" s="4238" t="s">
        <v>4260</v>
      </c>
    </row>
    <row r="830" spans="1:9" ht="15">
      <c r="A830" s="4236" t="s">
        <v>2373</v>
      </c>
      <c r="B830" s="4236" t="s">
        <v>5765</v>
      </c>
      <c r="H830" s="4237">
        <v>710000101000378</v>
      </c>
      <c r="I830" s="4238" t="s">
        <v>4260</v>
      </c>
    </row>
    <row r="831" spans="1:9" ht="15">
      <c r="A831" s="4236" t="s">
        <v>5766</v>
      </c>
      <c r="B831" s="4236" t="s">
        <v>5767</v>
      </c>
      <c r="H831" s="4237">
        <v>710000202021025</v>
      </c>
      <c r="I831" s="4238" t="s">
        <v>4936</v>
      </c>
    </row>
    <row r="832" spans="1:9" ht="15">
      <c r="A832" s="4236" t="s">
        <v>5768</v>
      </c>
      <c r="B832" s="4236" t="s">
        <v>5769</v>
      </c>
      <c r="H832" s="4237">
        <v>710000202148001</v>
      </c>
      <c r="I832" s="4238" t="s">
        <v>4936</v>
      </c>
    </row>
    <row r="833" spans="1:9" ht="15">
      <c r="A833" s="4236" t="s">
        <v>5770</v>
      </c>
      <c r="B833" s="4236" t="s">
        <v>5771</v>
      </c>
      <c r="H833" s="4237">
        <v>710000202261018</v>
      </c>
      <c r="I833" s="4238" t="s">
        <v>4936</v>
      </c>
    </row>
    <row r="834" spans="1:9" ht="15">
      <c r="A834" s="4236" t="s">
        <v>5772</v>
      </c>
      <c r="B834" s="4236" t="s">
        <v>5773</v>
      </c>
      <c r="H834" s="4237">
        <v>710000202316002</v>
      </c>
      <c r="I834" s="4238" t="s">
        <v>4936</v>
      </c>
    </row>
    <row r="835" spans="1:9" ht="15">
      <c r="A835" s="4236" t="s">
        <v>5774</v>
      </c>
      <c r="B835" s="4236" t="s">
        <v>5775</v>
      </c>
      <c r="H835" s="4237">
        <v>710000202339066</v>
      </c>
      <c r="I835" s="4238" t="s">
        <v>4936</v>
      </c>
    </row>
    <row r="836" spans="1:9" ht="15">
      <c r="A836" s="4236" t="s">
        <v>5776</v>
      </c>
      <c r="B836" s="4236" t="s">
        <v>5777</v>
      </c>
      <c r="H836" s="4237">
        <v>710000202510016</v>
      </c>
      <c r="I836" s="4238" t="s">
        <v>4936</v>
      </c>
    </row>
    <row r="837" spans="1:9" ht="15">
      <c r="A837" s="4236" t="s">
        <v>5778</v>
      </c>
      <c r="B837" s="4236" t="s">
        <v>5779</v>
      </c>
      <c r="H837" s="4237">
        <v>710000202510017</v>
      </c>
      <c r="I837" s="4238" t="s">
        <v>4936</v>
      </c>
    </row>
    <row r="838" spans="1:9" ht="15">
      <c r="A838" s="4236" t="s">
        <v>5780</v>
      </c>
      <c r="B838" s="4236" t="s">
        <v>5781</v>
      </c>
      <c r="H838" s="4237">
        <v>710000202510018</v>
      </c>
      <c r="I838" s="4238" t="s">
        <v>4936</v>
      </c>
    </row>
    <row r="839" spans="1:9" ht="15">
      <c r="A839" s="4236" t="s">
        <v>5782</v>
      </c>
      <c r="B839" s="4236" t="s">
        <v>5783</v>
      </c>
      <c r="H839" s="4237">
        <v>710000202600002</v>
      </c>
      <c r="I839" s="4238" t="s">
        <v>4260</v>
      </c>
    </row>
    <row r="840" spans="1:9" ht="15">
      <c r="A840" s="4236" t="s">
        <v>5784</v>
      </c>
      <c r="B840" s="4236" t="s">
        <v>5785</v>
      </c>
      <c r="H840" s="4237">
        <v>710000202719001</v>
      </c>
      <c r="I840" s="4238" t="s">
        <v>4936</v>
      </c>
    </row>
    <row r="841" spans="1:9" ht="15">
      <c r="A841" s="4236" t="s">
        <v>5786</v>
      </c>
      <c r="B841" s="4236" t="s">
        <v>5787</v>
      </c>
      <c r="H841" s="4237">
        <v>710000748710001</v>
      </c>
      <c r="I841" s="4238" t="s">
        <v>4260</v>
      </c>
    </row>
    <row r="842" spans="1:9" ht="15">
      <c r="A842" s="4236" t="s">
        <v>5788</v>
      </c>
      <c r="B842" s="4236" t="s">
        <v>5789</v>
      </c>
      <c r="H842" s="4237">
        <v>710000748710015</v>
      </c>
      <c r="I842" s="4238" t="s">
        <v>4260</v>
      </c>
    </row>
    <row r="843" spans="1:9" ht="15">
      <c r="A843" s="4236" t="s">
        <v>5790</v>
      </c>
      <c r="B843" s="4236" t="s">
        <v>5791</v>
      </c>
      <c r="H843" s="4237">
        <v>710000748710033</v>
      </c>
      <c r="I843" s="4238" t="s">
        <v>4260</v>
      </c>
    </row>
    <row r="844" spans="1:9" ht="15">
      <c r="A844" s="4236" t="s">
        <v>5792</v>
      </c>
      <c r="B844" s="4236" t="s">
        <v>5793</v>
      </c>
      <c r="H844" s="4237">
        <v>710000809000001</v>
      </c>
      <c r="I844" s="4238" t="s">
        <v>4284</v>
      </c>
    </row>
    <row r="845" spans="1:9" ht="15">
      <c r="A845" s="4236" t="s">
        <v>5794</v>
      </c>
      <c r="B845" s="4236" t="s">
        <v>5795</v>
      </c>
      <c r="H845" s="4237">
        <v>720000101000221</v>
      </c>
      <c r="I845" s="4238" t="s">
        <v>4260</v>
      </c>
    </row>
    <row r="846" spans="1:9" ht="15">
      <c r="A846" s="4236" t="s">
        <v>5796</v>
      </c>
      <c r="B846" s="4236" t="s">
        <v>5797</v>
      </c>
      <c r="H846" s="4237">
        <v>720000101000224</v>
      </c>
      <c r="I846" s="4238" t="s">
        <v>4260</v>
      </c>
    </row>
    <row r="847" spans="1:9" ht="15">
      <c r="A847" s="4236" t="s">
        <v>5798</v>
      </c>
      <c r="B847" s="4236" t="s">
        <v>5799</v>
      </c>
      <c r="H847" s="4237">
        <v>720000101000225</v>
      </c>
      <c r="I847" s="4238" t="s">
        <v>4260</v>
      </c>
    </row>
    <row r="848" spans="1:9" ht="15">
      <c r="A848" s="4236" t="s">
        <v>5800</v>
      </c>
      <c r="B848" s="4236" t="s">
        <v>5801</v>
      </c>
      <c r="H848" s="4237">
        <v>720000101000252</v>
      </c>
      <c r="I848" s="4238" t="s">
        <v>4260</v>
      </c>
    </row>
    <row r="849" spans="1:9" ht="15">
      <c r="A849" s="4236" t="s">
        <v>5802</v>
      </c>
      <c r="B849" s="4236" t="s">
        <v>5803</v>
      </c>
      <c r="H849" s="4237">
        <v>720000101000382</v>
      </c>
      <c r="I849" s="4238" t="s">
        <v>4260</v>
      </c>
    </row>
    <row r="850" spans="1:9" ht="15">
      <c r="A850" s="4236" t="s">
        <v>5804</v>
      </c>
      <c r="B850" s="4236" t="s">
        <v>5805</v>
      </c>
      <c r="H850" s="4237">
        <v>720000101000387</v>
      </c>
      <c r="I850" s="4238" t="s">
        <v>4260</v>
      </c>
    </row>
    <row r="851" spans="1:9" ht="15">
      <c r="A851" s="4236" t="s">
        <v>5806</v>
      </c>
      <c r="B851" s="4236" t="s">
        <v>5807</v>
      </c>
      <c r="H851" s="4237">
        <v>720000101000391</v>
      </c>
      <c r="I851" s="4238" t="s">
        <v>4260</v>
      </c>
    </row>
    <row r="852" spans="1:9" ht="15">
      <c r="A852" s="4236" t="s">
        <v>5808</v>
      </c>
      <c r="B852" s="4236" t="s">
        <v>5809</v>
      </c>
      <c r="H852" s="4237">
        <v>720000202021027</v>
      </c>
      <c r="I852" s="4238" t="s">
        <v>4260</v>
      </c>
    </row>
    <row r="853" spans="1:9" ht="15">
      <c r="A853" s="4236" t="s">
        <v>5810</v>
      </c>
      <c r="B853" s="4236" t="s">
        <v>5811</v>
      </c>
      <c r="H853" s="4237">
        <v>720000202261005</v>
      </c>
      <c r="I853" s="4238" t="s">
        <v>5030</v>
      </c>
    </row>
    <row r="854" spans="1:9" ht="15">
      <c r="A854" s="4236" t="s">
        <v>5812</v>
      </c>
      <c r="B854" s="4236" t="s">
        <v>5813</v>
      </c>
      <c r="H854" s="4237">
        <v>720000202339070</v>
      </c>
      <c r="I854" s="4238" t="s">
        <v>5030</v>
      </c>
    </row>
    <row r="855" spans="1:9" ht="15">
      <c r="A855" s="4236" t="s">
        <v>5814</v>
      </c>
      <c r="B855" s="4236" t="s">
        <v>5815</v>
      </c>
      <c r="H855" s="4237">
        <v>720000202344001</v>
      </c>
      <c r="I855" s="4238" t="s">
        <v>5816</v>
      </c>
    </row>
    <row r="856" spans="1:9" ht="15">
      <c r="A856" s="4236" t="s">
        <v>5817</v>
      </c>
      <c r="B856" s="4236" t="s">
        <v>5818</v>
      </c>
      <c r="H856" s="4237">
        <v>720000202432001</v>
      </c>
      <c r="I856" s="4238" t="s">
        <v>4936</v>
      </c>
    </row>
    <row r="857" spans="1:9" ht="15">
      <c r="A857" s="4236" t="s">
        <v>5819</v>
      </c>
      <c r="B857" s="4236" t="s">
        <v>5820</v>
      </c>
      <c r="H857" s="4237">
        <v>720000202510045</v>
      </c>
      <c r="I857" s="4238" t="s">
        <v>5030</v>
      </c>
    </row>
    <row r="858" spans="1:9" ht="15">
      <c r="A858" s="4236" t="s">
        <v>5821</v>
      </c>
      <c r="B858" s="4236" t="s">
        <v>5822</v>
      </c>
      <c r="H858" s="4237">
        <v>720000202510069</v>
      </c>
      <c r="I858" s="4238" t="s">
        <v>5030</v>
      </c>
    </row>
    <row r="859" spans="1:9" ht="15">
      <c r="A859" s="4236" t="s">
        <v>5823</v>
      </c>
      <c r="B859" s="4236" t="s">
        <v>5824</v>
      </c>
      <c r="H859" s="4237">
        <v>720000202510103</v>
      </c>
      <c r="I859" s="4238" t="s">
        <v>5825</v>
      </c>
    </row>
    <row r="860" spans="1:9" ht="15">
      <c r="A860" s="4236" t="s">
        <v>5826</v>
      </c>
      <c r="B860" s="4236" t="s">
        <v>5827</v>
      </c>
      <c r="H860" s="4237">
        <v>720000202510111</v>
      </c>
      <c r="I860" s="4238" t="s">
        <v>5030</v>
      </c>
    </row>
    <row r="861" spans="1:9" ht="15">
      <c r="A861" s="4236" t="s">
        <v>5828</v>
      </c>
      <c r="B861" s="4236" t="s">
        <v>5829</v>
      </c>
      <c r="H861" s="4237">
        <v>720000202532002</v>
      </c>
      <c r="I861" s="4238" t="s">
        <v>4260</v>
      </c>
    </row>
    <row r="862" spans="1:9" ht="15">
      <c r="A862" s="4236" t="s">
        <v>5830</v>
      </c>
      <c r="B862" s="4236" t="s">
        <v>5831</v>
      </c>
      <c r="H862" s="4237">
        <v>720000202558001</v>
      </c>
      <c r="I862" s="4238" t="s">
        <v>4277</v>
      </c>
    </row>
    <row r="863" spans="1:9" ht="15">
      <c r="A863" s="4236" t="s">
        <v>5832</v>
      </c>
      <c r="B863" s="4236" t="s">
        <v>5833</v>
      </c>
      <c r="H863" s="4237">
        <v>720000202678001</v>
      </c>
      <c r="I863" s="4238" t="s">
        <v>5030</v>
      </c>
    </row>
    <row r="864" spans="1:9" ht="15">
      <c r="A864" s="4236" t="s">
        <v>5834</v>
      </c>
      <c r="B864" s="4236" t="s">
        <v>5835</v>
      </c>
      <c r="H864" s="4237">
        <v>720000301000733</v>
      </c>
      <c r="I864" s="4238" t="s">
        <v>5610</v>
      </c>
    </row>
    <row r="865" spans="1:9" ht="15">
      <c r="A865" s="4236" t="s">
        <v>5836</v>
      </c>
      <c r="B865" s="4236" t="s">
        <v>5837</v>
      </c>
      <c r="H865" s="4237">
        <v>720000302510084</v>
      </c>
      <c r="I865" s="4238" t="s">
        <v>5838</v>
      </c>
    </row>
    <row r="866" spans="1:9" ht="15">
      <c r="A866" s="4236" t="s">
        <v>5839</v>
      </c>
      <c r="B866" s="4236" t="s">
        <v>5840</v>
      </c>
      <c r="H866" s="4237">
        <v>720000502699001</v>
      </c>
      <c r="I866" s="4238" t="s">
        <v>4277</v>
      </c>
    </row>
    <row r="867" spans="1:9" ht="15">
      <c r="A867" s="4236" t="s">
        <v>5841</v>
      </c>
      <c r="B867" s="4236" t="s">
        <v>5842</v>
      </c>
      <c r="H867" s="4237">
        <v>720000602033001</v>
      </c>
      <c r="I867" s="4238" t="s">
        <v>5825</v>
      </c>
    </row>
    <row r="868" spans="1:9" ht="15">
      <c r="A868" s="4236" t="s">
        <v>5843</v>
      </c>
      <c r="B868" s="4236" t="s">
        <v>5844</v>
      </c>
      <c r="H868" s="4237">
        <v>720000602105001</v>
      </c>
      <c r="I868" s="4238" t="s">
        <v>5825</v>
      </c>
    </row>
    <row r="869" spans="1:9" ht="15">
      <c r="A869" s="4236" t="s">
        <v>5845</v>
      </c>
      <c r="B869" s="4236" t="s">
        <v>5846</v>
      </c>
      <c r="H869" s="4237">
        <v>720000602225001</v>
      </c>
      <c r="I869" s="4238" t="s">
        <v>5825</v>
      </c>
    </row>
    <row r="870" spans="1:9" ht="15">
      <c r="A870" s="4236" t="s">
        <v>5847</v>
      </c>
      <c r="B870" s="4236" t="s">
        <v>5848</v>
      </c>
      <c r="H870" s="4237">
        <v>720000602313001</v>
      </c>
      <c r="I870" s="4238" t="s">
        <v>5825</v>
      </c>
    </row>
    <row r="871" spans="1:9" ht="15">
      <c r="A871" s="4236" t="s">
        <v>5849</v>
      </c>
      <c r="B871" s="4236" t="s">
        <v>5850</v>
      </c>
      <c r="H871" s="4237">
        <v>720000602495001</v>
      </c>
      <c r="I871" s="4238" t="s">
        <v>5825</v>
      </c>
    </row>
    <row r="872" spans="1:9" ht="15">
      <c r="A872" s="4236" t="s">
        <v>5851</v>
      </c>
      <c r="B872" s="4236" t="s">
        <v>5852</v>
      </c>
      <c r="H872" s="4237">
        <v>720000602495019</v>
      </c>
      <c r="I872" s="4238" t="s">
        <v>5825</v>
      </c>
    </row>
    <row r="873" spans="1:9" ht="15">
      <c r="A873" s="4236" t="s">
        <v>5853</v>
      </c>
      <c r="B873" s="4236" t="s">
        <v>5854</v>
      </c>
      <c r="H873" s="4237">
        <v>720000602696001</v>
      </c>
      <c r="I873" s="4238" t="s">
        <v>5825</v>
      </c>
    </row>
    <row r="874" spans="1:9" ht="15">
      <c r="A874" s="4236" t="s">
        <v>5855</v>
      </c>
      <c r="B874" s="4236" t="s">
        <v>5856</v>
      </c>
      <c r="H874" s="4237">
        <v>720000732309001</v>
      </c>
      <c r="I874" s="4238" t="s">
        <v>5112</v>
      </c>
    </row>
    <row r="875" spans="1:9" ht="15">
      <c r="A875" s="4236" t="s">
        <v>5857</v>
      </c>
      <c r="B875" s="4236" t="s">
        <v>5858</v>
      </c>
      <c r="H875" s="4237">
        <v>720000732510012</v>
      </c>
      <c r="I875" s="4238" t="s">
        <v>5112</v>
      </c>
    </row>
    <row r="876" spans="1:9" ht="15">
      <c r="A876" s="4236" t="s">
        <v>5859</v>
      </c>
      <c r="B876" s="4236" t="s">
        <v>5860</v>
      </c>
      <c r="H876" s="4237">
        <v>720000732515002</v>
      </c>
      <c r="I876" s="4238" t="s">
        <v>5861</v>
      </c>
    </row>
    <row r="877" spans="1:9" ht="15">
      <c r="A877" s="4236" t="s">
        <v>5862</v>
      </c>
      <c r="B877" s="4236" t="s">
        <v>5863</v>
      </c>
      <c r="H877" s="4237">
        <v>720000732517001</v>
      </c>
      <c r="I877" s="4238" t="s">
        <v>5861</v>
      </c>
    </row>
    <row r="878" spans="1:9" ht="15">
      <c r="A878" s="4236" t="s">
        <v>5864</v>
      </c>
      <c r="B878" s="4236" t="s">
        <v>5865</v>
      </c>
      <c r="H878" s="4237">
        <v>720000732570001</v>
      </c>
      <c r="I878" s="4238" t="s">
        <v>5866</v>
      </c>
    </row>
    <row r="879" spans="1:9" ht="15">
      <c r="A879" s="4236" t="s">
        <v>5867</v>
      </c>
      <c r="B879" s="4236" t="s">
        <v>5868</v>
      </c>
      <c r="H879" s="4237">
        <v>720000732583001</v>
      </c>
      <c r="I879" s="4238" t="s">
        <v>5869</v>
      </c>
    </row>
    <row r="880" spans="1:9" ht="15">
      <c r="A880" s="4236" t="s">
        <v>5870</v>
      </c>
      <c r="B880" s="4236" t="s">
        <v>5871</v>
      </c>
      <c r="H880" s="4237">
        <v>720000732667002</v>
      </c>
      <c r="I880" s="4238" t="s">
        <v>5866</v>
      </c>
    </row>
    <row r="881" spans="1:9" ht="15">
      <c r="A881" s="4236" t="s">
        <v>5872</v>
      </c>
      <c r="B881" s="4236" t="s">
        <v>5873</v>
      </c>
      <c r="H881" s="4237">
        <v>720000732668003</v>
      </c>
      <c r="I881" s="4238" t="s">
        <v>5874</v>
      </c>
    </row>
    <row r="882" spans="1:9" ht="15">
      <c r="A882" s="4236" t="s">
        <v>5875</v>
      </c>
      <c r="B882" s="4236" t="s">
        <v>5876</v>
      </c>
      <c r="H882" s="4237">
        <v>720000732671002</v>
      </c>
      <c r="I882" s="4238" t="s">
        <v>5874</v>
      </c>
    </row>
    <row r="883" spans="1:9" ht="15">
      <c r="A883" s="4236" t="s">
        <v>5877</v>
      </c>
      <c r="B883" s="4236" t="s">
        <v>5878</v>
      </c>
      <c r="H883" s="4237">
        <v>720000732705001</v>
      </c>
      <c r="I883" s="4238" t="s">
        <v>5879</v>
      </c>
    </row>
    <row r="884" spans="1:9" ht="15">
      <c r="A884" s="4236" t="s">
        <v>5880</v>
      </c>
      <c r="B884" s="4236" t="s">
        <v>5881</v>
      </c>
      <c r="H884" s="4237">
        <v>720000738000224</v>
      </c>
      <c r="I884" s="4238" t="s">
        <v>5882</v>
      </c>
    </row>
    <row r="885" spans="1:9" ht="15">
      <c r="A885" s="4236" t="s">
        <v>5883</v>
      </c>
      <c r="B885" s="4236" t="s">
        <v>5884</v>
      </c>
      <c r="H885" s="4237">
        <v>720000748495001</v>
      </c>
      <c r="I885" s="4238" t="s">
        <v>4957</v>
      </c>
    </row>
    <row r="886" spans="1:9" ht="15">
      <c r="A886" s="4236" t="s">
        <v>5885</v>
      </c>
      <c r="B886" s="4236" t="s">
        <v>5886</v>
      </c>
      <c r="H886" s="4237">
        <v>720000748668003</v>
      </c>
      <c r="I886" s="4238" t="s">
        <v>4957</v>
      </c>
    </row>
    <row r="887" spans="1:9" ht="15">
      <c r="A887" s="4236" t="s">
        <v>5887</v>
      </c>
      <c r="B887" s="4236" t="s">
        <v>5888</v>
      </c>
      <c r="H887" s="4237">
        <v>720000809000225</v>
      </c>
      <c r="I887" s="4238" t="s">
        <v>4284</v>
      </c>
    </row>
    <row r="888" spans="1:9" ht="15">
      <c r="A888" s="4236" t="s">
        <v>5889</v>
      </c>
      <c r="B888" s="4236" t="s">
        <v>5890</v>
      </c>
      <c r="H888" s="4237">
        <v>720000809000226</v>
      </c>
      <c r="I888" s="4238" t="s">
        <v>4284</v>
      </c>
    </row>
    <row r="889" spans="1:9" ht="15">
      <c r="A889" s="4236" t="s">
        <v>5891</v>
      </c>
      <c r="B889" s="4236" t="s">
        <v>5892</v>
      </c>
      <c r="H889" s="4237">
        <v>720000809000252</v>
      </c>
      <c r="I889" s="4238" t="s">
        <v>4284</v>
      </c>
    </row>
    <row r="890" spans="1:9" ht="15">
      <c r="A890" s="4236" t="s">
        <v>5893</v>
      </c>
      <c r="B890" s="4236" t="s">
        <v>5894</v>
      </c>
      <c r="H890" s="4237">
        <v>720000809000387</v>
      </c>
      <c r="I890" s="4238" t="s">
        <v>4284</v>
      </c>
    </row>
    <row r="891" spans="1:9" ht="15">
      <c r="A891" s="4236" t="s">
        <v>5895</v>
      </c>
      <c r="B891" s="4236" t="s">
        <v>5896</v>
      </c>
      <c r="H891" s="4237">
        <v>720000809000391</v>
      </c>
      <c r="I891" s="4238" t="s">
        <v>4284</v>
      </c>
    </row>
    <row r="892" spans="1:9" ht="15">
      <c r="A892" s="4236" t="s">
        <v>5897</v>
      </c>
      <c r="B892" s="4236" t="s">
        <v>5898</v>
      </c>
      <c r="H892" s="4237">
        <v>720000809021027</v>
      </c>
      <c r="I892" s="4238" t="s">
        <v>4284</v>
      </c>
    </row>
    <row r="893" spans="1:9" ht="15">
      <c r="A893" s="4236" t="s">
        <v>5899</v>
      </c>
      <c r="B893" s="4236" t="s">
        <v>5900</v>
      </c>
      <c r="H893" s="4237">
        <v>720000809339069</v>
      </c>
      <c r="I893" s="4238" t="s">
        <v>4284</v>
      </c>
    </row>
    <row r="894" spans="1:9" ht="15">
      <c r="A894" s="4236" t="s">
        <v>5901</v>
      </c>
      <c r="B894" s="4236" t="s">
        <v>5902</v>
      </c>
      <c r="H894" s="4237">
        <v>720000809339070</v>
      </c>
      <c r="I894" s="4238" t="s">
        <v>4284</v>
      </c>
    </row>
    <row r="895" spans="1:9" ht="15">
      <c r="A895" s="4236" t="s">
        <v>5903</v>
      </c>
      <c r="B895" s="4236" t="s">
        <v>5904</v>
      </c>
      <c r="H895" s="4237">
        <v>720000809344001</v>
      </c>
      <c r="I895" s="4238" t="s">
        <v>4284</v>
      </c>
    </row>
    <row r="896" spans="1:9" ht="15">
      <c r="A896" s="4236" t="s">
        <v>5905</v>
      </c>
      <c r="B896" s="4236" t="s">
        <v>5906</v>
      </c>
      <c r="H896" s="4237">
        <v>720000809432001</v>
      </c>
      <c r="I896" s="4238" t="s">
        <v>4284</v>
      </c>
    </row>
    <row r="897" spans="1:9" ht="15">
      <c r="A897" s="4236" t="s">
        <v>5907</v>
      </c>
      <c r="B897" s="4236" t="s">
        <v>5908</v>
      </c>
      <c r="H897" s="4237">
        <v>720000809510069</v>
      </c>
      <c r="I897" s="4238" t="s">
        <v>4284</v>
      </c>
    </row>
    <row r="898" spans="1:9" ht="15">
      <c r="A898" s="4236" t="s">
        <v>5909</v>
      </c>
      <c r="B898" s="4236" t="s">
        <v>5910</v>
      </c>
      <c r="H898" s="4237">
        <v>720000809510103</v>
      </c>
      <c r="I898" s="4238" t="s">
        <v>4284</v>
      </c>
    </row>
    <row r="899" spans="1:9" ht="15">
      <c r="A899" s="4236" t="s">
        <v>5911</v>
      </c>
      <c r="B899" s="4236" t="s">
        <v>5912</v>
      </c>
      <c r="H899" s="4237">
        <v>720000809510111</v>
      </c>
      <c r="I899" s="4238" t="s">
        <v>4284</v>
      </c>
    </row>
    <row r="900" spans="1:9" ht="15">
      <c r="A900" s="4236" t="s">
        <v>5913</v>
      </c>
      <c r="B900" s="4236" t="s">
        <v>4323</v>
      </c>
      <c r="H900" s="4237">
        <v>720000809558001</v>
      </c>
      <c r="I900" s="4238" t="s">
        <v>4284</v>
      </c>
    </row>
    <row r="901" spans="1:9" ht="15">
      <c r="A901" s="4236" t="s">
        <v>5914</v>
      </c>
      <c r="B901" s="4236" t="s">
        <v>5915</v>
      </c>
      <c r="H901" s="4237">
        <v>720000809678001</v>
      </c>
      <c r="I901" s="4238" t="s">
        <v>4284</v>
      </c>
    </row>
    <row r="902" spans="1:9" ht="15">
      <c r="A902" s="4236" t="s">
        <v>5916</v>
      </c>
      <c r="B902" s="4236" t="s">
        <v>5917</v>
      </c>
      <c r="H902" s="4237">
        <v>729700202510150</v>
      </c>
      <c r="I902" s="4238" t="s">
        <v>5030</v>
      </c>
    </row>
    <row r="903" spans="1:9" ht="15">
      <c r="A903" s="4236" t="s">
        <v>5918</v>
      </c>
      <c r="B903" s="4236" t="s">
        <v>5919</v>
      </c>
      <c r="H903" s="4237">
        <v>729700809000001</v>
      </c>
      <c r="I903" s="4238" t="s">
        <v>4284</v>
      </c>
    </row>
    <row r="904" spans="1:9" ht="15">
      <c r="A904" s="4236" t="s">
        <v>5920</v>
      </c>
      <c r="B904" s="4236" t="s">
        <v>5921</v>
      </c>
      <c r="H904" s="4237">
        <v>729700809000006</v>
      </c>
      <c r="I904" s="4238" t="s">
        <v>4284</v>
      </c>
    </row>
    <row r="905" spans="1:9" ht="15">
      <c r="A905" s="4236" t="s">
        <v>5922</v>
      </c>
      <c r="B905" s="4236" t="s">
        <v>5923</v>
      </c>
      <c r="H905" s="4237">
        <v>729800101000945</v>
      </c>
      <c r="I905" s="4238" t="s">
        <v>4260</v>
      </c>
    </row>
    <row r="906" spans="1:9" ht="15">
      <c r="A906" s="4236" t="s">
        <v>2370</v>
      </c>
      <c r="B906" s="4236" t="s">
        <v>5924</v>
      </c>
      <c r="H906" s="4237">
        <v>729800101000946</v>
      </c>
      <c r="I906" s="4238" t="s">
        <v>4260</v>
      </c>
    </row>
    <row r="907" spans="1:9" ht="15">
      <c r="A907" s="4236" t="s">
        <v>2238</v>
      </c>
      <c r="B907" s="4236" t="s">
        <v>5925</v>
      </c>
      <c r="H907" s="4237">
        <v>729800602792015</v>
      </c>
      <c r="I907" s="4238" t="s">
        <v>5180</v>
      </c>
    </row>
    <row r="908" spans="1:9" ht="15">
      <c r="A908" s="4236" t="s">
        <v>5926</v>
      </c>
      <c r="B908" s="4236" t="s">
        <v>5927</v>
      </c>
      <c r="H908" s="4237">
        <v>729800602792017</v>
      </c>
      <c r="I908" s="4238" t="s">
        <v>5180</v>
      </c>
    </row>
    <row r="909" spans="1:9" ht="15">
      <c r="A909" s="4236" t="s">
        <v>5928</v>
      </c>
      <c r="B909" s="4236" t="s">
        <v>5929</v>
      </c>
      <c r="H909" s="4237">
        <v>729800809000944</v>
      </c>
      <c r="I909" s="4238" t="s">
        <v>4284</v>
      </c>
    </row>
    <row r="910" spans="1:9" ht="15">
      <c r="A910" s="4236" t="s">
        <v>5930</v>
      </c>
      <c r="B910" s="4236" t="s">
        <v>5931</v>
      </c>
      <c r="H910" s="4237">
        <v>729800809000946</v>
      </c>
      <c r="I910" s="4238" t="s">
        <v>4284</v>
      </c>
    </row>
    <row r="911" spans="1:9" ht="15">
      <c r="A911" s="4236" t="s">
        <v>5932</v>
      </c>
      <c r="B911" s="4236" t="s">
        <v>5933</v>
      </c>
      <c r="H911" s="4237">
        <v>730000101000401</v>
      </c>
      <c r="I911" s="4238" t="s">
        <v>4260</v>
      </c>
    </row>
    <row r="912" spans="1:9" ht="15">
      <c r="A912" s="4236" t="s">
        <v>5934</v>
      </c>
      <c r="B912" s="4236" t="s">
        <v>5935</v>
      </c>
      <c r="H912" s="4237">
        <v>730000101000403</v>
      </c>
      <c r="I912" s="4238" t="s">
        <v>4260</v>
      </c>
    </row>
    <row r="913" spans="1:9" ht="15">
      <c r="A913" s="4236" t="s">
        <v>5936</v>
      </c>
      <c r="B913" s="4236" t="s">
        <v>5937</v>
      </c>
      <c r="H913" s="4237">
        <v>730000101000405</v>
      </c>
      <c r="I913" s="4238" t="s">
        <v>4260</v>
      </c>
    </row>
    <row r="914" spans="1:9" ht="15">
      <c r="A914" s="4236" t="s">
        <v>5938</v>
      </c>
      <c r="B914" s="4236" t="s">
        <v>5939</v>
      </c>
      <c r="H914" s="4237">
        <v>730000101000406</v>
      </c>
      <c r="I914" s="4238" t="s">
        <v>4260</v>
      </c>
    </row>
    <row r="915" spans="1:9" ht="15">
      <c r="A915" s="4236" t="s">
        <v>5940</v>
      </c>
      <c r="B915" s="4236" t="s">
        <v>5941</v>
      </c>
      <c r="H915" s="4237">
        <v>730000202075001</v>
      </c>
      <c r="I915" s="4238" t="s">
        <v>5411</v>
      </c>
    </row>
    <row r="916" spans="1:9" ht="15">
      <c r="A916" s="4236" t="s">
        <v>5942</v>
      </c>
      <c r="B916" s="4236" t="s">
        <v>5943</v>
      </c>
      <c r="H916" s="4237">
        <v>730000202104001</v>
      </c>
      <c r="I916" s="4238" t="s">
        <v>5411</v>
      </c>
    </row>
    <row r="917" spans="1:9" ht="15">
      <c r="A917" s="4236" t="s">
        <v>5944</v>
      </c>
      <c r="B917" s="4236" t="s">
        <v>5945</v>
      </c>
      <c r="H917" s="4237">
        <v>730000202115001</v>
      </c>
      <c r="I917" s="4238" t="s">
        <v>5411</v>
      </c>
    </row>
    <row r="918" spans="1:9" ht="15">
      <c r="A918" s="4236" t="s">
        <v>5946</v>
      </c>
      <c r="B918" s="4236" t="s">
        <v>5947</v>
      </c>
      <c r="H918" s="4237">
        <v>730000202166001</v>
      </c>
      <c r="I918" s="4238" t="s">
        <v>4260</v>
      </c>
    </row>
    <row r="919" spans="1:9" ht="15">
      <c r="A919" s="4236" t="s">
        <v>5948</v>
      </c>
      <c r="B919" s="4236" t="s">
        <v>5949</v>
      </c>
      <c r="H919" s="4237">
        <v>730000202261017</v>
      </c>
      <c r="I919" s="4238" t="s">
        <v>5411</v>
      </c>
    </row>
    <row r="920" spans="1:9" ht="15">
      <c r="A920" s="4236" t="s">
        <v>5950</v>
      </c>
      <c r="B920" s="4236" t="s">
        <v>5951</v>
      </c>
      <c r="H920" s="4237">
        <v>730000202261032</v>
      </c>
      <c r="I920" s="4238" t="s">
        <v>4260</v>
      </c>
    </row>
    <row r="921" spans="1:9" ht="15">
      <c r="A921" s="4236" t="s">
        <v>5952</v>
      </c>
      <c r="B921" s="4236" t="s">
        <v>5953</v>
      </c>
      <c r="H921" s="4237">
        <v>730000202261033</v>
      </c>
      <c r="I921" s="4238" t="s">
        <v>4260</v>
      </c>
    </row>
    <row r="922" spans="1:9" ht="15">
      <c r="A922" s="4236" t="s">
        <v>5954</v>
      </c>
      <c r="B922" s="4236" t="s">
        <v>5955</v>
      </c>
      <c r="H922" s="4237">
        <v>730000202261034</v>
      </c>
      <c r="I922" s="4238" t="s">
        <v>4260</v>
      </c>
    </row>
    <row r="923" spans="1:9" ht="15">
      <c r="A923" s="4236" t="s">
        <v>5956</v>
      </c>
      <c r="B923" s="4236" t="s">
        <v>5957</v>
      </c>
      <c r="H923" s="4237">
        <v>730000202319001</v>
      </c>
      <c r="I923" s="4238" t="s">
        <v>5341</v>
      </c>
    </row>
    <row r="924" spans="1:9" ht="15">
      <c r="A924" s="4236" t="s">
        <v>5958</v>
      </c>
      <c r="B924" s="4236" t="s">
        <v>5959</v>
      </c>
      <c r="H924" s="4237">
        <v>730000202492002</v>
      </c>
      <c r="I924" s="4238" t="s">
        <v>4766</v>
      </c>
    </row>
    <row r="925" spans="1:9" ht="15">
      <c r="A925" s="4236" t="s">
        <v>5960</v>
      </c>
      <c r="B925" s="4236" t="s">
        <v>5961</v>
      </c>
      <c r="H925" s="4237">
        <v>730000202494001</v>
      </c>
      <c r="I925" s="4238" t="s">
        <v>5341</v>
      </c>
    </row>
    <row r="926" spans="1:9" ht="15">
      <c r="A926" s="4236" t="s">
        <v>5962</v>
      </c>
      <c r="B926" s="4236" t="s">
        <v>5963</v>
      </c>
      <c r="H926" s="4237">
        <v>730000202508001</v>
      </c>
      <c r="I926" s="4238" t="s">
        <v>4260</v>
      </c>
    </row>
    <row r="927" spans="1:9" ht="15">
      <c r="A927" s="4236" t="s">
        <v>5964</v>
      </c>
      <c r="B927" s="4236" t="s">
        <v>5965</v>
      </c>
      <c r="H927" s="4237">
        <v>730000202510021</v>
      </c>
      <c r="I927" s="4238" t="s">
        <v>4260</v>
      </c>
    </row>
    <row r="928" spans="1:9" ht="15">
      <c r="A928" s="4236" t="s">
        <v>5966</v>
      </c>
      <c r="B928" s="4236" t="s">
        <v>5967</v>
      </c>
      <c r="H928" s="4237">
        <v>730000202510022</v>
      </c>
      <c r="I928" s="4238" t="s">
        <v>4260</v>
      </c>
    </row>
    <row r="929" spans="1:9" ht="15">
      <c r="A929" s="4236" t="s">
        <v>5968</v>
      </c>
      <c r="B929" s="4236" t="s">
        <v>5969</v>
      </c>
      <c r="H929" s="4237">
        <v>730000202510023</v>
      </c>
      <c r="I929" s="4238" t="s">
        <v>4260</v>
      </c>
    </row>
    <row r="930" spans="1:9" ht="15">
      <c r="A930" s="4236" t="s">
        <v>5970</v>
      </c>
      <c r="B930" s="4236" t="s">
        <v>5971</v>
      </c>
      <c r="H930" s="4237">
        <v>730000202510025</v>
      </c>
      <c r="I930" s="4238" t="s">
        <v>5411</v>
      </c>
    </row>
    <row r="931" spans="1:9" ht="15">
      <c r="A931" s="4236" t="s">
        <v>5972</v>
      </c>
      <c r="B931" s="4236" t="s">
        <v>5973</v>
      </c>
      <c r="H931" s="4237">
        <v>730000202544001</v>
      </c>
      <c r="I931" s="4238" t="s">
        <v>4795</v>
      </c>
    </row>
    <row r="932" spans="1:9" ht="15">
      <c r="A932" s="4236" t="s">
        <v>5974</v>
      </c>
      <c r="B932" s="4236" t="s">
        <v>5975</v>
      </c>
      <c r="H932" s="4237">
        <v>730000202636001</v>
      </c>
      <c r="I932" s="4238" t="s">
        <v>4795</v>
      </c>
    </row>
    <row r="933" spans="1:9" ht="15">
      <c r="A933" s="4236" t="s">
        <v>5976</v>
      </c>
      <c r="B933" s="4236" t="s">
        <v>5977</v>
      </c>
      <c r="H933" s="4237">
        <v>730000202645002</v>
      </c>
      <c r="I933" s="4238" t="s">
        <v>4795</v>
      </c>
    </row>
    <row r="934" spans="1:9" ht="15">
      <c r="A934" s="4236" t="s">
        <v>5978</v>
      </c>
      <c r="B934" s="4236" t="s">
        <v>5979</v>
      </c>
      <c r="H934" s="4237">
        <v>730000202733001</v>
      </c>
      <c r="I934" s="4238" t="s">
        <v>4260</v>
      </c>
    </row>
    <row r="935" spans="1:9" ht="15">
      <c r="A935" s="4236" t="s">
        <v>5980</v>
      </c>
      <c r="B935" s="4236" t="s">
        <v>5981</v>
      </c>
      <c r="H935" s="4237">
        <v>730000502092001</v>
      </c>
      <c r="I935" s="4238" t="s">
        <v>4277</v>
      </c>
    </row>
    <row r="936" spans="1:9" ht="15">
      <c r="A936" s="4236" t="s">
        <v>5982</v>
      </c>
      <c r="B936" s="4236" t="s">
        <v>5983</v>
      </c>
      <c r="H936" s="4237">
        <v>730000712625001</v>
      </c>
      <c r="I936" s="4238" t="s">
        <v>5984</v>
      </c>
    </row>
    <row r="937" spans="1:9" ht="15">
      <c r="A937" s="4236" t="s">
        <v>5985</v>
      </c>
      <c r="B937" s="4236" t="s">
        <v>5986</v>
      </c>
      <c r="H937" s="4237">
        <v>730000712625002</v>
      </c>
      <c r="I937" s="4238" t="s">
        <v>5984</v>
      </c>
    </row>
    <row r="938" spans="1:9" ht="15">
      <c r="A938" s="4236" t="s">
        <v>5987</v>
      </c>
      <c r="B938" s="4236" t="s">
        <v>5986</v>
      </c>
      <c r="H938" s="4237">
        <v>730000741000405</v>
      </c>
      <c r="I938" s="4238" t="s">
        <v>4260</v>
      </c>
    </row>
    <row r="939" spans="1:9" ht="15">
      <c r="A939" s="4236" t="s">
        <v>5988</v>
      </c>
      <c r="B939" s="4236" t="s">
        <v>5989</v>
      </c>
      <c r="H939" s="4237">
        <v>730000742081002</v>
      </c>
      <c r="I939" s="4238" t="s">
        <v>5990</v>
      </c>
    </row>
    <row r="940" spans="1:9" ht="15">
      <c r="A940" s="4236" t="s">
        <v>5991</v>
      </c>
      <c r="B940" s="4236" t="s">
        <v>5992</v>
      </c>
      <c r="H940" s="4237">
        <v>730000742144001</v>
      </c>
      <c r="I940" s="4238" t="s">
        <v>5990</v>
      </c>
    </row>
    <row r="941" spans="1:9" ht="15">
      <c r="A941" s="4236" t="s">
        <v>5993</v>
      </c>
      <c r="B941" s="4236" t="s">
        <v>5994</v>
      </c>
      <c r="H941" s="4237">
        <v>730000742290002</v>
      </c>
      <c r="I941" s="4238" t="s">
        <v>5990</v>
      </c>
    </row>
    <row r="942" spans="1:9" ht="15">
      <c r="A942" s="4236" t="s">
        <v>5995</v>
      </c>
      <c r="B942" s="4236" t="s">
        <v>5996</v>
      </c>
      <c r="H942" s="4237">
        <v>730000742448001</v>
      </c>
      <c r="I942" s="4238" t="s">
        <v>5990</v>
      </c>
    </row>
    <row r="943" spans="1:9" ht="15">
      <c r="A943" s="4236" t="s">
        <v>5997</v>
      </c>
      <c r="B943" s="4236" t="s">
        <v>5998</v>
      </c>
      <c r="H943" s="4237">
        <v>730000742455001</v>
      </c>
      <c r="I943" s="4238" t="s">
        <v>5990</v>
      </c>
    </row>
    <row r="944" spans="1:9" ht="15">
      <c r="A944" s="4236" t="s">
        <v>5999</v>
      </c>
      <c r="B944" s="4236" t="s">
        <v>6000</v>
      </c>
      <c r="H944" s="4237">
        <v>730000742459002</v>
      </c>
      <c r="I944" s="4238" t="s">
        <v>5990</v>
      </c>
    </row>
    <row r="945" spans="1:9" ht="15">
      <c r="A945" s="4236" t="s">
        <v>6001</v>
      </c>
      <c r="B945" s="4236" t="s">
        <v>6002</v>
      </c>
      <c r="H945" s="4237">
        <v>730000742460001</v>
      </c>
      <c r="I945" s="4238" t="s">
        <v>5990</v>
      </c>
    </row>
    <row r="946" spans="1:9" ht="15">
      <c r="A946" s="4236" t="s">
        <v>6003</v>
      </c>
      <c r="B946" s="4236" t="s">
        <v>6004</v>
      </c>
      <c r="H946" s="4237">
        <v>730000742465001</v>
      </c>
      <c r="I946" s="4238" t="s">
        <v>5990</v>
      </c>
    </row>
    <row r="947" spans="1:9" ht="15">
      <c r="A947" s="4236" t="s">
        <v>6005</v>
      </c>
      <c r="B947" s="4236" t="s">
        <v>6006</v>
      </c>
      <c r="H947" s="4237">
        <v>730000742501001</v>
      </c>
      <c r="I947" s="4238" t="s">
        <v>5990</v>
      </c>
    </row>
    <row r="948" spans="1:9" ht="15">
      <c r="A948" s="4236" t="s">
        <v>6007</v>
      </c>
      <c r="B948" s="4236" t="s">
        <v>6008</v>
      </c>
      <c r="H948" s="4237">
        <v>730000742588001</v>
      </c>
      <c r="I948" s="4238" t="s">
        <v>5990</v>
      </c>
    </row>
    <row r="949" spans="1:9" ht="15">
      <c r="A949" s="4236" t="s">
        <v>6009</v>
      </c>
      <c r="B949" s="4236" t="s">
        <v>6010</v>
      </c>
      <c r="H949" s="4237">
        <v>730000742662001</v>
      </c>
      <c r="I949" s="4238" t="s">
        <v>5990</v>
      </c>
    </row>
    <row r="950" spans="1:9" ht="15">
      <c r="A950" s="4236" t="s">
        <v>6011</v>
      </c>
      <c r="B950" s="4236" t="s">
        <v>6012</v>
      </c>
      <c r="H950" s="4237">
        <v>730000742777001</v>
      </c>
      <c r="I950" s="4238" t="s">
        <v>5990</v>
      </c>
    </row>
    <row r="951" spans="1:9" ht="15">
      <c r="A951" s="4236" t="s">
        <v>6013</v>
      </c>
      <c r="B951" s="4236" t="s">
        <v>6014</v>
      </c>
      <c r="H951" s="4237">
        <v>730000742975001</v>
      </c>
      <c r="I951" s="4238" t="s">
        <v>5990</v>
      </c>
    </row>
    <row r="952" spans="1:9" ht="15">
      <c r="A952" s="4236" t="s">
        <v>6015</v>
      </c>
      <c r="B952" s="4236" t="s">
        <v>6016</v>
      </c>
      <c r="H952" s="4237">
        <v>730000748730003</v>
      </c>
      <c r="I952" s="4238" t="s">
        <v>4260</v>
      </c>
    </row>
    <row r="953" spans="1:9" ht="15">
      <c r="A953" s="4236" t="s">
        <v>6017</v>
      </c>
      <c r="B953" s="4236" t="s">
        <v>6018</v>
      </c>
      <c r="H953" s="4237">
        <v>730000809000112</v>
      </c>
      <c r="I953" s="4238" t="s">
        <v>4284</v>
      </c>
    </row>
    <row r="954" spans="1:9" ht="15">
      <c r="A954" s="4236" t="s">
        <v>6019</v>
      </c>
      <c r="B954" s="4236" t="s">
        <v>6020</v>
      </c>
      <c r="H954" s="4237">
        <v>760000102434001</v>
      </c>
      <c r="I954" s="4238" t="s">
        <v>4936</v>
      </c>
    </row>
    <row r="955" spans="1:9" ht="15">
      <c r="A955" s="4236" t="s">
        <v>6021</v>
      </c>
      <c r="B955" s="4236" t="s">
        <v>6022</v>
      </c>
      <c r="H955" s="4237">
        <v>760000202009001</v>
      </c>
      <c r="I955" s="4238" t="s">
        <v>4260</v>
      </c>
    </row>
    <row r="956" spans="1:9" ht="15">
      <c r="A956" s="4236" t="s">
        <v>6023</v>
      </c>
      <c r="B956" s="4236" t="s">
        <v>6024</v>
      </c>
      <c r="H956" s="4237">
        <v>760000202261020</v>
      </c>
      <c r="I956" s="4238" t="s">
        <v>4936</v>
      </c>
    </row>
    <row r="957" spans="1:9" ht="15">
      <c r="A957" s="4236" t="s">
        <v>6025</v>
      </c>
      <c r="B957" s="4236" t="s">
        <v>6026</v>
      </c>
      <c r="H957" s="4237">
        <v>760000202319001</v>
      </c>
      <c r="I957" s="4238" t="s">
        <v>5341</v>
      </c>
    </row>
    <row r="958" spans="1:9" ht="15">
      <c r="A958" s="4236" t="s">
        <v>6027</v>
      </c>
      <c r="B958" s="4236" t="s">
        <v>6028</v>
      </c>
      <c r="H958" s="4237">
        <v>760000202452001</v>
      </c>
      <c r="I958" s="4238" t="s">
        <v>4260</v>
      </c>
    </row>
    <row r="959" spans="1:9" ht="15">
      <c r="A959" s="4236" t="s">
        <v>6029</v>
      </c>
      <c r="B959" s="4236" t="s">
        <v>6030</v>
      </c>
      <c r="H959" s="4237">
        <v>760000202488001</v>
      </c>
      <c r="I959" s="4238" t="s">
        <v>5018</v>
      </c>
    </row>
    <row r="960" spans="1:9" ht="15">
      <c r="A960" s="4236" t="s">
        <v>6031</v>
      </c>
      <c r="B960" s="4236" t="s">
        <v>6032</v>
      </c>
      <c r="H960" s="4237">
        <v>760000202719001</v>
      </c>
      <c r="I960" s="4238" t="s">
        <v>4936</v>
      </c>
    </row>
    <row r="961" spans="1:9" ht="15">
      <c r="A961" s="4236" t="s">
        <v>6033</v>
      </c>
      <c r="B961" s="4236" t="s">
        <v>6034</v>
      </c>
      <c r="H961" s="4237">
        <v>760000502463001</v>
      </c>
      <c r="I961" s="4238" t="s">
        <v>4277</v>
      </c>
    </row>
    <row r="962" spans="1:9" ht="15">
      <c r="A962" s="4236" t="s">
        <v>6035</v>
      </c>
      <c r="B962" s="4236" t="s">
        <v>6036</v>
      </c>
      <c r="H962" s="4237">
        <v>760000732364001</v>
      </c>
      <c r="I962" s="4238" t="s">
        <v>5866</v>
      </c>
    </row>
    <row r="963" spans="1:9" ht="15">
      <c r="A963" s="4236" t="s">
        <v>6037</v>
      </c>
      <c r="B963" s="4236" t="s">
        <v>6038</v>
      </c>
      <c r="H963" s="4237">
        <v>760000741000422</v>
      </c>
      <c r="I963" s="4238" t="s">
        <v>4260</v>
      </c>
    </row>
    <row r="964" spans="1:9" ht="15">
      <c r="A964" s="4236" t="s">
        <v>6039</v>
      </c>
      <c r="B964" s="4236" t="s">
        <v>6040</v>
      </c>
      <c r="H964" s="4237">
        <v>760000741000423</v>
      </c>
      <c r="I964" s="4238" t="s">
        <v>4260</v>
      </c>
    </row>
    <row r="965" spans="1:9" ht="15">
      <c r="A965" s="4236" t="s">
        <v>6041</v>
      </c>
      <c r="B965" s="4236" t="s">
        <v>6042</v>
      </c>
      <c r="H965" s="4237">
        <v>760000741000424</v>
      </c>
      <c r="I965" s="4238" t="s">
        <v>4260</v>
      </c>
    </row>
    <row r="966" spans="1:9" ht="15">
      <c r="A966" s="4236" t="s">
        <v>6043</v>
      </c>
      <c r="B966" s="4236" t="s">
        <v>6044</v>
      </c>
      <c r="H966" s="4237">
        <v>760000742625002</v>
      </c>
      <c r="I966" s="4238" t="s">
        <v>4957</v>
      </c>
    </row>
    <row r="967" spans="1:9" ht="15">
      <c r="A967" s="4236" t="s">
        <v>6045</v>
      </c>
      <c r="B967" s="4236" t="s">
        <v>6046</v>
      </c>
      <c r="H967" s="4237">
        <v>760000748010001</v>
      </c>
      <c r="I967" s="4238" t="s">
        <v>4260</v>
      </c>
    </row>
    <row r="968" spans="1:9" ht="15">
      <c r="A968" s="4236" t="s">
        <v>6047</v>
      </c>
      <c r="B968" s="4236" t="s">
        <v>6048</v>
      </c>
      <c r="H968" s="4237">
        <v>760000748010002</v>
      </c>
      <c r="I968" s="4238" t="s">
        <v>4260</v>
      </c>
    </row>
    <row r="969" spans="1:9" ht="15">
      <c r="A969" s="4236" t="s">
        <v>6049</v>
      </c>
      <c r="B969" s="4236" t="s">
        <v>6050</v>
      </c>
      <c r="H969" s="4237">
        <v>760000748010003</v>
      </c>
      <c r="I969" s="4238" t="s">
        <v>4260</v>
      </c>
    </row>
    <row r="970" spans="1:9" ht="15">
      <c r="A970" s="4236" t="s">
        <v>6051</v>
      </c>
      <c r="B970" s="4236" t="s">
        <v>6052</v>
      </c>
      <c r="H970" s="4237">
        <v>760000748010004</v>
      </c>
      <c r="I970" s="4238" t="s">
        <v>4260</v>
      </c>
    </row>
    <row r="971" spans="1:9" ht="15">
      <c r="A971" s="4236" t="s">
        <v>6053</v>
      </c>
      <c r="B971" s="4236" t="s">
        <v>6054</v>
      </c>
      <c r="H971" s="4237">
        <v>760000748010005</v>
      </c>
      <c r="I971" s="4238" t="s">
        <v>4260</v>
      </c>
    </row>
    <row r="972" spans="1:9" ht="15">
      <c r="A972" s="4236" t="s">
        <v>6055</v>
      </c>
      <c r="B972" s="4236" t="s">
        <v>6056</v>
      </c>
      <c r="H972" s="4237">
        <v>760000748010007</v>
      </c>
      <c r="I972" s="4238" t="s">
        <v>4260</v>
      </c>
    </row>
    <row r="973" spans="1:9" ht="15">
      <c r="A973" s="4236" t="s">
        <v>6057</v>
      </c>
      <c r="B973" s="4236" t="s">
        <v>6058</v>
      </c>
      <c r="H973" s="4237">
        <v>760000748010009</v>
      </c>
      <c r="I973" s="4238" t="s">
        <v>4260</v>
      </c>
    </row>
    <row r="974" spans="1:9" ht="15">
      <c r="A974" s="4236" t="s">
        <v>6059</v>
      </c>
      <c r="B974" s="4236" t="s">
        <v>2197</v>
      </c>
      <c r="H974" s="4237">
        <v>760000748010010</v>
      </c>
      <c r="I974" s="4238" t="s">
        <v>4260</v>
      </c>
    </row>
    <row r="975" spans="1:9" ht="15">
      <c r="A975" s="4236" t="s">
        <v>6060</v>
      </c>
      <c r="B975" s="4236" t="s">
        <v>6061</v>
      </c>
      <c r="H975" s="4237">
        <v>760000748010011</v>
      </c>
      <c r="I975" s="4238" t="s">
        <v>4260</v>
      </c>
    </row>
    <row r="976" spans="1:9" ht="15">
      <c r="A976" s="4236" t="s">
        <v>6062</v>
      </c>
      <c r="B976" s="4236" t="s">
        <v>6063</v>
      </c>
      <c r="H976" s="4237">
        <v>760000809001001</v>
      </c>
      <c r="I976" s="4238" t="s">
        <v>4284</v>
      </c>
    </row>
    <row r="977" spans="1:9" ht="15">
      <c r="A977" s="4236" t="s">
        <v>6064</v>
      </c>
      <c r="B977" s="4236" t="s">
        <v>6065</v>
      </c>
      <c r="H977" s="4237">
        <v>770000101000083</v>
      </c>
      <c r="I977" s="4238" t="s">
        <v>4260</v>
      </c>
    </row>
    <row r="978" spans="1:9" ht="15">
      <c r="A978" s="4236" t="s">
        <v>6066</v>
      </c>
      <c r="B978" s="4236" t="s">
        <v>6067</v>
      </c>
      <c r="H978" s="4237">
        <v>770000102672002</v>
      </c>
      <c r="I978" s="4238" t="s">
        <v>4260</v>
      </c>
    </row>
    <row r="979" spans="1:9" ht="15">
      <c r="A979" s="4236" t="s">
        <v>6068</v>
      </c>
      <c r="B979" s="4236" t="s">
        <v>6069</v>
      </c>
      <c r="H979" s="4237">
        <v>770000202021004</v>
      </c>
      <c r="I979" s="4238" t="s">
        <v>4795</v>
      </c>
    </row>
    <row r="980" spans="1:9" ht="15">
      <c r="A980" s="4236" t="s">
        <v>6070</v>
      </c>
      <c r="B980" s="4236" t="s">
        <v>6071</v>
      </c>
      <c r="H980" s="4237">
        <v>770000202030001</v>
      </c>
      <c r="I980" s="4238" t="s">
        <v>4795</v>
      </c>
    </row>
    <row r="981" spans="1:9" ht="15">
      <c r="A981" s="4236" t="s">
        <v>6072</v>
      </c>
      <c r="B981" s="4236" t="s">
        <v>6073</v>
      </c>
      <c r="H981" s="4237">
        <v>770000202158001</v>
      </c>
      <c r="I981" s="4238" t="s">
        <v>5018</v>
      </c>
    </row>
    <row r="982" spans="1:9" ht="15">
      <c r="A982" s="4236" t="s">
        <v>6074</v>
      </c>
      <c r="B982" s="4236" t="s">
        <v>6075</v>
      </c>
      <c r="H982" s="4237">
        <v>770000202261002</v>
      </c>
      <c r="I982" s="4238" t="s">
        <v>4795</v>
      </c>
    </row>
    <row r="983" spans="1:9" ht="15">
      <c r="A983" s="4236" t="s">
        <v>6076</v>
      </c>
      <c r="B983" s="4236" t="s">
        <v>6077</v>
      </c>
      <c r="H983" s="4237">
        <v>770000202261024</v>
      </c>
      <c r="I983" s="4238" t="s">
        <v>4795</v>
      </c>
    </row>
    <row r="984" spans="1:9" ht="15">
      <c r="A984" s="4236" t="s">
        <v>6078</v>
      </c>
      <c r="B984" s="4236" t="s">
        <v>6079</v>
      </c>
      <c r="H984" s="4237">
        <v>770000202261029</v>
      </c>
      <c r="I984" s="4238" t="s">
        <v>4795</v>
      </c>
    </row>
    <row r="985" spans="1:9" ht="15">
      <c r="A985" s="4236" t="s">
        <v>6080</v>
      </c>
      <c r="B985" s="4236" t="s">
        <v>6081</v>
      </c>
      <c r="H985" s="4237">
        <v>770000202261039</v>
      </c>
      <c r="I985" s="4238" t="s">
        <v>4795</v>
      </c>
    </row>
    <row r="986" spans="1:9" ht="15">
      <c r="A986" s="4236" t="s">
        <v>6082</v>
      </c>
      <c r="B986" s="4236" t="s">
        <v>6083</v>
      </c>
      <c r="H986" s="4237">
        <v>770000202261041</v>
      </c>
      <c r="I986" s="4238" t="s">
        <v>4795</v>
      </c>
    </row>
    <row r="987" spans="1:9" ht="15">
      <c r="A987" s="4236" t="s">
        <v>6084</v>
      </c>
      <c r="B987" s="4236" t="s">
        <v>6085</v>
      </c>
      <c r="H987" s="4237">
        <v>770000202261042</v>
      </c>
      <c r="I987" s="4238" t="s">
        <v>4795</v>
      </c>
    </row>
    <row r="988" spans="1:9" ht="15">
      <c r="A988" s="4236" t="s">
        <v>6086</v>
      </c>
      <c r="B988" s="4236" t="s">
        <v>6087</v>
      </c>
      <c r="H988" s="4237">
        <v>770000202299001</v>
      </c>
      <c r="I988" s="4238" t="s">
        <v>4795</v>
      </c>
    </row>
    <row r="989" spans="1:9" ht="15">
      <c r="A989" s="4236" t="s">
        <v>6088</v>
      </c>
      <c r="B989" s="4236" t="s">
        <v>6089</v>
      </c>
      <c r="H989" s="4237">
        <v>770000202339025</v>
      </c>
      <c r="I989" s="4238" t="s">
        <v>4795</v>
      </c>
    </row>
    <row r="990" spans="1:9" ht="15">
      <c r="A990" s="4236" t="s">
        <v>6090</v>
      </c>
      <c r="B990" s="4236" t="s">
        <v>6091</v>
      </c>
      <c r="H990" s="4237">
        <v>770000202339052</v>
      </c>
      <c r="I990" s="4238" t="s">
        <v>4795</v>
      </c>
    </row>
    <row r="991" spans="1:9" ht="15">
      <c r="A991" s="4236" t="s">
        <v>6092</v>
      </c>
      <c r="B991" s="4236" t="s">
        <v>6093</v>
      </c>
      <c r="H991" s="4237">
        <v>770000202339053</v>
      </c>
      <c r="I991" s="4238" t="s">
        <v>4795</v>
      </c>
    </row>
    <row r="992" spans="1:9" ht="15">
      <c r="A992" s="4236" t="s">
        <v>6094</v>
      </c>
      <c r="B992" s="4236" t="s">
        <v>6095</v>
      </c>
      <c r="H992" s="4237">
        <v>770000202339061</v>
      </c>
      <c r="I992" s="4238" t="s">
        <v>4795</v>
      </c>
    </row>
    <row r="993" spans="1:9" ht="15">
      <c r="A993" s="4236" t="s">
        <v>6096</v>
      </c>
      <c r="B993" s="4236" t="s">
        <v>6097</v>
      </c>
      <c r="H993" s="4237">
        <v>770000202339065</v>
      </c>
      <c r="I993" s="4238" t="s">
        <v>4795</v>
      </c>
    </row>
    <row r="994" spans="1:9" ht="15">
      <c r="A994" s="4236" t="s">
        <v>6098</v>
      </c>
      <c r="B994" s="4236" t="s">
        <v>6099</v>
      </c>
      <c r="H994" s="4237">
        <v>770000202339071</v>
      </c>
      <c r="I994" s="4238" t="s">
        <v>4795</v>
      </c>
    </row>
    <row r="995" spans="1:9" ht="15">
      <c r="A995" s="4236" t="s">
        <v>6100</v>
      </c>
      <c r="B995" s="4236" t="s">
        <v>6101</v>
      </c>
      <c r="H995" s="4237">
        <v>770000202339077</v>
      </c>
      <c r="I995" s="4238" t="s">
        <v>4795</v>
      </c>
    </row>
    <row r="996" spans="1:9" ht="15">
      <c r="A996" s="4236" t="s">
        <v>6102</v>
      </c>
      <c r="B996" s="4236" t="s">
        <v>6103</v>
      </c>
      <c r="H996" s="4237">
        <v>770000202423002</v>
      </c>
      <c r="I996" s="4238" t="s">
        <v>4795</v>
      </c>
    </row>
    <row r="997" spans="1:9" ht="15">
      <c r="A997" s="4236" t="s">
        <v>6104</v>
      </c>
      <c r="B997" s="4236" t="s">
        <v>6105</v>
      </c>
      <c r="H997" s="4237">
        <v>770000202467001</v>
      </c>
      <c r="I997" s="4238" t="s">
        <v>4795</v>
      </c>
    </row>
    <row r="998" spans="1:9" ht="15">
      <c r="A998" s="4236" t="s">
        <v>6106</v>
      </c>
      <c r="B998" s="4236" t="s">
        <v>6107</v>
      </c>
      <c r="H998" s="4237">
        <v>770000202504001</v>
      </c>
      <c r="I998" s="4238" t="s">
        <v>4795</v>
      </c>
    </row>
    <row r="999" spans="1:9" ht="15">
      <c r="A999" s="4236" t="s">
        <v>6108</v>
      </c>
      <c r="B999" s="4236" t="s">
        <v>6109</v>
      </c>
      <c r="H999" s="4237">
        <v>770000202611001</v>
      </c>
      <c r="I999" s="4238" t="s">
        <v>4795</v>
      </c>
    </row>
    <row r="1000" spans="1:9" ht="15">
      <c r="A1000" s="4236" t="s">
        <v>6110</v>
      </c>
      <c r="B1000" s="4236" t="s">
        <v>6111</v>
      </c>
      <c r="H1000" s="4237">
        <v>770000202931001</v>
      </c>
      <c r="I1000" s="4238" t="s">
        <v>4795</v>
      </c>
    </row>
    <row r="1001" spans="1:9" ht="15">
      <c r="A1001" s="4236" t="s">
        <v>6112</v>
      </c>
      <c r="B1001" s="4236" t="s">
        <v>6113</v>
      </c>
      <c r="H1001" s="4237">
        <v>770000722458001</v>
      </c>
      <c r="I1001" s="4238" t="s">
        <v>5184</v>
      </c>
    </row>
    <row r="1002" spans="1:9" ht="15">
      <c r="A1002" s="4236" t="s">
        <v>6114</v>
      </c>
      <c r="B1002" s="4236" t="s">
        <v>6115</v>
      </c>
      <c r="H1002" s="4237">
        <v>770000742672002</v>
      </c>
      <c r="I1002" s="4238" t="s">
        <v>4957</v>
      </c>
    </row>
    <row r="1003" spans="1:9" ht="15">
      <c r="A1003" s="4236" t="s">
        <v>6116</v>
      </c>
      <c r="B1003" s="4236" t="s">
        <v>6117</v>
      </c>
      <c r="H1003" s="4237">
        <v>770000748770001</v>
      </c>
      <c r="I1003" s="4238" t="s">
        <v>4260</v>
      </c>
    </row>
    <row r="1004" spans="1:9" ht="15">
      <c r="A1004" s="4236" t="s">
        <v>6118</v>
      </c>
      <c r="B1004" s="4236" t="s">
        <v>6119</v>
      </c>
      <c r="H1004" s="4237">
        <v>770000748770002</v>
      </c>
      <c r="I1004" s="4238" t="s">
        <v>4260</v>
      </c>
    </row>
    <row r="1005" spans="1:9" ht="15">
      <c r="A1005" s="4236" t="s">
        <v>2365</v>
      </c>
      <c r="B1005" s="4236" t="s">
        <v>6120</v>
      </c>
      <c r="H1005" s="4237">
        <v>770000809672002</v>
      </c>
      <c r="I1005" s="4238" t="s">
        <v>4284</v>
      </c>
    </row>
    <row r="1006" spans="1:9" ht="15">
      <c r="A1006" s="4236" t="s">
        <v>6121</v>
      </c>
      <c r="B1006" s="4236" t="s">
        <v>5815</v>
      </c>
      <c r="H1006" s="4237">
        <v>780000101000431</v>
      </c>
      <c r="I1006" s="4238" t="s">
        <v>4260</v>
      </c>
    </row>
    <row r="1007" spans="1:9" ht="15">
      <c r="A1007" s="4236" t="s">
        <v>6122</v>
      </c>
      <c r="B1007" s="4236" t="s">
        <v>6123</v>
      </c>
      <c r="H1007" s="4237">
        <v>780000202261007</v>
      </c>
      <c r="I1007" s="4238" t="s">
        <v>5731</v>
      </c>
    </row>
    <row r="1008" spans="1:9" ht="15">
      <c r="A1008" s="4236" t="s">
        <v>6124</v>
      </c>
      <c r="B1008" s="4236" t="s">
        <v>6125</v>
      </c>
      <c r="H1008" s="4237">
        <v>780000809000431</v>
      </c>
      <c r="I1008" s="4238" t="s">
        <v>4284</v>
      </c>
    </row>
    <row r="1009" spans="1:9" ht="15">
      <c r="A1009" s="4236" t="s">
        <v>6126</v>
      </c>
      <c r="B1009" s="4236" t="s">
        <v>6127</v>
      </c>
      <c r="H1009" s="4237">
        <v>790000202021008</v>
      </c>
      <c r="I1009" s="4238" t="s">
        <v>4260</v>
      </c>
    </row>
    <row r="1010" spans="1:9" ht="15">
      <c r="A1010" s="4236" t="s">
        <v>6128</v>
      </c>
      <c r="B1010" s="4236" t="s">
        <v>6129</v>
      </c>
      <c r="H1010" s="4237">
        <v>790000202022001</v>
      </c>
      <c r="I1010" s="4238" t="s">
        <v>5018</v>
      </c>
    </row>
    <row r="1011" spans="1:9" ht="15">
      <c r="A1011" s="4236" t="s">
        <v>6130</v>
      </c>
      <c r="B1011" s="4236" t="s">
        <v>6131</v>
      </c>
      <c r="H1011" s="4237">
        <v>790000202086001</v>
      </c>
      <c r="I1011" s="4238" t="s">
        <v>4260</v>
      </c>
    </row>
    <row r="1012" spans="1:9" ht="15">
      <c r="A1012" s="4236" t="s">
        <v>6132</v>
      </c>
      <c r="B1012" s="4236" t="s">
        <v>6133</v>
      </c>
      <c r="H1012" s="4237">
        <v>790000202520001</v>
      </c>
      <c r="I1012" s="4238" t="s">
        <v>5018</v>
      </c>
    </row>
    <row r="1013" spans="1:9" ht="15">
      <c r="A1013" s="4236" t="s">
        <v>6134</v>
      </c>
      <c r="B1013" s="4236" t="s">
        <v>6135</v>
      </c>
      <c r="H1013" s="4237">
        <v>790000202719001</v>
      </c>
      <c r="I1013" s="4238" t="s">
        <v>4936</v>
      </c>
    </row>
    <row r="1014" spans="1:9" ht="15">
      <c r="A1014" s="4236" t="s">
        <v>6136</v>
      </c>
      <c r="B1014" s="4236" t="s">
        <v>6137</v>
      </c>
      <c r="H1014" s="4237">
        <v>790000202865001</v>
      </c>
      <c r="I1014" s="4238" t="s">
        <v>4763</v>
      </c>
    </row>
    <row r="1015" spans="1:9" ht="15">
      <c r="A1015" s="4236" t="s">
        <v>6138</v>
      </c>
      <c r="B1015" s="4236" t="s">
        <v>6139</v>
      </c>
      <c r="H1015" s="4237">
        <v>790000502289001</v>
      </c>
      <c r="I1015" s="4238" t="s">
        <v>4277</v>
      </c>
    </row>
    <row r="1016" spans="1:9" ht="15">
      <c r="A1016" s="4236" t="s">
        <v>6140</v>
      </c>
      <c r="B1016" s="4236" t="s">
        <v>6141</v>
      </c>
      <c r="H1016" s="4237">
        <v>790000502375001</v>
      </c>
      <c r="I1016" s="4238" t="s">
        <v>4277</v>
      </c>
    </row>
    <row r="1017" spans="1:9" ht="15">
      <c r="A1017" s="4236" t="s">
        <v>6142</v>
      </c>
      <c r="B1017" s="4236" t="s">
        <v>6143</v>
      </c>
      <c r="H1017" s="4237">
        <v>790000502547001</v>
      </c>
      <c r="I1017" s="4238" t="s">
        <v>4277</v>
      </c>
    </row>
    <row r="1018" spans="1:9" ht="15">
      <c r="A1018" s="4236" t="s">
        <v>6144</v>
      </c>
      <c r="B1018" s="4236" t="s">
        <v>6145</v>
      </c>
      <c r="H1018" s="4237">
        <v>790000508500009</v>
      </c>
      <c r="I1018" s="4238" t="s">
        <v>6146</v>
      </c>
    </row>
    <row r="1019" spans="1:9" ht="15">
      <c r="A1019" s="4236" t="s">
        <v>6147</v>
      </c>
      <c r="B1019" s="4236" t="s">
        <v>6148</v>
      </c>
      <c r="H1019" s="4237">
        <v>790000809790006</v>
      </c>
      <c r="I1019" s="4238" t="s">
        <v>4284</v>
      </c>
    </row>
    <row r="1020" spans="1:9" ht="15">
      <c r="A1020" s="4236" t="s">
        <v>6149</v>
      </c>
      <c r="B1020" s="4236" t="s">
        <v>6150</v>
      </c>
      <c r="H1020" s="4237">
        <v>800000101000100</v>
      </c>
      <c r="I1020" s="4238" t="s">
        <v>4260</v>
      </c>
    </row>
    <row r="1021" spans="1:9" ht="15">
      <c r="A1021" s="4236" t="s">
        <v>6151</v>
      </c>
      <c r="B1021" s="4236" t="s">
        <v>6152</v>
      </c>
      <c r="H1021" s="4237">
        <v>800000102021200</v>
      </c>
      <c r="I1021" s="4238" t="s">
        <v>4260</v>
      </c>
    </row>
    <row r="1022" spans="1:9" ht="15">
      <c r="A1022" s="4236" t="s">
        <v>6153</v>
      </c>
      <c r="B1022" s="4236" t="s">
        <v>6154</v>
      </c>
      <c r="H1022" s="4237">
        <v>800000102639600</v>
      </c>
      <c r="I1022" s="4238" t="s">
        <v>6155</v>
      </c>
    </row>
    <row r="1023" spans="1:9" ht="15">
      <c r="A1023" s="4236" t="s">
        <v>6156</v>
      </c>
      <c r="B1023" s="4236" t="s">
        <v>6157</v>
      </c>
      <c r="H1023" s="4237">
        <v>800000202261900</v>
      </c>
      <c r="I1023" s="4238" t="s">
        <v>6155</v>
      </c>
    </row>
    <row r="1024" spans="1:9" ht="15">
      <c r="A1024" s="4236" t="s">
        <v>6158</v>
      </c>
      <c r="B1024" s="4236" t="s">
        <v>6159</v>
      </c>
      <c r="H1024" s="4237">
        <v>800000202339300</v>
      </c>
      <c r="I1024" s="4238" t="s">
        <v>6155</v>
      </c>
    </row>
    <row r="1025" spans="1:9" ht="15">
      <c r="A1025" s="4236" t="s">
        <v>6160</v>
      </c>
      <c r="B1025" s="4236" t="s">
        <v>6161</v>
      </c>
      <c r="H1025" s="4237">
        <v>800000202415500</v>
      </c>
      <c r="I1025" s="4238" t="s">
        <v>6155</v>
      </c>
    </row>
    <row r="1026" spans="1:9" ht="15">
      <c r="A1026" s="4236" t="s">
        <v>6162</v>
      </c>
      <c r="B1026" s="4236" t="s">
        <v>6163</v>
      </c>
      <c r="H1026" s="4237">
        <v>800000202417400</v>
      </c>
      <c r="I1026" s="4238" t="s">
        <v>6155</v>
      </c>
    </row>
    <row r="1027" spans="1:9" ht="15">
      <c r="A1027" s="4236" t="s">
        <v>6164</v>
      </c>
      <c r="B1027" s="4236" t="s">
        <v>6165</v>
      </c>
      <c r="H1027" s="4237">
        <v>800000202685001</v>
      </c>
      <c r="I1027" s="4238" t="s">
        <v>6155</v>
      </c>
    </row>
    <row r="1028" spans="1:9" ht="15">
      <c r="A1028" s="4236" t="s">
        <v>6166</v>
      </c>
      <c r="B1028" s="4236" t="s">
        <v>6167</v>
      </c>
      <c r="H1028" s="4237">
        <v>800000208300800</v>
      </c>
      <c r="I1028" s="4238" t="s">
        <v>6155</v>
      </c>
    </row>
    <row r="1029" spans="1:9" ht="15">
      <c r="A1029" s="4236" t="s">
        <v>6168</v>
      </c>
      <c r="B1029" s="4236" t="s">
        <v>6169</v>
      </c>
      <c r="H1029" s="4237">
        <v>800000809800001</v>
      </c>
      <c r="I1029" s="4238" t="s">
        <v>4284</v>
      </c>
    </row>
    <row r="1030" spans="1:9" ht="15">
      <c r="A1030" s="4236" t="s">
        <v>6170</v>
      </c>
      <c r="B1030" s="4236" t="s">
        <v>6171</v>
      </c>
      <c r="H1030" s="4237">
        <v>840000108000072</v>
      </c>
      <c r="I1030" s="4238" t="s">
        <v>4260</v>
      </c>
    </row>
    <row r="1031" spans="1:9" ht="15">
      <c r="A1031" s="4236" t="s">
        <v>6172</v>
      </c>
      <c r="B1031" s="4236" t="s">
        <v>6173</v>
      </c>
      <c r="H1031" s="4237">
        <v>840000208000052</v>
      </c>
      <c r="I1031" s="4238" t="s">
        <v>6174</v>
      </c>
    </row>
    <row r="1032" spans="1:9" ht="15">
      <c r="A1032" s="4236" t="s">
        <v>6175</v>
      </c>
      <c r="B1032" s="4236" t="s">
        <v>6176</v>
      </c>
      <c r="H1032" s="4237">
        <v>840000208000055</v>
      </c>
      <c r="I1032" s="4238" t="s">
        <v>6177</v>
      </c>
    </row>
    <row r="1033" spans="1:9" ht="15">
      <c r="A1033" s="4236" t="s">
        <v>6178</v>
      </c>
      <c r="B1033" s="4236" t="s">
        <v>6179</v>
      </c>
      <c r="H1033" s="4237">
        <v>840000208000061</v>
      </c>
      <c r="I1033" s="4238" t="s">
        <v>6180</v>
      </c>
    </row>
    <row r="1034" spans="1:9" ht="15">
      <c r="A1034" s="4236" t="s">
        <v>6181</v>
      </c>
      <c r="B1034" s="4236" t="s">
        <v>6182</v>
      </c>
      <c r="H1034" s="4237">
        <v>840000208000066</v>
      </c>
      <c r="I1034" s="4238" t="s">
        <v>6174</v>
      </c>
    </row>
    <row r="1035" spans="1:9" ht="15">
      <c r="A1035" s="4236" t="s">
        <v>6183</v>
      </c>
      <c r="B1035" s="4236" t="s">
        <v>6184</v>
      </c>
      <c r="H1035" s="4237">
        <v>840000208004501</v>
      </c>
      <c r="I1035" s="4243" t="s">
        <v>6185</v>
      </c>
    </row>
    <row r="1036" spans="1:9" ht="15">
      <c r="A1036" s="4236" t="s">
        <v>6186</v>
      </c>
      <c r="B1036" s="4236" t="s">
        <v>6187</v>
      </c>
      <c r="H1036" s="4237">
        <v>840000208029001</v>
      </c>
      <c r="I1036" s="4238" t="s">
        <v>4260</v>
      </c>
    </row>
    <row r="1037" spans="1:9" ht="15">
      <c r="A1037" s="4236" t="s">
        <v>6188</v>
      </c>
      <c r="B1037" s="4236" t="s">
        <v>6189</v>
      </c>
      <c r="H1037" s="4237">
        <v>840000208585001</v>
      </c>
      <c r="I1037" s="4238" t="s">
        <v>4260</v>
      </c>
    </row>
    <row r="1038" spans="1:9" ht="15">
      <c r="A1038" s="4236" t="s">
        <v>6190</v>
      </c>
      <c r="B1038" s="4236" t="s">
        <v>6191</v>
      </c>
      <c r="H1038" s="4237">
        <v>840000408000001</v>
      </c>
      <c r="I1038" s="4238" t="s">
        <v>6192</v>
      </c>
    </row>
    <row r="1039" spans="1:9" ht="15">
      <c r="A1039" s="4236" t="s">
        <v>6193</v>
      </c>
      <c r="B1039" s="4236" t="s">
        <v>6194</v>
      </c>
      <c r="H1039" s="4237">
        <v>840000508000006</v>
      </c>
      <c r="I1039" s="4238" t="s">
        <v>4277</v>
      </c>
    </row>
    <row r="1040" spans="1:9" ht="15">
      <c r="A1040" s="4236" t="s">
        <v>6195</v>
      </c>
      <c r="B1040" s="4236" t="s">
        <v>6196</v>
      </c>
      <c r="H1040" s="4237">
        <v>840000508000007</v>
      </c>
      <c r="I1040" s="4238" t="s">
        <v>6197</v>
      </c>
    </row>
    <row r="1041" spans="1:9" ht="15">
      <c r="A1041" s="4236" t="s">
        <v>6198</v>
      </c>
      <c r="B1041" s="4236" t="s">
        <v>6199</v>
      </c>
      <c r="H1041" s="4237">
        <v>840000508538004</v>
      </c>
      <c r="I1041" s="4238" t="s">
        <v>6200</v>
      </c>
    </row>
    <row r="1042" spans="1:9" ht="15">
      <c r="A1042" s="4236" t="s">
        <v>6201</v>
      </c>
      <c r="B1042" s="4236" t="s">
        <v>6202</v>
      </c>
      <c r="H1042" s="4237">
        <v>840000718538001</v>
      </c>
      <c r="I1042" s="4238" t="s">
        <v>6203</v>
      </c>
    </row>
    <row r="1043" spans="1:9" ht="15">
      <c r="A1043" s="4236" t="s">
        <v>6204</v>
      </c>
      <c r="B1043" s="4236" t="s">
        <v>6205</v>
      </c>
      <c r="H1043" s="4237">
        <v>840000718538005</v>
      </c>
      <c r="I1043" s="4238" t="s">
        <v>6203</v>
      </c>
    </row>
    <row r="1044" spans="1:9" ht="15">
      <c r="A1044" s="4236" t="s">
        <v>6206</v>
      </c>
      <c r="B1044" s="4236" t="s">
        <v>6207</v>
      </c>
      <c r="H1044" s="4237">
        <v>840000718538086</v>
      </c>
      <c r="I1044" s="4243" t="s">
        <v>5984</v>
      </c>
    </row>
    <row r="1045" spans="1:9" ht="15">
      <c r="A1045" s="4236" t="s">
        <v>6208</v>
      </c>
      <c r="B1045" s="4236" t="s">
        <v>6209</v>
      </c>
      <c r="H1045" s="4237">
        <v>840000738000059</v>
      </c>
      <c r="I1045" s="4238" t="s">
        <v>5879</v>
      </c>
    </row>
    <row r="1046" spans="1:9" ht="15">
      <c r="A1046" s="4236" t="s">
        <v>6210</v>
      </c>
      <c r="B1046" s="4236" t="s">
        <v>6211</v>
      </c>
      <c r="H1046" s="4237">
        <v>840000748000002</v>
      </c>
      <c r="I1046" s="4238" t="s">
        <v>6212</v>
      </c>
    </row>
    <row r="1047" spans="1:9" ht="15">
      <c r="A1047" s="4236" t="s">
        <v>6213</v>
      </c>
      <c r="B1047" s="4236" t="s">
        <v>6214</v>
      </c>
      <c r="H1047" s="4237">
        <v>840000748000020</v>
      </c>
      <c r="I1047" s="4238" t="s">
        <v>6215</v>
      </c>
    </row>
    <row r="1048" spans="1:9" ht="15">
      <c r="A1048" s="4236" t="s">
        <v>6216</v>
      </c>
      <c r="B1048" s="4236" t="s">
        <v>6217</v>
      </c>
      <c r="H1048" s="4237">
        <v>840000748000048</v>
      </c>
      <c r="I1048" s="4238" t="s">
        <v>6212</v>
      </c>
    </row>
    <row r="1049" spans="1:9" ht="15">
      <c r="A1049" s="4236" t="s">
        <v>6218</v>
      </c>
      <c r="B1049" s="4236" t="s">
        <v>6219</v>
      </c>
      <c r="H1049" s="4237">
        <v>840000748000083</v>
      </c>
      <c r="I1049" s="4238" t="s">
        <v>6212</v>
      </c>
    </row>
    <row r="1050" spans="1:9" ht="15">
      <c r="A1050" s="4236" t="s">
        <v>6220</v>
      </c>
      <c r="B1050" s="4236" t="s">
        <v>6221</v>
      </c>
      <c r="H1050" s="4237">
        <v>840000768000049</v>
      </c>
      <c r="I1050" s="4238" t="s">
        <v>6222</v>
      </c>
    </row>
    <row r="1051" spans="1:9" ht="15">
      <c r="A1051" s="4236" t="s">
        <v>6223</v>
      </c>
      <c r="B1051" s="4236" t="s">
        <v>6224</v>
      </c>
      <c r="H1051" s="4237">
        <v>840000768000070</v>
      </c>
      <c r="I1051" s="4238" t="s">
        <v>6225</v>
      </c>
    </row>
    <row r="1052" spans="1:9" ht="15">
      <c r="A1052" s="4236" t="s">
        <v>6226</v>
      </c>
      <c r="B1052" s="4236" t="s">
        <v>6227</v>
      </c>
      <c r="H1052" s="4237">
        <v>840000809000091</v>
      </c>
      <c r="I1052" s="4238" t="s">
        <v>4284</v>
      </c>
    </row>
    <row r="1053" spans="1:9" ht="15">
      <c r="A1053" s="4236" t="s">
        <v>6228</v>
      </c>
      <c r="B1053" s="4236" t="s">
        <v>6229</v>
      </c>
      <c r="H1053" s="4244">
        <v>840000909000092</v>
      </c>
      <c r="I1053" s="4245" t="s">
        <v>4787</v>
      </c>
    </row>
    <row r="1054" spans="1:9" ht="15">
      <c r="A1054" s="4236" t="s">
        <v>6230</v>
      </c>
      <c r="B1054" s="4236" t="s">
        <v>6231</v>
      </c>
      <c r="H1054" s="4244">
        <v>210000809800001</v>
      </c>
      <c r="I1054" s="4245" t="s">
        <v>4284</v>
      </c>
    </row>
    <row r="1055" spans="1:9" ht="15">
      <c r="A1055" s="4236" t="s">
        <v>6232</v>
      </c>
      <c r="B1055" s="4236" t="s">
        <v>6233</v>
      </c>
      <c r="H1055" s="4244">
        <v>210000809800002</v>
      </c>
      <c r="I1055" s="4245" t="s">
        <v>4284</v>
      </c>
    </row>
    <row r="1056" spans="1:9" ht="15">
      <c r="A1056" s="4236" t="s">
        <v>6234</v>
      </c>
      <c r="B1056" s="4236" t="s">
        <v>6235</v>
      </c>
      <c r="H1056" s="4246">
        <v>210000809800003</v>
      </c>
      <c r="I1056" s="4245" t="s">
        <v>4284</v>
      </c>
    </row>
    <row r="1057" spans="1:9" ht="15">
      <c r="A1057" s="4236" t="s">
        <v>6236</v>
      </c>
      <c r="B1057" s="4236" t="s">
        <v>6237</v>
      </c>
      <c r="H1057" s="4246">
        <v>210000809800004</v>
      </c>
      <c r="I1057" s="4245" t="s">
        <v>4284</v>
      </c>
    </row>
    <row r="1058" spans="1:9" ht="15">
      <c r="A1058" s="4236" t="s">
        <v>6238</v>
      </c>
      <c r="B1058" s="4236" t="s">
        <v>6239</v>
      </c>
      <c r="H1058" s="4246">
        <v>210000809800005</v>
      </c>
      <c r="I1058" s="4245" t="s">
        <v>4284</v>
      </c>
    </row>
    <row r="1059" spans="1:9" ht="15">
      <c r="A1059" s="4236" t="s">
        <v>6240</v>
      </c>
      <c r="B1059" s="4236" t="s">
        <v>6241</v>
      </c>
      <c r="H1059" s="4246">
        <v>210000909800011</v>
      </c>
      <c r="I1059" s="4245" t="s">
        <v>4787</v>
      </c>
    </row>
    <row r="1060" spans="1:9" ht="15">
      <c r="A1060" s="4236" t="s">
        <v>6242</v>
      </c>
      <c r="B1060" s="4236" t="s">
        <v>6243</v>
      </c>
      <c r="H1060" s="4246">
        <v>210000909800012</v>
      </c>
      <c r="I1060" s="4245" t="s">
        <v>4787</v>
      </c>
    </row>
    <row r="1061" spans="1:9" ht="15">
      <c r="A1061" s="4236" t="s">
        <v>6244</v>
      </c>
      <c r="B1061" s="4236" t="s">
        <v>6245</v>
      </c>
      <c r="H1061" s="4246">
        <v>210000909800013</v>
      </c>
      <c r="I1061" s="4245" t="s">
        <v>4787</v>
      </c>
    </row>
    <row r="1062" spans="1:9" ht="15">
      <c r="A1062" s="4236" t="s">
        <v>6246</v>
      </c>
      <c r="B1062" s="4236" t="s">
        <v>6247</v>
      </c>
      <c r="H1062" s="4246">
        <v>210000909800014</v>
      </c>
      <c r="I1062" s="4245" t="s">
        <v>4787</v>
      </c>
    </row>
    <row r="1063" spans="1:9" ht="15">
      <c r="A1063" s="4236" t="s">
        <v>6248</v>
      </c>
      <c r="B1063" s="4236" t="s">
        <v>6249</v>
      </c>
      <c r="H1063" s="4246">
        <v>210000909800015</v>
      </c>
      <c r="I1063" s="4245" t="s">
        <v>4787</v>
      </c>
    </row>
    <row r="1064" spans="1:9" ht="15">
      <c r="A1064" s="4236" t="s">
        <v>6250</v>
      </c>
      <c r="B1064" s="4236" t="s">
        <v>6251</v>
      </c>
      <c r="H1064" s="4246">
        <v>370000748200060</v>
      </c>
      <c r="I1064" s="4238" t="s">
        <v>4795</v>
      </c>
    </row>
    <row r="1065" spans="1:9" ht="15">
      <c r="A1065" s="4236" t="s">
        <v>6252</v>
      </c>
      <c r="B1065" s="4236" t="s">
        <v>6253</v>
      </c>
      <c r="H1065" s="4246">
        <v>550000202586018</v>
      </c>
      <c r="I1065" s="4245" t="s">
        <v>5341</v>
      </c>
    </row>
    <row r="1066" spans="1:9" ht="15">
      <c r="A1066" s="4236" t="s">
        <v>6254</v>
      </c>
      <c r="B1066" s="4236" t="s">
        <v>6255</v>
      </c>
      <c r="H1066" s="4246">
        <v>550000502340023</v>
      </c>
      <c r="I1066" s="4245" t="s">
        <v>5355</v>
      </c>
    </row>
    <row r="1067" spans="1:9" ht="15">
      <c r="A1067" s="4236" t="s">
        <v>6256</v>
      </c>
      <c r="B1067" s="4236" t="s">
        <v>6257</v>
      </c>
      <c r="H1067" s="4246">
        <v>600000748161101</v>
      </c>
      <c r="I1067" s="4245" t="s">
        <v>4957</v>
      </c>
    </row>
    <row r="1068" spans="1:9" ht="15">
      <c r="A1068" s="4236" t="s">
        <v>6258</v>
      </c>
      <c r="B1068" s="4236" t="s">
        <v>5871</v>
      </c>
      <c r="H1068" s="4246">
        <v>720000101000945</v>
      </c>
      <c r="I1068" s="4238" t="s">
        <v>4260</v>
      </c>
    </row>
    <row r="1069" spans="1:9" ht="15">
      <c r="A1069" s="4236" t="s">
        <v>6259</v>
      </c>
      <c r="B1069" s="4236" t="s">
        <v>6260</v>
      </c>
      <c r="H1069" s="4246">
        <v>720000602792018</v>
      </c>
      <c r="I1069" s="4245" t="s">
        <v>5180</v>
      </c>
    </row>
    <row r="1070" spans="1:9" ht="15">
      <c r="A1070" s="4236" t="s">
        <v>6261</v>
      </c>
      <c r="B1070" s="4236" t="s">
        <v>6262</v>
      </c>
      <c r="H1070" s="4246">
        <v>770000202261251</v>
      </c>
      <c r="I1070" s="4245" t="s">
        <v>4795</v>
      </c>
    </row>
    <row r="1071" spans="1:9" ht="15">
      <c r="A1071" s="4236" t="s">
        <v>6263</v>
      </c>
      <c r="B1071" s="4236" t="s">
        <v>6264</v>
      </c>
      <c r="H1071" s="4247"/>
      <c r="I1071" s="4241"/>
    </row>
    <row r="1072" spans="1:9" ht="15">
      <c r="A1072" s="4236" t="s">
        <v>6265</v>
      </c>
      <c r="B1072" s="4236" t="s">
        <v>6266</v>
      </c>
      <c r="H1072" s="4247"/>
      <c r="I1072" s="4241"/>
    </row>
    <row r="1073" spans="1:9" ht="15">
      <c r="A1073" s="4236" t="s">
        <v>6267</v>
      </c>
      <c r="B1073" s="4236" t="s">
        <v>6268</v>
      </c>
      <c r="H1073" s="4247"/>
      <c r="I1073" s="4241"/>
    </row>
    <row r="1074" spans="1:9" ht="15">
      <c r="A1074" s="4236" t="s">
        <v>6269</v>
      </c>
      <c r="B1074" s="4236" t="s">
        <v>6270</v>
      </c>
      <c r="H1074" s="4247"/>
      <c r="I1074" s="4241"/>
    </row>
    <row r="1075" spans="1:9" ht="15">
      <c r="A1075" s="4236" t="s">
        <v>6271</v>
      </c>
      <c r="B1075" s="4236" t="s">
        <v>6272</v>
      </c>
      <c r="H1075" s="4247"/>
      <c r="I1075" s="4241"/>
    </row>
    <row r="1076" spans="1:9" ht="15">
      <c r="A1076" s="4236" t="s">
        <v>6273</v>
      </c>
      <c r="B1076" s="4236" t="s">
        <v>2025</v>
      </c>
      <c r="H1076" s="4247"/>
      <c r="I1076" s="4241"/>
    </row>
    <row r="1077" spans="1:9" ht="15">
      <c r="A1077" s="4236" t="s">
        <v>6274</v>
      </c>
      <c r="B1077" s="4236" t="s">
        <v>6103</v>
      </c>
      <c r="H1077" s="4247"/>
      <c r="I1077" s="4241"/>
    </row>
    <row r="1078" spans="1:9" ht="15">
      <c r="A1078" s="4236" t="s">
        <v>6275</v>
      </c>
      <c r="B1078" s="4236" t="s">
        <v>6276</v>
      </c>
      <c r="H1078" s="4247"/>
      <c r="I1078" s="4241"/>
    </row>
    <row r="1079" spans="1:9" ht="15">
      <c r="A1079" s="4236" t="s">
        <v>6277</v>
      </c>
      <c r="B1079" s="4236" t="s">
        <v>6105</v>
      </c>
      <c r="H1079" s="4247"/>
      <c r="I1079" s="4241"/>
    </row>
    <row r="1080" spans="1:9" ht="15">
      <c r="A1080" s="4236" t="s">
        <v>6278</v>
      </c>
      <c r="B1080" s="4236" t="s">
        <v>6279</v>
      </c>
      <c r="H1080" s="4247"/>
      <c r="I1080" s="4241"/>
    </row>
    <row r="1081" spans="1:9" ht="15">
      <c r="A1081" s="4236" t="s">
        <v>6280</v>
      </c>
      <c r="B1081" s="4236" t="s">
        <v>6109</v>
      </c>
      <c r="H1081" s="4247"/>
      <c r="I1081" s="4241"/>
    </row>
    <row r="1082" spans="1:9" ht="15">
      <c r="A1082" s="4236" t="s">
        <v>6281</v>
      </c>
      <c r="B1082" s="4236" t="s">
        <v>6282</v>
      </c>
      <c r="H1082" s="4247"/>
      <c r="I1082" s="4241"/>
    </row>
    <row r="1083" spans="1:9" ht="15">
      <c r="A1083" s="4236" t="s">
        <v>6283</v>
      </c>
      <c r="B1083" s="4236" t="s">
        <v>6284</v>
      </c>
      <c r="H1083" s="4247"/>
      <c r="I1083" s="4241"/>
    </row>
    <row r="1084" spans="1:9" ht="15">
      <c r="A1084" s="4236" t="s">
        <v>6285</v>
      </c>
      <c r="B1084" s="4236" t="s">
        <v>6286</v>
      </c>
      <c r="H1084" s="4247"/>
      <c r="I1084" s="4241"/>
    </row>
    <row r="1085" spans="1:9" ht="15">
      <c r="A1085" s="4236" t="s">
        <v>6287</v>
      </c>
      <c r="B1085" s="4236" t="s">
        <v>6288</v>
      </c>
      <c r="H1085" s="4247"/>
      <c r="I1085" s="4241"/>
    </row>
    <row r="1086" spans="1:9" ht="15">
      <c r="A1086" s="4236" t="s">
        <v>6289</v>
      </c>
      <c r="B1086" s="4236" t="s">
        <v>6290</v>
      </c>
      <c r="H1086" s="4247"/>
      <c r="I1086" s="4241"/>
    </row>
    <row r="1087" spans="1:9" ht="15">
      <c r="A1087" s="4236" t="s">
        <v>6291</v>
      </c>
      <c r="B1087" s="4236" t="s">
        <v>6292</v>
      </c>
      <c r="H1087" s="4247"/>
      <c r="I1087" s="4241"/>
    </row>
    <row r="1088" spans="1:9" ht="15">
      <c r="A1088" s="4236" t="s">
        <v>6293</v>
      </c>
      <c r="B1088" s="4236" t="s">
        <v>6294</v>
      </c>
    </row>
    <row r="1089" spans="1:2" ht="15">
      <c r="A1089" s="4236" t="s">
        <v>2366</v>
      </c>
      <c r="B1089" s="4236" t="s">
        <v>6295</v>
      </c>
    </row>
    <row r="1090" spans="1:2" ht="15">
      <c r="A1090" s="4236" t="s">
        <v>6296</v>
      </c>
      <c r="B1090" s="4236" t="s">
        <v>6297</v>
      </c>
    </row>
    <row r="1091" spans="1:2" ht="15">
      <c r="A1091" s="4236" t="s">
        <v>6298</v>
      </c>
      <c r="B1091" s="4236" t="s">
        <v>6299</v>
      </c>
    </row>
    <row r="1092" spans="1:2" ht="15">
      <c r="A1092" s="4236" t="s">
        <v>6300</v>
      </c>
      <c r="B1092" s="4236" t="s">
        <v>6301</v>
      </c>
    </row>
    <row r="1093" spans="1:2" ht="15">
      <c r="A1093" s="4236" t="s">
        <v>6302</v>
      </c>
      <c r="B1093" s="4236" t="s">
        <v>6303</v>
      </c>
    </row>
    <row r="1094" spans="1:2" ht="15">
      <c r="A1094" s="4236" t="s">
        <v>6304</v>
      </c>
      <c r="B1094" s="4236" t="s">
        <v>6305</v>
      </c>
    </row>
    <row r="1095" spans="1:2" ht="15">
      <c r="A1095" s="4236" t="s">
        <v>6306</v>
      </c>
      <c r="B1095" s="4236" t="s">
        <v>6305</v>
      </c>
    </row>
    <row r="1096" spans="1:2" ht="15">
      <c r="A1096" s="4236" t="s">
        <v>6307</v>
      </c>
      <c r="B1096" s="4236" t="s">
        <v>6308</v>
      </c>
    </row>
    <row r="1097" spans="1:2" ht="15">
      <c r="A1097" s="4236" t="s">
        <v>6309</v>
      </c>
      <c r="B1097" s="4236" t="s">
        <v>6310</v>
      </c>
    </row>
    <row r="1098" spans="1:2" ht="15">
      <c r="A1098" s="4236" t="s">
        <v>6311</v>
      </c>
      <c r="B1098" s="4236" t="s">
        <v>6312</v>
      </c>
    </row>
    <row r="1099" spans="1:2" ht="15">
      <c r="A1099" s="4236" t="s">
        <v>6313</v>
      </c>
      <c r="B1099" s="4236" t="s">
        <v>6314</v>
      </c>
    </row>
    <row r="1100" spans="1:2" ht="15">
      <c r="A1100" s="4236" t="s">
        <v>6315</v>
      </c>
      <c r="B1100" s="4236" t="s">
        <v>6316</v>
      </c>
    </row>
    <row r="1101" spans="1:2" ht="15">
      <c r="A1101" s="4236" t="s">
        <v>6317</v>
      </c>
      <c r="B1101" s="4236" t="s">
        <v>6318</v>
      </c>
    </row>
    <row r="1102" spans="1:2" ht="15">
      <c r="A1102" s="4236" t="s">
        <v>6319</v>
      </c>
      <c r="B1102" s="4236" t="s">
        <v>6320</v>
      </c>
    </row>
    <row r="1103" spans="1:2" ht="15">
      <c r="A1103" s="4236" t="s">
        <v>6321</v>
      </c>
      <c r="B1103" s="4236" t="s">
        <v>6322</v>
      </c>
    </row>
    <row r="1104" spans="1:2" ht="15">
      <c r="A1104" s="4236" t="s">
        <v>6323</v>
      </c>
      <c r="B1104" s="4236" t="s">
        <v>6324</v>
      </c>
    </row>
    <row r="1105" spans="1:2" ht="15">
      <c r="A1105" s="4236" t="s">
        <v>6325</v>
      </c>
      <c r="B1105" s="4236" t="s">
        <v>6326</v>
      </c>
    </row>
    <row r="1106" spans="1:2" ht="15">
      <c r="A1106" s="4236" t="s">
        <v>6327</v>
      </c>
      <c r="B1106" s="4236" t="s">
        <v>6328</v>
      </c>
    </row>
    <row r="1107" spans="1:2" ht="15">
      <c r="A1107" s="4236" t="s">
        <v>6329</v>
      </c>
      <c r="B1107" s="4236" t="s">
        <v>6330</v>
      </c>
    </row>
    <row r="1108" spans="1:2" ht="15">
      <c r="A1108" s="4236" t="s">
        <v>6331</v>
      </c>
      <c r="B1108" s="4236" t="s">
        <v>6332</v>
      </c>
    </row>
    <row r="1109" spans="1:2" ht="15">
      <c r="A1109" s="4236" t="s">
        <v>6333</v>
      </c>
      <c r="B1109" s="4236" t="s">
        <v>6334</v>
      </c>
    </row>
    <row r="1110" spans="1:2" ht="15">
      <c r="A1110" s="4236" t="s">
        <v>6335</v>
      </c>
      <c r="B1110" s="4236" t="s">
        <v>6336</v>
      </c>
    </row>
    <row r="1111" spans="1:2" ht="15">
      <c r="A1111" s="4236" t="s">
        <v>6337</v>
      </c>
      <c r="B1111" s="4236" t="s">
        <v>6338</v>
      </c>
    </row>
    <row r="1112" spans="1:2" ht="15">
      <c r="A1112" s="4236" t="s">
        <v>6339</v>
      </c>
      <c r="B1112" s="4236" t="s">
        <v>6340</v>
      </c>
    </row>
    <row r="1113" spans="1:2" ht="15">
      <c r="A1113" s="4236" t="s">
        <v>6341</v>
      </c>
      <c r="B1113" s="4236" t="s">
        <v>6342</v>
      </c>
    </row>
    <row r="1114" spans="1:2" ht="15">
      <c r="A1114" s="4236" t="s">
        <v>6343</v>
      </c>
      <c r="B1114" s="4236" t="s">
        <v>6344</v>
      </c>
    </row>
    <row r="1115" spans="1:2" ht="15">
      <c r="A1115" s="4236" t="s">
        <v>6345</v>
      </c>
      <c r="B1115" s="4236" t="s">
        <v>6346</v>
      </c>
    </row>
    <row r="1116" spans="1:2" ht="15">
      <c r="A1116" s="4236" t="s">
        <v>6347</v>
      </c>
      <c r="B1116" s="4236" t="s">
        <v>6348</v>
      </c>
    </row>
    <row r="1117" spans="1:2" ht="15">
      <c r="A1117" s="4236" t="s">
        <v>6349</v>
      </c>
      <c r="B1117" s="4236" t="s">
        <v>6350</v>
      </c>
    </row>
    <row r="1118" spans="1:2" ht="15">
      <c r="A1118" s="4236" t="s">
        <v>6351</v>
      </c>
      <c r="B1118" s="4236" t="s">
        <v>6352</v>
      </c>
    </row>
    <row r="1119" spans="1:2" ht="15">
      <c r="A1119" s="4236" t="s">
        <v>6353</v>
      </c>
      <c r="B1119" s="4236" t="s">
        <v>6354</v>
      </c>
    </row>
    <row r="1120" spans="1:2" ht="15">
      <c r="A1120" s="4236" t="s">
        <v>6355</v>
      </c>
      <c r="B1120" s="4236" t="s">
        <v>6356</v>
      </c>
    </row>
    <row r="1121" spans="1:2" ht="15">
      <c r="A1121" s="4236" t="s">
        <v>6357</v>
      </c>
      <c r="B1121" s="4236" t="s">
        <v>6358</v>
      </c>
    </row>
    <row r="1122" spans="1:2" ht="15">
      <c r="A1122" s="4236" t="s">
        <v>6359</v>
      </c>
      <c r="B1122" s="4236" t="s">
        <v>6360</v>
      </c>
    </row>
    <row r="1123" spans="1:2" ht="15">
      <c r="A1123" s="4236" t="s">
        <v>6361</v>
      </c>
      <c r="B1123" s="4236" t="s">
        <v>6362</v>
      </c>
    </row>
    <row r="1124" spans="1:2" ht="15">
      <c r="A1124" s="4236" t="s">
        <v>6363</v>
      </c>
      <c r="B1124" s="4236" t="s">
        <v>6364</v>
      </c>
    </row>
    <row r="1125" spans="1:2" ht="15">
      <c r="A1125" s="4236" t="s">
        <v>6365</v>
      </c>
      <c r="B1125" s="4236" t="s">
        <v>6366</v>
      </c>
    </row>
    <row r="1126" spans="1:2" ht="15">
      <c r="A1126" s="4236" t="s">
        <v>6367</v>
      </c>
      <c r="B1126" s="4236" t="s">
        <v>6368</v>
      </c>
    </row>
    <row r="1127" spans="1:2" ht="15">
      <c r="A1127" s="4236" t="s">
        <v>6369</v>
      </c>
      <c r="B1127" s="4236" t="s">
        <v>6370</v>
      </c>
    </row>
    <row r="1128" spans="1:2" ht="15">
      <c r="A1128" s="4236" t="s">
        <v>6371</v>
      </c>
      <c r="B1128" s="4236" t="s">
        <v>6372</v>
      </c>
    </row>
    <row r="1129" spans="1:2" ht="15">
      <c r="A1129" s="4236" t="s">
        <v>6373</v>
      </c>
      <c r="B1129" s="4236" t="s">
        <v>6374</v>
      </c>
    </row>
    <row r="1130" spans="1:2" ht="15">
      <c r="A1130" s="4236" t="s">
        <v>6375</v>
      </c>
      <c r="B1130" s="4236" t="s">
        <v>6376</v>
      </c>
    </row>
    <row r="1131" spans="1:2" ht="15">
      <c r="A1131" s="4236" t="s">
        <v>6377</v>
      </c>
      <c r="B1131" s="4236" t="s">
        <v>6378</v>
      </c>
    </row>
    <row r="1132" spans="1:2" ht="15">
      <c r="A1132" s="4236" t="s">
        <v>6379</v>
      </c>
      <c r="B1132" s="4236" t="s">
        <v>6380</v>
      </c>
    </row>
    <row r="1133" spans="1:2" ht="15">
      <c r="A1133" s="4236" t="s">
        <v>6381</v>
      </c>
      <c r="B1133" s="4236" t="s">
        <v>6382</v>
      </c>
    </row>
    <row r="1134" spans="1:2" ht="15">
      <c r="A1134" s="4236" t="s">
        <v>6383</v>
      </c>
      <c r="B1134" s="4236" t="s">
        <v>6384</v>
      </c>
    </row>
    <row r="1135" spans="1:2" ht="15">
      <c r="A1135" s="4236" t="s">
        <v>6385</v>
      </c>
      <c r="B1135" s="4236" t="s">
        <v>6386</v>
      </c>
    </row>
    <row r="1136" spans="1:2" ht="15">
      <c r="A1136" s="4236" t="s">
        <v>6387</v>
      </c>
      <c r="B1136" s="4236" t="s">
        <v>4323</v>
      </c>
    </row>
    <row r="1137" spans="1:2" ht="15">
      <c r="A1137" s="4236" t="s">
        <v>6388</v>
      </c>
      <c r="B1137" s="4236" t="s">
        <v>6389</v>
      </c>
    </row>
    <row r="1138" spans="1:2" ht="15">
      <c r="A1138" s="4236" t="s">
        <v>6390</v>
      </c>
      <c r="B1138" s="4236" t="s">
        <v>6391</v>
      </c>
    </row>
    <row r="1139" spans="1:2" ht="15">
      <c r="A1139" s="4236" t="s">
        <v>6392</v>
      </c>
      <c r="B1139" s="4236" t="s">
        <v>6393</v>
      </c>
    </row>
    <row r="1140" spans="1:2" ht="15">
      <c r="A1140" s="4236" t="s">
        <v>6394</v>
      </c>
      <c r="B1140" s="4236" t="s">
        <v>6395</v>
      </c>
    </row>
    <row r="1141" spans="1:2" ht="15">
      <c r="A1141" s="4236" t="s">
        <v>6396</v>
      </c>
      <c r="B1141" s="4236" t="s">
        <v>6397</v>
      </c>
    </row>
    <row r="1142" spans="1:2" ht="15">
      <c r="A1142" s="4236" t="s">
        <v>6398</v>
      </c>
      <c r="B1142" s="4236" t="s">
        <v>6399</v>
      </c>
    </row>
    <row r="1143" spans="1:2" ht="15">
      <c r="A1143" s="4236" t="s">
        <v>6400</v>
      </c>
      <c r="B1143" s="4236" t="s">
        <v>6401</v>
      </c>
    </row>
    <row r="1144" spans="1:2" ht="15">
      <c r="A1144" s="4236" t="s">
        <v>6402</v>
      </c>
      <c r="B1144" s="4236" t="s">
        <v>4323</v>
      </c>
    </row>
    <row r="1145" spans="1:2" ht="15">
      <c r="A1145" s="4236" t="s">
        <v>6403</v>
      </c>
      <c r="B1145" s="4236" t="s">
        <v>6404</v>
      </c>
    </row>
    <row r="1146" spans="1:2" ht="15">
      <c r="A1146" s="4236" t="s">
        <v>6405</v>
      </c>
      <c r="B1146" s="4236" t="s">
        <v>6406</v>
      </c>
    </row>
    <row r="1147" spans="1:2" ht="15">
      <c r="A1147" s="4236" t="s">
        <v>6407</v>
      </c>
      <c r="B1147" s="4236" t="s">
        <v>6408</v>
      </c>
    </row>
    <row r="1148" spans="1:2" ht="15">
      <c r="A1148" s="4236" t="s">
        <v>6409</v>
      </c>
      <c r="B1148" s="4236" t="s">
        <v>6410</v>
      </c>
    </row>
    <row r="1149" spans="1:2" ht="15">
      <c r="A1149" s="4236" t="s">
        <v>6411</v>
      </c>
      <c r="B1149" s="4236" t="s">
        <v>6412</v>
      </c>
    </row>
    <row r="1150" spans="1:2" ht="15">
      <c r="A1150" s="4236" t="s">
        <v>6413</v>
      </c>
      <c r="B1150" s="4236" t="s">
        <v>6414</v>
      </c>
    </row>
    <row r="1151" spans="1:2" ht="15">
      <c r="A1151" s="4236" t="s">
        <v>6415</v>
      </c>
      <c r="B1151" s="4236" t="s">
        <v>6416</v>
      </c>
    </row>
    <row r="1152" spans="1:2" ht="15">
      <c r="A1152" s="4236" t="s">
        <v>6417</v>
      </c>
      <c r="B1152" s="4236" t="s">
        <v>6418</v>
      </c>
    </row>
    <row r="1153" spans="1:2" ht="15">
      <c r="A1153" s="4236" t="s">
        <v>6419</v>
      </c>
      <c r="B1153" s="4236" t="s">
        <v>6420</v>
      </c>
    </row>
    <row r="1154" spans="1:2" ht="15">
      <c r="A1154" s="4236" t="s">
        <v>6421</v>
      </c>
      <c r="B1154" s="4236" t="s">
        <v>6422</v>
      </c>
    </row>
    <row r="1155" spans="1:2" ht="15">
      <c r="A1155" s="4236" t="s">
        <v>6423</v>
      </c>
      <c r="B1155" s="4236" t="s">
        <v>6424</v>
      </c>
    </row>
    <row r="1156" spans="1:2" ht="15">
      <c r="A1156" s="4236" t="s">
        <v>6425</v>
      </c>
      <c r="B1156" s="4236" t="s">
        <v>6426</v>
      </c>
    </row>
    <row r="1157" spans="1:2" ht="15">
      <c r="A1157" s="4236" t="s">
        <v>6427</v>
      </c>
      <c r="B1157" s="4236" t="s">
        <v>6428</v>
      </c>
    </row>
    <row r="1158" spans="1:2" ht="15">
      <c r="A1158" s="4236" t="s">
        <v>6429</v>
      </c>
      <c r="B1158" s="4236" t="s">
        <v>6430</v>
      </c>
    </row>
    <row r="1159" spans="1:2" ht="15">
      <c r="A1159" s="4236" t="s">
        <v>6431</v>
      </c>
      <c r="B1159" s="4236" t="s">
        <v>6432</v>
      </c>
    </row>
    <row r="1160" spans="1:2" ht="15">
      <c r="A1160" s="4236" t="s">
        <v>6433</v>
      </c>
      <c r="B1160" s="4236" t="s">
        <v>6434</v>
      </c>
    </row>
    <row r="1161" spans="1:2" ht="15">
      <c r="A1161" s="4236" t="s">
        <v>6435</v>
      </c>
      <c r="B1161" s="4236" t="s">
        <v>6436</v>
      </c>
    </row>
    <row r="1162" spans="1:2" ht="15">
      <c r="A1162" s="4236" t="s">
        <v>6437</v>
      </c>
      <c r="B1162" s="4236" t="s">
        <v>6438</v>
      </c>
    </row>
    <row r="1163" spans="1:2" ht="15">
      <c r="A1163" s="4236" t="s">
        <v>6439</v>
      </c>
      <c r="B1163" s="4236" t="s">
        <v>6440</v>
      </c>
    </row>
    <row r="1164" spans="1:2" ht="15">
      <c r="A1164" s="4236" t="s">
        <v>6441</v>
      </c>
      <c r="B1164" s="4236" t="s">
        <v>6442</v>
      </c>
    </row>
    <row r="1165" spans="1:2" ht="15">
      <c r="A1165" s="4236" t="s">
        <v>6443</v>
      </c>
      <c r="B1165" s="4236" t="s">
        <v>6444</v>
      </c>
    </row>
    <row r="1166" spans="1:2" ht="15">
      <c r="A1166" s="4236" t="s">
        <v>6445</v>
      </c>
      <c r="B1166" s="4236" t="s">
        <v>6446</v>
      </c>
    </row>
    <row r="1167" spans="1:2" ht="15">
      <c r="A1167" s="4236" t="s">
        <v>6447</v>
      </c>
      <c r="B1167" s="4236" t="s">
        <v>6448</v>
      </c>
    </row>
    <row r="1168" spans="1:2" ht="15">
      <c r="A1168" s="4236" t="s">
        <v>6449</v>
      </c>
      <c r="B1168" s="4236" t="s">
        <v>6408</v>
      </c>
    </row>
    <row r="1169" spans="1:2" ht="15">
      <c r="A1169" s="4236" t="s">
        <v>6450</v>
      </c>
      <c r="B1169" s="4236" t="s">
        <v>6451</v>
      </c>
    </row>
    <row r="1170" spans="1:2" ht="15">
      <c r="A1170" s="4236" t="s">
        <v>6452</v>
      </c>
      <c r="B1170" s="4236" t="s">
        <v>6453</v>
      </c>
    </row>
    <row r="1171" spans="1:2" ht="15">
      <c r="A1171" s="4236" t="s">
        <v>6454</v>
      </c>
      <c r="B1171" s="4236" t="s">
        <v>6406</v>
      </c>
    </row>
    <row r="1172" spans="1:2" ht="15">
      <c r="A1172" s="4236" t="s">
        <v>6455</v>
      </c>
      <c r="B1172" s="4236" t="s">
        <v>6456</v>
      </c>
    </row>
    <row r="1173" spans="1:2" ht="15">
      <c r="A1173" s="4236" t="s">
        <v>6457</v>
      </c>
      <c r="B1173" s="4236" t="s">
        <v>6458</v>
      </c>
    </row>
    <row r="1174" spans="1:2" ht="15">
      <c r="A1174" s="4236" t="s">
        <v>6459</v>
      </c>
      <c r="B1174" s="4236" t="s">
        <v>6460</v>
      </c>
    </row>
    <row r="1175" spans="1:2" ht="15">
      <c r="A1175" s="4236" t="s">
        <v>6461</v>
      </c>
      <c r="B1175" s="4236" t="s">
        <v>6462</v>
      </c>
    </row>
    <row r="1176" spans="1:2" ht="15">
      <c r="A1176" s="4236" t="s">
        <v>6463</v>
      </c>
      <c r="B1176" s="4236" t="s">
        <v>6464</v>
      </c>
    </row>
    <row r="1177" spans="1:2" ht="15">
      <c r="A1177" s="4236" t="s">
        <v>6465</v>
      </c>
      <c r="B1177" s="4236" t="s">
        <v>6466</v>
      </c>
    </row>
    <row r="1178" spans="1:2" ht="15">
      <c r="A1178" s="4236" t="s">
        <v>6467</v>
      </c>
      <c r="B1178" s="4236" t="s">
        <v>6468</v>
      </c>
    </row>
    <row r="1179" spans="1:2" ht="15">
      <c r="A1179" s="4236" t="s">
        <v>6469</v>
      </c>
      <c r="B1179" s="4236" t="s">
        <v>6470</v>
      </c>
    </row>
    <row r="1180" spans="1:2" ht="15">
      <c r="A1180" s="4236" t="s">
        <v>6471</v>
      </c>
      <c r="B1180" s="4236" t="s">
        <v>6472</v>
      </c>
    </row>
    <row r="1181" spans="1:2" ht="15">
      <c r="A1181" s="4236" t="s">
        <v>6473</v>
      </c>
      <c r="B1181" s="4236" t="s">
        <v>6474</v>
      </c>
    </row>
    <row r="1182" spans="1:2" ht="15">
      <c r="A1182" s="4236" t="s">
        <v>6475</v>
      </c>
      <c r="B1182" s="4236" t="s">
        <v>6476</v>
      </c>
    </row>
    <row r="1183" spans="1:2" ht="15">
      <c r="A1183" s="4236" t="s">
        <v>6477</v>
      </c>
      <c r="B1183" s="4236" t="s">
        <v>6478</v>
      </c>
    </row>
    <row r="1184" spans="1:2" ht="15">
      <c r="A1184" s="4236" t="s">
        <v>6479</v>
      </c>
      <c r="B1184" s="4236" t="s">
        <v>6480</v>
      </c>
    </row>
    <row r="1185" spans="1:2" ht="15">
      <c r="A1185" s="4236" t="s">
        <v>6481</v>
      </c>
      <c r="B1185" s="4236" t="s">
        <v>6482</v>
      </c>
    </row>
    <row r="1186" spans="1:2" ht="15">
      <c r="A1186" s="4236" t="s">
        <v>6483</v>
      </c>
      <c r="B1186" s="4236" t="s">
        <v>6484</v>
      </c>
    </row>
    <row r="1187" spans="1:2" ht="15">
      <c r="A1187" s="4236" t="s">
        <v>6485</v>
      </c>
      <c r="B1187" s="4236" t="s">
        <v>6486</v>
      </c>
    </row>
    <row r="1188" spans="1:2" ht="15">
      <c r="A1188" s="4236" t="s">
        <v>6487</v>
      </c>
      <c r="B1188" s="4236" t="s">
        <v>6488</v>
      </c>
    </row>
    <row r="1189" spans="1:2" ht="15">
      <c r="A1189" s="4236" t="s">
        <v>6489</v>
      </c>
      <c r="B1189" s="4236" t="s">
        <v>6490</v>
      </c>
    </row>
    <row r="1190" spans="1:2" ht="15">
      <c r="A1190" s="4236" t="s">
        <v>6491</v>
      </c>
      <c r="B1190" s="4236" t="s">
        <v>6492</v>
      </c>
    </row>
    <row r="1191" spans="1:2" ht="15">
      <c r="A1191" s="4236" t="s">
        <v>6493</v>
      </c>
      <c r="B1191" s="4236" t="s">
        <v>6494</v>
      </c>
    </row>
    <row r="1192" spans="1:2" ht="15">
      <c r="A1192" s="4236" t="s">
        <v>6495</v>
      </c>
      <c r="B1192" s="4236" t="s">
        <v>6496</v>
      </c>
    </row>
  </sheetData>
  <sheetProtection algorithmName="SHA-512" hashValue="spCUWfj5LQC8HwXdVhPZEHVRcdzj2MGNHMXJSDnVPMpAmzWpJESVbAvfRWzrhvMmr/RcEHNAsEwFIUiQQ1ATqw==" saltValue="H49lxZzq/wwiiTzh6/8fow==" spinCount="100000" sheet="1" selectLockedCells="1" selectUnlockedCells="1"/>
  <pageMargins left="0.7" right="0.7" top="0.75" bottom="0.75" header="0.3" footer="0.3"/>
  <pageSetup orientation="portrait" r:id="rId1"/>
  <tableParts count="4">
    <tablePart r:id="rId2"/>
    <tablePart r:id="rId3"/>
    <tablePart r:id="rId4"/>
    <tablePart r:id="rId5"/>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66FF99"/>
  </sheetPr>
  <dimension ref="A1:AC42"/>
  <sheetViews>
    <sheetView tabSelected="1" zoomScale="90" zoomScaleNormal="90" workbookViewId="0"/>
  </sheetViews>
  <sheetFormatPr defaultColWidth="2.5703125" defaultRowHeight="15"/>
  <cols>
    <col min="1" max="2" width="2.5703125" style="1468" customWidth="1"/>
    <col min="3" max="3" width="1.28515625" style="1468" customWidth="1"/>
    <col min="4" max="4" width="14.42578125" style="1468" customWidth="1"/>
    <col min="5" max="5" width="0.85546875" style="1468" customWidth="1"/>
    <col min="6" max="6" width="6.7109375" style="1468" customWidth="1"/>
    <col min="7" max="7" width="5.42578125" style="1468" customWidth="1"/>
    <col min="8" max="8" width="2.5703125" style="1468" customWidth="1"/>
    <col min="9" max="9" width="1.28515625" style="1468" customWidth="1"/>
    <col min="10" max="10" width="2.5703125" style="1468" customWidth="1"/>
    <col min="11" max="11" width="4.85546875" style="1468" customWidth="1"/>
    <col min="12" max="12" width="15.7109375" style="1468" customWidth="1"/>
    <col min="13" max="13" width="1.140625" style="1468" customWidth="1"/>
    <col min="14" max="14" width="1.28515625" style="1468" customWidth="1"/>
    <col min="15" max="15" width="16.5703125" style="1468" customWidth="1"/>
    <col min="16" max="16" width="19.140625" style="1468" customWidth="1"/>
    <col min="17" max="17" width="10.7109375" style="1468" customWidth="1"/>
    <col min="18" max="18" width="18.28515625" style="1468" customWidth="1"/>
    <col min="19" max="24" width="10.7109375" style="1468" customWidth="1"/>
    <col min="25" max="16384" width="2.5703125" style="1468"/>
  </cols>
  <sheetData>
    <row r="1" spans="1:29" ht="15.75">
      <c r="B1" s="2536"/>
      <c r="C1" s="2536"/>
      <c r="D1" s="2536"/>
      <c r="E1" s="2536"/>
      <c r="F1" s="2536"/>
      <c r="G1" s="2536"/>
      <c r="H1" s="2536"/>
      <c r="I1" s="2536"/>
      <c r="J1" s="2536"/>
      <c r="K1" s="2536"/>
      <c r="L1" s="2536"/>
      <c r="M1" s="3028" t="s">
        <v>3098</v>
      </c>
      <c r="N1" s="2536"/>
      <c r="O1" s="2536"/>
      <c r="P1" s="2536"/>
      <c r="Q1" s="2536"/>
      <c r="R1" s="2536"/>
      <c r="S1" s="2536"/>
      <c r="T1" s="2536"/>
      <c r="U1" s="1470"/>
      <c r="V1" s="1470"/>
      <c r="W1" s="1470"/>
      <c r="X1" s="1470"/>
      <c r="Y1" s="1470"/>
      <c r="Z1" s="1470"/>
      <c r="AA1" s="1470"/>
      <c r="AB1" s="1470"/>
      <c r="AC1" s="1470"/>
    </row>
    <row r="2" spans="1:29" ht="15.75">
      <c r="B2" s="2536"/>
      <c r="C2" s="2536"/>
      <c r="D2" s="2536"/>
      <c r="E2" s="2536"/>
      <c r="F2" s="2536"/>
      <c r="G2" s="2536"/>
      <c r="H2" s="2536"/>
      <c r="I2" s="2536"/>
      <c r="J2" s="2536"/>
      <c r="K2" s="2536"/>
      <c r="L2" s="2536"/>
      <c r="M2" s="3028" t="s">
        <v>3525</v>
      </c>
      <c r="N2" s="2536"/>
      <c r="O2" s="2536"/>
      <c r="P2" s="2536"/>
      <c r="Q2" s="2536"/>
      <c r="R2" s="2536"/>
      <c r="S2" s="2536"/>
      <c r="T2" s="2536"/>
      <c r="U2" s="1470"/>
      <c r="V2" s="1470"/>
      <c r="W2" s="1470"/>
      <c r="X2" s="1470"/>
      <c r="Y2" s="1470"/>
      <c r="Z2" s="1470"/>
      <c r="AA2" s="1470"/>
      <c r="AB2" s="1470"/>
      <c r="AC2" s="1470"/>
    </row>
    <row r="3" spans="1:29" ht="15" customHeight="1">
      <c r="B3" s="2739"/>
      <c r="C3" s="2739"/>
      <c r="D3" s="2739"/>
      <c r="E3" s="2739"/>
      <c r="F3" s="2739"/>
      <c r="G3" s="2739"/>
      <c r="H3" s="2739"/>
      <c r="I3" s="2739"/>
      <c r="J3" s="2739"/>
      <c r="K3" s="2739"/>
      <c r="L3" s="3036" t="str">
        <f>'CU3-Deficit Ending Equity'!D4</f>
        <v>June 30, 2021</v>
      </c>
      <c r="M3" s="3045">
        <f>'CU3-Deficit Ending Equity'!N2</f>
        <v>0</v>
      </c>
      <c r="N3" s="2739"/>
      <c r="O3" s="2739"/>
      <c r="P3" s="2739"/>
      <c r="Q3" s="2739"/>
      <c r="R3" s="2739"/>
      <c r="S3" s="2691"/>
      <c r="T3" s="2691"/>
      <c r="U3" s="1522"/>
      <c r="V3" s="1522"/>
      <c r="W3" s="1522"/>
      <c r="X3" s="1522"/>
      <c r="Y3" s="1522"/>
      <c r="Z3" s="1522"/>
      <c r="AA3" s="1522"/>
      <c r="AB3" s="1522"/>
      <c r="AC3" s="1522"/>
    </row>
    <row r="4" spans="1:29" ht="8.1" customHeight="1">
      <c r="A4" s="1575"/>
      <c r="B4" s="1575"/>
      <c r="C4" s="1575"/>
      <c r="D4" s="1575"/>
      <c r="E4" s="1575"/>
      <c r="F4" s="1575"/>
      <c r="G4" s="1575"/>
      <c r="H4" s="1575"/>
      <c r="I4" s="1575"/>
      <c r="J4" s="1575"/>
      <c r="K4" s="1575"/>
      <c r="L4" s="1575"/>
      <c r="M4" s="1575"/>
      <c r="N4" s="1575"/>
      <c r="O4" s="1575"/>
      <c r="P4" s="1575"/>
      <c r="Q4" s="1575"/>
      <c r="R4" s="1575"/>
    </row>
    <row r="5" spans="1:29" ht="15.75" customHeight="1">
      <c r="A5" s="3050"/>
      <c r="B5" s="2740"/>
      <c r="C5" s="2740"/>
      <c r="D5" s="3051"/>
      <c r="E5" s="3051"/>
      <c r="F5" s="3051"/>
      <c r="G5" s="3051"/>
      <c r="H5" s="3051"/>
      <c r="I5" s="3051"/>
      <c r="J5" s="3051"/>
      <c r="K5" s="3051"/>
      <c r="L5" s="3050"/>
      <c r="M5" s="3052" t="s">
        <v>3033</v>
      </c>
      <c r="N5" s="2740"/>
      <c r="O5" s="2740"/>
      <c r="P5" s="2740"/>
      <c r="Q5" s="2740"/>
      <c r="R5" s="2740"/>
      <c r="S5" s="1576"/>
      <c r="T5" s="1576"/>
    </row>
    <row r="6" spans="1:29" ht="15.75" customHeight="1">
      <c r="A6" s="3050"/>
      <c r="B6" s="2740"/>
      <c r="C6" s="2740"/>
      <c r="D6" s="3051"/>
      <c r="E6" s="3051"/>
      <c r="F6" s="3051"/>
      <c r="G6" s="3051"/>
      <c r="H6" s="3051"/>
      <c r="I6" s="3051"/>
      <c r="J6" s="3051"/>
      <c r="K6" s="3051"/>
      <c r="L6" s="3050"/>
      <c r="M6" s="3052" t="s">
        <v>3034</v>
      </c>
      <c r="N6" s="2740"/>
      <c r="O6" s="2740"/>
      <c r="P6" s="2740"/>
      <c r="Q6" s="2740"/>
      <c r="R6" s="2740"/>
      <c r="S6" s="1576"/>
      <c r="T6" s="1576"/>
    </row>
    <row r="7" spans="1:29">
      <c r="A7" s="1577"/>
    </row>
    <row r="8" spans="1:29" ht="15.75">
      <c r="A8" s="1504" t="s">
        <v>3101</v>
      </c>
      <c r="H8" s="1521"/>
      <c r="J8" s="1521"/>
      <c r="K8" s="1521"/>
      <c r="O8" s="2719" t="str">
        <f>'Adjustment Form'!B7</f>
        <v>SAMPLE STATE COLLEGE</v>
      </c>
      <c r="P8" s="2719"/>
      <c r="Q8" s="2719"/>
      <c r="R8" s="2719"/>
      <c r="S8" s="2730"/>
      <c r="T8" s="2730"/>
    </row>
    <row r="9" spans="1:29" ht="5.25" customHeight="1">
      <c r="A9" s="1504"/>
      <c r="H9" s="1521"/>
      <c r="J9" s="1521"/>
      <c r="K9" s="1521"/>
      <c r="L9" s="1521"/>
      <c r="M9" s="1521"/>
      <c r="N9" s="1521"/>
      <c r="O9" s="1521"/>
      <c r="P9" s="1521"/>
      <c r="Q9" s="1521"/>
      <c r="R9" s="1521"/>
      <c r="S9" s="1478"/>
      <c r="T9" s="1478"/>
    </row>
    <row r="10" spans="1:29" ht="15.75">
      <c r="A10" s="1504" t="s">
        <v>3102</v>
      </c>
      <c r="H10" s="1521"/>
      <c r="J10" s="1521"/>
      <c r="K10" s="1521"/>
      <c r="L10" s="1521"/>
      <c r="M10" s="1521"/>
      <c r="N10" s="1521"/>
      <c r="O10" s="2719" t="e">
        <f>'Adjustment Form'!B9</f>
        <v>#N/A</v>
      </c>
      <c r="P10" s="2719"/>
      <c r="Q10" s="2719"/>
      <c r="R10" s="2719"/>
      <c r="S10" s="1521"/>
      <c r="T10" s="1521"/>
    </row>
    <row r="11" spans="1:29" s="1483" customFormat="1" ht="5.0999999999999996" customHeight="1">
      <c r="A11" s="1481"/>
      <c r="H11" s="1503"/>
      <c r="J11" s="1503"/>
      <c r="L11" s="1503"/>
      <c r="O11" s="1503"/>
      <c r="P11" s="1503"/>
      <c r="R11" s="1503"/>
      <c r="S11" s="1503"/>
      <c r="T11" s="1503"/>
    </row>
    <row r="12" spans="1:29" s="1483" customFormat="1" ht="15" customHeight="1">
      <c r="A12" s="1481" t="s">
        <v>3526</v>
      </c>
      <c r="H12" s="1503"/>
      <c r="J12" s="1503"/>
      <c r="L12" s="1503"/>
      <c r="O12" s="1503"/>
      <c r="P12" s="1503"/>
      <c r="Q12" s="2540" t="s">
        <v>3527</v>
      </c>
      <c r="R12" s="1675"/>
      <c r="T12" s="1503"/>
    </row>
    <row r="13" spans="1:29" s="1483" customFormat="1" ht="8.1" customHeight="1">
      <c r="A13" s="1481"/>
      <c r="H13" s="1503"/>
      <c r="J13" s="1503"/>
      <c r="L13" s="1503"/>
      <c r="O13" s="1503"/>
      <c r="P13" s="1503"/>
      <c r="R13" s="1503"/>
      <c r="S13" s="1503"/>
      <c r="T13" s="1503"/>
    </row>
    <row r="14" spans="1:29" s="1483" customFormat="1" ht="15" customHeight="1">
      <c r="A14" s="1483" t="s">
        <v>3528</v>
      </c>
      <c r="H14" s="1503"/>
      <c r="J14" s="1503"/>
      <c r="L14" s="1503"/>
      <c r="O14" s="1503"/>
      <c r="P14" s="1503"/>
      <c r="R14" s="1503"/>
      <c r="S14" s="1503"/>
      <c r="T14" s="1503"/>
    </row>
    <row r="15" spans="1:29">
      <c r="A15" s="1483" t="s">
        <v>3529</v>
      </c>
    </row>
    <row r="16" spans="1:29">
      <c r="A16" s="1483"/>
    </row>
    <row r="17" spans="1:29">
      <c r="A17" s="1481" t="s">
        <v>3530</v>
      </c>
    </row>
    <row r="18" spans="1:29" ht="7.5" customHeight="1">
      <c r="A18" s="1483"/>
    </row>
    <row r="19" spans="1:29" s="1483" customFormat="1" ht="12.75">
      <c r="A19" s="1503"/>
      <c r="B19" s="1503"/>
      <c r="F19" s="2544" t="s">
        <v>3463</v>
      </c>
      <c r="G19" s="1481"/>
      <c r="H19" s="1481"/>
      <c r="I19" s="1481"/>
      <c r="J19" s="1481"/>
      <c r="L19" s="2540" t="s">
        <v>3531</v>
      </c>
      <c r="P19" s="3602"/>
      <c r="Q19" s="2540"/>
      <c r="R19" s="2540"/>
      <c r="S19" s="1486"/>
      <c r="T19" s="1486"/>
      <c r="U19" s="1486"/>
      <c r="V19" s="1486"/>
      <c r="W19" s="1481"/>
      <c r="X19" s="1486"/>
      <c r="Y19" s="1486"/>
      <c r="Z19" s="1486"/>
      <c r="AA19" s="1486"/>
      <c r="AB19" s="1486"/>
      <c r="AC19" s="1486"/>
    </row>
    <row r="20" spans="1:29" s="1483" customFormat="1" ht="12.75">
      <c r="A20" s="1503"/>
      <c r="B20" s="1503"/>
      <c r="D20" s="2868"/>
      <c r="E20" s="2867" t="s">
        <v>3532</v>
      </c>
      <c r="F20" s="1559"/>
      <c r="G20" s="1559"/>
      <c r="H20" s="1559"/>
      <c r="I20" s="1559"/>
      <c r="J20" s="1559"/>
      <c r="L20" s="2864" t="s">
        <v>3533</v>
      </c>
      <c r="P20" s="3602"/>
      <c r="Q20" s="1481"/>
      <c r="R20" s="1557"/>
      <c r="S20" s="1486"/>
      <c r="T20" s="1486"/>
      <c r="U20" s="1486"/>
      <c r="V20" s="1486"/>
      <c r="W20" s="1486"/>
      <c r="X20" s="1503"/>
      <c r="Y20" s="1503"/>
      <c r="Z20" s="1503"/>
      <c r="AA20" s="1503"/>
      <c r="AB20" s="1503"/>
      <c r="AC20" s="1503"/>
    </row>
    <row r="21" spans="1:29" s="1483" customFormat="1" ht="12.75">
      <c r="A21" s="1503"/>
      <c r="B21" s="1503"/>
      <c r="E21" s="1562"/>
      <c r="F21" s="3654">
        <v>2022</v>
      </c>
      <c r="G21" s="1562"/>
      <c r="H21" s="1562"/>
      <c r="I21" s="1562"/>
      <c r="J21" s="1562"/>
      <c r="K21" s="1574"/>
      <c r="L21" s="3257"/>
      <c r="P21" s="3184"/>
      <c r="Q21" s="1481"/>
      <c r="R21" s="2540"/>
      <c r="S21" s="1486"/>
      <c r="T21" s="1486"/>
      <c r="U21" s="1486"/>
      <c r="V21" s="1486"/>
      <c r="W21" s="1486"/>
      <c r="X21" s="1503"/>
      <c r="Y21" s="1503"/>
      <c r="Z21" s="1503"/>
      <c r="AA21" s="1503"/>
      <c r="AB21" s="1503"/>
      <c r="AC21" s="1503"/>
    </row>
    <row r="22" spans="1:29" s="1483" customFormat="1" ht="12.75">
      <c r="A22" s="1503"/>
      <c r="B22" s="1503"/>
      <c r="E22" s="1562"/>
      <c r="F22" s="3654">
        <f ca="1">YEAR(TODAY())+2</f>
        <v>2023</v>
      </c>
      <c r="G22" s="1562"/>
      <c r="H22" s="1562"/>
      <c r="I22" s="1562"/>
      <c r="J22" s="1562"/>
      <c r="K22" s="1574"/>
      <c r="L22" s="3884"/>
      <c r="P22" s="3184"/>
      <c r="Q22" s="1481"/>
      <c r="R22" s="2540"/>
      <c r="S22" s="1486"/>
      <c r="T22" s="1486"/>
      <c r="U22" s="1486"/>
      <c r="V22" s="1486"/>
      <c r="W22" s="1486"/>
      <c r="X22" s="1503"/>
      <c r="Y22" s="1503"/>
      <c r="Z22" s="1503"/>
      <c r="AA22" s="1503"/>
      <c r="AB22" s="1503"/>
      <c r="AC22" s="1503"/>
    </row>
    <row r="23" spans="1:29" s="1483" customFormat="1" ht="14.25" customHeight="1">
      <c r="A23" s="1503"/>
      <c r="B23" s="1503"/>
      <c r="E23" s="1562"/>
      <c r="F23" s="3654">
        <f ca="1">YEAR(TODAY())+3</f>
        <v>2024</v>
      </c>
      <c r="G23" s="1562"/>
      <c r="H23" s="1562"/>
      <c r="I23" s="1562"/>
      <c r="J23" s="1562"/>
      <c r="L23" s="3257"/>
      <c r="P23" s="3184"/>
      <c r="R23" s="1503"/>
      <c r="S23" s="1503"/>
      <c r="T23" s="1503"/>
      <c r="U23" s="1503"/>
      <c r="V23" s="1503"/>
      <c r="W23" s="1503"/>
      <c r="X23" s="1503"/>
      <c r="Y23" s="1503"/>
      <c r="Z23" s="1503"/>
      <c r="AA23" s="1503"/>
      <c r="AB23" s="1503"/>
      <c r="AC23" s="1503"/>
    </row>
    <row r="24" spans="1:29">
      <c r="A24" s="1503"/>
      <c r="B24" s="1503"/>
      <c r="E24" s="1562"/>
      <c r="F24" s="3654">
        <f ca="1">YEAR(TODAY())+4</f>
        <v>2025</v>
      </c>
      <c r="G24" s="1562"/>
      <c r="H24" s="1562"/>
      <c r="I24" s="1562"/>
      <c r="J24" s="1562"/>
      <c r="K24" s="1503"/>
      <c r="L24" s="3257"/>
      <c r="P24" s="3184"/>
      <c r="R24" s="1503"/>
      <c r="S24" s="1503"/>
      <c r="T24" s="1503"/>
      <c r="U24" s="1503"/>
      <c r="V24" s="1503"/>
      <c r="W24" s="1503"/>
      <c r="X24" s="1503"/>
      <c r="Y24" s="1503"/>
      <c r="Z24" s="1521"/>
      <c r="AA24" s="1503"/>
      <c r="AB24" s="1503"/>
      <c r="AC24" s="1503"/>
    </row>
    <row r="25" spans="1:29">
      <c r="A25" s="1503"/>
      <c r="B25" s="1503"/>
      <c r="C25" s="1503"/>
      <c r="E25" s="1562"/>
      <c r="F25" s="3654">
        <f ca="1">YEAR(TODAY())+5</f>
        <v>2026</v>
      </c>
      <c r="G25" s="1562"/>
      <c r="H25" s="1562"/>
      <c r="I25" s="1562"/>
      <c r="J25" s="1562"/>
      <c r="K25" s="1503"/>
      <c r="L25" s="3257"/>
      <c r="P25" s="3184"/>
      <c r="R25" s="1503"/>
      <c r="S25" s="1503"/>
      <c r="T25" s="1503"/>
      <c r="U25" s="1503"/>
      <c r="V25" s="1503"/>
      <c r="W25" s="1503"/>
      <c r="X25" s="1503"/>
      <c r="Y25" s="1503"/>
      <c r="Z25" s="1521"/>
      <c r="AA25" s="1503"/>
      <c r="AB25" s="1503"/>
      <c r="AC25" s="1503"/>
    </row>
    <row r="26" spans="1:29" ht="14.25" customHeight="1">
      <c r="A26" s="1503"/>
      <c r="B26" s="1503"/>
      <c r="C26" s="1503"/>
      <c r="E26" s="1562"/>
      <c r="F26" s="3654">
        <f ca="1">YEAR(TODAY())+6</f>
        <v>2027</v>
      </c>
      <c r="G26" s="1562"/>
      <c r="H26" s="1562"/>
      <c r="I26" s="1562"/>
      <c r="J26" s="1562"/>
      <c r="K26" s="1503"/>
      <c r="L26" s="3257"/>
      <c r="P26" s="3184"/>
      <c r="R26" s="1503"/>
      <c r="S26" s="1503"/>
      <c r="T26" s="1503"/>
      <c r="U26" s="1503"/>
      <c r="V26" s="1503"/>
      <c r="W26" s="1503"/>
      <c r="X26" s="1503"/>
      <c r="Y26" s="1503"/>
      <c r="Z26" s="1521"/>
      <c r="AA26" s="1503"/>
      <c r="AB26" s="1503"/>
      <c r="AC26" s="1503"/>
    </row>
    <row r="27" spans="1:29">
      <c r="A27" s="1503"/>
      <c r="B27" s="1503"/>
      <c r="C27" s="1503"/>
      <c r="D27" s="1562">
        <f ca="1">YEAR(TODAY())+7</f>
        <v>2028</v>
      </c>
      <c r="E27" s="1562"/>
      <c r="F27" s="1570" t="s">
        <v>2872</v>
      </c>
      <c r="G27" s="1562">
        <f ca="1">YEAR(TODAY())+11</f>
        <v>2032</v>
      </c>
      <c r="H27" s="1562"/>
      <c r="I27" s="1562"/>
      <c r="J27" s="1562"/>
      <c r="K27" s="1503"/>
      <c r="L27" s="3257"/>
      <c r="P27" s="3184"/>
      <c r="R27" s="1503"/>
      <c r="S27" s="1503"/>
      <c r="T27" s="1503"/>
      <c r="U27" s="1503"/>
      <c r="V27" s="1503"/>
      <c r="W27" s="1503"/>
      <c r="X27" s="1503"/>
      <c r="Y27" s="1503"/>
      <c r="Z27" s="1521"/>
      <c r="AA27" s="1503"/>
      <c r="AB27" s="1503"/>
      <c r="AC27" s="1503"/>
    </row>
    <row r="28" spans="1:29">
      <c r="A28" s="1503"/>
      <c r="B28" s="1503"/>
      <c r="C28" s="1503"/>
      <c r="D28" s="1562">
        <f ca="1">YEAR(TODAY())+12</f>
        <v>2033</v>
      </c>
      <c r="E28" s="1562"/>
      <c r="F28" s="1570" t="s">
        <v>2872</v>
      </c>
      <c r="G28" s="1562">
        <f ca="1">YEAR(TODAY())+16</f>
        <v>2037</v>
      </c>
      <c r="H28" s="1562"/>
      <c r="I28" s="1562"/>
      <c r="J28" s="1562"/>
      <c r="K28" s="1503"/>
      <c r="L28" s="3257"/>
      <c r="P28" s="3184"/>
      <c r="R28" s="1503"/>
      <c r="S28" s="1503"/>
      <c r="T28" s="1503"/>
      <c r="U28" s="1503"/>
      <c r="V28" s="1503"/>
      <c r="W28" s="1503"/>
      <c r="X28" s="1503"/>
      <c r="Y28" s="1503"/>
      <c r="Z28" s="1521"/>
      <c r="AA28" s="1503"/>
      <c r="AB28" s="1503"/>
      <c r="AC28" s="1503"/>
    </row>
    <row r="29" spans="1:29">
      <c r="A29" s="1503"/>
      <c r="B29" s="1503"/>
      <c r="C29" s="1503"/>
      <c r="D29" s="1562">
        <f ca="1">YEAR(TODAY())+17</f>
        <v>2038</v>
      </c>
      <c r="E29" s="1562"/>
      <c r="F29" s="1570" t="s">
        <v>2872</v>
      </c>
      <c r="G29" s="1562">
        <f ca="1">YEAR(TODAY())+21</f>
        <v>2042</v>
      </c>
      <c r="H29" s="1562"/>
      <c r="I29" s="1562"/>
      <c r="J29" s="1562"/>
      <c r="K29" s="1503"/>
      <c r="L29" s="3257"/>
      <c r="P29" s="3184"/>
      <c r="R29" s="1503"/>
      <c r="S29" s="1503"/>
      <c r="T29" s="1503"/>
      <c r="U29" s="1503"/>
      <c r="V29" s="1503"/>
      <c r="W29" s="1503"/>
      <c r="X29" s="1503"/>
      <c r="Y29" s="1503"/>
      <c r="Z29" s="1521"/>
      <c r="AA29" s="1503"/>
      <c r="AB29" s="1503"/>
      <c r="AC29" s="1503"/>
    </row>
    <row r="30" spans="1:29">
      <c r="A30" s="1503"/>
      <c r="B30" s="1503"/>
      <c r="C30" s="1503"/>
      <c r="D30" s="1562">
        <f ca="1">YEAR(TODAY())+22</f>
        <v>2043</v>
      </c>
      <c r="E30" s="1562"/>
      <c r="F30" s="1570" t="s">
        <v>2872</v>
      </c>
      <c r="G30" s="1562">
        <f ca="1">YEAR(TODAY())+26</f>
        <v>2047</v>
      </c>
      <c r="H30" s="1562"/>
      <c r="I30" s="1562"/>
      <c r="J30" s="1562"/>
      <c r="K30" s="1503"/>
      <c r="L30" s="3257"/>
      <c r="P30" s="3184"/>
      <c r="R30" s="1503"/>
      <c r="S30" s="1503"/>
      <c r="T30" s="1503"/>
      <c r="U30" s="1503"/>
      <c r="V30" s="1503"/>
      <c r="W30" s="1503"/>
      <c r="X30" s="1503"/>
      <c r="Y30" s="1503"/>
      <c r="Z30" s="1521"/>
      <c r="AA30" s="1503"/>
      <c r="AB30" s="1503"/>
      <c r="AC30" s="1503"/>
    </row>
    <row r="31" spans="1:29">
      <c r="A31" s="1503"/>
      <c r="B31" s="1503"/>
      <c r="C31" s="1503"/>
      <c r="D31" s="1562">
        <f ca="1">YEAR(TODAY())+27</f>
        <v>2048</v>
      </c>
      <c r="E31" s="1562"/>
      <c r="F31" s="1570" t="s">
        <v>2872</v>
      </c>
      <c r="G31" s="1562">
        <f ca="1">YEAR(TODAY())+31</f>
        <v>2052</v>
      </c>
      <c r="H31" s="1562"/>
      <c r="I31" s="1562"/>
      <c r="J31" s="1562"/>
      <c r="K31" s="1503"/>
      <c r="L31" s="3257"/>
      <c r="P31" s="3184"/>
      <c r="R31" s="1503"/>
      <c r="S31" s="1503"/>
      <c r="T31" s="1503"/>
      <c r="U31" s="1503"/>
      <c r="V31" s="1503"/>
      <c r="W31" s="1503"/>
      <c r="X31" s="1503"/>
      <c r="Y31" s="1503"/>
      <c r="Z31" s="1521"/>
      <c r="AA31" s="1503"/>
      <c r="AB31" s="1503"/>
      <c r="AC31" s="1503"/>
    </row>
    <row r="32" spans="1:29">
      <c r="A32" s="1503"/>
      <c r="B32" s="1503"/>
      <c r="C32" s="1503"/>
      <c r="D32" s="1562">
        <f ca="1">YEAR(TODAY())+32</f>
        <v>2053</v>
      </c>
      <c r="E32" s="1562"/>
      <c r="F32" s="1570" t="s">
        <v>2872</v>
      </c>
      <c r="G32" s="1562">
        <f ca="1">YEAR(TODAY())+36</f>
        <v>2057</v>
      </c>
      <c r="H32" s="2531"/>
      <c r="I32" s="2531"/>
      <c r="J32" s="2531"/>
      <c r="K32" s="1503"/>
      <c r="L32" s="3257"/>
      <c r="P32" s="3184"/>
      <c r="R32" s="1503"/>
      <c r="S32" s="1503"/>
      <c r="T32" s="1503"/>
      <c r="U32" s="1503"/>
      <c r="V32" s="1503"/>
      <c r="W32" s="1503"/>
      <c r="X32" s="1503"/>
      <c r="Y32" s="1503"/>
      <c r="Z32" s="1521"/>
      <c r="AA32" s="1503"/>
      <c r="AB32" s="1503"/>
      <c r="AC32" s="1503"/>
    </row>
    <row r="33" spans="1:29">
      <c r="A33" s="1503"/>
      <c r="B33" s="1503"/>
      <c r="C33" s="1503"/>
      <c r="D33" s="1562">
        <f ca="1">YEAR(TODAY())+37</f>
        <v>2058</v>
      </c>
      <c r="E33" s="1562"/>
      <c r="F33" s="1570" t="s">
        <v>2872</v>
      </c>
      <c r="G33" s="1562">
        <f ca="1">YEAR(TODAY())+41</f>
        <v>2062</v>
      </c>
      <c r="H33" s="1562"/>
      <c r="I33" s="1562"/>
      <c r="J33" s="1562"/>
      <c r="K33" s="1503"/>
      <c r="L33" s="3257"/>
      <c r="P33" s="3184"/>
      <c r="R33" s="1503"/>
      <c r="S33" s="1503"/>
      <c r="T33" s="1503"/>
      <c r="U33" s="1503"/>
      <c r="V33" s="1503"/>
      <c r="W33" s="1503"/>
      <c r="X33" s="1503"/>
      <c r="Y33" s="1503"/>
      <c r="Z33" s="1521"/>
      <c r="AA33" s="1503"/>
      <c r="AB33" s="1503"/>
      <c r="AC33" s="1503"/>
    </row>
    <row r="34" spans="1:29">
      <c r="A34" s="1503"/>
      <c r="B34" s="1503"/>
      <c r="C34" s="1503"/>
      <c r="D34" s="1562">
        <f ca="1">YEAR(TODAY())+42</f>
        <v>2063</v>
      </c>
      <c r="E34" s="1562"/>
      <c r="F34" s="1570" t="s">
        <v>2872</v>
      </c>
      <c r="G34" s="1562">
        <f ca="1">YEAR(TODAY())+46</f>
        <v>2067</v>
      </c>
      <c r="H34" s="1562"/>
      <c r="I34" s="1562"/>
      <c r="J34" s="1562"/>
      <c r="K34" s="1503"/>
      <c r="L34" s="3257"/>
      <c r="P34" s="3184"/>
      <c r="R34" s="1503"/>
      <c r="S34" s="1503"/>
      <c r="T34" s="1503"/>
      <c r="U34" s="1503"/>
      <c r="V34" s="1503"/>
      <c r="W34" s="1503"/>
      <c r="X34" s="1503"/>
      <c r="Y34" s="1503"/>
      <c r="Z34" s="1521"/>
      <c r="AA34" s="1503"/>
      <c r="AB34" s="1503"/>
      <c r="AC34" s="1503"/>
    </row>
    <row r="35" spans="1:29">
      <c r="A35" s="1503"/>
      <c r="B35" s="1503"/>
      <c r="C35" s="1503"/>
      <c r="D35" s="2724">
        <f ca="1">YEAR(TODAY())+47</f>
        <v>2068</v>
      </c>
      <c r="E35" s="2724"/>
      <c r="F35" s="1571" t="s">
        <v>2872</v>
      </c>
      <c r="G35" s="2724">
        <f ca="1">YEAR(TODAY())+51</f>
        <v>2072</v>
      </c>
      <c r="H35" s="2724"/>
      <c r="I35" s="2724"/>
      <c r="J35" s="2724"/>
      <c r="K35" s="1503"/>
      <c r="L35" s="3257"/>
      <c r="P35" s="3184"/>
      <c r="R35" s="1503"/>
      <c r="S35" s="1503"/>
      <c r="T35" s="1503"/>
      <c r="U35" s="1503"/>
      <c r="V35" s="1503"/>
      <c r="W35" s="1503"/>
      <c r="X35" s="1503"/>
      <c r="Y35" s="1503"/>
      <c r="Z35" s="1521"/>
      <c r="AA35" s="1503"/>
      <c r="AB35" s="1503"/>
      <c r="AC35" s="1503"/>
    </row>
    <row r="36" spans="1:29">
      <c r="A36" s="1503"/>
      <c r="B36" s="1503"/>
      <c r="C36" s="1503"/>
      <c r="D36" s="2724">
        <f ca="1">YEAR(TODAY())+52</f>
        <v>2073</v>
      </c>
      <c r="E36" s="2724"/>
      <c r="F36" s="1571" t="s">
        <v>2872</v>
      </c>
      <c r="G36" s="2724">
        <f ca="1">YEAR(TODAY())+56</f>
        <v>2077</v>
      </c>
      <c r="H36" s="2724"/>
      <c r="I36" s="2724"/>
      <c r="J36" s="2724"/>
      <c r="K36" s="2533"/>
      <c r="L36" s="3257"/>
      <c r="P36" s="3184"/>
      <c r="R36" s="1503"/>
      <c r="S36" s="1503"/>
      <c r="T36" s="1503"/>
      <c r="U36" s="1503"/>
      <c r="V36" s="1503"/>
      <c r="W36" s="1503"/>
      <c r="X36" s="1503"/>
      <c r="Y36" s="1503"/>
      <c r="Z36" s="1521"/>
      <c r="AA36" s="1503"/>
      <c r="AB36" s="1503"/>
      <c r="AC36" s="1503"/>
    </row>
    <row r="37" spans="1:29">
      <c r="A37" s="168"/>
      <c r="B37" s="1503"/>
      <c r="C37" s="1483"/>
      <c r="D37" s="2724">
        <f ca="1">YEAR(TODAY())+57</f>
        <v>2078</v>
      </c>
      <c r="E37" s="2724"/>
      <c r="F37" s="1571" t="s">
        <v>2872</v>
      </c>
      <c r="G37" s="2724">
        <f ca="1">YEAR(TODAY())+61</f>
        <v>2082</v>
      </c>
      <c r="H37" s="2724"/>
      <c r="I37" s="2724"/>
      <c r="J37" s="2724"/>
      <c r="K37" s="1483"/>
      <c r="L37" s="3257"/>
      <c r="P37" s="3184"/>
      <c r="R37" s="1503"/>
      <c r="S37" s="1503"/>
      <c r="T37" s="1503"/>
      <c r="U37" s="1503"/>
      <c r="V37" s="1503"/>
      <c r="W37" s="1503"/>
      <c r="X37" s="1503"/>
      <c r="Y37" s="1503"/>
      <c r="Z37" s="1521"/>
      <c r="AA37" s="1503"/>
      <c r="AB37" s="1503"/>
      <c r="AC37" s="1503"/>
    </row>
    <row r="38" spans="1:29">
      <c r="A38" s="1503"/>
      <c r="B38" s="1503"/>
      <c r="C38" s="1483"/>
      <c r="D38" s="1483" t="s">
        <v>3534</v>
      </c>
      <c r="E38" s="1481"/>
      <c r="F38" s="1481"/>
      <c r="G38" s="1481"/>
      <c r="H38" s="1481"/>
      <c r="I38" s="1481"/>
      <c r="J38" s="1481"/>
      <c r="K38" s="1481"/>
      <c r="L38" s="1481"/>
      <c r="M38" s="1481"/>
      <c r="N38" s="1481"/>
      <c r="O38" s="1481"/>
      <c r="P38" s="1481"/>
      <c r="Q38" s="1481"/>
      <c r="R38" s="1486"/>
      <c r="S38" s="1483"/>
      <c r="T38" s="1483"/>
      <c r="U38" s="1483"/>
      <c r="V38" s="1483"/>
      <c r="W38" s="1483"/>
      <c r="X38" s="1483"/>
      <c r="Y38" s="1483"/>
      <c r="Z38" s="1483"/>
      <c r="AA38" s="1483"/>
      <c r="AB38" s="1483"/>
      <c r="AC38" s="1483"/>
    </row>
    <row r="39" spans="1:29">
      <c r="A39" s="1503"/>
      <c r="B39" s="1503"/>
      <c r="C39" s="1483"/>
      <c r="D39" s="1483" t="s">
        <v>3535</v>
      </c>
      <c r="E39" s="1481"/>
      <c r="F39" s="1481"/>
      <c r="G39" s="1481"/>
      <c r="H39" s="1481"/>
      <c r="I39" s="1481"/>
      <c r="J39" s="1481"/>
      <c r="K39" s="1481"/>
      <c r="L39" s="1481"/>
      <c r="M39" s="1481"/>
      <c r="N39" s="1481"/>
      <c r="O39" s="1481"/>
      <c r="P39" s="1486"/>
      <c r="Q39" s="1486"/>
      <c r="R39" s="1486"/>
      <c r="S39" s="1483"/>
      <c r="T39" s="1483"/>
      <c r="U39" s="1483"/>
      <c r="V39" s="1483"/>
      <c r="W39" s="1483"/>
      <c r="X39" s="1483"/>
      <c r="Y39" s="1483"/>
      <c r="Z39" s="1483"/>
      <c r="AA39" s="1483"/>
      <c r="AB39" s="1483"/>
      <c r="AC39" s="1483"/>
    </row>
    <row r="40" spans="1:29" ht="26.25" thickBot="1">
      <c r="A40" s="1503"/>
      <c r="B40" s="1503"/>
      <c r="C40" s="1483"/>
      <c r="E40" s="1568"/>
      <c r="F40" s="1568"/>
      <c r="G40" s="1568" t="s">
        <v>3536</v>
      </c>
      <c r="H40" s="1568"/>
      <c r="I40" s="1568"/>
      <c r="J40" s="1568"/>
      <c r="K40" s="1483"/>
      <c r="L40" s="3603">
        <f>SUM(L21:L37)</f>
        <v>0</v>
      </c>
      <c r="M40" s="1483"/>
      <c r="N40" s="1483"/>
      <c r="O40" s="3604" t="s">
        <v>3537</v>
      </c>
      <c r="P40" s="2731"/>
      <c r="R40" s="1503"/>
      <c r="S40" s="1483"/>
      <c r="T40" s="1483"/>
      <c r="U40" s="1483"/>
      <c r="V40" s="1483"/>
      <c r="W40" s="1483"/>
      <c r="X40" s="1483"/>
      <c r="Y40" s="1483"/>
      <c r="Z40" s="1483"/>
      <c r="AA40" s="1483"/>
      <c r="AB40" s="1483"/>
      <c r="AC40" s="1483"/>
    </row>
    <row r="41" spans="1:29" s="1483" customFormat="1" ht="13.5" thickTop="1">
      <c r="B41" s="1503"/>
      <c r="C41" s="1503"/>
      <c r="D41" s="1503"/>
      <c r="E41" s="1503"/>
      <c r="F41" s="1503"/>
      <c r="H41" s="1503"/>
      <c r="I41" s="1503"/>
      <c r="J41" s="1503"/>
      <c r="K41" s="1503"/>
      <c r="L41" s="1503"/>
      <c r="M41" s="1503"/>
      <c r="N41" s="1503"/>
      <c r="O41" s="1503"/>
      <c r="P41" s="3197"/>
      <c r="Q41" s="1503"/>
      <c r="S41" s="1503"/>
      <c r="T41" s="1503"/>
      <c r="U41" s="1503"/>
      <c r="V41" s="1503"/>
    </row>
    <row r="42" spans="1:29">
      <c r="A42" s="1483" t="s">
        <v>3538</v>
      </c>
      <c r="B42" s="1483"/>
    </row>
  </sheetData>
  <sheetProtection algorithmName="SHA-512" hashValue="StjGb6C1BRGIkMeRUEk8RX+OrS4jPiTHcfmdHno/C2l1hv5d5JBSOn13xGSZllyX5j6bXiGMx6XjPAp1++xsyw==" saltValue="pCzsj/fRTdUJBEfMSOWprA==" spinCount="100000" sheet="1" objects="1" scenarios="1"/>
  <printOptions horizontalCentered="1"/>
  <pageMargins left="0.5" right="0.5" top="0.25" bottom="0.25" header="0.5" footer="0.25"/>
  <pageSetup scale="95" orientation="landscape" r:id="rId1"/>
  <headerFooter alignWithMargins="0">
    <oddFooter>&amp;LDFS-A1-1885</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66FF99"/>
  </sheetPr>
  <dimension ref="A1:AY58"/>
  <sheetViews>
    <sheetView workbookViewId="0"/>
  </sheetViews>
  <sheetFormatPr defaultColWidth="2.5703125" defaultRowHeight="15"/>
  <cols>
    <col min="1" max="1" width="11.85546875" style="1578" customWidth="1"/>
    <col min="2" max="2" width="4.140625" style="1578" customWidth="1"/>
    <col min="3" max="4" width="2.5703125" style="1578" customWidth="1"/>
    <col min="5" max="5" width="25.7109375" style="1578" customWidth="1"/>
    <col min="6" max="6" width="2.5703125" style="1578" customWidth="1"/>
    <col min="7" max="7" width="25.7109375" style="1578" customWidth="1"/>
    <col min="8" max="8" width="1.85546875" style="1578" customWidth="1"/>
    <col min="9" max="9" width="25.7109375" style="1578" customWidth="1"/>
    <col min="10" max="10" width="1.28515625" style="1578" customWidth="1"/>
    <col min="11" max="11" width="25.7109375" style="1578" customWidth="1"/>
    <col min="12" max="18" width="25.7109375" style="1586" customWidth="1"/>
    <col min="19" max="20" width="2.5703125" style="1586" customWidth="1"/>
    <col min="21" max="22" width="1.28515625" style="1586" customWidth="1"/>
    <col min="23" max="23" width="2.28515625" style="1586" customWidth="1"/>
    <col min="24" max="24" width="0.7109375" style="1586" customWidth="1"/>
    <col min="25" max="25" width="2" style="1586" customWidth="1"/>
    <col min="26" max="26" width="1.28515625" style="1586" customWidth="1"/>
    <col min="27" max="27" width="20.7109375" style="1586" customWidth="1"/>
    <col min="28" max="28" width="2.5703125" style="1586" customWidth="1"/>
    <col min="29" max="31" width="1.28515625" style="1586" customWidth="1"/>
    <col min="32" max="33" width="4.5703125" style="1586" customWidth="1"/>
    <col min="34" max="34" width="2.5703125" style="1586" customWidth="1"/>
    <col min="35" max="35" width="1.28515625" style="1586" customWidth="1"/>
    <col min="36" max="36" width="2.5703125" style="1586" customWidth="1"/>
    <col min="37" max="37" width="1.28515625" style="1586" customWidth="1"/>
    <col min="38" max="38" width="20.7109375" style="1586" customWidth="1"/>
    <col min="39" max="39" width="1.28515625" style="1578" customWidth="1"/>
    <col min="40" max="43" width="2.5703125" style="1578"/>
    <col min="44" max="44" width="3.5703125" style="1578" customWidth="1"/>
    <col min="45" max="234" width="2.5703125" style="1578"/>
    <col min="235" max="235" width="4.140625" style="1578" customWidth="1"/>
    <col min="236" max="242" width="2.5703125" style="1578" customWidth="1"/>
    <col min="243" max="243" width="1.28515625" style="1578" customWidth="1"/>
    <col min="244" max="244" width="2.5703125" style="1578" customWidth="1"/>
    <col min="245" max="245" width="1.28515625" style="1578" customWidth="1"/>
    <col min="246" max="246" width="2.5703125" style="1578" customWidth="1"/>
    <col min="247" max="247" width="1.28515625" style="1578" customWidth="1"/>
    <col min="248" max="248" width="2.5703125" style="1578" customWidth="1"/>
    <col min="249" max="249" width="1.28515625" style="1578" customWidth="1"/>
    <col min="250" max="250" width="2.5703125" style="1578" customWidth="1"/>
    <col min="251" max="251" width="1.28515625" style="1578" customWidth="1"/>
    <col min="252" max="252" width="2.5703125" style="1578" customWidth="1"/>
    <col min="253" max="253" width="1.28515625" style="1578" customWidth="1"/>
    <col min="254" max="255" width="2.5703125" style="1578" customWidth="1"/>
    <col min="256" max="257" width="1.28515625" style="1578" customWidth="1"/>
    <col min="258" max="258" width="2.28515625" style="1578" customWidth="1"/>
    <col min="259" max="259" width="0.7109375" style="1578" customWidth="1"/>
    <col min="260" max="260" width="2" style="1578" customWidth="1"/>
    <col min="261" max="261" width="1.28515625" style="1578" customWidth="1"/>
    <col min="262" max="263" width="2.5703125" style="1578" customWidth="1"/>
    <col min="264" max="266" width="1.28515625" style="1578" customWidth="1"/>
    <col min="267" max="267" width="2.5703125" style="1578" customWidth="1"/>
    <col min="268" max="268" width="1.28515625" style="1578" customWidth="1"/>
    <col min="269" max="269" width="2.5703125" style="1578" customWidth="1"/>
    <col min="270" max="270" width="1.28515625" style="1578" customWidth="1"/>
    <col min="271" max="271" width="2.5703125" style="1578" customWidth="1"/>
    <col min="272" max="272" width="1.28515625" style="1578" customWidth="1"/>
    <col min="273" max="273" width="2.5703125" style="1578" customWidth="1"/>
    <col min="274" max="274" width="1.28515625" style="1578" customWidth="1"/>
    <col min="275" max="490" width="2.5703125" style="1578"/>
    <col min="491" max="491" width="4.140625" style="1578" customWidth="1"/>
    <col min="492" max="498" width="2.5703125" style="1578" customWidth="1"/>
    <col min="499" max="499" width="1.28515625" style="1578" customWidth="1"/>
    <col min="500" max="500" width="2.5703125" style="1578" customWidth="1"/>
    <col min="501" max="501" width="1.28515625" style="1578" customWidth="1"/>
    <col min="502" max="502" width="2.5703125" style="1578" customWidth="1"/>
    <col min="503" max="503" width="1.28515625" style="1578" customWidth="1"/>
    <col min="504" max="504" width="2.5703125" style="1578" customWidth="1"/>
    <col min="505" max="505" width="1.28515625" style="1578" customWidth="1"/>
    <col min="506" max="506" width="2.5703125" style="1578" customWidth="1"/>
    <col min="507" max="507" width="1.28515625" style="1578" customWidth="1"/>
    <col min="508" max="508" width="2.5703125" style="1578" customWidth="1"/>
    <col min="509" max="509" width="1.28515625" style="1578" customWidth="1"/>
    <col min="510" max="511" width="2.5703125" style="1578" customWidth="1"/>
    <col min="512" max="513" width="1.28515625" style="1578" customWidth="1"/>
    <col min="514" max="514" width="2.28515625" style="1578" customWidth="1"/>
    <col min="515" max="515" width="0.7109375" style="1578" customWidth="1"/>
    <col min="516" max="516" width="2" style="1578" customWidth="1"/>
    <col min="517" max="517" width="1.28515625" style="1578" customWidth="1"/>
    <col min="518" max="519" width="2.5703125" style="1578" customWidth="1"/>
    <col min="520" max="522" width="1.28515625" style="1578" customWidth="1"/>
    <col min="523" max="523" width="2.5703125" style="1578" customWidth="1"/>
    <col min="524" max="524" width="1.28515625" style="1578" customWidth="1"/>
    <col min="525" max="525" width="2.5703125" style="1578" customWidth="1"/>
    <col min="526" max="526" width="1.28515625" style="1578" customWidth="1"/>
    <col min="527" max="527" width="2.5703125" style="1578" customWidth="1"/>
    <col min="528" max="528" width="1.28515625" style="1578" customWidth="1"/>
    <col min="529" max="529" width="2.5703125" style="1578" customWidth="1"/>
    <col min="530" max="530" width="1.28515625" style="1578" customWidth="1"/>
    <col min="531" max="746" width="2.5703125" style="1578"/>
    <col min="747" max="747" width="4.140625" style="1578" customWidth="1"/>
    <col min="748" max="754" width="2.5703125" style="1578" customWidth="1"/>
    <col min="755" max="755" width="1.28515625" style="1578" customWidth="1"/>
    <col min="756" max="756" width="2.5703125" style="1578" customWidth="1"/>
    <col min="757" max="757" width="1.28515625" style="1578" customWidth="1"/>
    <col min="758" max="758" width="2.5703125" style="1578" customWidth="1"/>
    <col min="759" max="759" width="1.28515625" style="1578" customWidth="1"/>
    <col min="760" max="760" width="2.5703125" style="1578" customWidth="1"/>
    <col min="761" max="761" width="1.28515625" style="1578" customWidth="1"/>
    <col min="762" max="762" width="2.5703125" style="1578" customWidth="1"/>
    <col min="763" max="763" width="1.28515625" style="1578" customWidth="1"/>
    <col min="764" max="764" width="2.5703125" style="1578" customWidth="1"/>
    <col min="765" max="765" width="1.28515625" style="1578" customWidth="1"/>
    <col min="766" max="767" width="2.5703125" style="1578" customWidth="1"/>
    <col min="768" max="769" width="1.28515625" style="1578" customWidth="1"/>
    <col min="770" max="770" width="2.28515625" style="1578" customWidth="1"/>
    <col min="771" max="771" width="0.7109375" style="1578" customWidth="1"/>
    <col min="772" max="772" width="2" style="1578" customWidth="1"/>
    <col min="773" max="773" width="1.28515625" style="1578" customWidth="1"/>
    <col min="774" max="775" width="2.5703125" style="1578" customWidth="1"/>
    <col min="776" max="778" width="1.28515625" style="1578" customWidth="1"/>
    <col min="779" max="779" width="2.5703125" style="1578" customWidth="1"/>
    <col min="780" max="780" width="1.28515625" style="1578" customWidth="1"/>
    <col min="781" max="781" width="2.5703125" style="1578" customWidth="1"/>
    <col min="782" max="782" width="1.28515625" style="1578" customWidth="1"/>
    <col min="783" max="783" width="2.5703125" style="1578" customWidth="1"/>
    <col min="784" max="784" width="1.28515625" style="1578" customWidth="1"/>
    <col min="785" max="785" width="2.5703125" style="1578" customWidth="1"/>
    <col min="786" max="786" width="1.28515625" style="1578" customWidth="1"/>
    <col min="787" max="1002" width="2.5703125" style="1578"/>
    <col min="1003" max="1003" width="4.140625" style="1578" customWidth="1"/>
    <col min="1004" max="1010" width="2.5703125" style="1578" customWidth="1"/>
    <col min="1011" max="1011" width="1.28515625" style="1578" customWidth="1"/>
    <col min="1012" max="1012" width="2.5703125" style="1578" customWidth="1"/>
    <col min="1013" max="1013" width="1.28515625" style="1578" customWidth="1"/>
    <col min="1014" max="1014" width="2.5703125" style="1578" customWidth="1"/>
    <col min="1015" max="1015" width="1.28515625" style="1578" customWidth="1"/>
    <col min="1016" max="1016" width="2.5703125" style="1578" customWidth="1"/>
    <col min="1017" max="1017" width="1.28515625" style="1578" customWidth="1"/>
    <col min="1018" max="1018" width="2.5703125" style="1578" customWidth="1"/>
    <col min="1019" max="1019" width="1.28515625" style="1578" customWidth="1"/>
    <col min="1020" max="1020" width="2.5703125" style="1578" customWidth="1"/>
    <col min="1021" max="1021" width="1.28515625" style="1578" customWidth="1"/>
    <col min="1022" max="1023" width="2.5703125" style="1578" customWidth="1"/>
    <col min="1024" max="1025" width="1.28515625" style="1578" customWidth="1"/>
    <col min="1026" max="1026" width="2.28515625" style="1578" customWidth="1"/>
    <col min="1027" max="1027" width="0.7109375" style="1578" customWidth="1"/>
    <col min="1028" max="1028" width="2" style="1578" customWidth="1"/>
    <col min="1029" max="1029" width="1.28515625" style="1578" customWidth="1"/>
    <col min="1030" max="1031" width="2.5703125" style="1578" customWidth="1"/>
    <col min="1032" max="1034" width="1.28515625" style="1578" customWidth="1"/>
    <col min="1035" max="1035" width="2.5703125" style="1578" customWidth="1"/>
    <col min="1036" max="1036" width="1.28515625" style="1578" customWidth="1"/>
    <col min="1037" max="1037" width="2.5703125" style="1578" customWidth="1"/>
    <col min="1038" max="1038" width="1.28515625" style="1578" customWidth="1"/>
    <col min="1039" max="1039" width="2.5703125" style="1578" customWidth="1"/>
    <col min="1040" max="1040" width="1.28515625" style="1578" customWidth="1"/>
    <col min="1041" max="1041" width="2.5703125" style="1578" customWidth="1"/>
    <col min="1042" max="1042" width="1.28515625" style="1578" customWidth="1"/>
    <col min="1043" max="1258" width="2.5703125" style="1578"/>
    <col min="1259" max="1259" width="4.140625" style="1578" customWidth="1"/>
    <col min="1260" max="1266" width="2.5703125" style="1578" customWidth="1"/>
    <col min="1267" max="1267" width="1.28515625" style="1578" customWidth="1"/>
    <col min="1268" max="1268" width="2.5703125" style="1578" customWidth="1"/>
    <col min="1269" max="1269" width="1.28515625" style="1578" customWidth="1"/>
    <col min="1270" max="1270" width="2.5703125" style="1578" customWidth="1"/>
    <col min="1271" max="1271" width="1.28515625" style="1578" customWidth="1"/>
    <col min="1272" max="1272" width="2.5703125" style="1578" customWidth="1"/>
    <col min="1273" max="1273" width="1.28515625" style="1578" customWidth="1"/>
    <col min="1274" max="1274" width="2.5703125" style="1578" customWidth="1"/>
    <col min="1275" max="1275" width="1.28515625" style="1578" customWidth="1"/>
    <col min="1276" max="1276" width="2.5703125" style="1578" customWidth="1"/>
    <col min="1277" max="1277" width="1.28515625" style="1578" customWidth="1"/>
    <col min="1278" max="1279" width="2.5703125" style="1578" customWidth="1"/>
    <col min="1280" max="1281" width="1.28515625" style="1578" customWidth="1"/>
    <col min="1282" max="1282" width="2.28515625" style="1578" customWidth="1"/>
    <col min="1283" max="1283" width="0.7109375" style="1578" customWidth="1"/>
    <col min="1284" max="1284" width="2" style="1578" customWidth="1"/>
    <col min="1285" max="1285" width="1.28515625" style="1578" customWidth="1"/>
    <col min="1286" max="1287" width="2.5703125" style="1578" customWidth="1"/>
    <col min="1288" max="1290" width="1.28515625" style="1578" customWidth="1"/>
    <col min="1291" max="1291" width="2.5703125" style="1578" customWidth="1"/>
    <col min="1292" max="1292" width="1.28515625" style="1578" customWidth="1"/>
    <col min="1293" max="1293" width="2.5703125" style="1578" customWidth="1"/>
    <col min="1294" max="1294" width="1.28515625" style="1578" customWidth="1"/>
    <col min="1295" max="1295" width="2.5703125" style="1578" customWidth="1"/>
    <col min="1296" max="1296" width="1.28515625" style="1578" customWidth="1"/>
    <col min="1297" max="1297" width="2.5703125" style="1578" customWidth="1"/>
    <col min="1298" max="1298" width="1.28515625" style="1578" customWidth="1"/>
    <col min="1299" max="1514" width="2.5703125" style="1578"/>
    <col min="1515" max="1515" width="4.140625" style="1578" customWidth="1"/>
    <col min="1516" max="1522" width="2.5703125" style="1578" customWidth="1"/>
    <col min="1523" max="1523" width="1.28515625" style="1578" customWidth="1"/>
    <col min="1524" max="1524" width="2.5703125" style="1578" customWidth="1"/>
    <col min="1525" max="1525" width="1.28515625" style="1578" customWidth="1"/>
    <col min="1526" max="1526" width="2.5703125" style="1578" customWidth="1"/>
    <col min="1527" max="1527" width="1.28515625" style="1578" customWidth="1"/>
    <col min="1528" max="1528" width="2.5703125" style="1578" customWidth="1"/>
    <col min="1529" max="1529" width="1.28515625" style="1578" customWidth="1"/>
    <col min="1530" max="1530" width="2.5703125" style="1578" customWidth="1"/>
    <col min="1531" max="1531" width="1.28515625" style="1578" customWidth="1"/>
    <col min="1532" max="1532" width="2.5703125" style="1578" customWidth="1"/>
    <col min="1533" max="1533" width="1.28515625" style="1578" customWidth="1"/>
    <col min="1534" max="1535" width="2.5703125" style="1578" customWidth="1"/>
    <col min="1536" max="1537" width="1.28515625" style="1578" customWidth="1"/>
    <col min="1538" max="1538" width="2.28515625" style="1578" customWidth="1"/>
    <col min="1539" max="1539" width="0.7109375" style="1578" customWidth="1"/>
    <col min="1540" max="1540" width="2" style="1578" customWidth="1"/>
    <col min="1541" max="1541" width="1.28515625" style="1578" customWidth="1"/>
    <col min="1542" max="1543" width="2.5703125" style="1578" customWidth="1"/>
    <col min="1544" max="1546" width="1.28515625" style="1578" customWidth="1"/>
    <col min="1547" max="1547" width="2.5703125" style="1578" customWidth="1"/>
    <col min="1548" max="1548" width="1.28515625" style="1578" customWidth="1"/>
    <col min="1549" max="1549" width="2.5703125" style="1578" customWidth="1"/>
    <col min="1550" max="1550" width="1.28515625" style="1578" customWidth="1"/>
    <col min="1551" max="1551" width="2.5703125" style="1578" customWidth="1"/>
    <col min="1552" max="1552" width="1.28515625" style="1578" customWidth="1"/>
    <col min="1553" max="1553" width="2.5703125" style="1578" customWidth="1"/>
    <col min="1554" max="1554" width="1.28515625" style="1578" customWidth="1"/>
    <col min="1555" max="1770" width="2.5703125" style="1578"/>
    <col min="1771" max="1771" width="4.140625" style="1578" customWidth="1"/>
    <col min="1772" max="1778" width="2.5703125" style="1578" customWidth="1"/>
    <col min="1779" max="1779" width="1.28515625" style="1578" customWidth="1"/>
    <col min="1780" max="1780" width="2.5703125" style="1578" customWidth="1"/>
    <col min="1781" max="1781" width="1.28515625" style="1578" customWidth="1"/>
    <col min="1782" max="1782" width="2.5703125" style="1578" customWidth="1"/>
    <col min="1783" max="1783" width="1.28515625" style="1578" customWidth="1"/>
    <col min="1784" max="1784" width="2.5703125" style="1578" customWidth="1"/>
    <col min="1785" max="1785" width="1.28515625" style="1578" customWidth="1"/>
    <col min="1786" max="1786" width="2.5703125" style="1578" customWidth="1"/>
    <col min="1787" max="1787" width="1.28515625" style="1578" customWidth="1"/>
    <col min="1788" max="1788" width="2.5703125" style="1578" customWidth="1"/>
    <col min="1789" max="1789" width="1.28515625" style="1578" customWidth="1"/>
    <col min="1790" max="1791" width="2.5703125" style="1578" customWidth="1"/>
    <col min="1792" max="1793" width="1.28515625" style="1578" customWidth="1"/>
    <col min="1794" max="1794" width="2.28515625" style="1578" customWidth="1"/>
    <col min="1795" max="1795" width="0.7109375" style="1578" customWidth="1"/>
    <col min="1796" max="1796" width="2" style="1578" customWidth="1"/>
    <col min="1797" max="1797" width="1.28515625" style="1578" customWidth="1"/>
    <col min="1798" max="1799" width="2.5703125" style="1578" customWidth="1"/>
    <col min="1800" max="1802" width="1.28515625" style="1578" customWidth="1"/>
    <col min="1803" max="1803" width="2.5703125" style="1578" customWidth="1"/>
    <col min="1804" max="1804" width="1.28515625" style="1578" customWidth="1"/>
    <col min="1805" max="1805" width="2.5703125" style="1578" customWidth="1"/>
    <col min="1806" max="1806" width="1.28515625" style="1578" customWidth="1"/>
    <col min="1807" max="1807" width="2.5703125" style="1578" customWidth="1"/>
    <col min="1808" max="1808" width="1.28515625" style="1578" customWidth="1"/>
    <col min="1809" max="1809" width="2.5703125" style="1578" customWidth="1"/>
    <col min="1810" max="1810" width="1.28515625" style="1578" customWidth="1"/>
    <col min="1811" max="2026" width="2.5703125" style="1578"/>
    <col min="2027" max="2027" width="4.140625" style="1578" customWidth="1"/>
    <col min="2028" max="2034" width="2.5703125" style="1578" customWidth="1"/>
    <col min="2035" max="2035" width="1.28515625" style="1578" customWidth="1"/>
    <col min="2036" max="2036" width="2.5703125" style="1578" customWidth="1"/>
    <col min="2037" max="2037" width="1.28515625" style="1578" customWidth="1"/>
    <col min="2038" max="2038" width="2.5703125" style="1578" customWidth="1"/>
    <col min="2039" max="2039" width="1.28515625" style="1578" customWidth="1"/>
    <col min="2040" max="2040" width="2.5703125" style="1578" customWidth="1"/>
    <col min="2041" max="2041" width="1.28515625" style="1578" customWidth="1"/>
    <col min="2042" max="2042" width="2.5703125" style="1578" customWidth="1"/>
    <col min="2043" max="2043" width="1.28515625" style="1578" customWidth="1"/>
    <col min="2044" max="2044" width="2.5703125" style="1578" customWidth="1"/>
    <col min="2045" max="2045" width="1.28515625" style="1578" customWidth="1"/>
    <col min="2046" max="2047" width="2.5703125" style="1578" customWidth="1"/>
    <col min="2048" max="2049" width="1.28515625" style="1578" customWidth="1"/>
    <col min="2050" max="2050" width="2.28515625" style="1578" customWidth="1"/>
    <col min="2051" max="2051" width="0.7109375" style="1578" customWidth="1"/>
    <col min="2052" max="2052" width="2" style="1578" customWidth="1"/>
    <col min="2053" max="2053" width="1.28515625" style="1578" customWidth="1"/>
    <col min="2054" max="2055" width="2.5703125" style="1578" customWidth="1"/>
    <col min="2056" max="2058" width="1.28515625" style="1578" customWidth="1"/>
    <col min="2059" max="2059" width="2.5703125" style="1578" customWidth="1"/>
    <col min="2060" max="2060" width="1.28515625" style="1578" customWidth="1"/>
    <col min="2061" max="2061" width="2.5703125" style="1578" customWidth="1"/>
    <col min="2062" max="2062" width="1.28515625" style="1578" customWidth="1"/>
    <col min="2063" max="2063" width="2.5703125" style="1578" customWidth="1"/>
    <col min="2064" max="2064" width="1.28515625" style="1578" customWidth="1"/>
    <col min="2065" max="2065" width="2.5703125" style="1578" customWidth="1"/>
    <col min="2066" max="2066" width="1.28515625" style="1578" customWidth="1"/>
    <col min="2067" max="2282" width="2.5703125" style="1578"/>
    <col min="2283" max="2283" width="4.140625" style="1578" customWidth="1"/>
    <col min="2284" max="2290" width="2.5703125" style="1578" customWidth="1"/>
    <col min="2291" max="2291" width="1.28515625" style="1578" customWidth="1"/>
    <col min="2292" max="2292" width="2.5703125" style="1578" customWidth="1"/>
    <col min="2293" max="2293" width="1.28515625" style="1578" customWidth="1"/>
    <col min="2294" max="2294" width="2.5703125" style="1578" customWidth="1"/>
    <col min="2295" max="2295" width="1.28515625" style="1578" customWidth="1"/>
    <col min="2296" max="2296" width="2.5703125" style="1578" customWidth="1"/>
    <col min="2297" max="2297" width="1.28515625" style="1578" customWidth="1"/>
    <col min="2298" max="2298" width="2.5703125" style="1578" customWidth="1"/>
    <col min="2299" max="2299" width="1.28515625" style="1578" customWidth="1"/>
    <col min="2300" max="2300" width="2.5703125" style="1578" customWidth="1"/>
    <col min="2301" max="2301" width="1.28515625" style="1578" customWidth="1"/>
    <col min="2302" max="2303" width="2.5703125" style="1578" customWidth="1"/>
    <col min="2304" max="2305" width="1.28515625" style="1578" customWidth="1"/>
    <col min="2306" max="2306" width="2.28515625" style="1578" customWidth="1"/>
    <col min="2307" max="2307" width="0.7109375" style="1578" customWidth="1"/>
    <col min="2308" max="2308" width="2" style="1578" customWidth="1"/>
    <col min="2309" max="2309" width="1.28515625" style="1578" customWidth="1"/>
    <col min="2310" max="2311" width="2.5703125" style="1578" customWidth="1"/>
    <col min="2312" max="2314" width="1.28515625" style="1578" customWidth="1"/>
    <col min="2315" max="2315" width="2.5703125" style="1578" customWidth="1"/>
    <col min="2316" max="2316" width="1.28515625" style="1578" customWidth="1"/>
    <col min="2317" max="2317" width="2.5703125" style="1578" customWidth="1"/>
    <col min="2318" max="2318" width="1.28515625" style="1578" customWidth="1"/>
    <col min="2319" max="2319" width="2.5703125" style="1578" customWidth="1"/>
    <col min="2320" max="2320" width="1.28515625" style="1578" customWidth="1"/>
    <col min="2321" max="2321" width="2.5703125" style="1578" customWidth="1"/>
    <col min="2322" max="2322" width="1.28515625" style="1578" customWidth="1"/>
    <col min="2323" max="2538" width="2.5703125" style="1578"/>
    <col min="2539" max="2539" width="4.140625" style="1578" customWidth="1"/>
    <col min="2540" max="2546" width="2.5703125" style="1578" customWidth="1"/>
    <col min="2547" max="2547" width="1.28515625" style="1578" customWidth="1"/>
    <col min="2548" max="2548" width="2.5703125" style="1578" customWidth="1"/>
    <col min="2549" max="2549" width="1.28515625" style="1578" customWidth="1"/>
    <col min="2550" max="2550" width="2.5703125" style="1578" customWidth="1"/>
    <col min="2551" max="2551" width="1.28515625" style="1578" customWidth="1"/>
    <col min="2552" max="2552" width="2.5703125" style="1578" customWidth="1"/>
    <col min="2553" max="2553" width="1.28515625" style="1578" customWidth="1"/>
    <col min="2554" max="2554" width="2.5703125" style="1578" customWidth="1"/>
    <col min="2555" max="2555" width="1.28515625" style="1578" customWidth="1"/>
    <col min="2556" max="2556" width="2.5703125" style="1578" customWidth="1"/>
    <col min="2557" max="2557" width="1.28515625" style="1578" customWidth="1"/>
    <col min="2558" max="2559" width="2.5703125" style="1578" customWidth="1"/>
    <col min="2560" max="2561" width="1.28515625" style="1578" customWidth="1"/>
    <col min="2562" max="2562" width="2.28515625" style="1578" customWidth="1"/>
    <col min="2563" max="2563" width="0.7109375" style="1578" customWidth="1"/>
    <col min="2564" max="2564" width="2" style="1578" customWidth="1"/>
    <col min="2565" max="2565" width="1.28515625" style="1578" customWidth="1"/>
    <col min="2566" max="2567" width="2.5703125" style="1578" customWidth="1"/>
    <col min="2568" max="2570" width="1.28515625" style="1578" customWidth="1"/>
    <col min="2571" max="2571" width="2.5703125" style="1578" customWidth="1"/>
    <col min="2572" max="2572" width="1.28515625" style="1578" customWidth="1"/>
    <col min="2573" max="2573" width="2.5703125" style="1578" customWidth="1"/>
    <col min="2574" max="2574" width="1.28515625" style="1578" customWidth="1"/>
    <col min="2575" max="2575" width="2.5703125" style="1578" customWidth="1"/>
    <col min="2576" max="2576" width="1.28515625" style="1578" customWidth="1"/>
    <col min="2577" max="2577" width="2.5703125" style="1578" customWidth="1"/>
    <col min="2578" max="2578" width="1.28515625" style="1578" customWidth="1"/>
    <col min="2579" max="2794" width="2.5703125" style="1578"/>
    <col min="2795" max="2795" width="4.140625" style="1578" customWidth="1"/>
    <col min="2796" max="2802" width="2.5703125" style="1578" customWidth="1"/>
    <col min="2803" max="2803" width="1.28515625" style="1578" customWidth="1"/>
    <col min="2804" max="2804" width="2.5703125" style="1578" customWidth="1"/>
    <col min="2805" max="2805" width="1.28515625" style="1578" customWidth="1"/>
    <col min="2806" max="2806" width="2.5703125" style="1578" customWidth="1"/>
    <col min="2807" max="2807" width="1.28515625" style="1578" customWidth="1"/>
    <col min="2808" max="2808" width="2.5703125" style="1578" customWidth="1"/>
    <col min="2809" max="2809" width="1.28515625" style="1578" customWidth="1"/>
    <col min="2810" max="2810" width="2.5703125" style="1578" customWidth="1"/>
    <col min="2811" max="2811" width="1.28515625" style="1578" customWidth="1"/>
    <col min="2812" max="2812" width="2.5703125" style="1578" customWidth="1"/>
    <col min="2813" max="2813" width="1.28515625" style="1578" customWidth="1"/>
    <col min="2814" max="2815" width="2.5703125" style="1578" customWidth="1"/>
    <col min="2816" max="2817" width="1.28515625" style="1578" customWidth="1"/>
    <col min="2818" max="2818" width="2.28515625" style="1578" customWidth="1"/>
    <col min="2819" max="2819" width="0.7109375" style="1578" customWidth="1"/>
    <col min="2820" max="2820" width="2" style="1578" customWidth="1"/>
    <col min="2821" max="2821" width="1.28515625" style="1578" customWidth="1"/>
    <col min="2822" max="2823" width="2.5703125" style="1578" customWidth="1"/>
    <col min="2824" max="2826" width="1.28515625" style="1578" customWidth="1"/>
    <col min="2827" max="2827" width="2.5703125" style="1578" customWidth="1"/>
    <col min="2828" max="2828" width="1.28515625" style="1578" customWidth="1"/>
    <col min="2829" max="2829" width="2.5703125" style="1578" customWidth="1"/>
    <col min="2830" max="2830" width="1.28515625" style="1578" customWidth="1"/>
    <col min="2831" max="2831" width="2.5703125" style="1578" customWidth="1"/>
    <col min="2832" max="2832" width="1.28515625" style="1578" customWidth="1"/>
    <col min="2833" max="2833" width="2.5703125" style="1578" customWidth="1"/>
    <col min="2834" max="2834" width="1.28515625" style="1578" customWidth="1"/>
    <col min="2835" max="3050" width="2.5703125" style="1578"/>
    <col min="3051" max="3051" width="4.140625" style="1578" customWidth="1"/>
    <col min="3052" max="3058" width="2.5703125" style="1578" customWidth="1"/>
    <col min="3059" max="3059" width="1.28515625" style="1578" customWidth="1"/>
    <col min="3060" max="3060" width="2.5703125" style="1578" customWidth="1"/>
    <col min="3061" max="3061" width="1.28515625" style="1578" customWidth="1"/>
    <col min="3062" max="3062" width="2.5703125" style="1578" customWidth="1"/>
    <col min="3063" max="3063" width="1.28515625" style="1578" customWidth="1"/>
    <col min="3064" max="3064" width="2.5703125" style="1578" customWidth="1"/>
    <col min="3065" max="3065" width="1.28515625" style="1578" customWidth="1"/>
    <col min="3066" max="3066" width="2.5703125" style="1578" customWidth="1"/>
    <col min="3067" max="3067" width="1.28515625" style="1578" customWidth="1"/>
    <col min="3068" max="3068" width="2.5703125" style="1578" customWidth="1"/>
    <col min="3069" max="3069" width="1.28515625" style="1578" customWidth="1"/>
    <col min="3070" max="3071" width="2.5703125" style="1578" customWidth="1"/>
    <col min="3072" max="3073" width="1.28515625" style="1578" customWidth="1"/>
    <col min="3074" max="3074" width="2.28515625" style="1578" customWidth="1"/>
    <col min="3075" max="3075" width="0.7109375" style="1578" customWidth="1"/>
    <col min="3076" max="3076" width="2" style="1578" customWidth="1"/>
    <col min="3077" max="3077" width="1.28515625" style="1578" customWidth="1"/>
    <col min="3078" max="3079" width="2.5703125" style="1578" customWidth="1"/>
    <col min="3080" max="3082" width="1.28515625" style="1578" customWidth="1"/>
    <col min="3083" max="3083" width="2.5703125" style="1578" customWidth="1"/>
    <col min="3084" max="3084" width="1.28515625" style="1578" customWidth="1"/>
    <col min="3085" max="3085" width="2.5703125" style="1578" customWidth="1"/>
    <col min="3086" max="3086" width="1.28515625" style="1578" customWidth="1"/>
    <col min="3087" max="3087" width="2.5703125" style="1578" customWidth="1"/>
    <col min="3088" max="3088" width="1.28515625" style="1578" customWidth="1"/>
    <col min="3089" max="3089" width="2.5703125" style="1578" customWidth="1"/>
    <col min="3090" max="3090" width="1.28515625" style="1578" customWidth="1"/>
    <col min="3091" max="3306" width="2.5703125" style="1578"/>
    <col min="3307" max="3307" width="4.140625" style="1578" customWidth="1"/>
    <col min="3308" max="3314" width="2.5703125" style="1578" customWidth="1"/>
    <col min="3315" max="3315" width="1.28515625" style="1578" customWidth="1"/>
    <col min="3316" max="3316" width="2.5703125" style="1578" customWidth="1"/>
    <col min="3317" max="3317" width="1.28515625" style="1578" customWidth="1"/>
    <col min="3318" max="3318" width="2.5703125" style="1578" customWidth="1"/>
    <col min="3319" max="3319" width="1.28515625" style="1578" customWidth="1"/>
    <col min="3320" max="3320" width="2.5703125" style="1578" customWidth="1"/>
    <col min="3321" max="3321" width="1.28515625" style="1578" customWidth="1"/>
    <col min="3322" max="3322" width="2.5703125" style="1578" customWidth="1"/>
    <col min="3323" max="3323" width="1.28515625" style="1578" customWidth="1"/>
    <col min="3324" max="3324" width="2.5703125" style="1578" customWidth="1"/>
    <col min="3325" max="3325" width="1.28515625" style="1578" customWidth="1"/>
    <col min="3326" max="3327" width="2.5703125" style="1578" customWidth="1"/>
    <col min="3328" max="3329" width="1.28515625" style="1578" customWidth="1"/>
    <col min="3330" max="3330" width="2.28515625" style="1578" customWidth="1"/>
    <col min="3331" max="3331" width="0.7109375" style="1578" customWidth="1"/>
    <col min="3332" max="3332" width="2" style="1578" customWidth="1"/>
    <col min="3333" max="3333" width="1.28515625" style="1578" customWidth="1"/>
    <col min="3334" max="3335" width="2.5703125" style="1578" customWidth="1"/>
    <col min="3336" max="3338" width="1.28515625" style="1578" customWidth="1"/>
    <col min="3339" max="3339" width="2.5703125" style="1578" customWidth="1"/>
    <col min="3340" max="3340" width="1.28515625" style="1578" customWidth="1"/>
    <col min="3341" max="3341" width="2.5703125" style="1578" customWidth="1"/>
    <col min="3342" max="3342" width="1.28515625" style="1578" customWidth="1"/>
    <col min="3343" max="3343" width="2.5703125" style="1578" customWidth="1"/>
    <col min="3344" max="3344" width="1.28515625" style="1578" customWidth="1"/>
    <col min="3345" max="3345" width="2.5703125" style="1578" customWidth="1"/>
    <col min="3346" max="3346" width="1.28515625" style="1578" customWidth="1"/>
    <col min="3347" max="3562" width="2.5703125" style="1578"/>
    <col min="3563" max="3563" width="4.140625" style="1578" customWidth="1"/>
    <col min="3564" max="3570" width="2.5703125" style="1578" customWidth="1"/>
    <col min="3571" max="3571" width="1.28515625" style="1578" customWidth="1"/>
    <col min="3572" max="3572" width="2.5703125" style="1578" customWidth="1"/>
    <col min="3573" max="3573" width="1.28515625" style="1578" customWidth="1"/>
    <col min="3574" max="3574" width="2.5703125" style="1578" customWidth="1"/>
    <col min="3575" max="3575" width="1.28515625" style="1578" customWidth="1"/>
    <col min="3576" max="3576" width="2.5703125" style="1578" customWidth="1"/>
    <col min="3577" max="3577" width="1.28515625" style="1578" customWidth="1"/>
    <col min="3578" max="3578" width="2.5703125" style="1578" customWidth="1"/>
    <col min="3579" max="3579" width="1.28515625" style="1578" customWidth="1"/>
    <col min="3580" max="3580" width="2.5703125" style="1578" customWidth="1"/>
    <col min="3581" max="3581" width="1.28515625" style="1578" customWidth="1"/>
    <col min="3582" max="3583" width="2.5703125" style="1578" customWidth="1"/>
    <col min="3584" max="3585" width="1.28515625" style="1578" customWidth="1"/>
    <col min="3586" max="3586" width="2.28515625" style="1578" customWidth="1"/>
    <col min="3587" max="3587" width="0.7109375" style="1578" customWidth="1"/>
    <col min="3588" max="3588" width="2" style="1578" customWidth="1"/>
    <col min="3589" max="3589" width="1.28515625" style="1578" customWidth="1"/>
    <col min="3590" max="3591" width="2.5703125" style="1578" customWidth="1"/>
    <col min="3592" max="3594" width="1.28515625" style="1578" customWidth="1"/>
    <col min="3595" max="3595" width="2.5703125" style="1578" customWidth="1"/>
    <col min="3596" max="3596" width="1.28515625" style="1578" customWidth="1"/>
    <col min="3597" max="3597" width="2.5703125" style="1578" customWidth="1"/>
    <col min="3598" max="3598" width="1.28515625" style="1578" customWidth="1"/>
    <col min="3599" max="3599" width="2.5703125" style="1578" customWidth="1"/>
    <col min="3600" max="3600" width="1.28515625" style="1578" customWidth="1"/>
    <col min="3601" max="3601" width="2.5703125" style="1578" customWidth="1"/>
    <col min="3602" max="3602" width="1.28515625" style="1578" customWidth="1"/>
    <col min="3603" max="3818" width="2.5703125" style="1578"/>
    <col min="3819" max="3819" width="4.140625" style="1578" customWidth="1"/>
    <col min="3820" max="3826" width="2.5703125" style="1578" customWidth="1"/>
    <col min="3827" max="3827" width="1.28515625" style="1578" customWidth="1"/>
    <col min="3828" max="3828" width="2.5703125" style="1578" customWidth="1"/>
    <col min="3829" max="3829" width="1.28515625" style="1578" customWidth="1"/>
    <col min="3830" max="3830" width="2.5703125" style="1578" customWidth="1"/>
    <col min="3831" max="3831" width="1.28515625" style="1578" customWidth="1"/>
    <col min="3832" max="3832" width="2.5703125" style="1578" customWidth="1"/>
    <col min="3833" max="3833" width="1.28515625" style="1578" customWidth="1"/>
    <col min="3834" max="3834" width="2.5703125" style="1578" customWidth="1"/>
    <col min="3835" max="3835" width="1.28515625" style="1578" customWidth="1"/>
    <col min="3836" max="3836" width="2.5703125" style="1578" customWidth="1"/>
    <col min="3837" max="3837" width="1.28515625" style="1578" customWidth="1"/>
    <col min="3838" max="3839" width="2.5703125" style="1578" customWidth="1"/>
    <col min="3840" max="3841" width="1.28515625" style="1578" customWidth="1"/>
    <col min="3842" max="3842" width="2.28515625" style="1578" customWidth="1"/>
    <col min="3843" max="3843" width="0.7109375" style="1578" customWidth="1"/>
    <col min="3844" max="3844" width="2" style="1578" customWidth="1"/>
    <col min="3845" max="3845" width="1.28515625" style="1578" customWidth="1"/>
    <col min="3846" max="3847" width="2.5703125" style="1578" customWidth="1"/>
    <col min="3848" max="3850" width="1.28515625" style="1578" customWidth="1"/>
    <col min="3851" max="3851" width="2.5703125" style="1578" customWidth="1"/>
    <col min="3852" max="3852" width="1.28515625" style="1578" customWidth="1"/>
    <col min="3853" max="3853" width="2.5703125" style="1578" customWidth="1"/>
    <col min="3854" max="3854" width="1.28515625" style="1578" customWidth="1"/>
    <col min="3855" max="3855" width="2.5703125" style="1578" customWidth="1"/>
    <col min="3856" max="3856" width="1.28515625" style="1578" customWidth="1"/>
    <col min="3857" max="3857" width="2.5703125" style="1578" customWidth="1"/>
    <col min="3858" max="3858" width="1.28515625" style="1578" customWidth="1"/>
    <col min="3859" max="4074" width="2.5703125" style="1578"/>
    <col min="4075" max="4075" width="4.140625" style="1578" customWidth="1"/>
    <col min="4076" max="4082" width="2.5703125" style="1578" customWidth="1"/>
    <col min="4083" max="4083" width="1.28515625" style="1578" customWidth="1"/>
    <col min="4084" max="4084" width="2.5703125" style="1578" customWidth="1"/>
    <col min="4085" max="4085" width="1.28515625" style="1578" customWidth="1"/>
    <col min="4086" max="4086" width="2.5703125" style="1578" customWidth="1"/>
    <col min="4087" max="4087" width="1.28515625" style="1578" customWidth="1"/>
    <col min="4088" max="4088" width="2.5703125" style="1578" customWidth="1"/>
    <col min="4089" max="4089" width="1.28515625" style="1578" customWidth="1"/>
    <col min="4090" max="4090" width="2.5703125" style="1578" customWidth="1"/>
    <col min="4091" max="4091" width="1.28515625" style="1578" customWidth="1"/>
    <col min="4092" max="4092" width="2.5703125" style="1578" customWidth="1"/>
    <col min="4093" max="4093" width="1.28515625" style="1578" customWidth="1"/>
    <col min="4094" max="4095" width="2.5703125" style="1578" customWidth="1"/>
    <col min="4096" max="4097" width="1.28515625" style="1578" customWidth="1"/>
    <col min="4098" max="4098" width="2.28515625" style="1578" customWidth="1"/>
    <col min="4099" max="4099" width="0.7109375" style="1578" customWidth="1"/>
    <col min="4100" max="4100" width="2" style="1578" customWidth="1"/>
    <col min="4101" max="4101" width="1.28515625" style="1578" customWidth="1"/>
    <col min="4102" max="4103" width="2.5703125" style="1578" customWidth="1"/>
    <col min="4104" max="4106" width="1.28515625" style="1578" customWidth="1"/>
    <col min="4107" max="4107" width="2.5703125" style="1578" customWidth="1"/>
    <col min="4108" max="4108" width="1.28515625" style="1578" customWidth="1"/>
    <col min="4109" max="4109" width="2.5703125" style="1578" customWidth="1"/>
    <col min="4110" max="4110" width="1.28515625" style="1578" customWidth="1"/>
    <col min="4111" max="4111" width="2.5703125" style="1578" customWidth="1"/>
    <col min="4112" max="4112" width="1.28515625" style="1578" customWidth="1"/>
    <col min="4113" max="4113" width="2.5703125" style="1578" customWidth="1"/>
    <col min="4114" max="4114" width="1.28515625" style="1578" customWidth="1"/>
    <col min="4115" max="4330" width="2.5703125" style="1578"/>
    <col min="4331" max="4331" width="4.140625" style="1578" customWidth="1"/>
    <col min="4332" max="4338" width="2.5703125" style="1578" customWidth="1"/>
    <col min="4339" max="4339" width="1.28515625" style="1578" customWidth="1"/>
    <col min="4340" max="4340" width="2.5703125" style="1578" customWidth="1"/>
    <col min="4341" max="4341" width="1.28515625" style="1578" customWidth="1"/>
    <col min="4342" max="4342" width="2.5703125" style="1578" customWidth="1"/>
    <col min="4343" max="4343" width="1.28515625" style="1578" customWidth="1"/>
    <col min="4344" max="4344" width="2.5703125" style="1578" customWidth="1"/>
    <col min="4345" max="4345" width="1.28515625" style="1578" customWidth="1"/>
    <col min="4346" max="4346" width="2.5703125" style="1578" customWidth="1"/>
    <col min="4347" max="4347" width="1.28515625" style="1578" customWidth="1"/>
    <col min="4348" max="4348" width="2.5703125" style="1578" customWidth="1"/>
    <col min="4349" max="4349" width="1.28515625" style="1578" customWidth="1"/>
    <col min="4350" max="4351" width="2.5703125" style="1578" customWidth="1"/>
    <col min="4352" max="4353" width="1.28515625" style="1578" customWidth="1"/>
    <col min="4354" max="4354" width="2.28515625" style="1578" customWidth="1"/>
    <col min="4355" max="4355" width="0.7109375" style="1578" customWidth="1"/>
    <col min="4356" max="4356" width="2" style="1578" customWidth="1"/>
    <col min="4357" max="4357" width="1.28515625" style="1578" customWidth="1"/>
    <col min="4358" max="4359" width="2.5703125" style="1578" customWidth="1"/>
    <col min="4360" max="4362" width="1.28515625" style="1578" customWidth="1"/>
    <col min="4363" max="4363" width="2.5703125" style="1578" customWidth="1"/>
    <col min="4364" max="4364" width="1.28515625" style="1578" customWidth="1"/>
    <col min="4365" max="4365" width="2.5703125" style="1578" customWidth="1"/>
    <col min="4366" max="4366" width="1.28515625" style="1578" customWidth="1"/>
    <col min="4367" max="4367" width="2.5703125" style="1578" customWidth="1"/>
    <col min="4368" max="4368" width="1.28515625" style="1578" customWidth="1"/>
    <col min="4369" max="4369" width="2.5703125" style="1578" customWidth="1"/>
    <col min="4370" max="4370" width="1.28515625" style="1578" customWidth="1"/>
    <col min="4371" max="4586" width="2.5703125" style="1578"/>
    <col min="4587" max="4587" width="4.140625" style="1578" customWidth="1"/>
    <col min="4588" max="4594" width="2.5703125" style="1578" customWidth="1"/>
    <col min="4595" max="4595" width="1.28515625" style="1578" customWidth="1"/>
    <col min="4596" max="4596" width="2.5703125" style="1578" customWidth="1"/>
    <col min="4597" max="4597" width="1.28515625" style="1578" customWidth="1"/>
    <col min="4598" max="4598" width="2.5703125" style="1578" customWidth="1"/>
    <col min="4599" max="4599" width="1.28515625" style="1578" customWidth="1"/>
    <col min="4600" max="4600" width="2.5703125" style="1578" customWidth="1"/>
    <col min="4601" max="4601" width="1.28515625" style="1578" customWidth="1"/>
    <col min="4602" max="4602" width="2.5703125" style="1578" customWidth="1"/>
    <col min="4603" max="4603" width="1.28515625" style="1578" customWidth="1"/>
    <col min="4604" max="4604" width="2.5703125" style="1578" customWidth="1"/>
    <col min="4605" max="4605" width="1.28515625" style="1578" customWidth="1"/>
    <col min="4606" max="4607" width="2.5703125" style="1578" customWidth="1"/>
    <col min="4608" max="4609" width="1.28515625" style="1578" customWidth="1"/>
    <col min="4610" max="4610" width="2.28515625" style="1578" customWidth="1"/>
    <col min="4611" max="4611" width="0.7109375" style="1578" customWidth="1"/>
    <col min="4612" max="4612" width="2" style="1578" customWidth="1"/>
    <col min="4613" max="4613" width="1.28515625" style="1578" customWidth="1"/>
    <col min="4614" max="4615" width="2.5703125" style="1578" customWidth="1"/>
    <col min="4616" max="4618" width="1.28515625" style="1578" customWidth="1"/>
    <col min="4619" max="4619" width="2.5703125" style="1578" customWidth="1"/>
    <col min="4620" max="4620" width="1.28515625" style="1578" customWidth="1"/>
    <col min="4621" max="4621" width="2.5703125" style="1578" customWidth="1"/>
    <col min="4622" max="4622" width="1.28515625" style="1578" customWidth="1"/>
    <col min="4623" max="4623" width="2.5703125" style="1578" customWidth="1"/>
    <col min="4624" max="4624" width="1.28515625" style="1578" customWidth="1"/>
    <col min="4625" max="4625" width="2.5703125" style="1578" customWidth="1"/>
    <col min="4626" max="4626" width="1.28515625" style="1578" customWidth="1"/>
    <col min="4627" max="4842" width="2.5703125" style="1578"/>
    <col min="4843" max="4843" width="4.140625" style="1578" customWidth="1"/>
    <col min="4844" max="4850" width="2.5703125" style="1578" customWidth="1"/>
    <col min="4851" max="4851" width="1.28515625" style="1578" customWidth="1"/>
    <col min="4852" max="4852" width="2.5703125" style="1578" customWidth="1"/>
    <col min="4853" max="4853" width="1.28515625" style="1578" customWidth="1"/>
    <col min="4854" max="4854" width="2.5703125" style="1578" customWidth="1"/>
    <col min="4855" max="4855" width="1.28515625" style="1578" customWidth="1"/>
    <col min="4856" max="4856" width="2.5703125" style="1578" customWidth="1"/>
    <col min="4857" max="4857" width="1.28515625" style="1578" customWidth="1"/>
    <col min="4858" max="4858" width="2.5703125" style="1578" customWidth="1"/>
    <col min="4859" max="4859" width="1.28515625" style="1578" customWidth="1"/>
    <col min="4860" max="4860" width="2.5703125" style="1578" customWidth="1"/>
    <col min="4861" max="4861" width="1.28515625" style="1578" customWidth="1"/>
    <col min="4862" max="4863" width="2.5703125" style="1578" customWidth="1"/>
    <col min="4864" max="4865" width="1.28515625" style="1578" customWidth="1"/>
    <col min="4866" max="4866" width="2.28515625" style="1578" customWidth="1"/>
    <col min="4867" max="4867" width="0.7109375" style="1578" customWidth="1"/>
    <col min="4868" max="4868" width="2" style="1578" customWidth="1"/>
    <col min="4869" max="4869" width="1.28515625" style="1578" customWidth="1"/>
    <col min="4870" max="4871" width="2.5703125" style="1578" customWidth="1"/>
    <col min="4872" max="4874" width="1.28515625" style="1578" customWidth="1"/>
    <col min="4875" max="4875" width="2.5703125" style="1578" customWidth="1"/>
    <col min="4876" max="4876" width="1.28515625" style="1578" customWidth="1"/>
    <col min="4877" max="4877" width="2.5703125" style="1578" customWidth="1"/>
    <col min="4878" max="4878" width="1.28515625" style="1578" customWidth="1"/>
    <col min="4879" max="4879" width="2.5703125" style="1578" customWidth="1"/>
    <col min="4880" max="4880" width="1.28515625" style="1578" customWidth="1"/>
    <col min="4881" max="4881" width="2.5703125" style="1578" customWidth="1"/>
    <col min="4882" max="4882" width="1.28515625" style="1578" customWidth="1"/>
    <col min="4883" max="5098" width="2.5703125" style="1578"/>
    <col min="5099" max="5099" width="4.140625" style="1578" customWidth="1"/>
    <col min="5100" max="5106" width="2.5703125" style="1578" customWidth="1"/>
    <col min="5107" max="5107" width="1.28515625" style="1578" customWidth="1"/>
    <col min="5108" max="5108" width="2.5703125" style="1578" customWidth="1"/>
    <col min="5109" max="5109" width="1.28515625" style="1578" customWidth="1"/>
    <col min="5110" max="5110" width="2.5703125" style="1578" customWidth="1"/>
    <col min="5111" max="5111" width="1.28515625" style="1578" customWidth="1"/>
    <col min="5112" max="5112" width="2.5703125" style="1578" customWidth="1"/>
    <col min="5113" max="5113" width="1.28515625" style="1578" customWidth="1"/>
    <col min="5114" max="5114" width="2.5703125" style="1578" customWidth="1"/>
    <col min="5115" max="5115" width="1.28515625" style="1578" customWidth="1"/>
    <col min="5116" max="5116" width="2.5703125" style="1578" customWidth="1"/>
    <col min="5117" max="5117" width="1.28515625" style="1578" customWidth="1"/>
    <col min="5118" max="5119" width="2.5703125" style="1578" customWidth="1"/>
    <col min="5120" max="5121" width="1.28515625" style="1578" customWidth="1"/>
    <col min="5122" max="5122" width="2.28515625" style="1578" customWidth="1"/>
    <col min="5123" max="5123" width="0.7109375" style="1578" customWidth="1"/>
    <col min="5124" max="5124" width="2" style="1578" customWidth="1"/>
    <col min="5125" max="5125" width="1.28515625" style="1578" customWidth="1"/>
    <col min="5126" max="5127" width="2.5703125" style="1578" customWidth="1"/>
    <col min="5128" max="5130" width="1.28515625" style="1578" customWidth="1"/>
    <col min="5131" max="5131" width="2.5703125" style="1578" customWidth="1"/>
    <col min="5132" max="5132" width="1.28515625" style="1578" customWidth="1"/>
    <col min="5133" max="5133" width="2.5703125" style="1578" customWidth="1"/>
    <col min="5134" max="5134" width="1.28515625" style="1578" customWidth="1"/>
    <col min="5135" max="5135" width="2.5703125" style="1578" customWidth="1"/>
    <col min="5136" max="5136" width="1.28515625" style="1578" customWidth="1"/>
    <col min="5137" max="5137" width="2.5703125" style="1578" customWidth="1"/>
    <col min="5138" max="5138" width="1.28515625" style="1578" customWidth="1"/>
    <col min="5139" max="5354" width="2.5703125" style="1578"/>
    <col min="5355" max="5355" width="4.140625" style="1578" customWidth="1"/>
    <col min="5356" max="5362" width="2.5703125" style="1578" customWidth="1"/>
    <col min="5363" max="5363" width="1.28515625" style="1578" customWidth="1"/>
    <col min="5364" max="5364" width="2.5703125" style="1578" customWidth="1"/>
    <col min="5365" max="5365" width="1.28515625" style="1578" customWidth="1"/>
    <col min="5366" max="5366" width="2.5703125" style="1578" customWidth="1"/>
    <col min="5367" max="5367" width="1.28515625" style="1578" customWidth="1"/>
    <col min="5368" max="5368" width="2.5703125" style="1578" customWidth="1"/>
    <col min="5369" max="5369" width="1.28515625" style="1578" customWidth="1"/>
    <col min="5370" max="5370" width="2.5703125" style="1578" customWidth="1"/>
    <col min="5371" max="5371" width="1.28515625" style="1578" customWidth="1"/>
    <col min="5372" max="5372" width="2.5703125" style="1578" customWidth="1"/>
    <col min="5373" max="5373" width="1.28515625" style="1578" customWidth="1"/>
    <col min="5374" max="5375" width="2.5703125" style="1578" customWidth="1"/>
    <col min="5376" max="5377" width="1.28515625" style="1578" customWidth="1"/>
    <col min="5378" max="5378" width="2.28515625" style="1578" customWidth="1"/>
    <col min="5379" max="5379" width="0.7109375" style="1578" customWidth="1"/>
    <col min="5380" max="5380" width="2" style="1578" customWidth="1"/>
    <col min="5381" max="5381" width="1.28515625" style="1578" customWidth="1"/>
    <col min="5382" max="5383" width="2.5703125" style="1578" customWidth="1"/>
    <col min="5384" max="5386" width="1.28515625" style="1578" customWidth="1"/>
    <col min="5387" max="5387" width="2.5703125" style="1578" customWidth="1"/>
    <col min="5388" max="5388" width="1.28515625" style="1578" customWidth="1"/>
    <col min="5389" max="5389" width="2.5703125" style="1578" customWidth="1"/>
    <col min="5390" max="5390" width="1.28515625" style="1578" customWidth="1"/>
    <col min="5391" max="5391" width="2.5703125" style="1578" customWidth="1"/>
    <col min="5392" max="5392" width="1.28515625" style="1578" customWidth="1"/>
    <col min="5393" max="5393" width="2.5703125" style="1578" customWidth="1"/>
    <col min="5394" max="5394" width="1.28515625" style="1578" customWidth="1"/>
    <col min="5395" max="5610" width="2.5703125" style="1578"/>
    <col min="5611" max="5611" width="4.140625" style="1578" customWidth="1"/>
    <col min="5612" max="5618" width="2.5703125" style="1578" customWidth="1"/>
    <col min="5619" max="5619" width="1.28515625" style="1578" customWidth="1"/>
    <col min="5620" max="5620" width="2.5703125" style="1578" customWidth="1"/>
    <col min="5621" max="5621" width="1.28515625" style="1578" customWidth="1"/>
    <col min="5622" max="5622" width="2.5703125" style="1578" customWidth="1"/>
    <col min="5623" max="5623" width="1.28515625" style="1578" customWidth="1"/>
    <col min="5624" max="5624" width="2.5703125" style="1578" customWidth="1"/>
    <col min="5625" max="5625" width="1.28515625" style="1578" customWidth="1"/>
    <col min="5626" max="5626" width="2.5703125" style="1578" customWidth="1"/>
    <col min="5627" max="5627" width="1.28515625" style="1578" customWidth="1"/>
    <col min="5628" max="5628" width="2.5703125" style="1578" customWidth="1"/>
    <col min="5629" max="5629" width="1.28515625" style="1578" customWidth="1"/>
    <col min="5630" max="5631" width="2.5703125" style="1578" customWidth="1"/>
    <col min="5632" max="5633" width="1.28515625" style="1578" customWidth="1"/>
    <col min="5634" max="5634" width="2.28515625" style="1578" customWidth="1"/>
    <col min="5635" max="5635" width="0.7109375" style="1578" customWidth="1"/>
    <col min="5636" max="5636" width="2" style="1578" customWidth="1"/>
    <col min="5637" max="5637" width="1.28515625" style="1578" customWidth="1"/>
    <col min="5638" max="5639" width="2.5703125" style="1578" customWidth="1"/>
    <col min="5640" max="5642" width="1.28515625" style="1578" customWidth="1"/>
    <col min="5643" max="5643" width="2.5703125" style="1578" customWidth="1"/>
    <col min="5644" max="5644" width="1.28515625" style="1578" customWidth="1"/>
    <col min="5645" max="5645" width="2.5703125" style="1578" customWidth="1"/>
    <col min="5646" max="5646" width="1.28515625" style="1578" customWidth="1"/>
    <col min="5647" max="5647" width="2.5703125" style="1578" customWidth="1"/>
    <col min="5648" max="5648" width="1.28515625" style="1578" customWidth="1"/>
    <col min="5649" max="5649" width="2.5703125" style="1578" customWidth="1"/>
    <col min="5650" max="5650" width="1.28515625" style="1578" customWidth="1"/>
    <col min="5651" max="5866" width="2.5703125" style="1578"/>
    <col min="5867" max="5867" width="4.140625" style="1578" customWidth="1"/>
    <col min="5868" max="5874" width="2.5703125" style="1578" customWidth="1"/>
    <col min="5875" max="5875" width="1.28515625" style="1578" customWidth="1"/>
    <col min="5876" max="5876" width="2.5703125" style="1578" customWidth="1"/>
    <col min="5877" max="5877" width="1.28515625" style="1578" customWidth="1"/>
    <col min="5878" max="5878" width="2.5703125" style="1578" customWidth="1"/>
    <col min="5879" max="5879" width="1.28515625" style="1578" customWidth="1"/>
    <col min="5880" max="5880" width="2.5703125" style="1578" customWidth="1"/>
    <col min="5881" max="5881" width="1.28515625" style="1578" customWidth="1"/>
    <col min="5882" max="5882" width="2.5703125" style="1578" customWidth="1"/>
    <col min="5883" max="5883" width="1.28515625" style="1578" customWidth="1"/>
    <col min="5884" max="5884" width="2.5703125" style="1578" customWidth="1"/>
    <col min="5885" max="5885" width="1.28515625" style="1578" customWidth="1"/>
    <col min="5886" max="5887" width="2.5703125" style="1578" customWidth="1"/>
    <col min="5888" max="5889" width="1.28515625" style="1578" customWidth="1"/>
    <col min="5890" max="5890" width="2.28515625" style="1578" customWidth="1"/>
    <col min="5891" max="5891" width="0.7109375" style="1578" customWidth="1"/>
    <col min="5892" max="5892" width="2" style="1578" customWidth="1"/>
    <col min="5893" max="5893" width="1.28515625" style="1578" customWidth="1"/>
    <col min="5894" max="5895" width="2.5703125" style="1578" customWidth="1"/>
    <col min="5896" max="5898" width="1.28515625" style="1578" customWidth="1"/>
    <col min="5899" max="5899" width="2.5703125" style="1578" customWidth="1"/>
    <col min="5900" max="5900" width="1.28515625" style="1578" customWidth="1"/>
    <col min="5901" max="5901" width="2.5703125" style="1578" customWidth="1"/>
    <col min="5902" max="5902" width="1.28515625" style="1578" customWidth="1"/>
    <col min="5903" max="5903" width="2.5703125" style="1578" customWidth="1"/>
    <col min="5904" max="5904" width="1.28515625" style="1578" customWidth="1"/>
    <col min="5905" max="5905" width="2.5703125" style="1578" customWidth="1"/>
    <col min="5906" max="5906" width="1.28515625" style="1578" customWidth="1"/>
    <col min="5907" max="6122" width="2.5703125" style="1578"/>
    <col min="6123" max="6123" width="4.140625" style="1578" customWidth="1"/>
    <col min="6124" max="6130" width="2.5703125" style="1578" customWidth="1"/>
    <col min="6131" max="6131" width="1.28515625" style="1578" customWidth="1"/>
    <col min="6132" max="6132" width="2.5703125" style="1578" customWidth="1"/>
    <col min="6133" max="6133" width="1.28515625" style="1578" customWidth="1"/>
    <col min="6134" max="6134" width="2.5703125" style="1578" customWidth="1"/>
    <col min="6135" max="6135" width="1.28515625" style="1578" customWidth="1"/>
    <col min="6136" max="6136" width="2.5703125" style="1578" customWidth="1"/>
    <col min="6137" max="6137" width="1.28515625" style="1578" customWidth="1"/>
    <col min="6138" max="6138" width="2.5703125" style="1578" customWidth="1"/>
    <col min="6139" max="6139" width="1.28515625" style="1578" customWidth="1"/>
    <col min="6140" max="6140" width="2.5703125" style="1578" customWidth="1"/>
    <col min="6141" max="6141" width="1.28515625" style="1578" customWidth="1"/>
    <col min="6142" max="6143" width="2.5703125" style="1578" customWidth="1"/>
    <col min="6144" max="6145" width="1.28515625" style="1578" customWidth="1"/>
    <col min="6146" max="6146" width="2.28515625" style="1578" customWidth="1"/>
    <col min="6147" max="6147" width="0.7109375" style="1578" customWidth="1"/>
    <col min="6148" max="6148" width="2" style="1578" customWidth="1"/>
    <col min="6149" max="6149" width="1.28515625" style="1578" customWidth="1"/>
    <col min="6150" max="6151" width="2.5703125" style="1578" customWidth="1"/>
    <col min="6152" max="6154" width="1.28515625" style="1578" customWidth="1"/>
    <col min="6155" max="6155" width="2.5703125" style="1578" customWidth="1"/>
    <col min="6156" max="6156" width="1.28515625" style="1578" customWidth="1"/>
    <col min="6157" max="6157" width="2.5703125" style="1578" customWidth="1"/>
    <col min="6158" max="6158" width="1.28515625" style="1578" customWidth="1"/>
    <col min="6159" max="6159" width="2.5703125" style="1578" customWidth="1"/>
    <col min="6160" max="6160" width="1.28515625" style="1578" customWidth="1"/>
    <col min="6161" max="6161" width="2.5703125" style="1578" customWidth="1"/>
    <col min="6162" max="6162" width="1.28515625" style="1578" customWidth="1"/>
    <col min="6163" max="6378" width="2.5703125" style="1578"/>
    <col min="6379" max="6379" width="4.140625" style="1578" customWidth="1"/>
    <col min="6380" max="6386" width="2.5703125" style="1578" customWidth="1"/>
    <col min="6387" max="6387" width="1.28515625" style="1578" customWidth="1"/>
    <col min="6388" max="6388" width="2.5703125" style="1578" customWidth="1"/>
    <col min="6389" max="6389" width="1.28515625" style="1578" customWidth="1"/>
    <col min="6390" max="6390" width="2.5703125" style="1578" customWidth="1"/>
    <col min="6391" max="6391" width="1.28515625" style="1578" customWidth="1"/>
    <col min="6392" max="6392" width="2.5703125" style="1578" customWidth="1"/>
    <col min="6393" max="6393" width="1.28515625" style="1578" customWidth="1"/>
    <col min="6394" max="6394" width="2.5703125" style="1578" customWidth="1"/>
    <col min="6395" max="6395" width="1.28515625" style="1578" customWidth="1"/>
    <col min="6396" max="6396" width="2.5703125" style="1578" customWidth="1"/>
    <col min="6397" max="6397" width="1.28515625" style="1578" customWidth="1"/>
    <col min="6398" max="6399" width="2.5703125" style="1578" customWidth="1"/>
    <col min="6400" max="6401" width="1.28515625" style="1578" customWidth="1"/>
    <col min="6402" max="6402" width="2.28515625" style="1578" customWidth="1"/>
    <col min="6403" max="6403" width="0.7109375" style="1578" customWidth="1"/>
    <col min="6404" max="6404" width="2" style="1578" customWidth="1"/>
    <col min="6405" max="6405" width="1.28515625" style="1578" customWidth="1"/>
    <col min="6406" max="6407" width="2.5703125" style="1578" customWidth="1"/>
    <col min="6408" max="6410" width="1.28515625" style="1578" customWidth="1"/>
    <col min="6411" max="6411" width="2.5703125" style="1578" customWidth="1"/>
    <col min="6412" max="6412" width="1.28515625" style="1578" customWidth="1"/>
    <col min="6413" max="6413" width="2.5703125" style="1578" customWidth="1"/>
    <col min="6414" max="6414" width="1.28515625" style="1578" customWidth="1"/>
    <col min="6415" max="6415" width="2.5703125" style="1578" customWidth="1"/>
    <col min="6416" max="6416" width="1.28515625" style="1578" customWidth="1"/>
    <col min="6417" max="6417" width="2.5703125" style="1578" customWidth="1"/>
    <col min="6418" max="6418" width="1.28515625" style="1578" customWidth="1"/>
    <col min="6419" max="6634" width="2.5703125" style="1578"/>
    <col min="6635" max="6635" width="4.140625" style="1578" customWidth="1"/>
    <col min="6636" max="6642" width="2.5703125" style="1578" customWidth="1"/>
    <col min="6643" max="6643" width="1.28515625" style="1578" customWidth="1"/>
    <col min="6644" max="6644" width="2.5703125" style="1578" customWidth="1"/>
    <col min="6645" max="6645" width="1.28515625" style="1578" customWidth="1"/>
    <col min="6646" max="6646" width="2.5703125" style="1578" customWidth="1"/>
    <col min="6647" max="6647" width="1.28515625" style="1578" customWidth="1"/>
    <col min="6648" max="6648" width="2.5703125" style="1578" customWidth="1"/>
    <col min="6649" max="6649" width="1.28515625" style="1578" customWidth="1"/>
    <col min="6650" max="6650" width="2.5703125" style="1578" customWidth="1"/>
    <col min="6651" max="6651" width="1.28515625" style="1578" customWidth="1"/>
    <col min="6652" max="6652" width="2.5703125" style="1578" customWidth="1"/>
    <col min="6653" max="6653" width="1.28515625" style="1578" customWidth="1"/>
    <col min="6654" max="6655" width="2.5703125" style="1578" customWidth="1"/>
    <col min="6656" max="6657" width="1.28515625" style="1578" customWidth="1"/>
    <col min="6658" max="6658" width="2.28515625" style="1578" customWidth="1"/>
    <col min="6659" max="6659" width="0.7109375" style="1578" customWidth="1"/>
    <col min="6660" max="6660" width="2" style="1578" customWidth="1"/>
    <col min="6661" max="6661" width="1.28515625" style="1578" customWidth="1"/>
    <col min="6662" max="6663" width="2.5703125" style="1578" customWidth="1"/>
    <col min="6664" max="6666" width="1.28515625" style="1578" customWidth="1"/>
    <col min="6667" max="6667" width="2.5703125" style="1578" customWidth="1"/>
    <col min="6668" max="6668" width="1.28515625" style="1578" customWidth="1"/>
    <col min="6669" max="6669" width="2.5703125" style="1578" customWidth="1"/>
    <col min="6670" max="6670" width="1.28515625" style="1578" customWidth="1"/>
    <col min="6671" max="6671" width="2.5703125" style="1578" customWidth="1"/>
    <col min="6672" max="6672" width="1.28515625" style="1578" customWidth="1"/>
    <col min="6673" max="6673" width="2.5703125" style="1578" customWidth="1"/>
    <col min="6674" max="6674" width="1.28515625" style="1578" customWidth="1"/>
    <col min="6675" max="6890" width="2.5703125" style="1578"/>
    <col min="6891" max="6891" width="4.140625" style="1578" customWidth="1"/>
    <col min="6892" max="6898" width="2.5703125" style="1578" customWidth="1"/>
    <col min="6899" max="6899" width="1.28515625" style="1578" customWidth="1"/>
    <col min="6900" max="6900" width="2.5703125" style="1578" customWidth="1"/>
    <col min="6901" max="6901" width="1.28515625" style="1578" customWidth="1"/>
    <col min="6902" max="6902" width="2.5703125" style="1578" customWidth="1"/>
    <col min="6903" max="6903" width="1.28515625" style="1578" customWidth="1"/>
    <col min="6904" max="6904" width="2.5703125" style="1578" customWidth="1"/>
    <col min="6905" max="6905" width="1.28515625" style="1578" customWidth="1"/>
    <col min="6906" max="6906" width="2.5703125" style="1578" customWidth="1"/>
    <col min="6907" max="6907" width="1.28515625" style="1578" customWidth="1"/>
    <col min="6908" max="6908" width="2.5703125" style="1578" customWidth="1"/>
    <col min="6909" max="6909" width="1.28515625" style="1578" customWidth="1"/>
    <col min="6910" max="6911" width="2.5703125" style="1578" customWidth="1"/>
    <col min="6912" max="6913" width="1.28515625" style="1578" customWidth="1"/>
    <col min="6914" max="6914" width="2.28515625" style="1578" customWidth="1"/>
    <col min="6915" max="6915" width="0.7109375" style="1578" customWidth="1"/>
    <col min="6916" max="6916" width="2" style="1578" customWidth="1"/>
    <col min="6917" max="6917" width="1.28515625" style="1578" customWidth="1"/>
    <col min="6918" max="6919" width="2.5703125" style="1578" customWidth="1"/>
    <col min="6920" max="6922" width="1.28515625" style="1578" customWidth="1"/>
    <col min="6923" max="6923" width="2.5703125" style="1578" customWidth="1"/>
    <col min="6924" max="6924" width="1.28515625" style="1578" customWidth="1"/>
    <col min="6925" max="6925" width="2.5703125" style="1578" customWidth="1"/>
    <col min="6926" max="6926" width="1.28515625" style="1578" customWidth="1"/>
    <col min="6927" max="6927" width="2.5703125" style="1578" customWidth="1"/>
    <col min="6928" max="6928" width="1.28515625" style="1578" customWidth="1"/>
    <col min="6929" max="6929" width="2.5703125" style="1578" customWidth="1"/>
    <col min="6930" max="6930" width="1.28515625" style="1578" customWidth="1"/>
    <col min="6931" max="7146" width="2.5703125" style="1578"/>
    <col min="7147" max="7147" width="4.140625" style="1578" customWidth="1"/>
    <col min="7148" max="7154" width="2.5703125" style="1578" customWidth="1"/>
    <col min="7155" max="7155" width="1.28515625" style="1578" customWidth="1"/>
    <col min="7156" max="7156" width="2.5703125" style="1578" customWidth="1"/>
    <col min="7157" max="7157" width="1.28515625" style="1578" customWidth="1"/>
    <col min="7158" max="7158" width="2.5703125" style="1578" customWidth="1"/>
    <col min="7159" max="7159" width="1.28515625" style="1578" customWidth="1"/>
    <col min="7160" max="7160" width="2.5703125" style="1578" customWidth="1"/>
    <col min="7161" max="7161" width="1.28515625" style="1578" customWidth="1"/>
    <col min="7162" max="7162" width="2.5703125" style="1578" customWidth="1"/>
    <col min="7163" max="7163" width="1.28515625" style="1578" customWidth="1"/>
    <col min="7164" max="7164" width="2.5703125" style="1578" customWidth="1"/>
    <col min="7165" max="7165" width="1.28515625" style="1578" customWidth="1"/>
    <col min="7166" max="7167" width="2.5703125" style="1578" customWidth="1"/>
    <col min="7168" max="7169" width="1.28515625" style="1578" customWidth="1"/>
    <col min="7170" max="7170" width="2.28515625" style="1578" customWidth="1"/>
    <col min="7171" max="7171" width="0.7109375" style="1578" customWidth="1"/>
    <col min="7172" max="7172" width="2" style="1578" customWidth="1"/>
    <col min="7173" max="7173" width="1.28515625" style="1578" customWidth="1"/>
    <col min="7174" max="7175" width="2.5703125" style="1578" customWidth="1"/>
    <col min="7176" max="7178" width="1.28515625" style="1578" customWidth="1"/>
    <col min="7179" max="7179" width="2.5703125" style="1578" customWidth="1"/>
    <col min="7180" max="7180" width="1.28515625" style="1578" customWidth="1"/>
    <col min="7181" max="7181" width="2.5703125" style="1578" customWidth="1"/>
    <col min="7182" max="7182" width="1.28515625" style="1578" customWidth="1"/>
    <col min="7183" max="7183" width="2.5703125" style="1578" customWidth="1"/>
    <col min="7184" max="7184" width="1.28515625" style="1578" customWidth="1"/>
    <col min="7185" max="7185" width="2.5703125" style="1578" customWidth="1"/>
    <col min="7186" max="7186" width="1.28515625" style="1578" customWidth="1"/>
    <col min="7187" max="7402" width="2.5703125" style="1578"/>
    <col min="7403" max="7403" width="4.140625" style="1578" customWidth="1"/>
    <col min="7404" max="7410" width="2.5703125" style="1578" customWidth="1"/>
    <col min="7411" max="7411" width="1.28515625" style="1578" customWidth="1"/>
    <col min="7412" max="7412" width="2.5703125" style="1578" customWidth="1"/>
    <col min="7413" max="7413" width="1.28515625" style="1578" customWidth="1"/>
    <col min="7414" max="7414" width="2.5703125" style="1578" customWidth="1"/>
    <col min="7415" max="7415" width="1.28515625" style="1578" customWidth="1"/>
    <col min="7416" max="7416" width="2.5703125" style="1578" customWidth="1"/>
    <col min="7417" max="7417" width="1.28515625" style="1578" customWidth="1"/>
    <col min="7418" max="7418" width="2.5703125" style="1578" customWidth="1"/>
    <col min="7419" max="7419" width="1.28515625" style="1578" customWidth="1"/>
    <col min="7420" max="7420" width="2.5703125" style="1578" customWidth="1"/>
    <col min="7421" max="7421" width="1.28515625" style="1578" customWidth="1"/>
    <col min="7422" max="7423" width="2.5703125" style="1578" customWidth="1"/>
    <col min="7424" max="7425" width="1.28515625" style="1578" customWidth="1"/>
    <col min="7426" max="7426" width="2.28515625" style="1578" customWidth="1"/>
    <col min="7427" max="7427" width="0.7109375" style="1578" customWidth="1"/>
    <col min="7428" max="7428" width="2" style="1578" customWidth="1"/>
    <col min="7429" max="7429" width="1.28515625" style="1578" customWidth="1"/>
    <col min="7430" max="7431" width="2.5703125" style="1578" customWidth="1"/>
    <col min="7432" max="7434" width="1.28515625" style="1578" customWidth="1"/>
    <col min="7435" max="7435" width="2.5703125" style="1578" customWidth="1"/>
    <col min="7436" max="7436" width="1.28515625" style="1578" customWidth="1"/>
    <col min="7437" max="7437" width="2.5703125" style="1578" customWidth="1"/>
    <col min="7438" max="7438" width="1.28515625" style="1578" customWidth="1"/>
    <col min="7439" max="7439" width="2.5703125" style="1578" customWidth="1"/>
    <col min="7440" max="7440" width="1.28515625" style="1578" customWidth="1"/>
    <col min="7441" max="7441" width="2.5703125" style="1578" customWidth="1"/>
    <col min="7442" max="7442" width="1.28515625" style="1578" customWidth="1"/>
    <col min="7443" max="7658" width="2.5703125" style="1578"/>
    <col min="7659" max="7659" width="4.140625" style="1578" customWidth="1"/>
    <col min="7660" max="7666" width="2.5703125" style="1578" customWidth="1"/>
    <col min="7667" max="7667" width="1.28515625" style="1578" customWidth="1"/>
    <col min="7668" max="7668" width="2.5703125" style="1578" customWidth="1"/>
    <col min="7669" max="7669" width="1.28515625" style="1578" customWidth="1"/>
    <col min="7670" max="7670" width="2.5703125" style="1578" customWidth="1"/>
    <col min="7671" max="7671" width="1.28515625" style="1578" customWidth="1"/>
    <col min="7672" max="7672" width="2.5703125" style="1578" customWidth="1"/>
    <col min="7673" max="7673" width="1.28515625" style="1578" customWidth="1"/>
    <col min="7674" max="7674" width="2.5703125" style="1578" customWidth="1"/>
    <col min="7675" max="7675" width="1.28515625" style="1578" customWidth="1"/>
    <col min="7676" max="7676" width="2.5703125" style="1578" customWidth="1"/>
    <col min="7677" max="7677" width="1.28515625" style="1578" customWidth="1"/>
    <col min="7678" max="7679" width="2.5703125" style="1578" customWidth="1"/>
    <col min="7680" max="7681" width="1.28515625" style="1578" customWidth="1"/>
    <col min="7682" max="7682" width="2.28515625" style="1578" customWidth="1"/>
    <col min="7683" max="7683" width="0.7109375" style="1578" customWidth="1"/>
    <col min="7684" max="7684" width="2" style="1578" customWidth="1"/>
    <col min="7685" max="7685" width="1.28515625" style="1578" customWidth="1"/>
    <col min="7686" max="7687" width="2.5703125" style="1578" customWidth="1"/>
    <col min="7688" max="7690" width="1.28515625" style="1578" customWidth="1"/>
    <col min="7691" max="7691" width="2.5703125" style="1578" customWidth="1"/>
    <col min="7692" max="7692" width="1.28515625" style="1578" customWidth="1"/>
    <col min="7693" max="7693" width="2.5703125" style="1578" customWidth="1"/>
    <col min="7694" max="7694" width="1.28515625" style="1578" customWidth="1"/>
    <col min="7695" max="7695" width="2.5703125" style="1578" customWidth="1"/>
    <col min="7696" max="7696" width="1.28515625" style="1578" customWidth="1"/>
    <col min="7697" max="7697" width="2.5703125" style="1578" customWidth="1"/>
    <col min="7698" max="7698" width="1.28515625" style="1578" customWidth="1"/>
    <col min="7699" max="7914" width="2.5703125" style="1578"/>
    <col min="7915" max="7915" width="4.140625" style="1578" customWidth="1"/>
    <col min="7916" max="7922" width="2.5703125" style="1578" customWidth="1"/>
    <col min="7923" max="7923" width="1.28515625" style="1578" customWidth="1"/>
    <col min="7924" max="7924" width="2.5703125" style="1578" customWidth="1"/>
    <col min="7925" max="7925" width="1.28515625" style="1578" customWidth="1"/>
    <col min="7926" max="7926" width="2.5703125" style="1578" customWidth="1"/>
    <col min="7927" max="7927" width="1.28515625" style="1578" customWidth="1"/>
    <col min="7928" max="7928" width="2.5703125" style="1578" customWidth="1"/>
    <col min="7929" max="7929" width="1.28515625" style="1578" customWidth="1"/>
    <col min="7930" max="7930" width="2.5703125" style="1578" customWidth="1"/>
    <col min="7931" max="7931" width="1.28515625" style="1578" customWidth="1"/>
    <col min="7932" max="7932" width="2.5703125" style="1578" customWidth="1"/>
    <col min="7933" max="7933" width="1.28515625" style="1578" customWidth="1"/>
    <col min="7934" max="7935" width="2.5703125" style="1578" customWidth="1"/>
    <col min="7936" max="7937" width="1.28515625" style="1578" customWidth="1"/>
    <col min="7938" max="7938" width="2.28515625" style="1578" customWidth="1"/>
    <col min="7939" max="7939" width="0.7109375" style="1578" customWidth="1"/>
    <col min="7940" max="7940" width="2" style="1578" customWidth="1"/>
    <col min="7941" max="7941" width="1.28515625" style="1578" customWidth="1"/>
    <col min="7942" max="7943" width="2.5703125" style="1578" customWidth="1"/>
    <col min="7944" max="7946" width="1.28515625" style="1578" customWidth="1"/>
    <col min="7947" max="7947" width="2.5703125" style="1578" customWidth="1"/>
    <col min="7948" max="7948" width="1.28515625" style="1578" customWidth="1"/>
    <col min="7949" max="7949" width="2.5703125" style="1578" customWidth="1"/>
    <col min="7950" max="7950" width="1.28515625" style="1578" customWidth="1"/>
    <col min="7951" max="7951" width="2.5703125" style="1578" customWidth="1"/>
    <col min="7952" max="7952" width="1.28515625" style="1578" customWidth="1"/>
    <col min="7953" max="7953" width="2.5703125" style="1578" customWidth="1"/>
    <col min="7954" max="7954" width="1.28515625" style="1578" customWidth="1"/>
    <col min="7955" max="8170" width="2.5703125" style="1578"/>
    <col min="8171" max="8171" width="4.140625" style="1578" customWidth="1"/>
    <col min="8172" max="8178" width="2.5703125" style="1578" customWidth="1"/>
    <col min="8179" max="8179" width="1.28515625" style="1578" customWidth="1"/>
    <col min="8180" max="8180" width="2.5703125" style="1578" customWidth="1"/>
    <col min="8181" max="8181" width="1.28515625" style="1578" customWidth="1"/>
    <col min="8182" max="8182" width="2.5703125" style="1578" customWidth="1"/>
    <col min="8183" max="8183" width="1.28515625" style="1578" customWidth="1"/>
    <col min="8184" max="8184" width="2.5703125" style="1578" customWidth="1"/>
    <col min="8185" max="8185" width="1.28515625" style="1578" customWidth="1"/>
    <col min="8186" max="8186" width="2.5703125" style="1578" customWidth="1"/>
    <col min="8187" max="8187" width="1.28515625" style="1578" customWidth="1"/>
    <col min="8188" max="8188" width="2.5703125" style="1578" customWidth="1"/>
    <col min="8189" max="8189" width="1.28515625" style="1578" customWidth="1"/>
    <col min="8190" max="8191" width="2.5703125" style="1578" customWidth="1"/>
    <col min="8192" max="8193" width="1.28515625" style="1578" customWidth="1"/>
    <col min="8194" max="8194" width="2.28515625" style="1578" customWidth="1"/>
    <col min="8195" max="8195" width="0.7109375" style="1578" customWidth="1"/>
    <col min="8196" max="8196" width="2" style="1578" customWidth="1"/>
    <col min="8197" max="8197" width="1.28515625" style="1578" customWidth="1"/>
    <col min="8198" max="8199" width="2.5703125" style="1578" customWidth="1"/>
    <col min="8200" max="8202" width="1.28515625" style="1578" customWidth="1"/>
    <col min="8203" max="8203" width="2.5703125" style="1578" customWidth="1"/>
    <col min="8204" max="8204" width="1.28515625" style="1578" customWidth="1"/>
    <col min="8205" max="8205" width="2.5703125" style="1578" customWidth="1"/>
    <col min="8206" max="8206" width="1.28515625" style="1578" customWidth="1"/>
    <col min="8207" max="8207" width="2.5703125" style="1578" customWidth="1"/>
    <col min="8208" max="8208" width="1.28515625" style="1578" customWidth="1"/>
    <col min="8209" max="8209" width="2.5703125" style="1578" customWidth="1"/>
    <col min="8210" max="8210" width="1.28515625" style="1578" customWidth="1"/>
    <col min="8211" max="8426" width="2.5703125" style="1578"/>
    <col min="8427" max="8427" width="4.140625" style="1578" customWidth="1"/>
    <col min="8428" max="8434" width="2.5703125" style="1578" customWidth="1"/>
    <col min="8435" max="8435" width="1.28515625" style="1578" customWidth="1"/>
    <col min="8436" max="8436" width="2.5703125" style="1578" customWidth="1"/>
    <col min="8437" max="8437" width="1.28515625" style="1578" customWidth="1"/>
    <col min="8438" max="8438" width="2.5703125" style="1578" customWidth="1"/>
    <col min="8439" max="8439" width="1.28515625" style="1578" customWidth="1"/>
    <col min="8440" max="8440" width="2.5703125" style="1578" customWidth="1"/>
    <col min="8441" max="8441" width="1.28515625" style="1578" customWidth="1"/>
    <col min="8442" max="8442" width="2.5703125" style="1578" customWidth="1"/>
    <col min="8443" max="8443" width="1.28515625" style="1578" customWidth="1"/>
    <col min="8444" max="8444" width="2.5703125" style="1578" customWidth="1"/>
    <col min="8445" max="8445" width="1.28515625" style="1578" customWidth="1"/>
    <col min="8446" max="8447" width="2.5703125" style="1578" customWidth="1"/>
    <col min="8448" max="8449" width="1.28515625" style="1578" customWidth="1"/>
    <col min="8450" max="8450" width="2.28515625" style="1578" customWidth="1"/>
    <col min="8451" max="8451" width="0.7109375" style="1578" customWidth="1"/>
    <col min="8452" max="8452" width="2" style="1578" customWidth="1"/>
    <col min="8453" max="8453" width="1.28515625" style="1578" customWidth="1"/>
    <col min="8454" max="8455" width="2.5703125" style="1578" customWidth="1"/>
    <col min="8456" max="8458" width="1.28515625" style="1578" customWidth="1"/>
    <col min="8459" max="8459" width="2.5703125" style="1578" customWidth="1"/>
    <col min="8460" max="8460" width="1.28515625" style="1578" customWidth="1"/>
    <col min="8461" max="8461" width="2.5703125" style="1578" customWidth="1"/>
    <col min="8462" max="8462" width="1.28515625" style="1578" customWidth="1"/>
    <col min="8463" max="8463" width="2.5703125" style="1578" customWidth="1"/>
    <col min="8464" max="8464" width="1.28515625" style="1578" customWidth="1"/>
    <col min="8465" max="8465" width="2.5703125" style="1578" customWidth="1"/>
    <col min="8466" max="8466" width="1.28515625" style="1578" customWidth="1"/>
    <col min="8467" max="8682" width="2.5703125" style="1578"/>
    <col min="8683" max="8683" width="4.140625" style="1578" customWidth="1"/>
    <col min="8684" max="8690" width="2.5703125" style="1578" customWidth="1"/>
    <col min="8691" max="8691" width="1.28515625" style="1578" customWidth="1"/>
    <col min="8692" max="8692" width="2.5703125" style="1578" customWidth="1"/>
    <col min="8693" max="8693" width="1.28515625" style="1578" customWidth="1"/>
    <col min="8694" max="8694" width="2.5703125" style="1578" customWidth="1"/>
    <col min="8695" max="8695" width="1.28515625" style="1578" customWidth="1"/>
    <col min="8696" max="8696" width="2.5703125" style="1578" customWidth="1"/>
    <col min="8697" max="8697" width="1.28515625" style="1578" customWidth="1"/>
    <col min="8698" max="8698" width="2.5703125" style="1578" customWidth="1"/>
    <col min="8699" max="8699" width="1.28515625" style="1578" customWidth="1"/>
    <col min="8700" max="8700" width="2.5703125" style="1578" customWidth="1"/>
    <col min="8701" max="8701" width="1.28515625" style="1578" customWidth="1"/>
    <col min="8702" max="8703" width="2.5703125" style="1578" customWidth="1"/>
    <col min="8704" max="8705" width="1.28515625" style="1578" customWidth="1"/>
    <col min="8706" max="8706" width="2.28515625" style="1578" customWidth="1"/>
    <col min="8707" max="8707" width="0.7109375" style="1578" customWidth="1"/>
    <col min="8708" max="8708" width="2" style="1578" customWidth="1"/>
    <col min="8709" max="8709" width="1.28515625" style="1578" customWidth="1"/>
    <col min="8710" max="8711" width="2.5703125" style="1578" customWidth="1"/>
    <col min="8712" max="8714" width="1.28515625" style="1578" customWidth="1"/>
    <col min="8715" max="8715" width="2.5703125" style="1578" customWidth="1"/>
    <col min="8716" max="8716" width="1.28515625" style="1578" customWidth="1"/>
    <col min="8717" max="8717" width="2.5703125" style="1578" customWidth="1"/>
    <col min="8718" max="8718" width="1.28515625" style="1578" customWidth="1"/>
    <col min="8719" max="8719" width="2.5703125" style="1578" customWidth="1"/>
    <col min="8720" max="8720" width="1.28515625" style="1578" customWidth="1"/>
    <col min="8721" max="8721" width="2.5703125" style="1578" customWidth="1"/>
    <col min="8722" max="8722" width="1.28515625" style="1578" customWidth="1"/>
    <col min="8723" max="8938" width="2.5703125" style="1578"/>
    <col min="8939" max="8939" width="4.140625" style="1578" customWidth="1"/>
    <col min="8940" max="8946" width="2.5703125" style="1578" customWidth="1"/>
    <col min="8947" max="8947" width="1.28515625" style="1578" customWidth="1"/>
    <col min="8948" max="8948" width="2.5703125" style="1578" customWidth="1"/>
    <col min="8949" max="8949" width="1.28515625" style="1578" customWidth="1"/>
    <col min="8950" max="8950" width="2.5703125" style="1578" customWidth="1"/>
    <col min="8951" max="8951" width="1.28515625" style="1578" customWidth="1"/>
    <col min="8952" max="8952" width="2.5703125" style="1578" customWidth="1"/>
    <col min="8953" max="8953" width="1.28515625" style="1578" customWidth="1"/>
    <col min="8954" max="8954" width="2.5703125" style="1578" customWidth="1"/>
    <col min="8955" max="8955" width="1.28515625" style="1578" customWidth="1"/>
    <col min="8956" max="8956" width="2.5703125" style="1578" customWidth="1"/>
    <col min="8957" max="8957" width="1.28515625" style="1578" customWidth="1"/>
    <col min="8958" max="8959" width="2.5703125" style="1578" customWidth="1"/>
    <col min="8960" max="8961" width="1.28515625" style="1578" customWidth="1"/>
    <col min="8962" max="8962" width="2.28515625" style="1578" customWidth="1"/>
    <col min="8963" max="8963" width="0.7109375" style="1578" customWidth="1"/>
    <col min="8964" max="8964" width="2" style="1578" customWidth="1"/>
    <col min="8965" max="8965" width="1.28515625" style="1578" customWidth="1"/>
    <col min="8966" max="8967" width="2.5703125" style="1578" customWidth="1"/>
    <col min="8968" max="8970" width="1.28515625" style="1578" customWidth="1"/>
    <col min="8971" max="8971" width="2.5703125" style="1578" customWidth="1"/>
    <col min="8972" max="8972" width="1.28515625" style="1578" customWidth="1"/>
    <col min="8973" max="8973" width="2.5703125" style="1578" customWidth="1"/>
    <col min="8974" max="8974" width="1.28515625" style="1578" customWidth="1"/>
    <col min="8975" max="8975" width="2.5703125" style="1578" customWidth="1"/>
    <col min="8976" max="8976" width="1.28515625" style="1578" customWidth="1"/>
    <col min="8977" max="8977" width="2.5703125" style="1578" customWidth="1"/>
    <col min="8978" max="8978" width="1.28515625" style="1578" customWidth="1"/>
    <col min="8979" max="9194" width="2.5703125" style="1578"/>
    <col min="9195" max="9195" width="4.140625" style="1578" customWidth="1"/>
    <col min="9196" max="9202" width="2.5703125" style="1578" customWidth="1"/>
    <col min="9203" max="9203" width="1.28515625" style="1578" customWidth="1"/>
    <col min="9204" max="9204" width="2.5703125" style="1578" customWidth="1"/>
    <col min="9205" max="9205" width="1.28515625" style="1578" customWidth="1"/>
    <col min="9206" max="9206" width="2.5703125" style="1578" customWidth="1"/>
    <col min="9207" max="9207" width="1.28515625" style="1578" customWidth="1"/>
    <col min="9208" max="9208" width="2.5703125" style="1578" customWidth="1"/>
    <col min="9209" max="9209" width="1.28515625" style="1578" customWidth="1"/>
    <col min="9210" max="9210" width="2.5703125" style="1578" customWidth="1"/>
    <col min="9211" max="9211" width="1.28515625" style="1578" customWidth="1"/>
    <col min="9212" max="9212" width="2.5703125" style="1578" customWidth="1"/>
    <col min="9213" max="9213" width="1.28515625" style="1578" customWidth="1"/>
    <col min="9214" max="9215" width="2.5703125" style="1578" customWidth="1"/>
    <col min="9216" max="9217" width="1.28515625" style="1578" customWidth="1"/>
    <col min="9218" max="9218" width="2.28515625" style="1578" customWidth="1"/>
    <col min="9219" max="9219" width="0.7109375" style="1578" customWidth="1"/>
    <col min="9220" max="9220" width="2" style="1578" customWidth="1"/>
    <col min="9221" max="9221" width="1.28515625" style="1578" customWidth="1"/>
    <col min="9222" max="9223" width="2.5703125" style="1578" customWidth="1"/>
    <col min="9224" max="9226" width="1.28515625" style="1578" customWidth="1"/>
    <col min="9227" max="9227" width="2.5703125" style="1578" customWidth="1"/>
    <col min="9228" max="9228" width="1.28515625" style="1578" customWidth="1"/>
    <col min="9229" max="9229" width="2.5703125" style="1578" customWidth="1"/>
    <col min="9230" max="9230" width="1.28515625" style="1578" customWidth="1"/>
    <col min="9231" max="9231" width="2.5703125" style="1578" customWidth="1"/>
    <col min="9232" max="9232" width="1.28515625" style="1578" customWidth="1"/>
    <col min="9233" max="9233" width="2.5703125" style="1578" customWidth="1"/>
    <col min="9234" max="9234" width="1.28515625" style="1578" customWidth="1"/>
    <col min="9235" max="9450" width="2.5703125" style="1578"/>
    <col min="9451" max="9451" width="4.140625" style="1578" customWidth="1"/>
    <col min="9452" max="9458" width="2.5703125" style="1578" customWidth="1"/>
    <col min="9459" max="9459" width="1.28515625" style="1578" customWidth="1"/>
    <col min="9460" max="9460" width="2.5703125" style="1578" customWidth="1"/>
    <col min="9461" max="9461" width="1.28515625" style="1578" customWidth="1"/>
    <col min="9462" max="9462" width="2.5703125" style="1578" customWidth="1"/>
    <col min="9463" max="9463" width="1.28515625" style="1578" customWidth="1"/>
    <col min="9464" max="9464" width="2.5703125" style="1578" customWidth="1"/>
    <col min="9465" max="9465" width="1.28515625" style="1578" customWidth="1"/>
    <col min="9466" max="9466" width="2.5703125" style="1578" customWidth="1"/>
    <col min="9467" max="9467" width="1.28515625" style="1578" customWidth="1"/>
    <col min="9468" max="9468" width="2.5703125" style="1578" customWidth="1"/>
    <col min="9469" max="9469" width="1.28515625" style="1578" customWidth="1"/>
    <col min="9470" max="9471" width="2.5703125" style="1578" customWidth="1"/>
    <col min="9472" max="9473" width="1.28515625" style="1578" customWidth="1"/>
    <col min="9474" max="9474" width="2.28515625" style="1578" customWidth="1"/>
    <col min="9475" max="9475" width="0.7109375" style="1578" customWidth="1"/>
    <col min="9476" max="9476" width="2" style="1578" customWidth="1"/>
    <col min="9477" max="9477" width="1.28515625" style="1578" customWidth="1"/>
    <col min="9478" max="9479" width="2.5703125" style="1578" customWidth="1"/>
    <col min="9480" max="9482" width="1.28515625" style="1578" customWidth="1"/>
    <col min="9483" max="9483" width="2.5703125" style="1578" customWidth="1"/>
    <col min="9484" max="9484" width="1.28515625" style="1578" customWidth="1"/>
    <col min="9485" max="9485" width="2.5703125" style="1578" customWidth="1"/>
    <col min="9486" max="9486" width="1.28515625" style="1578" customWidth="1"/>
    <col min="9487" max="9487" width="2.5703125" style="1578" customWidth="1"/>
    <col min="9488" max="9488" width="1.28515625" style="1578" customWidth="1"/>
    <col min="9489" max="9489" width="2.5703125" style="1578" customWidth="1"/>
    <col min="9490" max="9490" width="1.28515625" style="1578" customWidth="1"/>
    <col min="9491" max="9706" width="2.5703125" style="1578"/>
    <col min="9707" max="9707" width="4.140625" style="1578" customWidth="1"/>
    <col min="9708" max="9714" width="2.5703125" style="1578" customWidth="1"/>
    <col min="9715" max="9715" width="1.28515625" style="1578" customWidth="1"/>
    <col min="9716" max="9716" width="2.5703125" style="1578" customWidth="1"/>
    <col min="9717" max="9717" width="1.28515625" style="1578" customWidth="1"/>
    <col min="9718" max="9718" width="2.5703125" style="1578" customWidth="1"/>
    <col min="9719" max="9719" width="1.28515625" style="1578" customWidth="1"/>
    <col min="9720" max="9720" width="2.5703125" style="1578" customWidth="1"/>
    <col min="9721" max="9721" width="1.28515625" style="1578" customWidth="1"/>
    <col min="9722" max="9722" width="2.5703125" style="1578" customWidth="1"/>
    <col min="9723" max="9723" width="1.28515625" style="1578" customWidth="1"/>
    <col min="9724" max="9724" width="2.5703125" style="1578" customWidth="1"/>
    <col min="9725" max="9725" width="1.28515625" style="1578" customWidth="1"/>
    <col min="9726" max="9727" width="2.5703125" style="1578" customWidth="1"/>
    <col min="9728" max="9729" width="1.28515625" style="1578" customWidth="1"/>
    <col min="9730" max="9730" width="2.28515625" style="1578" customWidth="1"/>
    <col min="9731" max="9731" width="0.7109375" style="1578" customWidth="1"/>
    <col min="9732" max="9732" width="2" style="1578" customWidth="1"/>
    <col min="9733" max="9733" width="1.28515625" style="1578" customWidth="1"/>
    <col min="9734" max="9735" width="2.5703125" style="1578" customWidth="1"/>
    <col min="9736" max="9738" width="1.28515625" style="1578" customWidth="1"/>
    <col min="9739" max="9739" width="2.5703125" style="1578" customWidth="1"/>
    <col min="9740" max="9740" width="1.28515625" style="1578" customWidth="1"/>
    <col min="9741" max="9741" width="2.5703125" style="1578" customWidth="1"/>
    <col min="9742" max="9742" width="1.28515625" style="1578" customWidth="1"/>
    <col min="9743" max="9743" width="2.5703125" style="1578" customWidth="1"/>
    <col min="9744" max="9744" width="1.28515625" style="1578" customWidth="1"/>
    <col min="9745" max="9745" width="2.5703125" style="1578" customWidth="1"/>
    <col min="9746" max="9746" width="1.28515625" style="1578" customWidth="1"/>
    <col min="9747" max="9962" width="2.5703125" style="1578"/>
    <col min="9963" max="9963" width="4.140625" style="1578" customWidth="1"/>
    <col min="9964" max="9970" width="2.5703125" style="1578" customWidth="1"/>
    <col min="9971" max="9971" width="1.28515625" style="1578" customWidth="1"/>
    <col min="9972" max="9972" width="2.5703125" style="1578" customWidth="1"/>
    <col min="9973" max="9973" width="1.28515625" style="1578" customWidth="1"/>
    <col min="9974" max="9974" width="2.5703125" style="1578" customWidth="1"/>
    <col min="9975" max="9975" width="1.28515625" style="1578" customWidth="1"/>
    <col min="9976" max="9976" width="2.5703125" style="1578" customWidth="1"/>
    <col min="9977" max="9977" width="1.28515625" style="1578" customWidth="1"/>
    <col min="9978" max="9978" width="2.5703125" style="1578" customWidth="1"/>
    <col min="9979" max="9979" width="1.28515625" style="1578" customWidth="1"/>
    <col min="9980" max="9980" width="2.5703125" style="1578" customWidth="1"/>
    <col min="9981" max="9981" width="1.28515625" style="1578" customWidth="1"/>
    <col min="9982" max="9983" width="2.5703125" style="1578" customWidth="1"/>
    <col min="9984" max="9985" width="1.28515625" style="1578" customWidth="1"/>
    <col min="9986" max="9986" width="2.28515625" style="1578" customWidth="1"/>
    <col min="9987" max="9987" width="0.7109375" style="1578" customWidth="1"/>
    <col min="9988" max="9988" width="2" style="1578" customWidth="1"/>
    <col min="9989" max="9989" width="1.28515625" style="1578" customWidth="1"/>
    <col min="9990" max="9991" width="2.5703125" style="1578" customWidth="1"/>
    <col min="9992" max="9994" width="1.28515625" style="1578" customWidth="1"/>
    <col min="9995" max="9995" width="2.5703125" style="1578" customWidth="1"/>
    <col min="9996" max="9996" width="1.28515625" style="1578" customWidth="1"/>
    <col min="9997" max="9997" width="2.5703125" style="1578" customWidth="1"/>
    <col min="9998" max="9998" width="1.28515625" style="1578" customWidth="1"/>
    <col min="9999" max="9999" width="2.5703125" style="1578" customWidth="1"/>
    <col min="10000" max="10000" width="1.28515625" style="1578" customWidth="1"/>
    <col min="10001" max="10001" width="2.5703125" style="1578" customWidth="1"/>
    <col min="10002" max="10002" width="1.28515625" style="1578" customWidth="1"/>
    <col min="10003" max="10218" width="2.5703125" style="1578"/>
    <col min="10219" max="10219" width="4.140625" style="1578" customWidth="1"/>
    <col min="10220" max="10226" width="2.5703125" style="1578" customWidth="1"/>
    <col min="10227" max="10227" width="1.28515625" style="1578" customWidth="1"/>
    <col min="10228" max="10228" width="2.5703125" style="1578" customWidth="1"/>
    <col min="10229" max="10229" width="1.28515625" style="1578" customWidth="1"/>
    <col min="10230" max="10230" width="2.5703125" style="1578" customWidth="1"/>
    <col min="10231" max="10231" width="1.28515625" style="1578" customWidth="1"/>
    <col min="10232" max="10232" width="2.5703125" style="1578" customWidth="1"/>
    <col min="10233" max="10233" width="1.28515625" style="1578" customWidth="1"/>
    <col min="10234" max="10234" width="2.5703125" style="1578" customWidth="1"/>
    <col min="10235" max="10235" width="1.28515625" style="1578" customWidth="1"/>
    <col min="10236" max="10236" width="2.5703125" style="1578" customWidth="1"/>
    <col min="10237" max="10237" width="1.28515625" style="1578" customWidth="1"/>
    <col min="10238" max="10239" width="2.5703125" style="1578" customWidth="1"/>
    <col min="10240" max="10241" width="1.28515625" style="1578" customWidth="1"/>
    <col min="10242" max="10242" width="2.28515625" style="1578" customWidth="1"/>
    <col min="10243" max="10243" width="0.7109375" style="1578" customWidth="1"/>
    <col min="10244" max="10244" width="2" style="1578" customWidth="1"/>
    <col min="10245" max="10245" width="1.28515625" style="1578" customWidth="1"/>
    <col min="10246" max="10247" width="2.5703125" style="1578" customWidth="1"/>
    <col min="10248" max="10250" width="1.28515625" style="1578" customWidth="1"/>
    <col min="10251" max="10251" width="2.5703125" style="1578" customWidth="1"/>
    <col min="10252" max="10252" width="1.28515625" style="1578" customWidth="1"/>
    <col min="10253" max="10253" width="2.5703125" style="1578" customWidth="1"/>
    <col min="10254" max="10254" width="1.28515625" style="1578" customWidth="1"/>
    <col min="10255" max="10255" width="2.5703125" style="1578" customWidth="1"/>
    <col min="10256" max="10256" width="1.28515625" style="1578" customWidth="1"/>
    <col min="10257" max="10257" width="2.5703125" style="1578" customWidth="1"/>
    <col min="10258" max="10258" width="1.28515625" style="1578" customWidth="1"/>
    <col min="10259" max="10474" width="2.5703125" style="1578"/>
    <col min="10475" max="10475" width="4.140625" style="1578" customWidth="1"/>
    <col min="10476" max="10482" width="2.5703125" style="1578" customWidth="1"/>
    <col min="10483" max="10483" width="1.28515625" style="1578" customWidth="1"/>
    <col min="10484" max="10484" width="2.5703125" style="1578" customWidth="1"/>
    <col min="10485" max="10485" width="1.28515625" style="1578" customWidth="1"/>
    <col min="10486" max="10486" width="2.5703125" style="1578" customWidth="1"/>
    <col min="10487" max="10487" width="1.28515625" style="1578" customWidth="1"/>
    <col min="10488" max="10488" width="2.5703125" style="1578" customWidth="1"/>
    <col min="10489" max="10489" width="1.28515625" style="1578" customWidth="1"/>
    <col min="10490" max="10490" width="2.5703125" style="1578" customWidth="1"/>
    <col min="10491" max="10491" width="1.28515625" style="1578" customWidth="1"/>
    <col min="10492" max="10492" width="2.5703125" style="1578" customWidth="1"/>
    <col min="10493" max="10493" width="1.28515625" style="1578" customWidth="1"/>
    <col min="10494" max="10495" width="2.5703125" style="1578" customWidth="1"/>
    <col min="10496" max="10497" width="1.28515625" style="1578" customWidth="1"/>
    <col min="10498" max="10498" width="2.28515625" style="1578" customWidth="1"/>
    <col min="10499" max="10499" width="0.7109375" style="1578" customWidth="1"/>
    <col min="10500" max="10500" width="2" style="1578" customWidth="1"/>
    <col min="10501" max="10501" width="1.28515625" style="1578" customWidth="1"/>
    <col min="10502" max="10503" width="2.5703125" style="1578" customWidth="1"/>
    <col min="10504" max="10506" width="1.28515625" style="1578" customWidth="1"/>
    <col min="10507" max="10507" width="2.5703125" style="1578" customWidth="1"/>
    <col min="10508" max="10508" width="1.28515625" style="1578" customWidth="1"/>
    <col min="10509" max="10509" width="2.5703125" style="1578" customWidth="1"/>
    <col min="10510" max="10510" width="1.28515625" style="1578" customWidth="1"/>
    <col min="10511" max="10511" width="2.5703125" style="1578" customWidth="1"/>
    <col min="10512" max="10512" width="1.28515625" style="1578" customWidth="1"/>
    <col min="10513" max="10513" width="2.5703125" style="1578" customWidth="1"/>
    <col min="10514" max="10514" width="1.28515625" style="1578" customWidth="1"/>
    <col min="10515" max="10730" width="2.5703125" style="1578"/>
    <col min="10731" max="10731" width="4.140625" style="1578" customWidth="1"/>
    <col min="10732" max="10738" width="2.5703125" style="1578" customWidth="1"/>
    <col min="10739" max="10739" width="1.28515625" style="1578" customWidth="1"/>
    <col min="10740" max="10740" width="2.5703125" style="1578" customWidth="1"/>
    <col min="10741" max="10741" width="1.28515625" style="1578" customWidth="1"/>
    <col min="10742" max="10742" width="2.5703125" style="1578" customWidth="1"/>
    <col min="10743" max="10743" width="1.28515625" style="1578" customWidth="1"/>
    <col min="10744" max="10744" width="2.5703125" style="1578" customWidth="1"/>
    <col min="10745" max="10745" width="1.28515625" style="1578" customWidth="1"/>
    <col min="10746" max="10746" width="2.5703125" style="1578" customWidth="1"/>
    <col min="10747" max="10747" width="1.28515625" style="1578" customWidth="1"/>
    <col min="10748" max="10748" width="2.5703125" style="1578" customWidth="1"/>
    <col min="10749" max="10749" width="1.28515625" style="1578" customWidth="1"/>
    <col min="10750" max="10751" width="2.5703125" style="1578" customWidth="1"/>
    <col min="10752" max="10753" width="1.28515625" style="1578" customWidth="1"/>
    <col min="10754" max="10754" width="2.28515625" style="1578" customWidth="1"/>
    <col min="10755" max="10755" width="0.7109375" style="1578" customWidth="1"/>
    <col min="10756" max="10756" width="2" style="1578" customWidth="1"/>
    <col min="10757" max="10757" width="1.28515625" style="1578" customWidth="1"/>
    <col min="10758" max="10759" width="2.5703125" style="1578" customWidth="1"/>
    <col min="10760" max="10762" width="1.28515625" style="1578" customWidth="1"/>
    <col min="10763" max="10763" width="2.5703125" style="1578" customWidth="1"/>
    <col min="10764" max="10764" width="1.28515625" style="1578" customWidth="1"/>
    <col min="10765" max="10765" width="2.5703125" style="1578" customWidth="1"/>
    <col min="10766" max="10766" width="1.28515625" style="1578" customWidth="1"/>
    <col min="10767" max="10767" width="2.5703125" style="1578" customWidth="1"/>
    <col min="10768" max="10768" width="1.28515625" style="1578" customWidth="1"/>
    <col min="10769" max="10769" width="2.5703125" style="1578" customWidth="1"/>
    <col min="10770" max="10770" width="1.28515625" style="1578" customWidth="1"/>
    <col min="10771" max="10986" width="2.5703125" style="1578"/>
    <col min="10987" max="10987" width="4.140625" style="1578" customWidth="1"/>
    <col min="10988" max="10994" width="2.5703125" style="1578" customWidth="1"/>
    <col min="10995" max="10995" width="1.28515625" style="1578" customWidth="1"/>
    <col min="10996" max="10996" width="2.5703125" style="1578" customWidth="1"/>
    <col min="10997" max="10997" width="1.28515625" style="1578" customWidth="1"/>
    <col min="10998" max="10998" width="2.5703125" style="1578" customWidth="1"/>
    <col min="10999" max="10999" width="1.28515625" style="1578" customWidth="1"/>
    <col min="11000" max="11000" width="2.5703125" style="1578" customWidth="1"/>
    <col min="11001" max="11001" width="1.28515625" style="1578" customWidth="1"/>
    <col min="11002" max="11002" width="2.5703125" style="1578" customWidth="1"/>
    <col min="11003" max="11003" width="1.28515625" style="1578" customWidth="1"/>
    <col min="11004" max="11004" width="2.5703125" style="1578" customWidth="1"/>
    <col min="11005" max="11005" width="1.28515625" style="1578" customWidth="1"/>
    <col min="11006" max="11007" width="2.5703125" style="1578" customWidth="1"/>
    <col min="11008" max="11009" width="1.28515625" style="1578" customWidth="1"/>
    <col min="11010" max="11010" width="2.28515625" style="1578" customWidth="1"/>
    <col min="11011" max="11011" width="0.7109375" style="1578" customWidth="1"/>
    <col min="11012" max="11012" width="2" style="1578" customWidth="1"/>
    <col min="11013" max="11013" width="1.28515625" style="1578" customWidth="1"/>
    <col min="11014" max="11015" width="2.5703125" style="1578" customWidth="1"/>
    <col min="11016" max="11018" width="1.28515625" style="1578" customWidth="1"/>
    <col min="11019" max="11019" width="2.5703125" style="1578" customWidth="1"/>
    <col min="11020" max="11020" width="1.28515625" style="1578" customWidth="1"/>
    <col min="11021" max="11021" width="2.5703125" style="1578" customWidth="1"/>
    <col min="11022" max="11022" width="1.28515625" style="1578" customWidth="1"/>
    <col min="11023" max="11023" width="2.5703125" style="1578" customWidth="1"/>
    <col min="11024" max="11024" width="1.28515625" style="1578" customWidth="1"/>
    <col min="11025" max="11025" width="2.5703125" style="1578" customWidth="1"/>
    <col min="11026" max="11026" width="1.28515625" style="1578" customWidth="1"/>
    <col min="11027" max="11242" width="2.5703125" style="1578"/>
    <col min="11243" max="11243" width="4.140625" style="1578" customWidth="1"/>
    <col min="11244" max="11250" width="2.5703125" style="1578" customWidth="1"/>
    <col min="11251" max="11251" width="1.28515625" style="1578" customWidth="1"/>
    <col min="11252" max="11252" width="2.5703125" style="1578" customWidth="1"/>
    <col min="11253" max="11253" width="1.28515625" style="1578" customWidth="1"/>
    <col min="11254" max="11254" width="2.5703125" style="1578" customWidth="1"/>
    <col min="11255" max="11255" width="1.28515625" style="1578" customWidth="1"/>
    <col min="11256" max="11256" width="2.5703125" style="1578" customWidth="1"/>
    <col min="11257" max="11257" width="1.28515625" style="1578" customWidth="1"/>
    <col min="11258" max="11258" width="2.5703125" style="1578" customWidth="1"/>
    <col min="11259" max="11259" width="1.28515625" style="1578" customWidth="1"/>
    <col min="11260" max="11260" width="2.5703125" style="1578" customWidth="1"/>
    <col min="11261" max="11261" width="1.28515625" style="1578" customWidth="1"/>
    <col min="11262" max="11263" width="2.5703125" style="1578" customWidth="1"/>
    <col min="11264" max="11265" width="1.28515625" style="1578" customWidth="1"/>
    <col min="11266" max="11266" width="2.28515625" style="1578" customWidth="1"/>
    <col min="11267" max="11267" width="0.7109375" style="1578" customWidth="1"/>
    <col min="11268" max="11268" width="2" style="1578" customWidth="1"/>
    <col min="11269" max="11269" width="1.28515625" style="1578" customWidth="1"/>
    <col min="11270" max="11271" width="2.5703125" style="1578" customWidth="1"/>
    <col min="11272" max="11274" width="1.28515625" style="1578" customWidth="1"/>
    <col min="11275" max="11275" width="2.5703125" style="1578" customWidth="1"/>
    <col min="11276" max="11276" width="1.28515625" style="1578" customWidth="1"/>
    <col min="11277" max="11277" width="2.5703125" style="1578" customWidth="1"/>
    <col min="11278" max="11278" width="1.28515625" style="1578" customWidth="1"/>
    <col min="11279" max="11279" width="2.5703125" style="1578" customWidth="1"/>
    <col min="11280" max="11280" width="1.28515625" style="1578" customWidth="1"/>
    <col min="11281" max="11281" width="2.5703125" style="1578" customWidth="1"/>
    <col min="11282" max="11282" width="1.28515625" style="1578" customWidth="1"/>
    <col min="11283" max="11498" width="2.5703125" style="1578"/>
    <col min="11499" max="11499" width="4.140625" style="1578" customWidth="1"/>
    <col min="11500" max="11506" width="2.5703125" style="1578" customWidth="1"/>
    <col min="11507" max="11507" width="1.28515625" style="1578" customWidth="1"/>
    <col min="11508" max="11508" width="2.5703125" style="1578" customWidth="1"/>
    <col min="11509" max="11509" width="1.28515625" style="1578" customWidth="1"/>
    <col min="11510" max="11510" width="2.5703125" style="1578" customWidth="1"/>
    <col min="11511" max="11511" width="1.28515625" style="1578" customWidth="1"/>
    <col min="11512" max="11512" width="2.5703125" style="1578" customWidth="1"/>
    <col min="11513" max="11513" width="1.28515625" style="1578" customWidth="1"/>
    <col min="11514" max="11514" width="2.5703125" style="1578" customWidth="1"/>
    <col min="11515" max="11515" width="1.28515625" style="1578" customWidth="1"/>
    <col min="11516" max="11516" width="2.5703125" style="1578" customWidth="1"/>
    <col min="11517" max="11517" width="1.28515625" style="1578" customWidth="1"/>
    <col min="11518" max="11519" width="2.5703125" style="1578" customWidth="1"/>
    <col min="11520" max="11521" width="1.28515625" style="1578" customWidth="1"/>
    <col min="11522" max="11522" width="2.28515625" style="1578" customWidth="1"/>
    <col min="11523" max="11523" width="0.7109375" style="1578" customWidth="1"/>
    <col min="11524" max="11524" width="2" style="1578" customWidth="1"/>
    <col min="11525" max="11525" width="1.28515625" style="1578" customWidth="1"/>
    <col min="11526" max="11527" width="2.5703125" style="1578" customWidth="1"/>
    <col min="11528" max="11530" width="1.28515625" style="1578" customWidth="1"/>
    <col min="11531" max="11531" width="2.5703125" style="1578" customWidth="1"/>
    <col min="11532" max="11532" width="1.28515625" style="1578" customWidth="1"/>
    <col min="11533" max="11533" width="2.5703125" style="1578" customWidth="1"/>
    <col min="11534" max="11534" width="1.28515625" style="1578" customWidth="1"/>
    <col min="11535" max="11535" width="2.5703125" style="1578" customWidth="1"/>
    <col min="11536" max="11536" width="1.28515625" style="1578" customWidth="1"/>
    <col min="11537" max="11537" width="2.5703125" style="1578" customWidth="1"/>
    <col min="11538" max="11538" width="1.28515625" style="1578" customWidth="1"/>
    <col min="11539" max="11754" width="2.5703125" style="1578"/>
    <col min="11755" max="11755" width="4.140625" style="1578" customWidth="1"/>
    <col min="11756" max="11762" width="2.5703125" style="1578" customWidth="1"/>
    <col min="11763" max="11763" width="1.28515625" style="1578" customWidth="1"/>
    <col min="11764" max="11764" width="2.5703125" style="1578" customWidth="1"/>
    <col min="11765" max="11765" width="1.28515625" style="1578" customWidth="1"/>
    <col min="11766" max="11766" width="2.5703125" style="1578" customWidth="1"/>
    <col min="11767" max="11767" width="1.28515625" style="1578" customWidth="1"/>
    <col min="11768" max="11768" width="2.5703125" style="1578" customWidth="1"/>
    <col min="11769" max="11769" width="1.28515625" style="1578" customWidth="1"/>
    <col min="11770" max="11770" width="2.5703125" style="1578" customWidth="1"/>
    <col min="11771" max="11771" width="1.28515625" style="1578" customWidth="1"/>
    <col min="11772" max="11772" width="2.5703125" style="1578" customWidth="1"/>
    <col min="11773" max="11773" width="1.28515625" style="1578" customWidth="1"/>
    <col min="11774" max="11775" width="2.5703125" style="1578" customWidth="1"/>
    <col min="11776" max="11777" width="1.28515625" style="1578" customWidth="1"/>
    <col min="11778" max="11778" width="2.28515625" style="1578" customWidth="1"/>
    <col min="11779" max="11779" width="0.7109375" style="1578" customWidth="1"/>
    <col min="11780" max="11780" width="2" style="1578" customWidth="1"/>
    <col min="11781" max="11781" width="1.28515625" style="1578" customWidth="1"/>
    <col min="11782" max="11783" width="2.5703125" style="1578" customWidth="1"/>
    <col min="11784" max="11786" width="1.28515625" style="1578" customWidth="1"/>
    <col min="11787" max="11787" width="2.5703125" style="1578" customWidth="1"/>
    <col min="11788" max="11788" width="1.28515625" style="1578" customWidth="1"/>
    <col min="11789" max="11789" width="2.5703125" style="1578" customWidth="1"/>
    <col min="11790" max="11790" width="1.28515625" style="1578" customWidth="1"/>
    <col min="11791" max="11791" width="2.5703125" style="1578" customWidth="1"/>
    <col min="11792" max="11792" width="1.28515625" style="1578" customWidth="1"/>
    <col min="11793" max="11793" width="2.5703125" style="1578" customWidth="1"/>
    <col min="11794" max="11794" width="1.28515625" style="1578" customWidth="1"/>
    <col min="11795" max="12010" width="2.5703125" style="1578"/>
    <col min="12011" max="12011" width="4.140625" style="1578" customWidth="1"/>
    <col min="12012" max="12018" width="2.5703125" style="1578" customWidth="1"/>
    <col min="12019" max="12019" width="1.28515625" style="1578" customWidth="1"/>
    <col min="12020" max="12020" width="2.5703125" style="1578" customWidth="1"/>
    <col min="12021" max="12021" width="1.28515625" style="1578" customWidth="1"/>
    <col min="12022" max="12022" width="2.5703125" style="1578" customWidth="1"/>
    <col min="12023" max="12023" width="1.28515625" style="1578" customWidth="1"/>
    <col min="12024" max="12024" width="2.5703125" style="1578" customWidth="1"/>
    <col min="12025" max="12025" width="1.28515625" style="1578" customWidth="1"/>
    <col min="12026" max="12026" width="2.5703125" style="1578" customWidth="1"/>
    <col min="12027" max="12027" width="1.28515625" style="1578" customWidth="1"/>
    <col min="12028" max="12028" width="2.5703125" style="1578" customWidth="1"/>
    <col min="12029" max="12029" width="1.28515625" style="1578" customWidth="1"/>
    <col min="12030" max="12031" width="2.5703125" style="1578" customWidth="1"/>
    <col min="12032" max="12033" width="1.28515625" style="1578" customWidth="1"/>
    <col min="12034" max="12034" width="2.28515625" style="1578" customWidth="1"/>
    <col min="12035" max="12035" width="0.7109375" style="1578" customWidth="1"/>
    <col min="12036" max="12036" width="2" style="1578" customWidth="1"/>
    <col min="12037" max="12037" width="1.28515625" style="1578" customWidth="1"/>
    <col min="12038" max="12039" width="2.5703125" style="1578" customWidth="1"/>
    <col min="12040" max="12042" width="1.28515625" style="1578" customWidth="1"/>
    <col min="12043" max="12043" width="2.5703125" style="1578" customWidth="1"/>
    <col min="12044" max="12044" width="1.28515625" style="1578" customWidth="1"/>
    <col min="12045" max="12045" width="2.5703125" style="1578" customWidth="1"/>
    <col min="12046" max="12046" width="1.28515625" style="1578" customWidth="1"/>
    <col min="12047" max="12047" width="2.5703125" style="1578" customWidth="1"/>
    <col min="12048" max="12048" width="1.28515625" style="1578" customWidth="1"/>
    <col min="12049" max="12049" width="2.5703125" style="1578" customWidth="1"/>
    <col min="12050" max="12050" width="1.28515625" style="1578" customWidth="1"/>
    <col min="12051" max="12266" width="2.5703125" style="1578"/>
    <col min="12267" max="12267" width="4.140625" style="1578" customWidth="1"/>
    <col min="12268" max="12274" width="2.5703125" style="1578" customWidth="1"/>
    <col min="12275" max="12275" width="1.28515625" style="1578" customWidth="1"/>
    <col min="12276" max="12276" width="2.5703125" style="1578" customWidth="1"/>
    <col min="12277" max="12277" width="1.28515625" style="1578" customWidth="1"/>
    <col min="12278" max="12278" width="2.5703125" style="1578" customWidth="1"/>
    <col min="12279" max="12279" width="1.28515625" style="1578" customWidth="1"/>
    <col min="12280" max="12280" width="2.5703125" style="1578" customWidth="1"/>
    <col min="12281" max="12281" width="1.28515625" style="1578" customWidth="1"/>
    <col min="12282" max="12282" width="2.5703125" style="1578" customWidth="1"/>
    <col min="12283" max="12283" width="1.28515625" style="1578" customWidth="1"/>
    <col min="12284" max="12284" width="2.5703125" style="1578" customWidth="1"/>
    <col min="12285" max="12285" width="1.28515625" style="1578" customWidth="1"/>
    <col min="12286" max="12287" width="2.5703125" style="1578" customWidth="1"/>
    <col min="12288" max="12289" width="1.28515625" style="1578" customWidth="1"/>
    <col min="12290" max="12290" width="2.28515625" style="1578" customWidth="1"/>
    <col min="12291" max="12291" width="0.7109375" style="1578" customWidth="1"/>
    <col min="12292" max="12292" width="2" style="1578" customWidth="1"/>
    <col min="12293" max="12293" width="1.28515625" style="1578" customWidth="1"/>
    <col min="12294" max="12295" width="2.5703125" style="1578" customWidth="1"/>
    <col min="12296" max="12298" width="1.28515625" style="1578" customWidth="1"/>
    <col min="12299" max="12299" width="2.5703125" style="1578" customWidth="1"/>
    <col min="12300" max="12300" width="1.28515625" style="1578" customWidth="1"/>
    <col min="12301" max="12301" width="2.5703125" style="1578" customWidth="1"/>
    <col min="12302" max="12302" width="1.28515625" style="1578" customWidth="1"/>
    <col min="12303" max="12303" width="2.5703125" style="1578" customWidth="1"/>
    <col min="12304" max="12304" width="1.28515625" style="1578" customWidth="1"/>
    <col min="12305" max="12305" width="2.5703125" style="1578" customWidth="1"/>
    <col min="12306" max="12306" width="1.28515625" style="1578" customWidth="1"/>
    <col min="12307" max="12522" width="2.5703125" style="1578"/>
    <col min="12523" max="12523" width="4.140625" style="1578" customWidth="1"/>
    <col min="12524" max="12530" width="2.5703125" style="1578" customWidth="1"/>
    <col min="12531" max="12531" width="1.28515625" style="1578" customWidth="1"/>
    <col min="12532" max="12532" width="2.5703125" style="1578" customWidth="1"/>
    <col min="12533" max="12533" width="1.28515625" style="1578" customWidth="1"/>
    <col min="12534" max="12534" width="2.5703125" style="1578" customWidth="1"/>
    <col min="12535" max="12535" width="1.28515625" style="1578" customWidth="1"/>
    <col min="12536" max="12536" width="2.5703125" style="1578" customWidth="1"/>
    <col min="12537" max="12537" width="1.28515625" style="1578" customWidth="1"/>
    <col min="12538" max="12538" width="2.5703125" style="1578" customWidth="1"/>
    <col min="12539" max="12539" width="1.28515625" style="1578" customWidth="1"/>
    <col min="12540" max="12540" width="2.5703125" style="1578" customWidth="1"/>
    <col min="12541" max="12541" width="1.28515625" style="1578" customWidth="1"/>
    <col min="12542" max="12543" width="2.5703125" style="1578" customWidth="1"/>
    <col min="12544" max="12545" width="1.28515625" style="1578" customWidth="1"/>
    <col min="12546" max="12546" width="2.28515625" style="1578" customWidth="1"/>
    <col min="12547" max="12547" width="0.7109375" style="1578" customWidth="1"/>
    <col min="12548" max="12548" width="2" style="1578" customWidth="1"/>
    <col min="12549" max="12549" width="1.28515625" style="1578" customWidth="1"/>
    <col min="12550" max="12551" width="2.5703125" style="1578" customWidth="1"/>
    <col min="12552" max="12554" width="1.28515625" style="1578" customWidth="1"/>
    <col min="12555" max="12555" width="2.5703125" style="1578" customWidth="1"/>
    <col min="12556" max="12556" width="1.28515625" style="1578" customWidth="1"/>
    <col min="12557" max="12557" width="2.5703125" style="1578" customWidth="1"/>
    <col min="12558" max="12558" width="1.28515625" style="1578" customWidth="1"/>
    <col min="12559" max="12559" width="2.5703125" style="1578" customWidth="1"/>
    <col min="12560" max="12560" width="1.28515625" style="1578" customWidth="1"/>
    <col min="12561" max="12561" width="2.5703125" style="1578" customWidth="1"/>
    <col min="12562" max="12562" width="1.28515625" style="1578" customWidth="1"/>
    <col min="12563" max="12778" width="2.5703125" style="1578"/>
    <col min="12779" max="12779" width="4.140625" style="1578" customWidth="1"/>
    <col min="12780" max="12786" width="2.5703125" style="1578" customWidth="1"/>
    <col min="12787" max="12787" width="1.28515625" style="1578" customWidth="1"/>
    <col min="12788" max="12788" width="2.5703125" style="1578" customWidth="1"/>
    <col min="12789" max="12789" width="1.28515625" style="1578" customWidth="1"/>
    <col min="12790" max="12790" width="2.5703125" style="1578" customWidth="1"/>
    <col min="12791" max="12791" width="1.28515625" style="1578" customWidth="1"/>
    <col min="12792" max="12792" width="2.5703125" style="1578" customWidth="1"/>
    <col min="12793" max="12793" width="1.28515625" style="1578" customWidth="1"/>
    <col min="12794" max="12794" width="2.5703125" style="1578" customWidth="1"/>
    <col min="12795" max="12795" width="1.28515625" style="1578" customWidth="1"/>
    <col min="12796" max="12796" width="2.5703125" style="1578" customWidth="1"/>
    <col min="12797" max="12797" width="1.28515625" style="1578" customWidth="1"/>
    <col min="12798" max="12799" width="2.5703125" style="1578" customWidth="1"/>
    <col min="12800" max="12801" width="1.28515625" style="1578" customWidth="1"/>
    <col min="12802" max="12802" width="2.28515625" style="1578" customWidth="1"/>
    <col min="12803" max="12803" width="0.7109375" style="1578" customWidth="1"/>
    <col min="12804" max="12804" width="2" style="1578" customWidth="1"/>
    <col min="12805" max="12805" width="1.28515625" style="1578" customWidth="1"/>
    <col min="12806" max="12807" width="2.5703125" style="1578" customWidth="1"/>
    <col min="12808" max="12810" width="1.28515625" style="1578" customWidth="1"/>
    <col min="12811" max="12811" width="2.5703125" style="1578" customWidth="1"/>
    <col min="12812" max="12812" width="1.28515625" style="1578" customWidth="1"/>
    <col min="12813" max="12813" width="2.5703125" style="1578" customWidth="1"/>
    <col min="12814" max="12814" width="1.28515625" style="1578" customWidth="1"/>
    <col min="12815" max="12815" width="2.5703125" style="1578" customWidth="1"/>
    <col min="12816" max="12816" width="1.28515625" style="1578" customWidth="1"/>
    <col min="12817" max="12817" width="2.5703125" style="1578" customWidth="1"/>
    <col min="12818" max="12818" width="1.28515625" style="1578" customWidth="1"/>
    <col min="12819" max="13034" width="2.5703125" style="1578"/>
    <col min="13035" max="13035" width="4.140625" style="1578" customWidth="1"/>
    <col min="13036" max="13042" width="2.5703125" style="1578" customWidth="1"/>
    <col min="13043" max="13043" width="1.28515625" style="1578" customWidth="1"/>
    <col min="13044" max="13044" width="2.5703125" style="1578" customWidth="1"/>
    <col min="13045" max="13045" width="1.28515625" style="1578" customWidth="1"/>
    <col min="13046" max="13046" width="2.5703125" style="1578" customWidth="1"/>
    <col min="13047" max="13047" width="1.28515625" style="1578" customWidth="1"/>
    <col min="13048" max="13048" width="2.5703125" style="1578" customWidth="1"/>
    <col min="13049" max="13049" width="1.28515625" style="1578" customWidth="1"/>
    <col min="13050" max="13050" width="2.5703125" style="1578" customWidth="1"/>
    <col min="13051" max="13051" width="1.28515625" style="1578" customWidth="1"/>
    <col min="13052" max="13052" width="2.5703125" style="1578" customWidth="1"/>
    <col min="13053" max="13053" width="1.28515625" style="1578" customWidth="1"/>
    <col min="13054" max="13055" width="2.5703125" style="1578" customWidth="1"/>
    <col min="13056" max="13057" width="1.28515625" style="1578" customWidth="1"/>
    <col min="13058" max="13058" width="2.28515625" style="1578" customWidth="1"/>
    <col min="13059" max="13059" width="0.7109375" style="1578" customWidth="1"/>
    <col min="13060" max="13060" width="2" style="1578" customWidth="1"/>
    <col min="13061" max="13061" width="1.28515625" style="1578" customWidth="1"/>
    <col min="13062" max="13063" width="2.5703125" style="1578" customWidth="1"/>
    <col min="13064" max="13066" width="1.28515625" style="1578" customWidth="1"/>
    <col min="13067" max="13067" width="2.5703125" style="1578" customWidth="1"/>
    <col min="13068" max="13068" width="1.28515625" style="1578" customWidth="1"/>
    <col min="13069" max="13069" width="2.5703125" style="1578" customWidth="1"/>
    <col min="13070" max="13070" width="1.28515625" style="1578" customWidth="1"/>
    <col min="13071" max="13071" width="2.5703125" style="1578" customWidth="1"/>
    <col min="13072" max="13072" width="1.28515625" style="1578" customWidth="1"/>
    <col min="13073" max="13073" width="2.5703125" style="1578" customWidth="1"/>
    <col min="13074" max="13074" width="1.28515625" style="1578" customWidth="1"/>
    <col min="13075" max="13290" width="2.5703125" style="1578"/>
    <col min="13291" max="13291" width="4.140625" style="1578" customWidth="1"/>
    <col min="13292" max="13298" width="2.5703125" style="1578" customWidth="1"/>
    <col min="13299" max="13299" width="1.28515625" style="1578" customWidth="1"/>
    <col min="13300" max="13300" width="2.5703125" style="1578" customWidth="1"/>
    <col min="13301" max="13301" width="1.28515625" style="1578" customWidth="1"/>
    <col min="13302" max="13302" width="2.5703125" style="1578" customWidth="1"/>
    <col min="13303" max="13303" width="1.28515625" style="1578" customWidth="1"/>
    <col min="13304" max="13304" width="2.5703125" style="1578" customWidth="1"/>
    <col min="13305" max="13305" width="1.28515625" style="1578" customWidth="1"/>
    <col min="13306" max="13306" width="2.5703125" style="1578" customWidth="1"/>
    <col min="13307" max="13307" width="1.28515625" style="1578" customWidth="1"/>
    <col min="13308" max="13308" width="2.5703125" style="1578" customWidth="1"/>
    <col min="13309" max="13309" width="1.28515625" style="1578" customWidth="1"/>
    <col min="13310" max="13311" width="2.5703125" style="1578" customWidth="1"/>
    <col min="13312" max="13313" width="1.28515625" style="1578" customWidth="1"/>
    <col min="13314" max="13314" width="2.28515625" style="1578" customWidth="1"/>
    <col min="13315" max="13315" width="0.7109375" style="1578" customWidth="1"/>
    <col min="13316" max="13316" width="2" style="1578" customWidth="1"/>
    <col min="13317" max="13317" width="1.28515625" style="1578" customWidth="1"/>
    <col min="13318" max="13319" width="2.5703125" style="1578" customWidth="1"/>
    <col min="13320" max="13322" width="1.28515625" style="1578" customWidth="1"/>
    <col min="13323" max="13323" width="2.5703125" style="1578" customWidth="1"/>
    <col min="13324" max="13324" width="1.28515625" style="1578" customWidth="1"/>
    <col min="13325" max="13325" width="2.5703125" style="1578" customWidth="1"/>
    <col min="13326" max="13326" width="1.28515625" style="1578" customWidth="1"/>
    <col min="13327" max="13327" width="2.5703125" style="1578" customWidth="1"/>
    <col min="13328" max="13328" width="1.28515625" style="1578" customWidth="1"/>
    <col min="13329" max="13329" width="2.5703125" style="1578" customWidth="1"/>
    <col min="13330" max="13330" width="1.28515625" style="1578" customWidth="1"/>
    <col min="13331" max="13546" width="2.5703125" style="1578"/>
    <col min="13547" max="13547" width="4.140625" style="1578" customWidth="1"/>
    <col min="13548" max="13554" width="2.5703125" style="1578" customWidth="1"/>
    <col min="13555" max="13555" width="1.28515625" style="1578" customWidth="1"/>
    <col min="13556" max="13556" width="2.5703125" style="1578" customWidth="1"/>
    <col min="13557" max="13557" width="1.28515625" style="1578" customWidth="1"/>
    <col min="13558" max="13558" width="2.5703125" style="1578" customWidth="1"/>
    <col min="13559" max="13559" width="1.28515625" style="1578" customWidth="1"/>
    <col min="13560" max="13560" width="2.5703125" style="1578" customWidth="1"/>
    <col min="13561" max="13561" width="1.28515625" style="1578" customWidth="1"/>
    <col min="13562" max="13562" width="2.5703125" style="1578" customWidth="1"/>
    <col min="13563" max="13563" width="1.28515625" style="1578" customWidth="1"/>
    <col min="13564" max="13564" width="2.5703125" style="1578" customWidth="1"/>
    <col min="13565" max="13565" width="1.28515625" style="1578" customWidth="1"/>
    <col min="13566" max="13567" width="2.5703125" style="1578" customWidth="1"/>
    <col min="13568" max="13569" width="1.28515625" style="1578" customWidth="1"/>
    <col min="13570" max="13570" width="2.28515625" style="1578" customWidth="1"/>
    <col min="13571" max="13571" width="0.7109375" style="1578" customWidth="1"/>
    <col min="13572" max="13572" width="2" style="1578" customWidth="1"/>
    <col min="13573" max="13573" width="1.28515625" style="1578" customWidth="1"/>
    <col min="13574" max="13575" width="2.5703125" style="1578" customWidth="1"/>
    <col min="13576" max="13578" width="1.28515625" style="1578" customWidth="1"/>
    <col min="13579" max="13579" width="2.5703125" style="1578" customWidth="1"/>
    <col min="13580" max="13580" width="1.28515625" style="1578" customWidth="1"/>
    <col min="13581" max="13581" width="2.5703125" style="1578" customWidth="1"/>
    <col min="13582" max="13582" width="1.28515625" style="1578" customWidth="1"/>
    <col min="13583" max="13583" width="2.5703125" style="1578" customWidth="1"/>
    <col min="13584" max="13584" width="1.28515625" style="1578" customWidth="1"/>
    <col min="13585" max="13585" width="2.5703125" style="1578" customWidth="1"/>
    <col min="13586" max="13586" width="1.28515625" style="1578" customWidth="1"/>
    <col min="13587" max="13802" width="2.5703125" style="1578"/>
    <col min="13803" max="13803" width="4.140625" style="1578" customWidth="1"/>
    <col min="13804" max="13810" width="2.5703125" style="1578" customWidth="1"/>
    <col min="13811" max="13811" width="1.28515625" style="1578" customWidth="1"/>
    <col min="13812" max="13812" width="2.5703125" style="1578" customWidth="1"/>
    <col min="13813" max="13813" width="1.28515625" style="1578" customWidth="1"/>
    <col min="13814" max="13814" width="2.5703125" style="1578" customWidth="1"/>
    <col min="13815" max="13815" width="1.28515625" style="1578" customWidth="1"/>
    <col min="13816" max="13816" width="2.5703125" style="1578" customWidth="1"/>
    <col min="13817" max="13817" width="1.28515625" style="1578" customWidth="1"/>
    <col min="13818" max="13818" width="2.5703125" style="1578" customWidth="1"/>
    <col min="13819" max="13819" width="1.28515625" style="1578" customWidth="1"/>
    <col min="13820" max="13820" width="2.5703125" style="1578" customWidth="1"/>
    <col min="13821" max="13821" width="1.28515625" style="1578" customWidth="1"/>
    <col min="13822" max="13823" width="2.5703125" style="1578" customWidth="1"/>
    <col min="13824" max="13825" width="1.28515625" style="1578" customWidth="1"/>
    <col min="13826" max="13826" width="2.28515625" style="1578" customWidth="1"/>
    <col min="13827" max="13827" width="0.7109375" style="1578" customWidth="1"/>
    <col min="13828" max="13828" width="2" style="1578" customWidth="1"/>
    <col min="13829" max="13829" width="1.28515625" style="1578" customWidth="1"/>
    <col min="13830" max="13831" width="2.5703125" style="1578" customWidth="1"/>
    <col min="13832" max="13834" width="1.28515625" style="1578" customWidth="1"/>
    <col min="13835" max="13835" width="2.5703125" style="1578" customWidth="1"/>
    <col min="13836" max="13836" width="1.28515625" style="1578" customWidth="1"/>
    <col min="13837" max="13837" width="2.5703125" style="1578" customWidth="1"/>
    <col min="13838" max="13838" width="1.28515625" style="1578" customWidth="1"/>
    <col min="13839" max="13839" width="2.5703125" style="1578" customWidth="1"/>
    <col min="13840" max="13840" width="1.28515625" style="1578" customWidth="1"/>
    <col min="13841" max="13841" width="2.5703125" style="1578" customWidth="1"/>
    <col min="13842" max="13842" width="1.28515625" style="1578" customWidth="1"/>
    <col min="13843" max="14058" width="2.5703125" style="1578"/>
    <col min="14059" max="14059" width="4.140625" style="1578" customWidth="1"/>
    <col min="14060" max="14066" width="2.5703125" style="1578" customWidth="1"/>
    <col min="14067" max="14067" width="1.28515625" style="1578" customWidth="1"/>
    <col min="14068" max="14068" width="2.5703125" style="1578" customWidth="1"/>
    <col min="14069" max="14069" width="1.28515625" style="1578" customWidth="1"/>
    <col min="14070" max="14070" width="2.5703125" style="1578" customWidth="1"/>
    <col min="14071" max="14071" width="1.28515625" style="1578" customWidth="1"/>
    <col min="14072" max="14072" width="2.5703125" style="1578" customWidth="1"/>
    <col min="14073" max="14073" width="1.28515625" style="1578" customWidth="1"/>
    <col min="14074" max="14074" width="2.5703125" style="1578" customWidth="1"/>
    <col min="14075" max="14075" width="1.28515625" style="1578" customWidth="1"/>
    <col min="14076" max="14076" width="2.5703125" style="1578" customWidth="1"/>
    <col min="14077" max="14077" width="1.28515625" style="1578" customWidth="1"/>
    <col min="14078" max="14079" width="2.5703125" style="1578" customWidth="1"/>
    <col min="14080" max="14081" width="1.28515625" style="1578" customWidth="1"/>
    <col min="14082" max="14082" width="2.28515625" style="1578" customWidth="1"/>
    <col min="14083" max="14083" width="0.7109375" style="1578" customWidth="1"/>
    <col min="14084" max="14084" width="2" style="1578" customWidth="1"/>
    <col min="14085" max="14085" width="1.28515625" style="1578" customWidth="1"/>
    <col min="14086" max="14087" width="2.5703125" style="1578" customWidth="1"/>
    <col min="14088" max="14090" width="1.28515625" style="1578" customWidth="1"/>
    <col min="14091" max="14091" width="2.5703125" style="1578" customWidth="1"/>
    <col min="14092" max="14092" width="1.28515625" style="1578" customWidth="1"/>
    <col min="14093" max="14093" width="2.5703125" style="1578" customWidth="1"/>
    <col min="14094" max="14094" width="1.28515625" style="1578" customWidth="1"/>
    <col min="14095" max="14095" width="2.5703125" style="1578" customWidth="1"/>
    <col min="14096" max="14096" width="1.28515625" style="1578" customWidth="1"/>
    <col min="14097" max="14097" width="2.5703125" style="1578" customWidth="1"/>
    <col min="14098" max="14098" width="1.28515625" style="1578" customWidth="1"/>
    <col min="14099" max="14314" width="2.5703125" style="1578"/>
    <col min="14315" max="14315" width="4.140625" style="1578" customWidth="1"/>
    <col min="14316" max="14322" width="2.5703125" style="1578" customWidth="1"/>
    <col min="14323" max="14323" width="1.28515625" style="1578" customWidth="1"/>
    <col min="14324" max="14324" width="2.5703125" style="1578" customWidth="1"/>
    <col min="14325" max="14325" width="1.28515625" style="1578" customWidth="1"/>
    <col min="14326" max="14326" width="2.5703125" style="1578" customWidth="1"/>
    <col min="14327" max="14327" width="1.28515625" style="1578" customWidth="1"/>
    <col min="14328" max="14328" width="2.5703125" style="1578" customWidth="1"/>
    <col min="14329" max="14329" width="1.28515625" style="1578" customWidth="1"/>
    <col min="14330" max="14330" width="2.5703125" style="1578" customWidth="1"/>
    <col min="14331" max="14331" width="1.28515625" style="1578" customWidth="1"/>
    <col min="14332" max="14332" width="2.5703125" style="1578" customWidth="1"/>
    <col min="14333" max="14333" width="1.28515625" style="1578" customWidth="1"/>
    <col min="14334" max="14335" width="2.5703125" style="1578" customWidth="1"/>
    <col min="14336" max="14337" width="1.28515625" style="1578" customWidth="1"/>
    <col min="14338" max="14338" width="2.28515625" style="1578" customWidth="1"/>
    <col min="14339" max="14339" width="0.7109375" style="1578" customWidth="1"/>
    <col min="14340" max="14340" width="2" style="1578" customWidth="1"/>
    <col min="14341" max="14341" width="1.28515625" style="1578" customWidth="1"/>
    <col min="14342" max="14343" width="2.5703125" style="1578" customWidth="1"/>
    <col min="14344" max="14346" width="1.28515625" style="1578" customWidth="1"/>
    <col min="14347" max="14347" width="2.5703125" style="1578" customWidth="1"/>
    <col min="14348" max="14348" width="1.28515625" style="1578" customWidth="1"/>
    <col min="14349" max="14349" width="2.5703125" style="1578" customWidth="1"/>
    <col min="14350" max="14350" width="1.28515625" style="1578" customWidth="1"/>
    <col min="14351" max="14351" width="2.5703125" style="1578" customWidth="1"/>
    <col min="14352" max="14352" width="1.28515625" style="1578" customWidth="1"/>
    <col min="14353" max="14353" width="2.5703125" style="1578" customWidth="1"/>
    <col min="14354" max="14354" width="1.28515625" style="1578" customWidth="1"/>
    <col min="14355" max="14570" width="2.5703125" style="1578"/>
    <col min="14571" max="14571" width="4.140625" style="1578" customWidth="1"/>
    <col min="14572" max="14578" width="2.5703125" style="1578" customWidth="1"/>
    <col min="14579" max="14579" width="1.28515625" style="1578" customWidth="1"/>
    <col min="14580" max="14580" width="2.5703125" style="1578" customWidth="1"/>
    <col min="14581" max="14581" width="1.28515625" style="1578" customWidth="1"/>
    <col min="14582" max="14582" width="2.5703125" style="1578" customWidth="1"/>
    <col min="14583" max="14583" width="1.28515625" style="1578" customWidth="1"/>
    <col min="14584" max="14584" width="2.5703125" style="1578" customWidth="1"/>
    <col min="14585" max="14585" width="1.28515625" style="1578" customWidth="1"/>
    <col min="14586" max="14586" width="2.5703125" style="1578" customWidth="1"/>
    <col min="14587" max="14587" width="1.28515625" style="1578" customWidth="1"/>
    <col min="14588" max="14588" width="2.5703125" style="1578" customWidth="1"/>
    <col min="14589" max="14589" width="1.28515625" style="1578" customWidth="1"/>
    <col min="14590" max="14591" width="2.5703125" style="1578" customWidth="1"/>
    <col min="14592" max="14593" width="1.28515625" style="1578" customWidth="1"/>
    <col min="14594" max="14594" width="2.28515625" style="1578" customWidth="1"/>
    <col min="14595" max="14595" width="0.7109375" style="1578" customWidth="1"/>
    <col min="14596" max="14596" width="2" style="1578" customWidth="1"/>
    <col min="14597" max="14597" width="1.28515625" style="1578" customWidth="1"/>
    <col min="14598" max="14599" width="2.5703125" style="1578" customWidth="1"/>
    <col min="14600" max="14602" width="1.28515625" style="1578" customWidth="1"/>
    <col min="14603" max="14603" width="2.5703125" style="1578" customWidth="1"/>
    <col min="14604" max="14604" width="1.28515625" style="1578" customWidth="1"/>
    <col min="14605" max="14605" width="2.5703125" style="1578" customWidth="1"/>
    <col min="14606" max="14606" width="1.28515625" style="1578" customWidth="1"/>
    <col min="14607" max="14607" width="2.5703125" style="1578" customWidth="1"/>
    <col min="14608" max="14608" width="1.28515625" style="1578" customWidth="1"/>
    <col min="14609" max="14609" width="2.5703125" style="1578" customWidth="1"/>
    <col min="14610" max="14610" width="1.28515625" style="1578" customWidth="1"/>
    <col min="14611" max="14826" width="2.5703125" style="1578"/>
    <col min="14827" max="14827" width="4.140625" style="1578" customWidth="1"/>
    <col min="14828" max="14834" width="2.5703125" style="1578" customWidth="1"/>
    <col min="14835" max="14835" width="1.28515625" style="1578" customWidth="1"/>
    <col min="14836" max="14836" width="2.5703125" style="1578" customWidth="1"/>
    <col min="14837" max="14837" width="1.28515625" style="1578" customWidth="1"/>
    <col min="14838" max="14838" width="2.5703125" style="1578" customWidth="1"/>
    <col min="14839" max="14839" width="1.28515625" style="1578" customWidth="1"/>
    <col min="14840" max="14840" width="2.5703125" style="1578" customWidth="1"/>
    <col min="14841" max="14841" width="1.28515625" style="1578" customWidth="1"/>
    <col min="14842" max="14842" width="2.5703125" style="1578" customWidth="1"/>
    <col min="14843" max="14843" width="1.28515625" style="1578" customWidth="1"/>
    <col min="14844" max="14844" width="2.5703125" style="1578" customWidth="1"/>
    <col min="14845" max="14845" width="1.28515625" style="1578" customWidth="1"/>
    <col min="14846" max="14847" width="2.5703125" style="1578" customWidth="1"/>
    <col min="14848" max="14849" width="1.28515625" style="1578" customWidth="1"/>
    <col min="14850" max="14850" width="2.28515625" style="1578" customWidth="1"/>
    <col min="14851" max="14851" width="0.7109375" style="1578" customWidth="1"/>
    <col min="14852" max="14852" width="2" style="1578" customWidth="1"/>
    <col min="14853" max="14853" width="1.28515625" style="1578" customWidth="1"/>
    <col min="14854" max="14855" width="2.5703125" style="1578" customWidth="1"/>
    <col min="14856" max="14858" width="1.28515625" style="1578" customWidth="1"/>
    <col min="14859" max="14859" width="2.5703125" style="1578" customWidth="1"/>
    <col min="14860" max="14860" width="1.28515625" style="1578" customWidth="1"/>
    <col min="14861" max="14861" width="2.5703125" style="1578" customWidth="1"/>
    <col min="14862" max="14862" width="1.28515625" style="1578" customWidth="1"/>
    <col min="14863" max="14863" width="2.5703125" style="1578" customWidth="1"/>
    <col min="14864" max="14864" width="1.28515625" style="1578" customWidth="1"/>
    <col min="14865" max="14865" width="2.5703125" style="1578" customWidth="1"/>
    <col min="14866" max="14866" width="1.28515625" style="1578" customWidth="1"/>
    <col min="14867" max="15082" width="2.5703125" style="1578"/>
    <col min="15083" max="15083" width="4.140625" style="1578" customWidth="1"/>
    <col min="15084" max="15090" width="2.5703125" style="1578" customWidth="1"/>
    <col min="15091" max="15091" width="1.28515625" style="1578" customWidth="1"/>
    <col min="15092" max="15092" width="2.5703125" style="1578" customWidth="1"/>
    <col min="15093" max="15093" width="1.28515625" style="1578" customWidth="1"/>
    <col min="15094" max="15094" width="2.5703125" style="1578" customWidth="1"/>
    <col min="15095" max="15095" width="1.28515625" style="1578" customWidth="1"/>
    <col min="15096" max="15096" width="2.5703125" style="1578" customWidth="1"/>
    <col min="15097" max="15097" width="1.28515625" style="1578" customWidth="1"/>
    <col min="15098" max="15098" width="2.5703125" style="1578" customWidth="1"/>
    <col min="15099" max="15099" width="1.28515625" style="1578" customWidth="1"/>
    <col min="15100" max="15100" width="2.5703125" style="1578" customWidth="1"/>
    <col min="15101" max="15101" width="1.28515625" style="1578" customWidth="1"/>
    <col min="15102" max="15103" width="2.5703125" style="1578" customWidth="1"/>
    <col min="15104" max="15105" width="1.28515625" style="1578" customWidth="1"/>
    <col min="15106" max="15106" width="2.28515625" style="1578" customWidth="1"/>
    <col min="15107" max="15107" width="0.7109375" style="1578" customWidth="1"/>
    <col min="15108" max="15108" width="2" style="1578" customWidth="1"/>
    <col min="15109" max="15109" width="1.28515625" style="1578" customWidth="1"/>
    <col min="15110" max="15111" width="2.5703125" style="1578" customWidth="1"/>
    <col min="15112" max="15114" width="1.28515625" style="1578" customWidth="1"/>
    <col min="15115" max="15115" width="2.5703125" style="1578" customWidth="1"/>
    <col min="15116" max="15116" width="1.28515625" style="1578" customWidth="1"/>
    <col min="15117" max="15117" width="2.5703125" style="1578" customWidth="1"/>
    <col min="15118" max="15118" width="1.28515625" style="1578" customWidth="1"/>
    <col min="15119" max="15119" width="2.5703125" style="1578" customWidth="1"/>
    <col min="15120" max="15120" width="1.28515625" style="1578" customWidth="1"/>
    <col min="15121" max="15121" width="2.5703125" style="1578" customWidth="1"/>
    <col min="15122" max="15122" width="1.28515625" style="1578" customWidth="1"/>
    <col min="15123" max="15338" width="2.5703125" style="1578"/>
    <col min="15339" max="15339" width="4.140625" style="1578" customWidth="1"/>
    <col min="15340" max="15346" width="2.5703125" style="1578" customWidth="1"/>
    <col min="15347" max="15347" width="1.28515625" style="1578" customWidth="1"/>
    <col min="15348" max="15348" width="2.5703125" style="1578" customWidth="1"/>
    <col min="15349" max="15349" width="1.28515625" style="1578" customWidth="1"/>
    <col min="15350" max="15350" width="2.5703125" style="1578" customWidth="1"/>
    <col min="15351" max="15351" width="1.28515625" style="1578" customWidth="1"/>
    <col min="15352" max="15352" width="2.5703125" style="1578" customWidth="1"/>
    <col min="15353" max="15353" width="1.28515625" style="1578" customWidth="1"/>
    <col min="15354" max="15354" width="2.5703125" style="1578" customWidth="1"/>
    <col min="15355" max="15355" width="1.28515625" style="1578" customWidth="1"/>
    <col min="15356" max="15356" width="2.5703125" style="1578" customWidth="1"/>
    <col min="15357" max="15357" width="1.28515625" style="1578" customWidth="1"/>
    <col min="15358" max="15359" width="2.5703125" style="1578" customWidth="1"/>
    <col min="15360" max="15361" width="1.28515625" style="1578" customWidth="1"/>
    <col min="15362" max="15362" width="2.28515625" style="1578" customWidth="1"/>
    <col min="15363" max="15363" width="0.7109375" style="1578" customWidth="1"/>
    <col min="15364" max="15364" width="2" style="1578" customWidth="1"/>
    <col min="15365" max="15365" width="1.28515625" style="1578" customWidth="1"/>
    <col min="15366" max="15367" width="2.5703125" style="1578" customWidth="1"/>
    <col min="15368" max="15370" width="1.28515625" style="1578" customWidth="1"/>
    <col min="15371" max="15371" width="2.5703125" style="1578" customWidth="1"/>
    <col min="15372" max="15372" width="1.28515625" style="1578" customWidth="1"/>
    <col min="15373" max="15373" width="2.5703125" style="1578" customWidth="1"/>
    <col min="15374" max="15374" width="1.28515625" style="1578" customWidth="1"/>
    <col min="15375" max="15375" width="2.5703125" style="1578" customWidth="1"/>
    <col min="15376" max="15376" width="1.28515625" style="1578" customWidth="1"/>
    <col min="15377" max="15377" width="2.5703125" style="1578" customWidth="1"/>
    <col min="15378" max="15378" width="1.28515625" style="1578" customWidth="1"/>
    <col min="15379" max="15594" width="2.5703125" style="1578"/>
    <col min="15595" max="15595" width="4.140625" style="1578" customWidth="1"/>
    <col min="15596" max="15602" width="2.5703125" style="1578" customWidth="1"/>
    <col min="15603" max="15603" width="1.28515625" style="1578" customWidth="1"/>
    <col min="15604" max="15604" width="2.5703125" style="1578" customWidth="1"/>
    <col min="15605" max="15605" width="1.28515625" style="1578" customWidth="1"/>
    <col min="15606" max="15606" width="2.5703125" style="1578" customWidth="1"/>
    <col min="15607" max="15607" width="1.28515625" style="1578" customWidth="1"/>
    <col min="15608" max="15608" width="2.5703125" style="1578" customWidth="1"/>
    <col min="15609" max="15609" width="1.28515625" style="1578" customWidth="1"/>
    <col min="15610" max="15610" width="2.5703125" style="1578" customWidth="1"/>
    <col min="15611" max="15611" width="1.28515625" style="1578" customWidth="1"/>
    <col min="15612" max="15612" width="2.5703125" style="1578" customWidth="1"/>
    <col min="15613" max="15613" width="1.28515625" style="1578" customWidth="1"/>
    <col min="15614" max="15615" width="2.5703125" style="1578" customWidth="1"/>
    <col min="15616" max="15617" width="1.28515625" style="1578" customWidth="1"/>
    <col min="15618" max="15618" width="2.28515625" style="1578" customWidth="1"/>
    <col min="15619" max="15619" width="0.7109375" style="1578" customWidth="1"/>
    <col min="15620" max="15620" width="2" style="1578" customWidth="1"/>
    <col min="15621" max="15621" width="1.28515625" style="1578" customWidth="1"/>
    <col min="15622" max="15623" width="2.5703125" style="1578" customWidth="1"/>
    <col min="15624" max="15626" width="1.28515625" style="1578" customWidth="1"/>
    <col min="15627" max="15627" width="2.5703125" style="1578" customWidth="1"/>
    <col min="15628" max="15628" width="1.28515625" style="1578" customWidth="1"/>
    <col min="15629" max="15629" width="2.5703125" style="1578" customWidth="1"/>
    <col min="15630" max="15630" width="1.28515625" style="1578" customWidth="1"/>
    <col min="15631" max="15631" width="2.5703125" style="1578" customWidth="1"/>
    <col min="15632" max="15632" width="1.28515625" style="1578" customWidth="1"/>
    <col min="15633" max="15633" width="2.5703125" style="1578" customWidth="1"/>
    <col min="15634" max="15634" width="1.28515625" style="1578" customWidth="1"/>
    <col min="15635" max="15850" width="2.5703125" style="1578"/>
    <col min="15851" max="15851" width="4.140625" style="1578" customWidth="1"/>
    <col min="15852" max="15858" width="2.5703125" style="1578" customWidth="1"/>
    <col min="15859" max="15859" width="1.28515625" style="1578" customWidth="1"/>
    <col min="15860" max="15860" width="2.5703125" style="1578" customWidth="1"/>
    <col min="15861" max="15861" width="1.28515625" style="1578" customWidth="1"/>
    <col min="15862" max="15862" width="2.5703125" style="1578" customWidth="1"/>
    <col min="15863" max="15863" width="1.28515625" style="1578" customWidth="1"/>
    <col min="15864" max="15864" width="2.5703125" style="1578" customWidth="1"/>
    <col min="15865" max="15865" width="1.28515625" style="1578" customWidth="1"/>
    <col min="15866" max="15866" width="2.5703125" style="1578" customWidth="1"/>
    <col min="15867" max="15867" width="1.28515625" style="1578" customWidth="1"/>
    <col min="15868" max="15868" width="2.5703125" style="1578" customWidth="1"/>
    <col min="15869" max="15869" width="1.28515625" style="1578" customWidth="1"/>
    <col min="15870" max="15871" width="2.5703125" style="1578" customWidth="1"/>
    <col min="15872" max="15873" width="1.28515625" style="1578" customWidth="1"/>
    <col min="15874" max="15874" width="2.28515625" style="1578" customWidth="1"/>
    <col min="15875" max="15875" width="0.7109375" style="1578" customWidth="1"/>
    <col min="15876" max="15876" width="2" style="1578" customWidth="1"/>
    <col min="15877" max="15877" width="1.28515625" style="1578" customWidth="1"/>
    <col min="15878" max="15879" width="2.5703125" style="1578" customWidth="1"/>
    <col min="15880" max="15882" width="1.28515625" style="1578" customWidth="1"/>
    <col min="15883" max="15883" width="2.5703125" style="1578" customWidth="1"/>
    <col min="15884" max="15884" width="1.28515625" style="1578" customWidth="1"/>
    <col min="15885" max="15885" width="2.5703125" style="1578" customWidth="1"/>
    <col min="15886" max="15886" width="1.28515625" style="1578" customWidth="1"/>
    <col min="15887" max="15887" width="2.5703125" style="1578" customWidth="1"/>
    <col min="15888" max="15888" width="1.28515625" style="1578" customWidth="1"/>
    <col min="15889" max="15889" width="2.5703125" style="1578" customWidth="1"/>
    <col min="15890" max="15890" width="1.28515625" style="1578" customWidth="1"/>
    <col min="15891" max="16106" width="2.5703125" style="1578"/>
    <col min="16107" max="16107" width="4.140625" style="1578" customWidth="1"/>
    <col min="16108" max="16114" width="2.5703125" style="1578" customWidth="1"/>
    <col min="16115" max="16115" width="1.28515625" style="1578" customWidth="1"/>
    <col min="16116" max="16116" width="2.5703125" style="1578" customWidth="1"/>
    <col min="16117" max="16117" width="1.28515625" style="1578" customWidth="1"/>
    <col min="16118" max="16118" width="2.5703125" style="1578" customWidth="1"/>
    <col min="16119" max="16119" width="1.28515625" style="1578" customWidth="1"/>
    <col min="16120" max="16120" width="2.5703125" style="1578" customWidth="1"/>
    <col min="16121" max="16121" width="1.28515625" style="1578" customWidth="1"/>
    <col min="16122" max="16122" width="2.5703125" style="1578" customWidth="1"/>
    <col min="16123" max="16123" width="1.28515625" style="1578" customWidth="1"/>
    <col min="16124" max="16124" width="2.5703125" style="1578" customWidth="1"/>
    <col min="16125" max="16125" width="1.28515625" style="1578" customWidth="1"/>
    <col min="16126" max="16127" width="2.5703125" style="1578" customWidth="1"/>
    <col min="16128" max="16129" width="1.28515625" style="1578" customWidth="1"/>
    <col min="16130" max="16130" width="2.28515625" style="1578" customWidth="1"/>
    <col min="16131" max="16131" width="0.7109375" style="1578" customWidth="1"/>
    <col min="16132" max="16132" width="2" style="1578" customWidth="1"/>
    <col min="16133" max="16133" width="1.28515625" style="1578" customWidth="1"/>
    <col min="16134" max="16135" width="2.5703125" style="1578" customWidth="1"/>
    <col min="16136" max="16138" width="1.28515625" style="1578" customWidth="1"/>
    <col min="16139" max="16139" width="2.5703125" style="1578" customWidth="1"/>
    <col min="16140" max="16140" width="1.28515625" style="1578" customWidth="1"/>
    <col min="16141" max="16141" width="2.5703125" style="1578" customWidth="1"/>
    <col min="16142" max="16142" width="1.28515625" style="1578" customWidth="1"/>
    <col min="16143" max="16143" width="2.5703125" style="1578" customWidth="1"/>
    <col min="16144" max="16144" width="1.28515625" style="1578" customWidth="1"/>
    <col min="16145" max="16145" width="2.5703125" style="1578" customWidth="1"/>
    <col min="16146" max="16146" width="1.28515625" style="1578" customWidth="1"/>
    <col min="16147" max="16384" width="2.5703125" style="1578"/>
  </cols>
  <sheetData>
    <row r="1" spans="1:44" ht="15.75" customHeight="1">
      <c r="A1" s="2550"/>
      <c r="B1" s="2550"/>
      <c r="D1" s="2550"/>
      <c r="E1" s="2550"/>
      <c r="G1" s="3046" t="s">
        <v>3098</v>
      </c>
      <c r="H1" s="2550"/>
      <c r="I1" s="2550"/>
      <c r="J1" s="2550"/>
      <c r="K1" s="2550"/>
      <c r="L1" s="3208"/>
      <c r="M1" s="3208"/>
      <c r="N1" s="3208"/>
      <c r="O1" s="3208"/>
      <c r="P1" s="3208"/>
      <c r="Q1" s="3208"/>
      <c r="R1" s="3208"/>
      <c r="S1" s="3208"/>
      <c r="T1" s="3208"/>
      <c r="U1" s="3208"/>
      <c r="V1" s="3208"/>
      <c r="W1" s="3208"/>
      <c r="X1" s="3208"/>
      <c r="Y1" s="3208"/>
      <c r="Z1" s="3208"/>
      <c r="AA1" s="3208"/>
      <c r="AB1" s="3208"/>
      <c r="AC1" s="3208"/>
      <c r="AD1" s="3208"/>
      <c r="AE1" s="3208"/>
      <c r="AF1" s="3208"/>
    </row>
    <row r="2" spans="1:44" ht="15.75" customHeight="1">
      <c r="A2" s="2550"/>
      <c r="B2" s="2550"/>
      <c r="D2" s="2550"/>
      <c r="E2" s="2550"/>
      <c r="G2" s="3046" t="s">
        <v>3539</v>
      </c>
      <c r="H2" s="2550"/>
      <c r="I2" s="2550"/>
      <c r="J2" s="2550"/>
      <c r="K2" s="2550"/>
      <c r="L2" s="3208"/>
      <c r="M2" s="3208"/>
      <c r="N2" s="3208"/>
      <c r="O2" s="3208"/>
      <c r="P2" s="3208"/>
      <c r="Q2" s="3208"/>
      <c r="R2" s="3208"/>
      <c r="S2" s="3208"/>
      <c r="T2" s="3208"/>
      <c r="U2" s="3208"/>
      <c r="V2" s="3208"/>
      <c r="W2" s="3208"/>
      <c r="X2" s="3208"/>
      <c r="Y2" s="3208"/>
      <c r="Z2" s="3208"/>
      <c r="AA2" s="3208"/>
      <c r="AB2" s="3208"/>
      <c r="AC2" s="3208"/>
      <c r="AD2" s="3208"/>
      <c r="AE2" s="3208"/>
      <c r="AF2" s="3208"/>
    </row>
    <row r="3" spans="1:44" ht="15.75" customHeight="1">
      <c r="A3" s="1579"/>
      <c r="B3" s="1579"/>
      <c r="D3" s="1579"/>
      <c r="E3" s="1579"/>
      <c r="G3" s="3046" t="s">
        <v>3540</v>
      </c>
      <c r="I3" s="1579"/>
      <c r="J3" s="1579"/>
      <c r="K3" s="1579"/>
      <c r="L3" s="3209"/>
      <c r="M3" s="3209"/>
      <c r="N3" s="3209"/>
      <c r="O3" s="3209"/>
      <c r="P3" s="3209"/>
      <c r="Q3" s="3209"/>
      <c r="R3" s="3209"/>
      <c r="S3" s="3209"/>
      <c r="T3" s="3209"/>
      <c r="U3" s="3209"/>
      <c r="V3" s="3209"/>
      <c r="W3" s="3209"/>
      <c r="X3" s="3209"/>
      <c r="Y3" s="3209"/>
      <c r="Z3" s="3209"/>
      <c r="AA3" s="3209"/>
      <c r="AB3" s="3209"/>
      <c r="AC3" s="3209"/>
      <c r="AD3" s="3209"/>
      <c r="AE3" s="3209"/>
      <c r="AF3" s="3209"/>
    </row>
    <row r="4" spans="1:44" ht="15.75" customHeight="1">
      <c r="A4" s="2550"/>
      <c r="B4" s="2550"/>
      <c r="D4" s="2550"/>
      <c r="E4" s="2550"/>
      <c r="G4" s="3036" t="str">
        <f>'CU3-Deficit Ending Equity'!D4</f>
        <v>June 30, 2021</v>
      </c>
      <c r="H4" s="2550"/>
      <c r="I4" s="2550"/>
      <c r="J4" s="2550"/>
      <c r="K4" s="2550"/>
      <c r="L4" s="3210"/>
      <c r="M4" s="3208"/>
      <c r="N4" s="3208"/>
      <c r="O4" s="3208"/>
      <c r="P4" s="3208"/>
      <c r="Q4" s="3208"/>
      <c r="R4" s="3208"/>
      <c r="S4" s="3208"/>
      <c r="T4" s="3208"/>
      <c r="U4" s="3208"/>
      <c r="V4" s="3208"/>
      <c r="W4" s="3208"/>
      <c r="X4" s="3208"/>
      <c r="Y4" s="3208"/>
      <c r="Z4" s="3208"/>
      <c r="AA4" s="3208"/>
      <c r="AB4" s="3208"/>
      <c r="AC4" s="3208"/>
      <c r="AD4" s="3208"/>
      <c r="AE4" s="3208"/>
      <c r="AF4" s="3208"/>
    </row>
    <row r="5" spans="1:44" ht="7.5" customHeight="1">
      <c r="B5" s="1580"/>
      <c r="C5" s="1580"/>
      <c r="D5" s="1580"/>
      <c r="E5" s="1580"/>
      <c r="F5" s="1580"/>
      <c r="G5" s="1580"/>
      <c r="H5" s="1580"/>
      <c r="I5" s="1580"/>
      <c r="J5" s="1580"/>
      <c r="K5" s="1580"/>
      <c r="L5" s="3211"/>
      <c r="M5" s="3211"/>
      <c r="N5" s="3211"/>
      <c r="P5" s="3211"/>
      <c r="Q5" s="3211"/>
      <c r="R5" s="3212"/>
      <c r="T5" s="3211"/>
      <c r="U5" s="3211"/>
      <c r="V5" s="3211"/>
      <c r="W5" s="3211"/>
      <c r="X5" s="3211"/>
      <c r="Y5" s="3211"/>
      <c r="Z5" s="3211"/>
      <c r="AA5" s="3211"/>
      <c r="AB5" s="3211"/>
      <c r="AC5" s="3211"/>
      <c r="AD5" s="3211"/>
      <c r="AE5" s="3211"/>
      <c r="AF5" s="3211"/>
      <c r="AG5" s="3211"/>
      <c r="AH5" s="3211"/>
      <c r="AI5" s="3211"/>
      <c r="AJ5" s="3211"/>
      <c r="AK5" s="3211"/>
      <c r="AL5" s="3211"/>
      <c r="AM5" s="1580"/>
      <c r="AN5" s="1580"/>
      <c r="AO5" s="1580"/>
      <c r="AP5" s="1580"/>
      <c r="AQ5" s="1580"/>
      <c r="AR5" s="1580"/>
    </row>
    <row r="6" spans="1:44" ht="15" customHeight="1">
      <c r="A6" s="2871"/>
      <c r="B6" s="2871"/>
      <c r="C6" s="2871"/>
      <c r="D6" s="2871"/>
      <c r="E6" s="2870"/>
      <c r="F6" s="2870"/>
      <c r="G6" s="3049" t="s">
        <v>3033</v>
      </c>
      <c r="H6" s="2871"/>
      <c r="I6" s="2871"/>
      <c r="J6" s="2871"/>
      <c r="K6" s="2871"/>
      <c r="L6" s="3208"/>
      <c r="M6" s="3208"/>
      <c r="N6" s="3208"/>
      <c r="O6" s="3208"/>
      <c r="P6" s="3208"/>
      <c r="Q6" s="3208"/>
      <c r="R6" s="3208"/>
      <c r="S6" s="3208"/>
      <c r="T6" s="3208"/>
      <c r="U6" s="3208"/>
      <c r="V6" s="3208"/>
      <c r="W6" s="3208"/>
      <c r="X6" s="3208"/>
      <c r="Y6" s="3208"/>
      <c r="Z6" s="3208"/>
      <c r="AA6" s="3208"/>
      <c r="AB6" s="3208"/>
      <c r="AC6" s="3208"/>
      <c r="AD6" s="3208"/>
      <c r="AE6" s="3208"/>
      <c r="AF6" s="3208"/>
    </row>
    <row r="7" spans="1:44" ht="15.75" customHeight="1">
      <c r="A7" s="2871"/>
      <c r="B7" s="2871"/>
      <c r="C7" s="2871"/>
      <c r="D7" s="2871"/>
      <c r="E7" s="2870"/>
      <c r="F7" s="2870"/>
      <c r="G7" s="3048" t="s">
        <v>3541</v>
      </c>
      <c r="H7" s="2871"/>
      <c r="I7" s="2871"/>
      <c r="J7" s="2871"/>
      <c r="K7" s="2871"/>
      <c r="L7" s="3208"/>
      <c r="M7" s="3208"/>
      <c r="N7" s="3208"/>
      <c r="O7" s="3208"/>
      <c r="P7" s="3208"/>
      <c r="Q7" s="3208"/>
      <c r="R7" s="3208"/>
      <c r="S7" s="3208"/>
      <c r="T7" s="3208"/>
      <c r="U7" s="3208"/>
      <c r="V7" s="3208"/>
      <c r="W7" s="3208"/>
      <c r="X7" s="3208"/>
      <c r="Y7" s="3208"/>
      <c r="Z7" s="3208"/>
      <c r="AA7" s="3208"/>
      <c r="AB7" s="3208"/>
      <c r="AC7" s="3208"/>
      <c r="AD7" s="3208"/>
      <c r="AE7" s="3208"/>
      <c r="AF7" s="3208"/>
    </row>
    <row r="8" spans="1:44" ht="10.5" customHeight="1">
      <c r="B8" s="1581"/>
    </row>
    <row r="9" spans="1:44" ht="15.75">
      <c r="A9" s="1582" t="s">
        <v>3101</v>
      </c>
      <c r="F9" s="1583"/>
      <c r="G9" s="2551" t="str">
        <f>'Adjustment Form'!B7</f>
        <v>SAMPLE STATE COLLEGE</v>
      </c>
      <c r="H9" s="2551"/>
      <c r="I9" s="2551"/>
      <c r="J9" s="2551"/>
      <c r="K9" s="2551"/>
    </row>
    <row r="10" spans="1:44" ht="4.5" customHeight="1">
      <c r="B10" s="1584"/>
      <c r="C10" s="1585"/>
      <c r="D10" s="1585"/>
      <c r="E10" s="1585"/>
      <c r="F10" s="1585"/>
      <c r="G10" s="1586"/>
      <c r="H10" s="1587"/>
      <c r="I10" s="1587"/>
      <c r="J10" s="1588"/>
      <c r="K10" s="1588"/>
    </row>
    <row r="11" spans="1:44" ht="15.75">
      <c r="A11" s="1582" t="s">
        <v>3102</v>
      </c>
      <c r="F11" s="1583"/>
      <c r="G11" s="2551" t="e">
        <f>'Adjustment Form'!B9</f>
        <v>#N/A</v>
      </c>
      <c r="H11" s="2551"/>
      <c r="I11" s="2551"/>
      <c r="J11" s="2551"/>
      <c r="K11" s="2551"/>
    </row>
    <row r="12" spans="1:44" s="1585" customFormat="1" ht="15.75">
      <c r="A12" s="1584"/>
      <c r="F12" s="1586"/>
      <c r="G12" s="4111"/>
      <c r="H12" s="4111"/>
      <c r="I12" s="4111"/>
      <c r="J12" s="4111"/>
      <c r="K12" s="4111"/>
      <c r="L12" s="1586"/>
      <c r="M12" s="1586"/>
      <c r="N12" s="1586"/>
      <c r="O12" s="1586"/>
      <c r="P12" s="1586"/>
      <c r="Q12" s="1586"/>
      <c r="R12" s="1586"/>
      <c r="S12" s="1586"/>
      <c r="T12" s="1586"/>
      <c r="U12" s="1586"/>
      <c r="V12" s="1586"/>
      <c r="W12" s="1586"/>
      <c r="X12" s="1586"/>
      <c r="Y12" s="1586"/>
      <c r="Z12" s="1586"/>
      <c r="AA12" s="1586"/>
      <c r="AB12" s="1586"/>
      <c r="AC12" s="1586"/>
      <c r="AD12" s="1586"/>
      <c r="AE12" s="1586"/>
      <c r="AF12" s="1586"/>
      <c r="AG12" s="1586"/>
      <c r="AH12" s="1586"/>
      <c r="AI12" s="1586"/>
      <c r="AJ12" s="1586"/>
      <c r="AK12" s="1586"/>
      <c r="AL12" s="1586"/>
    </row>
    <row r="13" spans="1:44" ht="15" customHeight="1">
      <c r="A13" s="1589" t="s">
        <v>2838</v>
      </c>
      <c r="B13" s="2748" t="s">
        <v>3542</v>
      </c>
      <c r="C13" s="2749"/>
      <c r="D13" s="2749"/>
      <c r="E13" s="2749"/>
      <c r="F13" s="2749"/>
      <c r="G13" s="2749"/>
      <c r="H13" s="2749"/>
      <c r="I13" s="2749"/>
      <c r="J13" s="2749"/>
      <c r="K13" s="2749"/>
      <c r="L13" s="3213"/>
      <c r="M13" s="3213"/>
      <c r="N13" s="3213"/>
      <c r="O13" s="3213"/>
      <c r="P13" s="3213"/>
      <c r="Q13" s="3213"/>
      <c r="R13" s="3213"/>
      <c r="S13" s="3213"/>
      <c r="T13" s="3213"/>
      <c r="U13" s="3213"/>
      <c r="V13" s="3213"/>
      <c r="W13" s="3213"/>
      <c r="X13" s="3213"/>
      <c r="Y13" s="3213"/>
      <c r="Z13" s="3213"/>
      <c r="AA13" s="3213"/>
      <c r="AB13" s="3213"/>
      <c r="AC13" s="3213"/>
      <c r="AD13" s="3213"/>
      <c r="AE13" s="3213"/>
      <c r="AF13" s="3213"/>
      <c r="AG13" s="3213"/>
      <c r="AH13" s="3213"/>
      <c r="AI13" s="3213"/>
      <c r="AJ13" s="3213"/>
      <c r="AK13" s="3213"/>
      <c r="AL13" s="3213"/>
      <c r="AM13" s="2749"/>
      <c r="AN13" s="2749"/>
      <c r="AO13" s="2749"/>
      <c r="AP13" s="2749"/>
      <c r="AQ13" s="2749"/>
      <c r="AR13" s="2749"/>
    </row>
    <row r="14" spans="1:44" ht="16.5" customHeight="1">
      <c r="B14" s="2749" t="s">
        <v>3543</v>
      </c>
      <c r="C14" s="2749"/>
      <c r="D14" s="2749"/>
      <c r="E14" s="2749"/>
      <c r="F14" s="2749"/>
      <c r="G14" s="2749"/>
      <c r="H14" s="2749"/>
      <c r="I14" s="2749"/>
      <c r="J14" s="2749"/>
      <c r="K14" s="2749"/>
      <c r="L14" s="3213"/>
      <c r="M14" s="3213"/>
      <c r="N14" s="3213"/>
      <c r="O14" s="3213"/>
      <c r="P14" s="3213"/>
      <c r="Q14" s="3213"/>
      <c r="R14" s="3213"/>
      <c r="S14" s="3213"/>
      <c r="T14" s="3213"/>
      <c r="U14" s="3213"/>
      <c r="V14" s="3213"/>
      <c r="W14" s="3213"/>
      <c r="X14" s="3213"/>
      <c r="Y14" s="3213"/>
      <c r="Z14" s="3213"/>
      <c r="AA14" s="3213"/>
      <c r="AB14" s="3213"/>
      <c r="AC14" s="3213"/>
      <c r="AD14" s="3213"/>
      <c r="AE14" s="3213"/>
      <c r="AF14" s="3213"/>
      <c r="AG14" s="3213"/>
      <c r="AH14" s="3213"/>
      <c r="AI14" s="3213"/>
      <c r="AJ14" s="3213"/>
      <c r="AK14" s="3213"/>
      <c r="AL14" s="3213"/>
      <c r="AM14" s="2749"/>
      <c r="AN14" s="2749"/>
      <c r="AO14" s="2749"/>
      <c r="AP14" s="2749"/>
      <c r="AQ14" s="2749"/>
      <c r="AR14" s="2749"/>
    </row>
    <row r="15" spans="1:44" ht="19.5" customHeight="1">
      <c r="B15" s="1590" t="s">
        <v>3544</v>
      </c>
      <c r="C15" s="2872" t="s">
        <v>3545</v>
      </c>
      <c r="D15" s="2549"/>
      <c r="E15" s="2549"/>
      <c r="F15" s="2549"/>
      <c r="G15" s="2549"/>
      <c r="H15" s="2549"/>
      <c r="I15" s="2549"/>
      <c r="J15" s="2549"/>
      <c r="K15" s="2549"/>
      <c r="L15" s="3214"/>
      <c r="M15" s="3214"/>
      <c r="N15" s="3214"/>
      <c r="O15" s="3214"/>
      <c r="P15" s="3214"/>
      <c r="Q15" s="3214"/>
      <c r="R15" s="3214"/>
      <c r="S15" s="3214"/>
      <c r="T15" s="3214"/>
      <c r="U15" s="3214"/>
      <c r="V15" s="3214"/>
      <c r="W15" s="3214"/>
      <c r="X15" s="3214"/>
      <c r="Y15" s="3214"/>
      <c r="Z15" s="3214"/>
      <c r="AA15" s="3214"/>
      <c r="AB15" s="3214"/>
      <c r="AC15" s="3214"/>
      <c r="AD15" s="3214"/>
      <c r="AE15" s="3214"/>
      <c r="AF15" s="3214"/>
      <c r="AG15" s="3214"/>
      <c r="AH15" s="3214"/>
      <c r="AI15" s="3214"/>
      <c r="AJ15" s="3214"/>
      <c r="AK15" s="3214"/>
      <c r="AL15" s="3214"/>
      <c r="AM15" s="2549"/>
      <c r="AN15" s="2549"/>
      <c r="AO15" s="2549"/>
      <c r="AP15" s="2549"/>
      <c r="AQ15" s="2549"/>
      <c r="AR15" s="2549"/>
    </row>
    <row r="16" spans="1:44" ht="15" customHeight="1">
      <c r="C16" s="2550" t="s">
        <v>3546</v>
      </c>
      <c r="D16" s="2549"/>
      <c r="E16" s="2549"/>
      <c r="F16" s="2549"/>
      <c r="G16" s="2549"/>
      <c r="H16" s="2549"/>
      <c r="I16" s="2549"/>
      <c r="J16" s="2549"/>
      <c r="K16" s="2549"/>
      <c r="L16" s="3214"/>
      <c r="M16" s="3214"/>
      <c r="N16" s="3214"/>
      <c r="O16" s="3214"/>
      <c r="P16" s="3214"/>
      <c r="Q16" s="3214"/>
      <c r="R16" s="3214"/>
      <c r="S16" s="3214"/>
      <c r="T16" s="3214"/>
      <c r="U16" s="3214"/>
      <c r="V16" s="3214"/>
      <c r="W16" s="3214"/>
      <c r="X16" s="3214"/>
      <c r="Y16" s="3214"/>
      <c r="Z16" s="3214"/>
      <c r="AA16" s="3214"/>
      <c r="AB16" s="3214"/>
      <c r="AC16" s="3214"/>
      <c r="AD16" s="3214"/>
      <c r="AE16" s="3214"/>
      <c r="AF16" s="3214"/>
      <c r="AG16" s="3214"/>
      <c r="AH16" s="3214"/>
      <c r="AI16" s="3214"/>
      <c r="AJ16" s="3214"/>
      <c r="AK16" s="3214"/>
      <c r="AL16" s="3214"/>
      <c r="AM16" s="2549"/>
      <c r="AN16" s="2549"/>
      <c r="AO16" s="2549"/>
      <c r="AP16" s="2549"/>
      <c r="AQ16" s="2549"/>
      <c r="AR16" s="2549"/>
    </row>
    <row r="17" spans="1:44" ht="24" customHeight="1">
      <c r="B17" s="1590" t="s">
        <v>3547</v>
      </c>
      <c r="C17" s="2872" t="s">
        <v>3548</v>
      </c>
      <c r="D17" s="2550"/>
      <c r="E17" s="2550"/>
      <c r="F17" s="2550"/>
      <c r="G17" s="2550"/>
      <c r="H17" s="2550"/>
      <c r="I17" s="2550"/>
      <c r="J17" s="2550"/>
      <c r="K17" s="2550"/>
      <c r="L17" s="3208"/>
      <c r="M17" s="3208"/>
      <c r="N17" s="3208"/>
      <c r="O17" s="3208"/>
      <c r="P17" s="3208"/>
      <c r="Q17" s="3208"/>
      <c r="R17" s="3208"/>
      <c r="S17" s="3208"/>
      <c r="T17" s="3208"/>
      <c r="U17" s="3208"/>
      <c r="V17" s="3208"/>
      <c r="W17" s="3208"/>
      <c r="X17" s="3208"/>
      <c r="Y17" s="3208"/>
      <c r="Z17" s="3208"/>
      <c r="AA17" s="3208"/>
      <c r="AB17" s="3208"/>
      <c r="AC17" s="3208"/>
      <c r="AD17" s="3208"/>
      <c r="AE17" s="3208"/>
      <c r="AF17" s="3208"/>
      <c r="AG17" s="3208"/>
      <c r="AH17" s="3208"/>
      <c r="AI17" s="3208"/>
      <c r="AJ17" s="3208"/>
      <c r="AK17" s="3208"/>
      <c r="AL17" s="3208"/>
      <c r="AM17" s="2550"/>
      <c r="AN17" s="2550"/>
      <c r="AO17" s="2550"/>
      <c r="AP17" s="2550"/>
      <c r="AQ17" s="2550"/>
      <c r="AR17" s="2550"/>
    </row>
    <row r="18" spans="1:44" ht="15" customHeight="1">
      <c r="C18" s="2550" t="s">
        <v>3549</v>
      </c>
      <c r="D18" s="2550"/>
      <c r="E18" s="2550"/>
      <c r="F18" s="2550"/>
      <c r="G18" s="2550"/>
      <c r="H18" s="2550"/>
      <c r="I18" s="2550"/>
      <c r="J18" s="2550"/>
      <c r="K18" s="2550"/>
      <c r="L18" s="3208"/>
      <c r="M18" s="3208"/>
      <c r="N18" s="3208"/>
      <c r="O18" s="3208"/>
      <c r="P18" s="3208"/>
      <c r="Q18" s="3208"/>
      <c r="R18" s="3208"/>
      <c r="S18" s="3208"/>
      <c r="T18" s="3208"/>
      <c r="U18" s="3208"/>
      <c r="V18" s="3208"/>
      <c r="W18" s="3208"/>
      <c r="X18" s="3208"/>
      <c r="Y18" s="3208"/>
      <c r="Z18" s="3208"/>
      <c r="AA18" s="3208"/>
      <c r="AB18" s="3208"/>
      <c r="AC18" s="3208"/>
      <c r="AD18" s="3208"/>
      <c r="AE18" s="3208"/>
      <c r="AF18" s="3208"/>
      <c r="AG18" s="3208"/>
      <c r="AH18" s="3208"/>
      <c r="AI18" s="3208"/>
      <c r="AJ18" s="3208"/>
      <c r="AK18" s="3208"/>
      <c r="AL18" s="3208"/>
      <c r="AM18" s="2550"/>
      <c r="AN18" s="2550"/>
      <c r="AO18" s="2550"/>
      <c r="AP18" s="2550"/>
      <c r="AQ18" s="2550"/>
      <c r="AR18" s="2550"/>
    </row>
    <row r="19" spans="1:44" ht="25.5" customHeight="1">
      <c r="B19" s="1590" t="s">
        <v>3550</v>
      </c>
      <c r="C19" s="2872" t="s">
        <v>3551</v>
      </c>
      <c r="D19" s="2550"/>
      <c r="E19" s="2550"/>
      <c r="F19" s="2550"/>
      <c r="G19" s="2550"/>
      <c r="H19" s="2550"/>
      <c r="I19" s="2550"/>
      <c r="J19" s="2550"/>
      <c r="K19" s="2550"/>
      <c r="L19" s="3208"/>
      <c r="M19" s="3208"/>
      <c r="N19" s="3208"/>
      <c r="O19" s="3208"/>
      <c r="P19" s="3208"/>
      <c r="Q19" s="3208"/>
      <c r="R19" s="3208"/>
      <c r="S19" s="3208"/>
      <c r="T19" s="3208"/>
      <c r="U19" s="3208"/>
      <c r="V19" s="3208"/>
      <c r="W19" s="3208"/>
      <c r="X19" s="3208"/>
      <c r="Y19" s="3208"/>
      <c r="Z19" s="3208"/>
      <c r="AA19" s="3208"/>
      <c r="AB19" s="3208"/>
      <c r="AC19" s="3208"/>
      <c r="AD19" s="3208"/>
      <c r="AE19" s="3208"/>
      <c r="AF19" s="3208"/>
      <c r="AG19" s="3208"/>
      <c r="AH19" s="3208"/>
      <c r="AI19" s="3208"/>
      <c r="AJ19" s="3208"/>
      <c r="AK19" s="3208"/>
      <c r="AL19" s="3208"/>
      <c r="AM19" s="2550"/>
      <c r="AN19" s="2550"/>
      <c r="AO19" s="2550"/>
      <c r="AP19" s="2550"/>
      <c r="AQ19" s="2550"/>
      <c r="AR19" s="2550"/>
    </row>
    <row r="20" spans="1:44" ht="15" customHeight="1">
      <c r="C20" s="3519" t="s">
        <v>3552</v>
      </c>
      <c r="D20" s="2550"/>
      <c r="E20" s="2550"/>
      <c r="F20" s="2550"/>
      <c r="G20" s="2550"/>
      <c r="H20" s="2550"/>
      <c r="I20" s="2550"/>
      <c r="J20" s="2550"/>
      <c r="K20" s="2550"/>
      <c r="L20" s="3208"/>
      <c r="M20" s="3208"/>
      <c r="N20" s="3208"/>
      <c r="O20" s="3208"/>
      <c r="P20" s="3208"/>
      <c r="Q20" s="3208"/>
      <c r="R20" s="3208"/>
      <c r="S20" s="3208"/>
      <c r="T20" s="3208"/>
      <c r="U20" s="3208"/>
      <c r="V20" s="3208"/>
      <c r="W20" s="3208"/>
      <c r="X20" s="3208"/>
      <c r="Y20" s="3208"/>
      <c r="Z20" s="3208"/>
      <c r="AA20" s="3208"/>
      <c r="AB20" s="3208"/>
      <c r="AC20" s="3208"/>
      <c r="AD20" s="3208"/>
      <c r="AE20" s="3208"/>
      <c r="AF20" s="3208"/>
      <c r="AG20" s="3208"/>
      <c r="AH20" s="3208"/>
      <c r="AI20" s="3208"/>
      <c r="AJ20" s="3208"/>
      <c r="AK20" s="3208"/>
      <c r="AL20" s="3208"/>
      <c r="AM20" s="2550"/>
      <c r="AN20" s="2550"/>
      <c r="AO20" s="2550"/>
      <c r="AP20" s="2550"/>
      <c r="AQ20" s="2550"/>
      <c r="AR20" s="2550"/>
    </row>
    <row r="21" spans="1:44" ht="12.75" customHeight="1">
      <c r="C21" s="1590"/>
      <c r="D21" s="1591"/>
      <c r="E21" s="1591"/>
      <c r="F21" s="1591"/>
      <c r="G21" s="1591"/>
      <c r="H21" s="1591"/>
      <c r="I21" s="1591"/>
      <c r="J21" s="1591"/>
      <c r="K21" s="1591"/>
      <c r="L21" s="3215"/>
      <c r="M21" s="3215"/>
      <c r="N21" s="3215"/>
      <c r="O21" s="3215"/>
      <c r="P21" s="3215"/>
      <c r="Q21" s="3215"/>
      <c r="R21" s="3215"/>
      <c r="S21" s="3215"/>
      <c r="T21" s="3215"/>
      <c r="U21" s="3215"/>
      <c r="V21" s="3215"/>
      <c r="W21" s="3215"/>
      <c r="X21" s="3215"/>
      <c r="Y21" s="3215"/>
      <c r="Z21" s="3215"/>
      <c r="AA21" s="3215"/>
      <c r="AB21" s="3215"/>
      <c r="AC21" s="3215"/>
      <c r="AD21" s="3215"/>
      <c r="AE21" s="3215"/>
      <c r="AF21" s="3215"/>
      <c r="AG21" s="3215"/>
      <c r="AH21" s="3215"/>
      <c r="AI21" s="3215"/>
      <c r="AJ21" s="3215"/>
      <c r="AK21" s="3215"/>
      <c r="AL21" s="3215"/>
      <c r="AM21" s="1591"/>
      <c r="AN21" s="1591"/>
      <c r="AO21" s="1591"/>
      <c r="AP21" s="1591"/>
      <c r="AQ21" s="1591"/>
      <c r="AR21" s="1591"/>
    </row>
    <row r="22" spans="1:44" ht="13.5" customHeight="1">
      <c r="B22" s="1592"/>
      <c r="C22" s="1593"/>
      <c r="D22" s="1593"/>
      <c r="E22" s="1593"/>
      <c r="F22" s="1593"/>
      <c r="G22" s="1593"/>
      <c r="H22" s="1593"/>
      <c r="I22" s="3199" t="s">
        <v>3553</v>
      </c>
      <c r="J22" s="1593"/>
      <c r="K22" s="1593"/>
      <c r="L22" s="1601"/>
      <c r="M22" s="1601"/>
      <c r="N22" s="1601"/>
      <c r="O22" s="1601"/>
      <c r="P22" s="1601"/>
      <c r="Q22" s="1601"/>
      <c r="R22" s="1601"/>
      <c r="S22" s="1601"/>
      <c r="T22" s="1601"/>
      <c r="U22" s="1601"/>
      <c r="V22" s="1601"/>
      <c r="W22" s="1601"/>
      <c r="X22" s="1601"/>
      <c r="Y22" s="1601"/>
      <c r="Z22" s="1601"/>
      <c r="AA22" s="1601"/>
      <c r="AB22" s="1601"/>
      <c r="AC22" s="1601"/>
      <c r="AD22" s="1601"/>
      <c r="AE22" s="1601"/>
      <c r="AF22" s="1601"/>
      <c r="AG22" s="1601"/>
      <c r="AH22" s="1601"/>
      <c r="AI22" s="3206" t="s">
        <v>3553</v>
      </c>
      <c r="AJ22" s="3206"/>
      <c r="AK22" s="3206"/>
      <c r="AL22" s="3206"/>
      <c r="AM22" s="2553"/>
      <c r="AN22" s="2553"/>
      <c r="AO22" s="2553"/>
      <c r="AP22" s="2553"/>
      <c r="AQ22" s="2553"/>
      <c r="AR22" s="2553"/>
    </row>
    <row r="23" spans="1:44">
      <c r="B23" s="1594"/>
      <c r="C23" s="1595"/>
      <c r="D23" s="1595"/>
      <c r="E23" s="3199" t="s">
        <v>3554</v>
      </c>
      <c r="F23" s="2741"/>
      <c r="G23" s="2552" t="s">
        <v>3555</v>
      </c>
      <c r="H23" s="2552"/>
      <c r="I23" s="2552" t="s">
        <v>2879</v>
      </c>
      <c r="J23" s="2553"/>
      <c r="K23" s="2553"/>
      <c r="L23" s="3206"/>
      <c r="M23" s="3206"/>
      <c r="N23" s="3206"/>
      <c r="O23" s="3206"/>
      <c r="P23" s="3206"/>
      <c r="Q23" s="3206"/>
      <c r="R23" s="3206"/>
    </row>
    <row r="24" spans="1:44">
      <c r="B24" s="1596" t="s">
        <v>3556</v>
      </c>
      <c r="D24" s="2552"/>
      <c r="E24" s="3200" t="s">
        <v>3557</v>
      </c>
      <c r="F24" s="2553"/>
      <c r="G24" s="3200" t="s">
        <v>3558</v>
      </c>
      <c r="H24" s="2552"/>
      <c r="I24" s="3200" t="s">
        <v>3559</v>
      </c>
      <c r="J24" s="2742"/>
      <c r="K24" s="2553"/>
      <c r="L24" s="3206"/>
      <c r="M24" s="3206"/>
      <c r="N24" s="3206"/>
      <c r="O24" s="3206"/>
      <c r="P24" s="3206"/>
      <c r="Q24" s="3206"/>
      <c r="R24" s="3206"/>
    </row>
    <row r="25" spans="1:44" ht="15.75" thickBot="1">
      <c r="B25" s="1597" t="s">
        <v>3560</v>
      </c>
      <c r="D25" s="1597"/>
      <c r="E25" s="2743"/>
      <c r="F25" s="3198"/>
      <c r="G25" s="2744" t="e">
        <f>'Adjustment Form'!G48</f>
        <v>#N/A</v>
      </c>
      <c r="H25" s="3201"/>
      <c r="I25" s="2744" t="e">
        <f>E25-G25</f>
        <v>#N/A</v>
      </c>
      <c r="J25" s="2744"/>
      <c r="K25" s="3201"/>
      <c r="L25" s="3201"/>
      <c r="M25" s="3201"/>
      <c r="N25" s="3201"/>
      <c r="O25" s="3201"/>
      <c r="P25" s="3201"/>
      <c r="Q25" s="3201"/>
      <c r="R25" s="3201"/>
    </row>
    <row r="26" spans="1:44" ht="15" customHeight="1" thickTop="1">
      <c r="B26" s="1595"/>
      <c r="C26" s="1598"/>
      <c r="D26" s="1595"/>
      <c r="E26" s="1595"/>
      <c r="F26" s="1595"/>
      <c r="G26" s="1595"/>
      <c r="H26" s="1595"/>
      <c r="I26" s="1595"/>
      <c r="J26" s="1595"/>
      <c r="K26" s="1595"/>
      <c r="L26" s="1601"/>
      <c r="M26" s="1601"/>
      <c r="N26" s="1601"/>
      <c r="O26" s="1601"/>
      <c r="P26" s="1601"/>
      <c r="Q26" s="1601"/>
      <c r="R26" s="1601"/>
      <c r="S26" s="1601"/>
      <c r="T26" s="1601"/>
      <c r="U26" s="1601"/>
      <c r="V26" s="1601"/>
      <c r="W26" s="1601"/>
      <c r="X26" s="1601"/>
      <c r="Y26" s="1601"/>
      <c r="Z26" s="1601"/>
      <c r="AA26" s="1601"/>
      <c r="AB26" s="1601"/>
      <c r="AC26" s="1601"/>
    </row>
    <row r="27" spans="1:44" ht="15" customHeight="1">
      <c r="A27" s="1599" t="s">
        <v>3112</v>
      </c>
      <c r="B27" s="2873" t="s">
        <v>3561</v>
      </c>
      <c r="C27" s="2549"/>
      <c r="D27" s="2549"/>
      <c r="E27" s="2549"/>
      <c r="F27" s="2549"/>
      <c r="G27" s="2549"/>
      <c r="H27" s="2549"/>
      <c r="I27" s="2549"/>
      <c r="J27" s="2549"/>
      <c r="K27" s="2549"/>
      <c r="L27" s="3214"/>
      <c r="M27" s="3214"/>
      <c r="N27" s="3214"/>
      <c r="O27" s="3214"/>
      <c r="P27" s="3214"/>
      <c r="Q27" s="3214"/>
      <c r="R27" s="3214"/>
      <c r="S27" s="3214"/>
      <c r="T27" s="3214"/>
      <c r="U27" s="3214"/>
      <c r="V27" s="3214"/>
      <c r="W27" s="3214"/>
      <c r="X27" s="3214"/>
      <c r="Y27" s="3214"/>
      <c r="Z27" s="3214"/>
      <c r="AA27" s="3214"/>
      <c r="AB27" s="3214"/>
      <c r="AC27" s="3214"/>
      <c r="AD27" s="3214"/>
      <c r="AE27" s="3214"/>
      <c r="AF27" s="3214"/>
      <c r="AG27" s="3214"/>
      <c r="AH27" s="3214"/>
      <c r="AI27" s="3214"/>
      <c r="AJ27" s="3214"/>
      <c r="AK27" s="3214"/>
      <c r="AL27" s="3214"/>
      <c r="AM27" s="2549"/>
      <c r="AN27" s="2549"/>
      <c r="AO27" s="2549"/>
      <c r="AP27" s="2549"/>
      <c r="AQ27" s="2549"/>
      <c r="AR27" s="2549"/>
    </row>
    <row r="28" spans="1:44" ht="15" customHeight="1">
      <c r="B28" s="2874" t="s">
        <v>3562</v>
      </c>
      <c r="C28" s="2549"/>
      <c r="D28" s="2549"/>
      <c r="E28" s="2549"/>
      <c r="F28" s="2549"/>
      <c r="G28" s="2549"/>
      <c r="H28" s="2549"/>
      <c r="I28" s="2549"/>
      <c r="J28" s="2549"/>
      <c r="K28" s="2549"/>
      <c r="L28" s="3214"/>
      <c r="M28" s="3214"/>
      <c r="N28" s="3214"/>
      <c r="O28" s="3214"/>
      <c r="P28" s="3214"/>
      <c r="Q28" s="3214"/>
      <c r="R28" s="3214"/>
      <c r="S28" s="3214"/>
      <c r="T28" s="3214"/>
      <c r="U28" s="3214"/>
      <c r="V28" s="3214"/>
      <c r="W28" s="3214"/>
      <c r="X28" s="3214"/>
      <c r="Y28" s="3214"/>
      <c r="Z28" s="3214"/>
      <c r="AA28" s="3214"/>
      <c r="AB28" s="3214"/>
      <c r="AC28" s="3214"/>
      <c r="AD28" s="3214"/>
      <c r="AE28" s="3214"/>
      <c r="AF28" s="3214"/>
      <c r="AG28" s="3214"/>
      <c r="AH28" s="3214"/>
      <c r="AI28" s="3214"/>
      <c r="AJ28" s="3214"/>
      <c r="AK28" s="3214"/>
      <c r="AL28" s="3214"/>
      <c r="AM28" s="2549"/>
      <c r="AN28" s="2549"/>
      <c r="AO28" s="2549"/>
      <c r="AP28" s="2549"/>
      <c r="AQ28" s="2549"/>
      <c r="AR28" s="2549"/>
    </row>
    <row r="29" spans="1:44" ht="15" customHeight="1">
      <c r="B29" s="3047" t="s">
        <v>3563</v>
      </c>
      <c r="C29" s="2549"/>
      <c r="D29" s="2549"/>
      <c r="E29" s="2549"/>
      <c r="F29" s="2549"/>
      <c r="G29" s="2549"/>
      <c r="H29" s="2549"/>
      <c r="I29" s="2549"/>
      <c r="J29" s="2549"/>
      <c r="K29" s="2549"/>
      <c r="L29" s="3214"/>
      <c r="M29" s="3214"/>
      <c r="N29" s="3214"/>
      <c r="O29" s="3214"/>
      <c r="P29" s="3214"/>
      <c r="Q29" s="3214"/>
      <c r="R29" s="3214"/>
      <c r="S29" s="3214"/>
      <c r="T29" s="3214"/>
      <c r="U29" s="3214"/>
      <c r="V29" s="3214"/>
      <c r="W29" s="3214"/>
      <c r="X29" s="3214"/>
      <c r="Y29" s="3214"/>
      <c r="Z29" s="3214"/>
      <c r="AA29" s="3214"/>
      <c r="AB29" s="3214"/>
      <c r="AC29" s="3214"/>
      <c r="AD29" s="3214"/>
      <c r="AE29" s="3214"/>
      <c r="AF29" s="3214"/>
      <c r="AG29" s="3214"/>
      <c r="AH29" s="3214"/>
      <c r="AI29" s="3214"/>
      <c r="AJ29" s="3214"/>
      <c r="AK29" s="3214"/>
      <c r="AL29" s="3214"/>
      <c r="AM29" s="2549"/>
      <c r="AN29" s="2549"/>
      <c r="AO29" s="2549"/>
      <c r="AP29" s="2549"/>
      <c r="AQ29" s="2549"/>
      <c r="AR29" s="2549"/>
    </row>
    <row r="30" spans="1:44" ht="15" customHeight="1">
      <c r="B30" s="3047" t="s">
        <v>3564</v>
      </c>
      <c r="C30" s="2549"/>
      <c r="D30" s="2549"/>
      <c r="E30" s="2549"/>
      <c r="F30" s="2549"/>
      <c r="G30" s="2549"/>
      <c r="H30" s="2549"/>
      <c r="I30" s="2549"/>
      <c r="J30" s="2549"/>
      <c r="K30" s="2549"/>
      <c r="L30" s="3214"/>
      <c r="M30" s="3214"/>
      <c r="N30" s="3214"/>
      <c r="O30" s="3214"/>
      <c r="P30" s="3214"/>
      <c r="Q30" s="3214"/>
      <c r="R30" s="3214"/>
      <c r="S30" s="3214"/>
      <c r="T30" s="3214"/>
      <c r="U30" s="3214"/>
      <c r="V30" s="3214"/>
      <c r="W30" s="3214"/>
      <c r="X30" s="3214"/>
      <c r="Y30" s="3214"/>
      <c r="Z30" s="3214"/>
      <c r="AA30" s="3214"/>
      <c r="AB30" s="3214"/>
      <c r="AC30" s="3214"/>
      <c r="AD30" s="3214"/>
      <c r="AE30" s="3214"/>
      <c r="AF30" s="3214"/>
      <c r="AG30" s="3214"/>
      <c r="AH30" s="3214"/>
      <c r="AI30" s="3214"/>
      <c r="AJ30" s="3214"/>
      <c r="AK30" s="3214"/>
      <c r="AL30" s="3214"/>
      <c r="AM30" s="2549"/>
      <c r="AN30" s="2549"/>
      <c r="AO30" s="2549"/>
      <c r="AP30" s="2549"/>
      <c r="AQ30" s="2549"/>
      <c r="AR30" s="2549"/>
    </row>
    <row r="31" spans="1:44" ht="15" customHeight="1">
      <c r="B31" s="2550"/>
      <c r="C31" s="2549"/>
      <c r="D31" s="2549"/>
      <c r="E31" s="2549"/>
      <c r="F31" s="2549"/>
      <c r="G31" s="2549"/>
      <c r="H31" s="2549"/>
      <c r="I31" s="2549"/>
      <c r="J31" s="2549"/>
      <c r="K31" s="2549"/>
      <c r="L31" s="3214"/>
      <c r="M31" s="3214"/>
      <c r="N31" s="3214"/>
      <c r="O31" s="3214"/>
      <c r="P31" s="3214"/>
      <c r="Q31" s="3214"/>
      <c r="R31" s="3214"/>
      <c r="S31" s="3214"/>
      <c r="T31" s="3214"/>
      <c r="U31" s="3214"/>
      <c r="V31" s="3214"/>
      <c r="W31" s="3214"/>
      <c r="X31" s="3214"/>
      <c r="Y31" s="3214"/>
      <c r="Z31" s="3214"/>
      <c r="AA31" s="3214"/>
      <c r="AB31" s="3214"/>
      <c r="AC31" s="3214"/>
      <c r="AD31" s="3214"/>
      <c r="AE31" s="3214"/>
      <c r="AF31" s="3214"/>
      <c r="AG31" s="3214"/>
      <c r="AH31" s="3214"/>
      <c r="AI31" s="3214"/>
      <c r="AJ31" s="3214"/>
      <c r="AK31" s="3214"/>
      <c r="AL31" s="3214"/>
      <c r="AM31" s="2549"/>
      <c r="AN31" s="2549"/>
      <c r="AO31" s="2549"/>
      <c r="AP31" s="2549"/>
      <c r="AQ31" s="2549"/>
      <c r="AR31" s="2549"/>
    </row>
    <row r="32" spans="1:44" ht="14.25" customHeight="1">
      <c r="B32" s="1583"/>
      <c r="C32" s="1600"/>
      <c r="D32" s="1583"/>
      <c r="E32" s="1583"/>
      <c r="F32" s="1583"/>
      <c r="G32" s="1583"/>
      <c r="H32" s="1583"/>
      <c r="I32" s="1583"/>
      <c r="J32" s="1583"/>
      <c r="K32" s="1583"/>
      <c r="AM32" s="1583"/>
      <c r="AN32" s="1583"/>
      <c r="AO32" s="1583"/>
      <c r="AP32" s="1583"/>
      <c r="AQ32" s="1583"/>
      <c r="AR32" s="1583"/>
    </row>
    <row r="33" spans="1:51">
      <c r="B33" s="1583"/>
      <c r="E33" s="3522" t="s">
        <v>3565</v>
      </c>
      <c r="F33" s="3522"/>
      <c r="G33" s="3520" t="s">
        <v>3566</v>
      </c>
      <c r="H33" s="2745"/>
      <c r="I33" s="3520" t="s">
        <v>3555</v>
      </c>
      <c r="J33" s="1583"/>
      <c r="K33" s="3520" t="s">
        <v>3553</v>
      </c>
      <c r="L33" s="3205"/>
      <c r="M33" s="3205"/>
      <c r="N33" s="3205"/>
      <c r="O33" s="3205"/>
      <c r="P33" s="3205"/>
      <c r="Q33" s="3205"/>
      <c r="R33" s="3205"/>
      <c r="S33" s="3205"/>
      <c r="T33" s="3205"/>
      <c r="U33" s="3205"/>
      <c r="V33" s="3205"/>
      <c r="W33" s="3205"/>
      <c r="X33" s="3205"/>
      <c r="Y33" s="3205"/>
      <c r="Z33" s="1587"/>
      <c r="AB33" s="3205"/>
      <c r="AC33" s="3205"/>
      <c r="AD33" s="3205"/>
      <c r="AE33" s="3205"/>
      <c r="AF33" s="3205"/>
      <c r="AG33" s="3205"/>
      <c r="AH33" s="3205"/>
      <c r="AI33" s="3205"/>
      <c r="AJ33" s="3205"/>
      <c r="AK33" s="3204"/>
      <c r="AM33" s="2746"/>
      <c r="AN33" s="2746"/>
      <c r="AO33" s="2746"/>
      <c r="AP33" s="2746"/>
      <c r="AQ33" s="2746"/>
      <c r="AR33" s="2746"/>
    </row>
    <row r="34" spans="1:51">
      <c r="B34" s="1583"/>
      <c r="E34" s="3523" t="s">
        <v>3567</v>
      </c>
      <c r="F34" s="3523"/>
      <c r="G34" s="3521" t="s">
        <v>3568</v>
      </c>
      <c r="H34" s="2745"/>
      <c r="I34" s="3521" t="s">
        <v>3569</v>
      </c>
      <c r="J34" s="1583"/>
      <c r="K34" s="3521" t="s">
        <v>3570</v>
      </c>
      <c r="L34" s="3205"/>
      <c r="M34" s="3205"/>
      <c r="N34" s="3205"/>
      <c r="O34" s="3205"/>
      <c r="P34" s="3205"/>
      <c r="Q34" s="3205"/>
      <c r="R34" s="3205"/>
      <c r="S34" s="3205"/>
      <c r="T34" s="3205"/>
      <c r="U34" s="3205"/>
      <c r="V34" s="3205"/>
      <c r="W34" s="3205"/>
      <c r="X34" s="3205"/>
      <c r="Y34" s="3205"/>
      <c r="Z34" s="1587"/>
      <c r="AB34" s="3205"/>
      <c r="AC34" s="3205"/>
      <c r="AD34" s="3205"/>
      <c r="AE34" s="3205"/>
      <c r="AF34" s="3205"/>
      <c r="AG34" s="3205"/>
      <c r="AH34" s="3205"/>
      <c r="AI34" s="3205"/>
      <c r="AJ34" s="3205"/>
      <c r="AK34" s="3204"/>
      <c r="AM34" s="3205"/>
      <c r="AN34" s="3205"/>
      <c r="AO34" s="3205"/>
      <c r="AP34" s="3205"/>
      <c r="AQ34" s="3205"/>
      <c r="AR34" s="3205"/>
      <c r="AS34" s="1586"/>
      <c r="AT34" s="1586"/>
      <c r="AU34" s="1586"/>
      <c r="AV34" s="1586"/>
      <c r="AW34" s="1586"/>
      <c r="AX34" s="1586"/>
      <c r="AY34" s="1586"/>
    </row>
    <row r="35" spans="1:51">
      <c r="B35" s="1583"/>
      <c r="C35" s="3524"/>
      <c r="D35" s="3524"/>
      <c r="E35" s="3428"/>
      <c r="F35" s="1583"/>
      <c r="G35" s="3429"/>
      <c r="H35" s="3202"/>
      <c r="I35" s="3429"/>
      <c r="J35" s="3202"/>
      <c r="K35" s="3429"/>
      <c r="L35" s="3202"/>
      <c r="M35" s="3202"/>
      <c r="N35" s="3202"/>
      <c r="O35" s="3202"/>
      <c r="P35" s="3202"/>
      <c r="Q35" s="3202"/>
      <c r="R35" s="3202"/>
      <c r="T35" s="3203"/>
      <c r="U35" s="3203"/>
      <c r="V35" s="3203"/>
      <c r="W35" s="3203"/>
      <c r="X35" s="3203"/>
      <c r="Y35" s="3203"/>
      <c r="Z35" s="3203"/>
      <c r="AA35" s="3203"/>
      <c r="AB35" s="3203"/>
      <c r="AC35" s="3203"/>
      <c r="AE35" s="3203"/>
      <c r="AF35" s="3203"/>
      <c r="AG35" s="3203"/>
      <c r="AH35" s="3203"/>
      <c r="AI35" s="3203"/>
      <c r="AJ35" s="3203"/>
      <c r="AK35" s="3203"/>
      <c r="AM35" s="1586"/>
      <c r="AN35" s="1586"/>
      <c r="AO35" s="1586"/>
      <c r="AP35" s="1586"/>
      <c r="AQ35" s="1586"/>
      <c r="AR35" s="1586"/>
      <c r="AS35" s="1586"/>
      <c r="AT35" s="1586"/>
      <c r="AU35" s="1586"/>
      <c r="AV35" s="1586"/>
      <c r="AW35" s="1586"/>
      <c r="AX35" s="1586"/>
      <c r="AY35" s="1586"/>
    </row>
    <row r="36" spans="1:51">
      <c r="B36" s="1583"/>
      <c r="C36" s="3524"/>
      <c r="D36" s="3524"/>
      <c r="E36" s="3428"/>
      <c r="F36" s="1583"/>
      <c r="G36" s="3429"/>
      <c r="H36" s="3202"/>
      <c r="I36" s="3429"/>
      <c r="J36" s="3202"/>
      <c r="K36" s="3429"/>
      <c r="L36" s="3202"/>
      <c r="M36" s="3202"/>
      <c r="N36" s="3202"/>
      <c r="O36" s="3202"/>
      <c r="P36" s="3202"/>
      <c r="Q36" s="3202"/>
      <c r="R36" s="3202"/>
      <c r="T36" s="3203"/>
      <c r="U36" s="3203"/>
      <c r="V36" s="3203"/>
      <c r="W36" s="3203"/>
      <c r="X36" s="3203"/>
      <c r="Y36" s="3203"/>
      <c r="Z36" s="3203"/>
      <c r="AA36" s="3203"/>
      <c r="AB36" s="3203"/>
      <c r="AC36" s="3203"/>
      <c r="AE36" s="3203"/>
      <c r="AF36" s="3203"/>
      <c r="AG36" s="3203"/>
      <c r="AH36" s="3203"/>
      <c r="AI36" s="3203"/>
      <c r="AJ36" s="3203"/>
      <c r="AK36" s="3203"/>
      <c r="AM36" s="1586"/>
      <c r="AN36" s="1586"/>
      <c r="AO36" s="1586"/>
      <c r="AP36" s="1586"/>
      <c r="AQ36" s="1586"/>
      <c r="AR36" s="1586"/>
      <c r="AS36" s="1586"/>
      <c r="AT36" s="1586"/>
      <c r="AU36" s="1586"/>
      <c r="AV36" s="1586"/>
      <c r="AW36" s="1586"/>
      <c r="AX36" s="1586"/>
      <c r="AY36" s="1586"/>
    </row>
    <row r="37" spans="1:51">
      <c r="B37" s="1583"/>
      <c r="C37" s="3524"/>
      <c r="D37" s="3524"/>
      <c r="E37" s="3428"/>
      <c r="F37" s="1583"/>
      <c r="G37" s="3429"/>
      <c r="H37" s="3202"/>
      <c r="I37" s="3429"/>
      <c r="J37" s="3202"/>
      <c r="K37" s="3429"/>
      <c r="L37" s="3202"/>
      <c r="M37" s="3202"/>
      <c r="N37" s="3202"/>
      <c r="O37" s="3202"/>
      <c r="P37" s="3202"/>
      <c r="Q37" s="3202"/>
      <c r="R37" s="3202"/>
      <c r="T37" s="3203"/>
      <c r="U37" s="3203"/>
      <c r="V37" s="3203"/>
      <c r="W37" s="3203"/>
      <c r="X37" s="3203"/>
      <c r="Y37" s="3203"/>
      <c r="Z37" s="3203"/>
      <c r="AA37" s="3203"/>
      <c r="AB37" s="3203"/>
      <c r="AC37" s="3203"/>
      <c r="AE37" s="3203"/>
      <c r="AF37" s="3203"/>
      <c r="AG37" s="3203"/>
      <c r="AH37" s="3203"/>
      <c r="AI37" s="3203"/>
      <c r="AJ37" s="3203"/>
      <c r="AK37" s="3203"/>
      <c r="AM37" s="1586"/>
      <c r="AN37" s="1586"/>
      <c r="AO37" s="1586"/>
      <c r="AP37" s="1586"/>
      <c r="AQ37" s="1586"/>
      <c r="AR37" s="1586"/>
      <c r="AS37" s="1586"/>
      <c r="AT37" s="1586"/>
      <c r="AU37" s="1586"/>
      <c r="AV37" s="1586"/>
      <c r="AW37" s="1586"/>
      <c r="AX37" s="1586"/>
      <c r="AY37" s="1586"/>
    </row>
    <row r="38" spans="1:51">
      <c r="B38" s="1583"/>
      <c r="C38" s="3524"/>
      <c r="D38" s="3524"/>
      <c r="E38" s="3428"/>
      <c r="F38" s="1583"/>
      <c r="G38" s="3429"/>
      <c r="H38" s="3202"/>
      <c r="I38" s="3429"/>
      <c r="J38" s="3202"/>
      <c r="K38" s="3429"/>
      <c r="L38" s="3202"/>
      <c r="M38" s="3202"/>
      <c r="N38" s="3202"/>
      <c r="O38" s="3202"/>
      <c r="P38" s="3202"/>
      <c r="Q38" s="3202"/>
      <c r="R38" s="3202"/>
      <c r="T38" s="3203"/>
      <c r="U38" s="3203"/>
      <c r="V38" s="3203"/>
      <c r="W38" s="3203"/>
      <c r="X38" s="3203"/>
      <c r="Y38" s="3203"/>
      <c r="Z38" s="3203"/>
      <c r="AA38" s="3203"/>
      <c r="AB38" s="3203"/>
      <c r="AC38" s="3203"/>
      <c r="AE38" s="3203"/>
      <c r="AF38" s="3203"/>
      <c r="AG38" s="3203"/>
      <c r="AH38" s="3203"/>
      <c r="AI38" s="3203"/>
      <c r="AJ38" s="3203"/>
      <c r="AK38" s="3203"/>
      <c r="AM38" s="1586"/>
      <c r="AN38" s="1586"/>
      <c r="AO38" s="1586"/>
      <c r="AP38" s="1586"/>
      <c r="AQ38" s="1586"/>
      <c r="AR38" s="1586"/>
      <c r="AS38" s="1586"/>
      <c r="AT38" s="1586"/>
      <c r="AU38" s="1586"/>
      <c r="AV38" s="1586"/>
      <c r="AW38" s="1586"/>
      <c r="AX38" s="1586"/>
      <c r="AY38" s="1586"/>
    </row>
    <row r="39" spans="1:51">
      <c r="B39" s="1583"/>
      <c r="C39" s="3524"/>
      <c r="D39" s="3524"/>
      <c r="E39" s="3428"/>
      <c r="F39" s="1583"/>
      <c r="G39" s="3429"/>
      <c r="H39" s="3202"/>
      <c r="I39" s="3429"/>
      <c r="J39" s="3202"/>
      <c r="K39" s="3429"/>
      <c r="L39" s="3202"/>
      <c r="M39" s="3202"/>
      <c r="N39" s="3202"/>
      <c r="O39" s="3202"/>
      <c r="P39" s="3202"/>
      <c r="Q39" s="3202"/>
      <c r="R39" s="3202"/>
      <c r="T39" s="3203"/>
      <c r="U39" s="3203"/>
      <c r="V39" s="3203"/>
      <c r="W39" s="3203"/>
      <c r="X39" s="3203"/>
      <c r="Y39" s="3203"/>
      <c r="Z39" s="3203"/>
      <c r="AA39" s="3203"/>
      <c r="AB39" s="3203"/>
      <c r="AC39" s="3203"/>
      <c r="AE39" s="3203"/>
      <c r="AF39" s="3203"/>
      <c r="AG39" s="3203"/>
      <c r="AH39" s="3203"/>
      <c r="AI39" s="3203"/>
      <c r="AJ39" s="3203"/>
      <c r="AK39" s="3203"/>
      <c r="AM39" s="1586"/>
      <c r="AN39" s="1586"/>
      <c r="AO39" s="1586"/>
      <c r="AP39" s="1586"/>
      <c r="AQ39" s="1586"/>
      <c r="AR39" s="1586"/>
      <c r="AS39" s="1586"/>
      <c r="AT39" s="1586"/>
      <c r="AU39" s="1586"/>
      <c r="AV39" s="1586"/>
      <c r="AW39" s="1586"/>
      <c r="AX39" s="1586"/>
      <c r="AY39" s="1586"/>
    </row>
    <row r="40" spans="1:51">
      <c r="B40" s="1583"/>
      <c r="C40" s="3524"/>
      <c r="D40" s="3524"/>
      <c r="E40" s="3428"/>
      <c r="F40" s="1583"/>
      <c r="G40" s="3429"/>
      <c r="H40" s="3202"/>
      <c r="I40" s="3429"/>
      <c r="J40" s="3202"/>
      <c r="K40" s="3429"/>
      <c r="L40" s="3202"/>
      <c r="M40" s="3202"/>
      <c r="N40" s="3202"/>
      <c r="O40" s="3202"/>
      <c r="P40" s="3202"/>
      <c r="Q40" s="3202"/>
      <c r="R40" s="3202"/>
      <c r="T40" s="3203"/>
      <c r="U40" s="3203"/>
      <c r="V40" s="3203"/>
      <c r="W40" s="3203"/>
      <c r="X40" s="3203"/>
      <c r="Y40" s="3203"/>
      <c r="Z40" s="3203"/>
      <c r="AA40" s="3203"/>
      <c r="AB40" s="3203"/>
      <c r="AC40" s="3203"/>
      <c r="AE40" s="3203"/>
      <c r="AF40" s="3203"/>
      <c r="AG40" s="3203"/>
      <c r="AH40" s="3203"/>
      <c r="AI40" s="3203"/>
      <c r="AJ40" s="3203"/>
      <c r="AK40" s="3203"/>
      <c r="AM40" s="1586"/>
      <c r="AN40" s="1586"/>
      <c r="AO40" s="1586"/>
      <c r="AP40" s="1586"/>
      <c r="AQ40" s="1586"/>
      <c r="AR40" s="1586"/>
      <c r="AS40" s="1586"/>
      <c r="AT40" s="1586"/>
      <c r="AU40" s="1586"/>
      <c r="AV40" s="1586"/>
      <c r="AW40" s="1586"/>
      <c r="AX40" s="1586"/>
      <c r="AY40" s="1586"/>
    </row>
    <row r="41" spans="1:51">
      <c r="B41" s="1583"/>
      <c r="C41" s="3524"/>
      <c r="D41" s="3524"/>
      <c r="E41" s="3428"/>
      <c r="F41" s="1583"/>
      <c r="G41" s="3429"/>
      <c r="H41" s="3202"/>
      <c r="I41" s="3429"/>
      <c r="J41" s="3202"/>
      <c r="K41" s="3429"/>
      <c r="L41" s="3202"/>
      <c r="M41" s="3202"/>
      <c r="N41" s="3202"/>
      <c r="O41" s="3202"/>
      <c r="P41" s="3202"/>
      <c r="Q41" s="3202"/>
      <c r="R41" s="3202"/>
      <c r="T41" s="3203"/>
      <c r="U41" s="3203"/>
      <c r="V41" s="3203"/>
      <c r="W41" s="3203"/>
      <c r="X41" s="3203"/>
      <c r="Y41" s="3203"/>
      <c r="Z41" s="3203"/>
      <c r="AA41" s="3203"/>
      <c r="AB41" s="3203"/>
      <c r="AC41" s="3203"/>
      <c r="AE41" s="3203"/>
      <c r="AF41" s="3203"/>
      <c r="AG41" s="3203"/>
      <c r="AH41" s="3203"/>
      <c r="AI41" s="3203"/>
      <c r="AJ41" s="3203"/>
      <c r="AK41" s="3203"/>
      <c r="AM41" s="1586"/>
      <c r="AN41" s="1586"/>
      <c r="AO41" s="1586"/>
      <c r="AP41" s="1586"/>
      <c r="AQ41" s="1586"/>
      <c r="AR41" s="1586"/>
      <c r="AS41" s="1586"/>
      <c r="AT41" s="1586"/>
      <c r="AU41" s="1586"/>
      <c r="AV41" s="1586"/>
      <c r="AW41" s="1586"/>
      <c r="AX41" s="1586"/>
      <c r="AY41" s="1586"/>
    </row>
    <row r="42" spans="1:51">
      <c r="B42" s="1583"/>
      <c r="C42" s="3524"/>
      <c r="D42" s="3524"/>
      <c r="E42" s="3428"/>
      <c r="F42" s="1583"/>
      <c r="G42" s="3429"/>
      <c r="H42" s="3202"/>
      <c r="I42" s="3429"/>
      <c r="J42" s="3202"/>
      <c r="K42" s="3429"/>
      <c r="L42" s="3202"/>
      <c r="M42" s="3202"/>
      <c r="N42" s="3202"/>
      <c r="O42" s="3202"/>
      <c r="P42" s="3202"/>
      <c r="Q42" s="3202"/>
      <c r="R42" s="3202"/>
      <c r="T42" s="3203"/>
      <c r="U42" s="3203"/>
      <c r="V42" s="3203"/>
      <c r="W42" s="3203"/>
      <c r="X42" s="3203"/>
      <c r="Y42" s="3203"/>
      <c r="Z42" s="3203"/>
      <c r="AA42" s="3203"/>
      <c r="AB42" s="3203"/>
      <c r="AC42" s="3203"/>
      <c r="AE42" s="3203"/>
      <c r="AF42" s="3203"/>
      <c r="AG42" s="3203"/>
      <c r="AH42" s="3203"/>
      <c r="AI42" s="3203"/>
      <c r="AJ42" s="3203"/>
      <c r="AK42" s="3203"/>
      <c r="AM42" s="1586"/>
      <c r="AN42" s="1586"/>
      <c r="AO42" s="1586"/>
      <c r="AP42" s="1586"/>
      <c r="AQ42" s="1586"/>
      <c r="AR42" s="1586"/>
      <c r="AS42" s="1586"/>
      <c r="AT42" s="1586"/>
      <c r="AU42" s="1586"/>
      <c r="AV42" s="1586"/>
      <c r="AW42" s="1586"/>
      <c r="AX42" s="1586"/>
      <c r="AY42" s="1586"/>
    </row>
    <row r="43" spans="1:51">
      <c r="B43" s="1601"/>
      <c r="C43" s="1602"/>
      <c r="D43" s="1601"/>
      <c r="E43" s="1601"/>
      <c r="F43" s="1601"/>
      <c r="G43" s="1601"/>
      <c r="H43" s="1601"/>
      <c r="I43" s="1601"/>
      <c r="J43" s="1601"/>
      <c r="K43" s="1601"/>
      <c r="L43" s="1601"/>
      <c r="M43" s="1601"/>
      <c r="N43" s="1601"/>
      <c r="O43" s="1601"/>
      <c r="P43" s="1601"/>
      <c r="Q43" s="1601"/>
      <c r="R43" s="1601"/>
      <c r="S43" s="1601"/>
      <c r="T43" s="1601"/>
      <c r="U43" s="1601"/>
      <c r="V43" s="1601"/>
      <c r="W43" s="1601"/>
      <c r="X43" s="1601"/>
      <c r="Y43" s="1601"/>
      <c r="Z43" s="1601"/>
      <c r="AA43" s="1603"/>
      <c r="AB43" s="1603"/>
      <c r="AC43" s="1603"/>
      <c r="AD43" s="1603"/>
      <c r="AE43" s="1603"/>
      <c r="AF43" s="1603"/>
      <c r="AG43" s="1603"/>
      <c r="AH43" s="1603"/>
      <c r="AI43" s="1603"/>
      <c r="AJ43" s="1603"/>
      <c r="AK43" s="1601"/>
      <c r="AL43" s="1603"/>
      <c r="AM43" s="1603"/>
      <c r="AN43" s="1603"/>
      <c r="AO43" s="1603"/>
      <c r="AP43" s="1603"/>
      <c r="AQ43" s="1603"/>
      <c r="AR43" s="1603"/>
      <c r="AS43" s="1586"/>
      <c r="AT43" s="1586"/>
      <c r="AU43" s="1586"/>
      <c r="AV43" s="1586"/>
      <c r="AW43" s="1586"/>
      <c r="AX43" s="1586"/>
      <c r="AY43" s="1586"/>
    </row>
    <row r="44" spans="1:51">
      <c r="A44" s="1589" t="s">
        <v>3119</v>
      </c>
      <c r="B44" s="2553" t="s">
        <v>3571</v>
      </c>
      <c r="C44" s="2550"/>
      <c r="D44" s="2550"/>
      <c r="E44" s="2550"/>
      <c r="F44" s="2550"/>
      <c r="G44" s="2550"/>
      <c r="H44" s="2550"/>
      <c r="I44" s="2550"/>
      <c r="J44" s="2550"/>
      <c r="K44" s="2550"/>
      <c r="L44" s="3208"/>
      <c r="M44" s="3208"/>
      <c r="N44" s="3208"/>
      <c r="O44" s="3208"/>
      <c r="P44" s="3208"/>
      <c r="Q44" s="3208"/>
      <c r="R44" s="3208"/>
      <c r="S44" s="3208"/>
      <c r="T44" s="3208"/>
      <c r="U44" s="3208"/>
      <c r="V44" s="3208"/>
      <c r="W44" s="3208"/>
      <c r="X44" s="3208"/>
      <c r="Y44" s="3208"/>
      <c r="Z44" s="3208"/>
      <c r="AA44" s="3208"/>
      <c r="AB44" s="3208"/>
      <c r="AC44" s="3208"/>
      <c r="AD44" s="3208"/>
      <c r="AE44" s="3208"/>
      <c r="AF44" s="3208"/>
      <c r="AG44" s="3208"/>
      <c r="AH44" s="3208"/>
      <c r="AI44" s="3208"/>
      <c r="AJ44" s="3208"/>
      <c r="AK44" s="3208"/>
      <c r="AL44" s="3208"/>
      <c r="AM44" s="2550"/>
      <c r="AN44" s="2550"/>
      <c r="AO44" s="2550"/>
      <c r="AP44" s="2550"/>
      <c r="AQ44" s="2550"/>
      <c r="AR44" s="2550"/>
    </row>
    <row r="45" spans="1:51">
      <c r="B45" s="2553" t="s">
        <v>3572</v>
      </c>
      <c r="C45" s="2550"/>
      <c r="D45" s="2550"/>
      <c r="E45" s="2550"/>
      <c r="F45" s="2550"/>
      <c r="G45" s="2550"/>
      <c r="H45" s="1676"/>
      <c r="I45" s="1595" t="s">
        <v>3054</v>
      </c>
      <c r="J45" s="2550"/>
      <c r="K45" s="2550"/>
      <c r="L45" s="3208"/>
      <c r="M45" s="3208"/>
      <c r="N45" s="3208"/>
      <c r="O45" s="3208"/>
      <c r="P45" s="3208"/>
      <c r="Q45" s="3208"/>
      <c r="R45" s="3208"/>
      <c r="S45" s="3208"/>
      <c r="T45" s="3208"/>
      <c r="U45" s="3208"/>
      <c r="V45" s="3208"/>
      <c r="W45" s="3208"/>
      <c r="X45" s="3208"/>
      <c r="Y45" s="3208"/>
      <c r="Z45" s="3208"/>
      <c r="AA45" s="3208"/>
      <c r="AB45" s="3208"/>
      <c r="AC45" s="3208"/>
      <c r="AD45" s="3208"/>
      <c r="AE45" s="1601"/>
      <c r="AH45" s="1601"/>
      <c r="AI45" s="1601"/>
      <c r="AJ45" s="1601"/>
      <c r="AK45" s="1601"/>
      <c r="AL45" s="1601"/>
      <c r="AM45" s="1595"/>
      <c r="AN45" s="1595"/>
      <c r="AO45" s="1595"/>
      <c r="AP45" s="1595"/>
      <c r="AQ45" s="1595"/>
      <c r="AR45" s="1595"/>
    </row>
    <row r="46" spans="1:51" ht="15" customHeight="1">
      <c r="B46" s="1595"/>
      <c r="C46" s="1595"/>
      <c r="D46" s="1595"/>
      <c r="E46" s="1595"/>
      <c r="F46" s="1595"/>
      <c r="G46" s="1595"/>
      <c r="H46" s="1595"/>
      <c r="I46" s="1595"/>
      <c r="J46" s="1595"/>
      <c r="K46" s="1595"/>
      <c r="L46" s="1601"/>
      <c r="M46" s="1601"/>
      <c r="N46" s="1601"/>
      <c r="O46" s="1601"/>
      <c r="P46" s="1601"/>
      <c r="Q46" s="1601"/>
      <c r="R46" s="1601"/>
      <c r="S46" s="1601"/>
      <c r="T46" s="1601"/>
      <c r="U46" s="1601"/>
      <c r="V46" s="1601"/>
      <c r="W46" s="1601"/>
      <c r="X46" s="1601"/>
      <c r="Y46" s="1601"/>
      <c r="Z46" s="1601"/>
      <c r="AA46" s="1601"/>
      <c r="AB46" s="1601"/>
      <c r="AC46" s="1601"/>
      <c r="AD46" s="1601"/>
      <c r="AE46" s="1601"/>
      <c r="AF46" s="1601"/>
      <c r="AG46" s="1601"/>
      <c r="AH46" s="1601"/>
      <c r="AI46" s="1601"/>
      <c r="AJ46" s="1601"/>
      <c r="AK46" s="1601"/>
      <c r="AL46" s="1601"/>
      <c r="AM46" s="1595"/>
      <c r="AN46" s="1595"/>
      <c r="AO46" s="1595"/>
      <c r="AP46" s="1595"/>
      <c r="AQ46" s="1595"/>
      <c r="AR46" s="1595"/>
    </row>
    <row r="47" spans="1:51">
      <c r="A47" s="1589" t="s">
        <v>3573</v>
      </c>
      <c r="B47" s="2553" t="s">
        <v>3574</v>
      </c>
      <c r="C47" s="2550"/>
      <c r="D47" s="2550"/>
      <c r="E47" s="2550"/>
      <c r="F47" s="2550"/>
      <c r="G47" s="2550"/>
      <c r="H47" s="2550"/>
      <c r="I47" s="2550"/>
      <c r="J47" s="2550"/>
      <c r="K47" s="2550"/>
      <c r="L47" s="1601"/>
      <c r="M47" s="1601"/>
      <c r="N47" s="1601"/>
      <c r="O47" s="1601"/>
      <c r="P47" s="1601"/>
      <c r="Q47" s="1601"/>
      <c r="R47" s="1601"/>
      <c r="S47" s="1601"/>
      <c r="T47" s="1601"/>
      <c r="U47" s="1601"/>
      <c r="V47" s="1601"/>
      <c r="W47" s="1601"/>
      <c r="X47" s="1601"/>
      <c r="Y47" s="1601"/>
      <c r="Z47" s="1601"/>
      <c r="AA47" s="1601"/>
      <c r="AB47" s="1601"/>
      <c r="AC47" s="1601"/>
      <c r="AD47" s="1601"/>
      <c r="AE47" s="1601"/>
      <c r="AF47" s="1601"/>
      <c r="AG47" s="1601"/>
      <c r="AH47" s="1601"/>
      <c r="AI47" s="1601"/>
      <c r="AJ47" s="1601"/>
      <c r="AK47" s="1601"/>
      <c r="AL47" s="1601"/>
      <c r="AM47" s="1595"/>
      <c r="AN47" s="1595"/>
      <c r="AO47" s="1595"/>
      <c r="AP47" s="1595"/>
      <c r="AQ47" s="1595"/>
      <c r="AR47" s="1595"/>
    </row>
    <row r="48" spans="1:51" ht="11.1" customHeight="1">
      <c r="B48" s="1595"/>
      <c r="C48" s="1595"/>
      <c r="D48" s="1595"/>
      <c r="E48" s="1595"/>
      <c r="F48" s="1595"/>
      <c r="G48" s="1595"/>
      <c r="H48" s="1595"/>
      <c r="I48" s="1595"/>
      <c r="J48" s="1595"/>
      <c r="K48" s="1595"/>
      <c r="L48" s="1601"/>
      <c r="M48" s="1601"/>
      <c r="N48" s="1601"/>
      <c r="O48" s="1601"/>
      <c r="P48" s="1601"/>
      <c r="Q48" s="1601"/>
      <c r="R48" s="1601"/>
      <c r="S48" s="1601"/>
      <c r="T48" s="1601"/>
      <c r="U48" s="1601"/>
      <c r="V48" s="1601"/>
      <c r="W48" s="1601"/>
      <c r="X48" s="1601"/>
      <c r="Y48" s="1601"/>
      <c r="Z48" s="1601"/>
      <c r="AA48" s="1601"/>
      <c r="AB48" s="1601"/>
      <c r="AC48" s="1601"/>
      <c r="AD48" s="1601"/>
      <c r="AE48" s="1601"/>
      <c r="AF48" s="1601"/>
      <c r="AG48" s="1601"/>
      <c r="AH48" s="1601"/>
      <c r="AI48" s="1601"/>
      <c r="AJ48" s="1601"/>
      <c r="AK48" s="1601"/>
      <c r="AL48" s="1601"/>
      <c r="AM48" s="1595"/>
      <c r="AN48" s="1595"/>
      <c r="AO48" s="1595"/>
      <c r="AP48" s="1595"/>
      <c r="AQ48" s="1595"/>
      <c r="AR48" s="1595"/>
    </row>
    <row r="49" spans="2:44" ht="15" customHeight="1">
      <c r="B49" s="2747"/>
      <c r="C49" s="2747"/>
      <c r="D49" s="2747"/>
      <c r="E49" s="2747"/>
      <c r="F49" s="2747"/>
      <c r="G49" s="2747"/>
      <c r="H49" s="2747"/>
      <c r="I49" s="2747"/>
      <c r="J49" s="3207"/>
      <c r="K49" s="3207"/>
      <c r="L49" s="3207"/>
      <c r="M49" s="3207"/>
      <c r="N49" s="3207"/>
      <c r="O49" s="3207"/>
      <c r="P49" s="3207"/>
      <c r="Q49" s="3207"/>
      <c r="R49" s="3207"/>
      <c r="S49" s="3207"/>
      <c r="T49" s="3207"/>
      <c r="U49" s="3207"/>
      <c r="V49" s="3207"/>
      <c r="W49" s="1601"/>
      <c r="AM49" s="1595"/>
      <c r="AN49" s="1595"/>
      <c r="AO49" s="1595"/>
      <c r="AP49" s="1595"/>
      <c r="AQ49" s="1595"/>
      <c r="AR49" s="1595"/>
    </row>
    <row r="50" spans="2:44" ht="15" customHeight="1">
      <c r="B50" s="2553" t="s">
        <v>3575</v>
      </c>
      <c r="C50" s="2554"/>
      <c r="D50" s="2553"/>
      <c r="E50" s="2553"/>
      <c r="F50" s="2553"/>
      <c r="G50" s="2553"/>
      <c r="H50" s="1595" t="s">
        <v>3576</v>
      </c>
      <c r="I50" s="1595"/>
      <c r="J50" s="1601"/>
      <c r="K50" s="1601"/>
      <c r="L50" s="1601"/>
      <c r="M50" s="1601"/>
      <c r="N50" s="1601"/>
      <c r="O50" s="1601"/>
      <c r="P50" s="1601"/>
      <c r="Q50" s="1601"/>
      <c r="R50" s="1601"/>
      <c r="S50" s="1601"/>
      <c r="T50" s="1601"/>
      <c r="U50" s="1601"/>
      <c r="V50" s="1601"/>
      <c r="W50" s="1601"/>
      <c r="AM50" s="1595"/>
      <c r="AN50" s="1595"/>
      <c r="AO50" s="1595"/>
      <c r="AP50" s="1595"/>
      <c r="AQ50" s="1595"/>
      <c r="AR50" s="1595"/>
    </row>
    <row r="51" spans="2:44" ht="9.9499999999999993" customHeight="1">
      <c r="B51" s="1595"/>
      <c r="C51" s="1595"/>
      <c r="D51" s="1595"/>
      <c r="E51" s="1595"/>
      <c r="F51" s="1595"/>
      <c r="G51" s="1595"/>
      <c r="H51" s="1595"/>
      <c r="I51" s="1595"/>
      <c r="J51" s="1601"/>
      <c r="K51" s="1601"/>
      <c r="L51" s="1601"/>
      <c r="M51" s="1601"/>
      <c r="N51" s="1601"/>
      <c r="O51" s="1601"/>
      <c r="P51" s="1601"/>
      <c r="Q51" s="1601"/>
      <c r="R51" s="1601"/>
      <c r="S51" s="1601"/>
      <c r="T51" s="1601"/>
      <c r="U51" s="1601"/>
      <c r="V51" s="1601"/>
      <c r="W51" s="1601"/>
      <c r="AM51" s="1595"/>
      <c r="AN51" s="1595"/>
      <c r="AO51" s="1595"/>
      <c r="AP51" s="1595"/>
      <c r="AQ51" s="1595"/>
      <c r="AR51" s="1595"/>
    </row>
    <row r="52" spans="2:44" ht="15" customHeight="1">
      <c r="B52" s="2747"/>
      <c r="C52" s="2747"/>
      <c r="D52" s="2747"/>
      <c r="E52" s="2747"/>
      <c r="F52" s="2747"/>
      <c r="G52" s="2747"/>
      <c r="H52" s="2747"/>
      <c r="I52" s="2747"/>
      <c r="J52" s="3207"/>
      <c r="K52" s="3207"/>
      <c r="L52" s="3207"/>
      <c r="M52" s="3207"/>
      <c r="N52" s="3207"/>
      <c r="O52" s="3207"/>
      <c r="P52" s="3207"/>
      <c r="Q52" s="3207"/>
      <c r="R52" s="3207"/>
      <c r="S52" s="3207"/>
      <c r="T52" s="3207"/>
      <c r="U52" s="3207"/>
      <c r="V52" s="3207"/>
      <c r="W52" s="1601"/>
      <c r="AM52" s="1595"/>
      <c r="AN52" s="1595"/>
      <c r="AO52" s="1595"/>
      <c r="AP52" s="1595"/>
      <c r="AQ52" s="1595"/>
      <c r="AR52" s="1595"/>
    </row>
    <row r="53" spans="2:44" ht="15" customHeight="1">
      <c r="B53" s="2553" t="s">
        <v>3577</v>
      </c>
      <c r="C53" s="2554"/>
      <c r="D53" s="2553"/>
      <c r="E53" s="2553"/>
      <c r="F53" s="2553"/>
      <c r="G53" s="2553"/>
      <c r="H53" s="1595" t="s">
        <v>3578</v>
      </c>
      <c r="I53" s="1595"/>
      <c r="J53" s="1601"/>
      <c r="K53" s="1601"/>
      <c r="L53" s="1601"/>
      <c r="M53" s="1601"/>
      <c r="N53" s="1601"/>
      <c r="O53" s="1601"/>
      <c r="P53" s="1601"/>
      <c r="Q53" s="1601"/>
      <c r="R53" s="1601"/>
      <c r="S53" s="1601"/>
      <c r="T53" s="1601"/>
      <c r="U53" s="1601"/>
      <c r="V53" s="1601"/>
      <c r="W53" s="1601"/>
      <c r="AM53" s="1595"/>
      <c r="AN53" s="1595"/>
      <c r="AO53" s="1595"/>
      <c r="AP53" s="1595"/>
      <c r="AQ53" s="1595"/>
      <c r="AR53" s="1595"/>
    </row>
    <row r="54" spans="2:44" ht="9.9499999999999993" customHeight="1">
      <c r="B54" s="1595"/>
      <c r="C54" s="1595"/>
      <c r="D54" s="1595"/>
      <c r="E54" s="1595"/>
      <c r="F54" s="1595"/>
      <c r="G54" s="1595"/>
      <c r="H54" s="1595"/>
      <c r="I54" s="1595"/>
      <c r="J54" s="1601"/>
      <c r="K54" s="1601"/>
      <c r="L54" s="1601"/>
      <c r="M54" s="1601"/>
      <c r="N54" s="1601"/>
      <c r="O54" s="1601"/>
      <c r="P54" s="1601"/>
      <c r="Q54" s="1601"/>
      <c r="R54" s="1601"/>
      <c r="S54" s="1601"/>
      <c r="T54" s="1601"/>
      <c r="U54" s="1601"/>
      <c r="V54" s="1601"/>
      <c r="W54" s="1601"/>
      <c r="X54" s="1601"/>
      <c r="Y54" s="1601"/>
      <c r="Z54" s="1601"/>
      <c r="AA54" s="1601"/>
      <c r="AB54" s="1601"/>
      <c r="AC54" s="1601"/>
      <c r="AD54" s="1601"/>
      <c r="AE54" s="1601"/>
      <c r="AF54" s="1601"/>
      <c r="AG54" s="1601"/>
      <c r="AH54" s="1601"/>
      <c r="AI54" s="1601"/>
      <c r="AJ54" s="1601"/>
      <c r="AK54" s="1601"/>
      <c r="AL54" s="1601"/>
      <c r="AM54" s="1595"/>
      <c r="AN54" s="1595"/>
      <c r="AO54" s="1595"/>
      <c r="AP54" s="1595"/>
      <c r="AQ54" s="1595"/>
      <c r="AR54" s="1595"/>
    </row>
    <row r="55" spans="2:44" ht="15" customHeight="1">
      <c r="B55" s="2747"/>
      <c r="C55" s="2747"/>
      <c r="D55" s="2747"/>
      <c r="E55" s="2747"/>
      <c r="F55" s="2747"/>
      <c r="G55" s="2747"/>
      <c r="H55" s="2747"/>
      <c r="I55" s="2747"/>
      <c r="J55" s="3207"/>
      <c r="K55" s="3207"/>
      <c r="L55" s="3207"/>
      <c r="M55" s="3207"/>
      <c r="N55" s="3207"/>
      <c r="O55" s="3207"/>
      <c r="P55" s="3207"/>
      <c r="Q55" s="3207"/>
      <c r="R55" s="3207"/>
      <c r="S55" s="1601"/>
      <c r="T55" s="1601"/>
      <c r="U55" s="1601"/>
      <c r="V55" s="1601"/>
      <c r="W55" s="1601"/>
      <c r="X55" s="1601"/>
      <c r="Y55" s="1601"/>
      <c r="Z55" s="1601"/>
      <c r="AA55" s="1601"/>
      <c r="AB55" s="1601"/>
      <c r="AC55" s="1601"/>
      <c r="AD55" s="1601"/>
      <c r="AE55" s="1601"/>
      <c r="AF55" s="1601"/>
      <c r="AG55" s="1601"/>
      <c r="AH55" s="1601"/>
      <c r="AI55" s="1601"/>
      <c r="AJ55" s="1601"/>
      <c r="AK55" s="1601"/>
      <c r="AL55" s="1601"/>
      <c r="AM55" s="1595"/>
      <c r="AN55" s="1595"/>
      <c r="AO55" s="1595"/>
      <c r="AP55" s="1595"/>
      <c r="AQ55" s="1595"/>
      <c r="AR55" s="1595"/>
    </row>
    <row r="56" spans="2:44" ht="15" customHeight="1">
      <c r="B56" s="2553" t="s">
        <v>3579</v>
      </c>
      <c r="C56" s="2554"/>
      <c r="D56" s="2553"/>
      <c r="E56" s="2553"/>
      <c r="F56" s="2553"/>
      <c r="G56" s="2553"/>
      <c r="H56" s="2553"/>
      <c r="I56" s="2553"/>
      <c r="J56" s="3206"/>
      <c r="K56" s="3206"/>
      <c r="L56" s="3206"/>
      <c r="M56" s="3206"/>
      <c r="N56" s="3206"/>
      <c r="O56" s="3206"/>
      <c r="P56" s="3206"/>
      <c r="Q56" s="3206"/>
      <c r="R56" s="3206"/>
      <c r="S56" s="1601"/>
      <c r="T56" s="1601"/>
      <c r="U56" s="1601"/>
      <c r="V56" s="1601"/>
      <c r="W56" s="1601"/>
      <c r="X56" s="1601"/>
      <c r="Y56" s="1601"/>
      <c r="Z56" s="1601"/>
      <c r="AA56" s="1601"/>
      <c r="AB56" s="1601"/>
      <c r="AC56" s="1601"/>
      <c r="AD56" s="1601"/>
      <c r="AE56" s="1601"/>
      <c r="AF56" s="1601"/>
      <c r="AG56" s="1601"/>
      <c r="AH56" s="1601"/>
      <c r="AI56" s="1601"/>
      <c r="AJ56" s="1601"/>
      <c r="AK56" s="1601"/>
      <c r="AL56" s="1601"/>
      <c r="AM56" s="1595"/>
      <c r="AN56" s="1595"/>
      <c r="AO56" s="1595"/>
      <c r="AP56" s="1595"/>
      <c r="AQ56" s="1595"/>
      <c r="AR56" s="1595"/>
    </row>
    <row r="57" spans="2:44">
      <c r="B57" s="1595"/>
      <c r="C57" s="1595"/>
      <c r="D57" s="1595"/>
      <c r="E57" s="1595"/>
      <c r="F57" s="1595"/>
      <c r="G57" s="1595"/>
      <c r="H57" s="1595"/>
      <c r="I57" s="1595"/>
      <c r="J57" s="1601"/>
      <c r="K57" s="1601"/>
      <c r="L57" s="1601"/>
      <c r="M57" s="1601"/>
      <c r="N57" s="1601"/>
      <c r="O57" s="1601"/>
      <c r="P57" s="1601"/>
      <c r="Q57" s="1601"/>
      <c r="R57" s="1601"/>
      <c r="S57" s="1601"/>
      <c r="T57" s="1601"/>
      <c r="U57" s="1601"/>
      <c r="V57" s="1601"/>
      <c r="W57" s="1601"/>
      <c r="X57" s="1601"/>
      <c r="Y57" s="1601"/>
      <c r="Z57" s="1601"/>
      <c r="AA57" s="1601"/>
      <c r="AB57" s="1601"/>
      <c r="AC57" s="1601"/>
      <c r="AD57" s="1601"/>
      <c r="AE57" s="1601"/>
      <c r="AF57" s="1601"/>
      <c r="AG57" s="1601"/>
      <c r="AH57" s="1601"/>
      <c r="AI57" s="1601"/>
      <c r="AJ57" s="1601"/>
      <c r="AK57" s="1601"/>
      <c r="AL57" s="1601"/>
      <c r="AM57" s="1595"/>
      <c r="AN57" s="1595"/>
      <c r="AO57" s="1595"/>
      <c r="AP57" s="1595"/>
      <c r="AQ57" s="1595"/>
      <c r="AR57" s="1595"/>
    </row>
    <row r="58" spans="2:44">
      <c r="B58" s="1583"/>
      <c r="C58" s="1583"/>
      <c r="D58" s="1583"/>
      <c r="E58" s="1583"/>
      <c r="F58" s="1583"/>
      <c r="G58" s="1583"/>
      <c r="H58" s="1583"/>
      <c r="I58" s="1583"/>
      <c r="J58" s="1583"/>
      <c r="K58" s="1583"/>
      <c r="AM58" s="1583"/>
      <c r="AN58" s="1583"/>
      <c r="AO58" s="1583"/>
      <c r="AP58" s="1583"/>
      <c r="AQ58" s="1583"/>
      <c r="AR58" s="1583"/>
    </row>
  </sheetData>
  <sheetProtection algorithmName="SHA-512" hashValue="/zWUusZ97Bh4SOYdi/nI0BcCd/rdrs5gEvdckFInTZe5M9zvczeK5zW00eNS3lAtag4kUUk8uGLqSHzLz7Z1NQ==" saltValue="oi6h3tCXoLRIuX1yW1Bx0g==" spinCount="100000" sheet="1" objects="1" scenarios="1"/>
  <pageMargins left="0.25" right="0.25" top="0.5" bottom="0.5" header="0.3" footer="0.3"/>
  <pageSetup scale="89" orientation="landscape" r:id="rId1"/>
  <headerFooter differentOddEven="1">
    <oddFooter>&amp;L&amp;9DFS-A1-1886</oddFooter>
  </headerFooter>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66FF99"/>
    <pageSetUpPr fitToPage="1"/>
  </sheetPr>
  <dimension ref="A1:X73"/>
  <sheetViews>
    <sheetView zoomScaleNormal="100" workbookViewId="0"/>
  </sheetViews>
  <sheetFormatPr defaultColWidth="2.5703125" defaultRowHeight="15" customHeight="1"/>
  <cols>
    <col min="1" max="1" width="9.140625" style="1593" customWidth="1"/>
    <col min="2" max="4" width="2.5703125" style="1593" customWidth="1"/>
    <col min="5" max="5" width="3.28515625" style="1593" customWidth="1"/>
    <col min="6" max="8" width="2.5703125" style="1593" customWidth="1"/>
    <col min="9" max="9" width="1.28515625" style="1593" customWidth="1"/>
    <col min="10" max="10" width="2.5703125" style="1593" customWidth="1"/>
    <col min="11" max="11" width="1.28515625" style="1593" customWidth="1"/>
    <col min="12" max="12" width="2.5703125" style="1593" customWidth="1"/>
    <col min="13" max="13" width="1.28515625" style="1593" customWidth="1"/>
    <col min="14" max="14" width="2.5703125" style="1593" customWidth="1"/>
    <col min="15" max="15" width="1.28515625" style="1593" customWidth="1"/>
    <col min="16" max="16" width="2.5703125" style="1593" customWidth="1"/>
    <col min="17" max="17" width="2.28515625" style="1593" customWidth="1"/>
    <col min="18" max="18" width="0.5703125" style="1593" customWidth="1"/>
    <col min="19" max="19" width="1.28515625" style="1593" customWidth="1"/>
    <col min="20" max="20" width="2.5703125" style="1593" customWidth="1"/>
    <col min="21" max="21" width="2.140625" style="1593" customWidth="1"/>
    <col min="22" max="22" width="42" style="1593" customWidth="1"/>
    <col min="23" max="23" width="6" style="1593" customWidth="1"/>
    <col min="24" max="24" width="21" style="1593" customWidth="1"/>
    <col min="25" max="16384" width="2.5703125" style="1593"/>
  </cols>
  <sheetData>
    <row r="1" spans="1:24" ht="15" customHeight="1">
      <c r="B1" s="3525"/>
      <c r="C1" s="3525"/>
      <c r="D1" s="3525"/>
      <c r="E1" s="3525"/>
      <c r="F1" s="3525"/>
      <c r="G1" s="3525"/>
      <c r="H1" s="3525"/>
      <c r="I1" s="3525"/>
      <c r="J1" s="3525"/>
      <c r="K1" s="3525"/>
      <c r="L1" s="3525"/>
      <c r="M1" s="3525"/>
      <c r="N1" s="3525"/>
      <c r="O1" s="3525"/>
      <c r="P1" s="3525"/>
      <c r="Q1" s="3525"/>
      <c r="R1" s="3525"/>
      <c r="T1" s="3526" t="s">
        <v>3098</v>
      </c>
      <c r="U1" s="3525"/>
      <c r="V1" s="3525"/>
      <c r="W1" s="3525"/>
      <c r="X1" s="3525"/>
    </row>
    <row r="2" spans="1:24" ht="15" customHeight="1">
      <c r="B2" s="3525"/>
      <c r="C2" s="3525"/>
      <c r="D2" s="3525"/>
      <c r="E2" s="3525"/>
      <c r="F2" s="3525"/>
      <c r="G2" s="3525"/>
      <c r="H2" s="3525"/>
      <c r="I2" s="3525"/>
      <c r="J2" s="3525"/>
      <c r="K2" s="3525"/>
      <c r="L2" s="3525"/>
      <c r="M2" s="3525"/>
      <c r="N2" s="3525"/>
      <c r="O2" s="3525"/>
      <c r="P2" s="3525"/>
      <c r="Q2" s="3525"/>
      <c r="R2" s="3525"/>
      <c r="T2" s="3526" t="s">
        <v>3580</v>
      </c>
      <c r="U2" s="3525"/>
      <c r="V2" s="3525"/>
      <c r="W2" s="3525"/>
      <c r="X2" s="3525"/>
    </row>
    <row r="3" spans="1:24" ht="15" customHeight="1">
      <c r="B3" s="3527"/>
      <c r="C3" s="3527"/>
      <c r="D3" s="3527"/>
      <c r="E3" s="3527"/>
      <c r="F3" s="3527"/>
      <c r="G3" s="3528"/>
      <c r="H3" s="3528"/>
      <c r="I3" s="3528"/>
      <c r="J3" s="3528"/>
      <c r="K3" s="3528"/>
      <c r="L3" s="3528"/>
      <c r="M3" s="3528"/>
      <c r="N3" s="3528"/>
      <c r="O3" s="3528"/>
      <c r="P3" s="3528"/>
      <c r="Q3" s="3528"/>
      <c r="R3" s="3528"/>
      <c r="T3" s="3044" t="str">
        <f>'CU3-Deficit Ending Equity'!D4</f>
        <v>June 30, 2021</v>
      </c>
      <c r="U3" s="3528"/>
      <c r="V3" s="3528"/>
      <c r="W3" s="3528"/>
      <c r="X3" s="3528"/>
    </row>
    <row r="4" spans="1:24" ht="15" customHeight="1">
      <c r="A4" s="3529"/>
      <c r="B4" s="3529"/>
      <c r="C4" s="3529"/>
      <c r="D4" s="3529"/>
      <c r="E4" s="3529"/>
      <c r="F4" s="3529"/>
      <c r="G4" s="3529"/>
      <c r="H4" s="3529"/>
      <c r="I4" s="3529"/>
      <c r="J4" s="3529"/>
      <c r="K4" s="3529"/>
      <c r="L4" s="3529"/>
      <c r="M4" s="3529"/>
      <c r="N4" s="3529"/>
      <c r="O4" s="3529"/>
      <c r="P4" s="3529"/>
      <c r="Q4" s="3529"/>
      <c r="R4" s="3529"/>
      <c r="S4" s="3529"/>
      <c r="T4" s="3529"/>
      <c r="U4" s="3529"/>
      <c r="V4" s="3529"/>
      <c r="W4" s="3529"/>
      <c r="X4" s="3529"/>
    </row>
    <row r="5" spans="1:24" ht="15" customHeight="1">
      <c r="A5" s="3531"/>
      <c r="B5" s="3531"/>
      <c r="C5" s="3531"/>
      <c r="D5" s="3531"/>
      <c r="E5" s="3531"/>
      <c r="F5" s="3531"/>
      <c r="G5" s="3531"/>
      <c r="H5" s="3531"/>
      <c r="I5" s="3531"/>
      <c r="J5" s="3531"/>
      <c r="K5" s="3531"/>
      <c r="L5" s="3531"/>
      <c r="M5" s="3531"/>
      <c r="N5" s="3531"/>
      <c r="O5" s="3531"/>
      <c r="P5" s="3531"/>
      <c r="Q5" s="3531"/>
      <c r="R5" s="3531" t="s">
        <v>3033</v>
      </c>
      <c r="S5" s="3531"/>
      <c r="T5" s="3531"/>
      <c r="U5" s="3530"/>
      <c r="V5" s="3530"/>
    </row>
    <row r="6" spans="1:24" ht="15" customHeight="1">
      <c r="A6" s="3532"/>
      <c r="B6" s="3532"/>
      <c r="C6" s="3532"/>
      <c r="D6" s="3532"/>
      <c r="E6" s="3532"/>
      <c r="F6" s="3532"/>
      <c r="G6" s="3532"/>
      <c r="H6" s="3532"/>
      <c r="I6" s="3532"/>
      <c r="J6" s="3532"/>
      <c r="K6" s="3532"/>
      <c r="L6" s="3532"/>
      <c r="M6" s="3532"/>
      <c r="N6" s="3532"/>
      <c r="O6" s="3532"/>
      <c r="P6" s="3532"/>
      <c r="Q6" s="3532"/>
      <c r="R6" s="3531" t="s">
        <v>3034</v>
      </c>
      <c r="S6" s="3532"/>
      <c r="T6" s="3532"/>
      <c r="U6" s="3530"/>
      <c r="V6" s="3530"/>
    </row>
    <row r="7" spans="1:24" ht="15" customHeight="1">
      <c r="A7" s="3533"/>
    </row>
    <row r="8" spans="1:24" ht="15" customHeight="1">
      <c r="A8" s="3534" t="s">
        <v>3101</v>
      </c>
      <c r="L8" s="3535"/>
      <c r="M8" s="3535"/>
      <c r="N8" s="3535"/>
      <c r="O8" s="3535"/>
      <c r="P8" s="3535"/>
      <c r="R8" s="3180"/>
      <c r="S8" s="3180"/>
      <c r="T8" s="3180"/>
      <c r="U8" s="3180"/>
      <c r="V8" s="3536" t="str">
        <f>'Adjustment Form'!B7</f>
        <v>SAMPLE STATE COLLEGE</v>
      </c>
      <c r="W8" s="3180"/>
      <c r="X8" s="3180"/>
    </row>
    <row r="9" spans="1:24" ht="15" customHeight="1">
      <c r="A9" s="3533"/>
      <c r="R9" s="3551"/>
      <c r="S9" s="3551"/>
      <c r="T9" s="3551"/>
      <c r="U9" s="3551"/>
      <c r="W9" s="3551"/>
      <c r="X9" s="3551"/>
    </row>
    <row r="10" spans="1:24" ht="15" customHeight="1">
      <c r="A10" s="1594" t="s">
        <v>3102</v>
      </c>
      <c r="B10" s="1595"/>
      <c r="C10" s="1595"/>
      <c r="D10" s="1595"/>
      <c r="E10" s="1595"/>
      <c r="F10" s="1595"/>
      <c r="G10" s="1595"/>
      <c r="H10" s="1595"/>
      <c r="I10" s="1595"/>
      <c r="J10" s="1595"/>
      <c r="K10" s="1595"/>
      <c r="L10" s="1595"/>
      <c r="M10" s="1595"/>
      <c r="N10" s="1595"/>
      <c r="O10" s="1595"/>
      <c r="P10" s="1595"/>
      <c r="R10" s="3552"/>
      <c r="S10" s="3552"/>
      <c r="T10" s="3552"/>
      <c r="U10" s="3552"/>
      <c r="V10" s="3553" t="e">
        <f>'Adjustment Form'!B9</f>
        <v>#N/A</v>
      </c>
      <c r="W10" s="3552"/>
      <c r="X10" s="3552"/>
    </row>
    <row r="11" spans="1:24" ht="15" customHeight="1">
      <c r="A11" s="1594"/>
      <c r="B11" s="1595"/>
      <c r="C11" s="1595"/>
      <c r="D11" s="1595"/>
      <c r="E11" s="1595"/>
      <c r="F11" s="1595"/>
      <c r="G11" s="1595"/>
      <c r="H11" s="1595"/>
      <c r="I11" s="1595"/>
      <c r="J11" s="1595"/>
      <c r="K11" s="1595"/>
      <c r="L11" s="1595"/>
      <c r="M11" s="1595"/>
      <c r="N11" s="1595"/>
      <c r="O11" s="1595"/>
      <c r="P11" s="1595"/>
      <c r="Q11" s="1595"/>
      <c r="R11" s="3537"/>
      <c r="S11" s="3537"/>
      <c r="T11" s="3537"/>
      <c r="U11" s="3537"/>
      <c r="V11" s="3537"/>
      <c r="W11" s="3537"/>
      <c r="X11" s="3537"/>
    </row>
    <row r="12" spans="1:24" ht="15" customHeight="1">
      <c r="A12" s="1594" t="s">
        <v>3581</v>
      </c>
      <c r="B12" s="1595"/>
      <c r="C12" s="1595"/>
      <c r="D12" s="1595"/>
      <c r="E12" s="1595"/>
      <c r="F12" s="1595"/>
      <c r="G12" s="1595"/>
      <c r="H12" s="1595"/>
      <c r="I12" s="1595"/>
      <c r="J12" s="1595"/>
      <c r="K12" s="1595"/>
      <c r="L12" s="1595"/>
      <c r="M12" s="1595"/>
      <c r="N12" s="1595"/>
      <c r="O12" s="1595"/>
      <c r="P12" s="1595"/>
      <c r="Q12" s="1595"/>
      <c r="R12" s="3537"/>
      <c r="S12" s="3537"/>
      <c r="T12" s="3537"/>
      <c r="U12" s="3537"/>
      <c r="V12" s="3537"/>
      <c r="W12" s="3537"/>
      <c r="X12" s="3537"/>
    </row>
    <row r="13" spans="1:24" ht="15" customHeight="1">
      <c r="A13" s="1594" t="s">
        <v>3582</v>
      </c>
      <c r="B13" s="1595"/>
      <c r="C13" s="1595"/>
      <c r="D13" s="1595"/>
      <c r="E13" s="1595"/>
      <c r="F13" s="1595"/>
      <c r="G13" s="1595"/>
      <c r="H13" s="1595"/>
      <c r="I13" s="1595"/>
      <c r="J13" s="1595"/>
      <c r="K13" s="1595"/>
      <c r="L13" s="1595"/>
      <c r="M13" s="1595"/>
      <c r="N13" s="1595"/>
      <c r="O13" s="1595"/>
      <c r="P13" s="1595"/>
      <c r="Q13" s="1595"/>
      <c r="R13" s="3537"/>
      <c r="S13" s="3537"/>
      <c r="T13" s="3537"/>
      <c r="U13" s="3537"/>
      <c r="V13" s="3883"/>
      <c r="W13" s="3537"/>
      <c r="X13" s="3537"/>
    </row>
    <row r="14" spans="1:24" ht="15" customHeight="1">
      <c r="A14" s="1594"/>
      <c r="B14" s="1595"/>
      <c r="C14" s="1595"/>
      <c r="D14" s="1595"/>
      <c r="E14" s="1595"/>
      <c r="F14" s="1595"/>
      <c r="G14" s="1595"/>
      <c r="H14" s="1595"/>
      <c r="I14" s="1595"/>
      <c r="J14" s="1595"/>
      <c r="K14" s="1595"/>
      <c r="L14" s="1595"/>
      <c r="M14" s="1595"/>
      <c r="N14" s="1595"/>
      <c r="O14" s="1595"/>
      <c r="P14" s="1595"/>
      <c r="Q14" s="1595"/>
      <c r="R14" s="3537"/>
      <c r="S14" s="3537"/>
      <c r="T14" s="3537"/>
      <c r="U14" s="3537"/>
      <c r="V14" s="3537"/>
      <c r="W14" s="3537"/>
      <c r="X14" s="3537"/>
    </row>
    <row r="15" spans="1:24" ht="15" customHeight="1">
      <c r="A15" s="3538" t="s">
        <v>3583</v>
      </c>
    </row>
    <row r="16" spans="1:24" ht="15" customHeight="1">
      <c r="A16" s="1593" t="s">
        <v>3584</v>
      </c>
    </row>
    <row r="17" spans="1:24" ht="15" customHeight="1">
      <c r="A17" s="1593" t="s">
        <v>3585</v>
      </c>
    </row>
    <row r="18" spans="1:24" ht="15" customHeight="1">
      <c r="A18" s="1593" t="s">
        <v>3586</v>
      </c>
    </row>
    <row r="19" spans="1:24" ht="15" customHeight="1">
      <c r="A19" s="3539"/>
    </row>
    <row r="20" spans="1:24" ht="15" customHeight="1">
      <c r="A20" s="3540" t="s">
        <v>3587</v>
      </c>
    </row>
    <row r="21" spans="1:24" ht="15" customHeight="1">
      <c r="A21" s="3541" t="s">
        <v>3588</v>
      </c>
    </row>
    <row r="22" spans="1:24" ht="15" customHeight="1">
      <c r="A22" s="1593" t="s">
        <v>3589</v>
      </c>
    </row>
    <row r="23" spans="1:24" ht="15" customHeight="1">
      <c r="A23" s="1593" t="s">
        <v>3590</v>
      </c>
    </row>
    <row r="24" spans="1:24" ht="15" customHeight="1">
      <c r="A24" s="1593" t="s">
        <v>3591</v>
      </c>
    </row>
    <row r="25" spans="1:24" ht="15" customHeight="1">
      <c r="A25" s="1593" t="s">
        <v>3592</v>
      </c>
    </row>
    <row r="27" spans="1:24" ht="15" customHeight="1">
      <c r="A27" s="3542" t="s">
        <v>3593</v>
      </c>
      <c r="B27" s="3542"/>
      <c r="C27" s="3542"/>
      <c r="D27" s="3542"/>
      <c r="E27" s="3542"/>
      <c r="F27" s="3542"/>
      <c r="G27" s="3542"/>
      <c r="H27" s="3542"/>
      <c r="I27" s="3542"/>
      <c r="J27" s="3542"/>
      <c r="K27" s="3542"/>
      <c r="L27" s="3542"/>
      <c r="M27" s="3542"/>
      <c r="N27" s="3542"/>
      <c r="O27" s="3542"/>
      <c r="P27" s="3542"/>
      <c r="Q27" s="3542"/>
      <c r="R27" s="3542"/>
      <c r="S27" s="3542"/>
      <c r="T27" s="3542"/>
      <c r="U27" s="3542"/>
      <c r="V27" s="3542"/>
      <c r="W27" s="3542"/>
      <c r="X27" s="3542"/>
    </row>
    <row r="28" spans="1:24" ht="15" customHeight="1">
      <c r="A28" s="3542" t="s">
        <v>3594</v>
      </c>
      <c r="B28" s="3542"/>
      <c r="C28" s="3542"/>
      <c r="D28" s="3542"/>
      <c r="E28" s="3542"/>
      <c r="F28" s="3542"/>
      <c r="G28" s="3542"/>
      <c r="H28" s="3542"/>
      <c r="I28" s="3542"/>
      <c r="J28" s="3542"/>
      <c r="K28" s="3542"/>
      <c r="L28" s="3542"/>
      <c r="M28" s="3542"/>
      <c r="N28" s="3542"/>
      <c r="O28" s="3542"/>
      <c r="P28" s="3542"/>
      <c r="Q28" s="3542"/>
      <c r="R28" s="3542"/>
      <c r="S28" s="3542"/>
      <c r="T28" s="3542"/>
      <c r="U28" s="3542"/>
      <c r="V28" s="3542"/>
      <c r="W28" s="3542"/>
      <c r="X28" s="3542"/>
    </row>
    <row r="30" spans="1:24" ht="15" customHeight="1">
      <c r="A30" s="3543" t="s">
        <v>3595</v>
      </c>
    </row>
    <row r="31" spans="1:24" ht="15" customHeight="1">
      <c r="E31" s="3544" t="s">
        <v>3596</v>
      </c>
      <c r="F31" s="1593" t="s">
        <v>3597</v>
      </c>
    </row>
    <row r="32" spans="1:24" ht="15" customHeight="1">
      <c r="A32" s="3539"/>
      <c r="F32" s="1593" t="s">
        <v>3598</v>
      </c>
    </row>
    <row r="33" spans="1:24" ht="15" customHeight="1">
      <c r="A33" s="3539"/>
      <c r="F33" s="1593" t="s">
        <v>3599</v>
      </c>
    </row>
    <row r="34" spans="1:24" ht="15" customHeight="1">
      <c r="E34" s="3544" t="s">
        <v>3596</v>
      </c>
      <c r="F34" s="1593" t="s">
        <v>3600</v>
      </c>
    </row>
    <row r="35" spans="1:24" ht="15" customHeight="1">
      <c r="E35" s="3544" t="s">
        <v>3596</v>
      </c>
      <c r="F35" s="1593" t="s">
        <v>3601</v>
      </c>
    </row>
    <row r="36" spans="1:24" ht="15" customHeight="1">
      <c r="E36" s="3544" t="s">
        <v>3596</v>
      </c>
      <c r="F36" s="1593" t="s">
        <v>3602</v>
      </c>
    </row>
    <row r="37" spans="1:24" ht="15" customHeight="1">
      <c r="B37" s="3544"/>
    </row>
    <row r="39" spans="1:24" ht="15" customHeight="1">
      <c r="A39" s="1593" t="s">
        <v>3603</v>
      </c>
    </row>
    <row r="42" spans="1:24" ht="15" customHeight="1">
      <c r="A42" s="3550"/>
      <c r="B42" s="3545"/>
      <c r="C42" s="3545"/>
      <c r="D42" s="3545"/>
      <c r="E42" s="3545"/>
      <c r="F42" s="3545"/>
      <c r="G42" s="3545" t="s">
        <v>2748</v>
      </c>
      <c r="H42" s="3545"/>
      <c r="I42" s="3545"/>
      <c r="J42" s="3545"/>
      <c r="K42" s="3545"/>
      <c r="L42" s="3545"/>
      <c r="M42" s="3545"/>
      <c r="N42" s="3545"/>
      <c r="O42" s="3545"/>
      <c r="P42" s="3545"/>
      <c r="Q42" s="3545"/>
      <c r="R42" s="3545"/>
      <c r="S42" s="2741"/>
      <c r="T42" s="2741"/>
      <c r="U42" s="2741"/>
      <c r="V42" s="3549" t="s">
        <v>3604</v>
      </c>
      <c r="W42" s="2741"/>
      <c r="X42" s="3549" t="s">
        <v>2776</v>
      </c>
    </row>
    <row r="44" spans="1:24" ht="15" customHeight="1">
      <c r="A44" s="3546"/>
      <c r="B44" s="3546"/>
      <c r="C44" s="3546"/>
      <c r="D44" s="3546"/>
      <c r="E44" s="3546"/>
      <c r="F44" s="3546"/>
      <c r="G44" s="3546"/>
      <c r="H44" s="3546"/>
      <c r="I44" s="3546"/>
      <c r="J44" s="3546"/>
      <c r="K44" s="3546"/>
      <c r="L44" s="3546"/>
      <c r="M44" s="3546"/>
      <c r="N44" s="3546"/>
      <c r="O44" s="3546"/>
      <c r="P44" s="3546"/>
      <c r="Q44" s="3546"/>
      <c r="R44" s="3546"/>
      <c r="V44" s="3547"/>
      <c r="X44" s="3548"/>
    </row>
    <row r="46" spans="1:24" ht="15" customHeight="1">
      <c r="A46" s="3546"/>
      <c r="B46" s="3546"/>
      <c r="C46" s="3546"/>
      <c r="D46" s="3546"/>
      <c r="E46" s="3546"/>
      <c r="F46" s="3546"/>
      <c r="G46" s="3546"/>
      <c r="H46" s="3546"/>
      <c r="I46" s="3546"/>
      <c r="J46" s="3546"/>
      <c r="K46" s="3546"/>
      <c r="L46" s="3546"/>
      <c r="M46" s="3546"/>
      <c r="N46" s="3546"/>
      <c r="O46" s="3546"/>
      <c r="P46" s="3546"/>
      <c r="Q46" s="3546"/>
      <c r="R46" s="3546"/>
      <c r="V46" s="3547"/>
      <c r="X46" s="3548"/>
    </row>
    <row r="48" spans="1:24" ht="15" customHeight="1">
      <c r="A48" s="3546"/>
      <c r="B48" s="3546"/>
      <c r="C48" s="3546"/>
      <c r="D48" s="3546"/>
      <c r="E48" s="3546"/>
      <c r="F48" s="3546"/>
      <c r="G48" s="3546"/>
      <c r="H48" s="3546"/>
      <c r="I48" s="3546"/>
      <c r="J48" s="3546"/>
      <c r="K48" s="3546"/>
      <c r="L48" s="3546"/>
      <c r="M48" s="3546"/>
      <c r="N48" s="3546"/>
      <c r="O48" s="3546"/>
      <c r="P48" s="3546"/>
      <c r="Q48" s="3546"/>
      <c r="R48" s="3546"/>
      <c r="V48" s="3547"/>
      <c r="X48" s="3548"/>
    </row>
    <row r="50" spans="1:24" ht="15" customHeight="1">
      <c r="A50" s="3546"/>
      <c r="B50" s="3546"/>
      <c r="C50" s="3546"/>
      <c r="D50" s="3546"/>
      <c r="E50" s="3546"/>
      <c r="F50" s="3546"/>
      <c r="G50" s="3546"/>
      <c r="H50" s="3546"/>
      <c r="I50" s="3546"/>
      <c r="J50" s="3546"/>
      <c r="K50" s="3546"/>
      <c r="L50" s="3546"/>
      <c r="M50" s="3546"/>
      <c r="N50" s="3546"/>
      <c r="O50" s="3546"/>
      <c r="P50" s="3546"/>
      <c r="Q50" s="3546"/>
      <c r="R50" s="3546"/>
      <c r="V50" s="3547"/>
      <c r="X50" s="3548"/>
    </row>
    <row r="51" spans="1:24" ht="15" customHeight="1">
      <c r="A51" s="1595"/>
      <c r="B51" s="1595"/>
      <c r="C51" s="1595"/>
      <c r="D51" s="1595"/>
      <c r="E51" s="1595"/>
      <c r="F51" s="1595"/>
      <c r="G51" s="1595"/>
      <c r="H51" s="1595"/>
      <c r="I51" s="1595"/>
      <c r="J51" s="1595"/>
      <c r="K51" s="1595"/>
      <c r="L51" s="1595"/>
      <c r="M51" s="1595"/>
      <c r="N51" s="1595"/>
      <c r="O51" s="1595"/>
      <c r="P51" s="1595"/>
      <c r="Q51" s="1595"/>
      <c r="R51" s="1595"/>
      <c r="S51" s="1595"/>
      <c r="T51" s="1595"/>
      <c r="U51" s="1595"/>
      <c r="V51" s="1595"/>
      <c r="W51" s="1595"/>
      <c r="X51" s="1595"/>
    </row>
    <row r="52" spans="1:24" ht="15" customHeight="1">
      <c r="A52" s="3546"/>
      <c r="B52" s="3546"/>
      <c r="C52" s="3546"/>
      <c r="D52" s="3546"/>
      <c r="E52" s="3546"/>
      <c r="F52" s="3546"/>
      <c r="G52" s="3546"/>
      <c r="H52" s="3546"/>
      <c r="I52" s="3546"/>
      <c r="J52" s="3546"/>
      <c r="K52" s="3546"/>
      <c r="L52" s="3546"/>
      <c r="M52" s="3546"/>
      <c r="N52" s="3546"/>
      <c r="O52" s="3546"/>
      <c r="P52" s="3546"/>
      <c r="Q52" s="3546"/>
      <c r="R52" s="3546"/>
      <c r="V52" s="3547"/>
      <c r="X52" s="3548"/>
    </row>
    <row r="54" spans="1:24" ht="15" customHeight="1">
      <c r="A54" s="3546"/>
      <c r="B54" s="3546"/>
      <c r="C54" s="3546"/>
      <c r="D54" s="3546"/>
      <c r="E54" s="3546"/>
      <c r="F54" s="3546"/>
      <c r="G54" s="3546"/>
      <c r="H54" s="3546"/>
      <c r="I54" s="3546"/>
      <c r="J54" s="3546"/>
      <c r="K54" s="3546"/>
      <c r="L54" s="3546"/>
      <c r="M54" s="3546"/>
      <c r="N54" s="3546"/>
      <c r="O54" s="3546"/>
      <c r="P54" s="3546"/>
      <c r="Q54" s="3546"/>
      <c r="R54" s="3546"/>
      <c r="V54" s="3547"/>
      <c r="X54" s="3548"/>
    </row>
    <row r="56" spans="1:24" ht="15" customHeight="1">
      <c r="A56" s="3546"/>
      <c r="B56" s="3546"/>
      <c r="C56" s="3546"/>
      <c r="D56" s="3546"/>
      <c r="E56" s="3546"/>
      <c r="F56" s="3546"/>
      <c r="G56" s="3546"/>
      <c r="H56" s="3546"/>
      <c r="I56" s="3546"/>
      <c r="J56" s="3546"/>
      <c r="K56" s="3546"/>
      <c r="L56" s="3546"/>
      <c r="M56" s="3546"/>
      <c r="N56" s="3546"/>
      <c r="O56" s="3546"/>
      <c r="P56" s="3546"/>
      <c r="Q56" s="3546"/>
      <c r="R56" s="3546"/>
      <c r="V56" s="3547"/>
      <c r="X56" s="3548"/>
    </row>
    <row r="64" spans="1:24" ht="15" customHeight="1">
      <c r="W64" s="1595"/>
      <c r="X64" s="1595"/>
    </row>
    <row r="65" spans="23:24" ht="15" customHeight="1">
      <c r="W65" s="1595"/>
      <c r="X65" s="1595"/>
    </row>
    <row r="66" spans="23:24" ht="15" customHeight="1">
      <c r="W66" s="1595"/>
      <c r="X66" s="1595"/>
    </row>
    <row r="67" spans="23:24" ht="15" customHeight="1">
      <c r="W67" s="1595"/>
      <c r="X67" s="1595"/>
    </row>
    <row r="68" spans="23:24" ht="15" customHeight="1">
      <c r="W68" s="1595"/>
      <c r="X68" s="1595"/>
    </row>
    <row r="69" spans="23:24" ht="15" customHeight="1">
      <c r="W69" s="1595"/>
      <c r="X69" s="1595"/>
    </row>
    <row r="70" spans="23:24" ht="15" customHeight="1">
      <c r="W70" s="1595"/>
      <c r="X70" s="1595"/>
    </row>
    <row r="71" spans="23:24" ht="15" customHeight="1">
      <c r="W71" s="1595"/>
      <c r="X71" s="1595"/>
    </row>
    <row r="72" spans="23:24" ht="15" customHeight="1">
      <c r="W72" s="1595"/>
      <c r="X72" s="1595"/>
    </row>
    <row r="73" spans="23:24" ht="15" customHeight="1">
      <c r="W73" s="1595"/>
      <c r="X73" s="1595"/>
    </row>
  </sheetData>
  <sheetProtection algorithmName="SHA-512" hashValue="3c/rNuPsq6Sr+RCuTxoSQiiat6M95QNBax9hINgcXHdNJypIw6A8xZxQiEQ4IKPcqe2YtIeS6AZ3ht6MMV7eUA==" saltValue="LdlT/g2h+vzmPR9Wj0kcAQ==" spinCount="100000" sheet="1" objects="1" scenarios="1"/>
  <printOptions horizontalCentered="1"/>
  <pageMargins left="0.7" right="0.7" top="0.75" bottom="0.75" header="0.3" footer="0.3"/>
  <pageSetup scale="79" orientation="portrait" r:id="rId1"/>
  <headerFooter alignWithMargins="0">
    <oddFooter>&amp;L&amp;10DFS-A1-1887</oddFoot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9" tint="-0.249977111117893"/>
  </sheetPr>
  <dimension ref="A1:W57"/>
  <sheetViews>
    <sheetView topLeftCell="A4" workbookViewId="0">
      <selection sqref="A1:L1"/>
    </sheetView>
  </sheetViews>
  <sheetFormatPr defaultColWidth="9.140625" defaultRowHeight="15"/>
  <cols>
    <col min="1" max="1" width="3.7109375" style="1021" customWidth="1"/>
    <col min="2" max="2" width="9.140625" style="1021" customWidth="1"/>
    <col min="3" max="3" width="8.42578125" style="1021" customWidth="1"/>
    <col min="4" max="5" width="9.140625" style="1021" customWidth="1"/>
    <col min="6" max="6" width="5" style="1021" customWidth="1"/>
    <col min="7" max="8" width="9.140625" style="1021"/>
    <col min="9" max="9" width="17.28515625" style="1021" customWidth="1"/>
    <col min="10" max="10" width="7.42578125" style="1021" customWidth="1"/>
    <col min="11" max="12" width="5.7109375" style="1021" customWidth="1"/>
    <col min="13" max="13" width="1.140625" style="1021" customWidth="1"/>
    <col min="14" max="14" width="19.140625" style="1140" customWidth="1"/>
    <col min="15" max="15" width="7.42578125" style="94" customWidth="1"/>
    <col min="16" max="16" width="10.42578125" style="94" customWidth="1"/>
    <col min="17" max="17" width="24.28515625" style="94" customWidth="1"/>
    <col min="18" max="23" width="9.140625" style="1157"/>
    <col min="24" max="16384" width="9.140625" style="1021"/>
  </cols>
  <sheetData>
    <row r="1" spans="1:23" s="488" customFormat="1" ht="15" customHeight="1" thickBot="1">
      <c r="A1" s="4436" t="str">
        <f>'Contact Information'!$C$5</f>
        <v>SAMPLE STATE COLLEGE</v>
      </c>
      <c r="B1" s="4436"/>
      <c r="C1" s="4436"/>
      <c r="D1" s="4436"/>
      <c r="E1" s="4436"/>
      <c r="F1" s="4436"/>
      <c r="G1" s="4436"/>
      <c r="H1" s="4436"/>
      <c r="I1" s="4436"/>
      <c r="J1" s="4436"/>
      <c r="K1" s="4436"/>
      <c r="L1" s="4436"/>
      <c r="N1" s="1814"/>
      <c r="O1" s="1811"/>
      <c r="P1" s="1149" t="s">
        <v>3</v>
      </c>
      <c r="Q1" s="1811" t="str">
        <f>'Contact Information'!C3</f>
        <v>2021.v01</v>
      </c>
      <c r="R1" s="1155"/>
      <c r="S1" s="1155"/>
      <c r="T1" s="1155"/>
      <c r="U1" s="1155"/>
      <c r="V1" s="1155"/>
      <c r="W1" s="1155"/>
    </row>
    <row r="2" spans="1:23" s="488" customFormat="1" ht="15" customHeight="1">
      <c r="A2" s="4437" t="s">
        <v>2298</v>
      </c>
      <c r="B2" s="4437"/>
      <c r="C2" s="4437"/>
      <c r="D2" s="4437"/>
      <c r="E2" s="4437"/>
      <c r="F2" s="4437"/>
      <c r="G2" s="4437"/>
      <c r="H2" s="4437"/>
      <c r="I2" s="4437"/>
      <c r="J2" s="4437"/>
      <c r="K2" s="4437"/>
      <c r="L2" s="4437"/>
      <c r="N2" s="4427" t="str">
        <f>A1</f>
        <v>SAMPLE STATE COLLEGE</v>
      </c>
      <c r="O2" s="4428"/>
      <c r="P2" s="4428"/>
      <c r="Q2" s="4429"/>
      <c r="R2" s="1155"/>
      <c r="S2" s="1155"/>
      <c r="T2" s="1155"/>
      <c r="U2" s="1155"/>
      <c r="V2" s="1155"/>
      <c r="W2" s="1155"/>
    </row>
    <row r="3" spans="1:23" s="488" customFormat="1" ht="15" customHeight="1">
      <c r="A3" s="4438" t="s">
        <v>2744</v>
      </c>
      <c r="B3" s="4438"/>
      <c r="C3" s="4438"/>
      <c r="D3" s="4438"/>
      <c r="E3" s="4438"/>
      <c r="F3" s="4438"/>
      <c r="G3" s="4438"/>
      <c r="H3" s="4438"/>
      <c r="I3" s="4438"/>
      <c r="J3" s="4438"/>
      <c r="K3" s="4438"/>
      <c r="L3" s="4438"/>
      <c r="N3" s="4430" t="e">
        <f>A4</f>
        <v>#VALUE!</v>
      </c>
      <c r="O3" s="4431"/>
      <c r="P3" s="4431"/>
      <c r="Q3" s="4432"/>
      <c r="R3" s="1155"/>
      <c r="S3" s="1155"/>
      <c r="T3" s="1155"/>
      <c r="U3" s="1155"/>
      <c r="V3" s="1155"/>
      <c r="W3" s="1155"/>
    </row>
    <row r="4" spans="1:23" s="488" customFormat="1" ht="15" customHeight="1">
      <c r="A4" s="4439" t="e">
        <f>'FCS Notes Sched Inv &amp; Cash'!B4:H4</f>
        <v>#VALUE!</v>
      </c>
      <c r="B4" s="4439"/>
      <c r="C4" s="4439"/>
      <c r="D4" s="4439"/>
      <c r="E4" s="4439"/>
      <c r="F4" s="4439"/>
      <c r="G4" s="4439"/>
      <c r="H4" s="4439"/>
      <c r="I4" s="4439"/>
      <c r="J4" s="4439"/>
      <c r="K4" s="4439"/>
      <c r="L4" s="4439"/>
      <c r="N4" s="4433" t="s">
        <v>3605</v>
      </c>
      <c r="O4" s="4434"/>
      <c r="P4" s="4434"/>
      <c r="Q4" s="4435"/>
      <c r="R4" s="1155"/>
      <c r="S4" s="1155"/>
      <c r="T4" s="1155"/>
      <c r="U4" s="1155"/>
      <c r="V4" s="1155"/>
      <c r="W4" s="1155"/>
    </row>
    <row r="5" spans="1:23" s="96" customFormat="1" ht="15.75" customHeight="1">
      <c r="A5" s="1813"/>
      <c r="B5" s="1813"/>
      <c r="C5" s="1813"/>
      <c r="D5" s="1813"/>
      <c r="E5" s="1813"/>
      <c r="F5" s="1813"/>
      <c r="G5" s="1813"/>
      <c r="H5" s="1813"/>
      <c r="I5" s="1813"/>
      <c r="J5" s="1813"/>
      <c r="K5" s="1813"/>
      <c r="L5" s="1813"/>
      <c r="M5" s="1810"/>
      <c r="N5" s="4461" t="s">
        <v>3606</v>
      </c>
      <c r="O5" s="4462"/>
      <c r="P5" s="4462"/>
      <c r="Q5" s="4463"/>
      <c r="R5" s="94"/>
      <c r="S5" s="94"/>
      <c r="T5" s="94"/>
      <c r="U5" s="94"/>
      <c r="V5" s="94"/>
      <c r="W5" s="94"/>
    </row>
    <row r="6" spans="1:23" ht="15" customHeight="1">
      <c r="A6" s="1020"/>
      <c r="B6" s="4440" t="s">
        <v>3607</v>
      </c>
      <c r="C6" s="4440"/>
      <c r="D6" s="4440"/>
      <c r="E6" s="4440"/>
      <c r="F6" s="4440"/>
      <c r="G6" s="4440"/>
      <c r="H6" s="4440"/>
      <c r="I6" s="4440"/>
      <c r="J6" s="4440"/>
      <c r="K6" s="4440"/>
      <c r="L6" s="4440"/>
      <c r="M6" s="1156"/>
      <c r="N6" s="4464"/>
      <c r="O6" s="4465"/>
      <c r="P6" s="4465"/>
      <c r="Q6" s="4466"/>
    </row>
    <row r="7" spans="1:23">
      <c r="A7" s="1020"/>
      <c r="B7" s="4440"/>
      <c r="C7" s="4440"/>
      <c r="D7" s="4440"/>
      <c r="E7" s="4440"/>
      <c r="F7" s="4440"/>
      <c r="G7" s="4440"/>
      <c r="H7" s="4440"/>
      <c r="I7" s="4440"/>
      <c r="J7" s="4440"/>
      <c r="K7" s="4440"/>
      <c r="L7" s="4440"/>
      <c r="M7" s="1156"/>
      <c r="N7" s="1141"/>
      <c r="O7" s="221"/>
      <c r="P7" s="1069"/>
      <c r="Q7" s="1158"/>
    </row>
    <row r="8" spans="1:23">
      <c r="A8" s="1020"/>
      <c r="B8" s="4440"/>
      <c r="C8" s="4440"/>
      <c r="D8" s="4440"/>
      <c r="E8" s="4440"/>
      <c r="F8" s="4440"/>
      <c r="G8" s="4440"/>
      <c r="H8" s="4440"/>
      <c r="I8" s="4440"/>
      <c r="J8" s="4440"/>
      <c r="K8" s="4440"/>
      <c r="L8" s="4440"/>
      <c r="M8" s="1156"/>
      <c r="N8" s="4447" t="s">
        <v>3608</v>
      </c>
      <c r="O8" s="4448"/>
      <c r="P8" s="4448"/>
      <c r="Q8" s="4449"/>
    </row>
    <row r="9" spans="1:23">
      <c r="A9" s="1020"/>
      <c r="B9" s="4440"/>
      <c r="C9" s="4440"/>
      <c r="D9" s="4440"/>
      <c r="E9" s="4440"/>
      <c r="F9" s="4440"/>
      <c r="G9" s="4440"/>
      <c r="H9" s="4440"/>
      <c r="I9" s="4440"/>
      <c r="J9" s="4440"/>
      <c r="K9" s="4440"/>
      <c r="L9" s="4440"/>
      <c r="M9" s="1156"/>
      <c r="N9" s="4447"/>
      <c r="O9" s="4448"/>
      <c r="P9" s="4448"/>
      <c r="Q9" s="4449"/>
    </row>
    <row r="10" spans="1:23">
      <c r="A10" s="1020"/>
      <c r="B10" s="4440"/>
      <c r="C10" s="4440"/>
      <c r="D10" s="4440"/>
      <c r="E10" s="4440"/>
      <c r="F10" s="4440"/>
      <c r="G10" s="4440"/>
      <c r="H10" s="4440"/>
      <c r="I10" s="4440"/>
      <c r="J10" s="4440"/>
      <c r="K10" s="4440"/>
      <c r="L10" s="4440"/>
      <c r="N10" s="1152"/>
      <c r="O10" s="1153"/>
      <c r="P10" s="1153"/>
      <c r="Q10" s="1154"/>
    </row>
    <row r="11" spans="1:23" ht="15.75" thickBot="1">
      <c r="A11" s="1020"/>
      <c r="B11" s="1020"/>
      <c r="C11" s="1020"/>
      <c r="D11" s="1020"/>
      <c r="E11" s="1020"/>
      <c r="F11" s="1020"/>
      <c r="G11" s="1020"/>
      <c r="H11" s="1020"/>
      <c r="J11" s="1020"/>
      <c r="K11" s="1020"/>
      <c r="L11" s="1020"/>
      <c r="N11" s="1166"/>
      <c r="O11" s="1153"/>
      <c r="P11" s="1164" t="s">
        <v>3609</v>
      </c>
      <c r="Q11" s="1165">
        <f>ROUND(SNP!M67,0)+ROUND(SNP!M89,0)</f>
        <v>0</v>
      </c>
    </row>
    <row r="12" spans="1:23" ht="15.75" thickTop="1">
      <c r="A12" s="1020"/>
      <c r="B12" s="1020"/>
      <c r="C12" s="1020"/>
      <c r="D12" s="1167" t="s">
        <v>3610</v>
      </c>
      <c r="E12" s="1167"/>
      <c r="F12" s="1167"/>
      <c r="G12" s="1020"/>
      <c r="H12" s="1020"/>
      <c r="I12" s="1170" t="s">
        <v>2776</v>
      </c>
      <c r="J12" s="1020"/>
      <c r="K12" s="1020"/>
      <c r="L12" s="1020"/>
      <c r="N12" s="1152"/>
      <c r="O12" s="1153"/>
      <c r="P12" s="1153"/>
      <c r="Q12" s="4451" t="s">
        <v>3611</v>
      </c>
    </row>
    <row r="13" spans="1:23" ht="9.75" customHeight="1" thickBot="1">
      <c r="A13" s="1020"/>
      <c r="B13" s="1020"/>
      <c r="C13" s="1020"/>
      <c r="D13" s="1020"/>
      <c r="E13" s="1020"/>
      <c r="F13" s="1020"/>
      <c r="G13" s="1020"/>
      <c r="H13" s="1020"/>
      <c r="I13" s="1020"/>
      <c r="J13" s="1020"/>
      <c r="K13" s="1020"/>
      <c r="L13" s="1020"/>
      <c r="N13" s="1141"/>
      <c r="O13" s="221"/>
      <c r="P13" s="221"/>
      <c r="Q13" s="4452"/>
    </row>
    <row r="14" spans="1:23" ht="15.75" thickBot="1">
      <c r="A14" s="1020"/>
      <c r="B14" s="1020"/>
      <c r="C14" s="1020"/>
      <c r="D14" s="1168">
        <v>2016</v>
      </c>
      <c r="E14" s="1020"/>
      <c r="F14" s="1020"/>
      <c r="G14" s="1020"/>
      <c r="H14" s="1020"/>
      <c r="I14" s="1163">
        <v>0</v>
      </c>
      <c r="J14" s="1020"/>
      <c r="K14" s="1020"/>
      <c r="L14" s="1020"/>
      <c r="N14" s="1142"/>
      <c r="O14" s="221"/>
      <c r="P14" s="1069" t="s">
        <v>3612</v>
      </c>
      <c r="Q14" s="1147">
        <v>0</v>
      </c>
    </row>
    <row r="15" spans="1:23" ht="15.75" thickBot="1">
      <c r="A15" s="1020"/>
      <c r="B15" s="1020"/>
      <c r="C15" s="1020"/>
      <c r="D15" s="1168">
        <v>2017</v>
      </c>
      <c r="E15" s="1020"/>
      <c r="F15" s="1020"/>
      <c r="G15" s="1020"/>
      <c r="H15" s="1020"/>
      <c r="I15" s="1161">
        <v>0</v>
      </c>
      <c r="J15" s="1020"/>
      <c r="K15" s="1020"/>
      <c r="L15" s="1020"/>
      <c r="N15" s="1142"/>
      <c r="O15" s="221"/>
      <c r="P15" s="1069" t="s">
        <v>3613</v>
      </c>
      <c r="Q15" s="1148">
        <v>0</v>
      </c>
    </row>
    <row r="16" spans="1:23" ht="15.75" customHeight="1" thickBot="1">
      <c r="A16" s="1020"/>
      <c r="B16" s="1020"/>
      <c r="C16" s="1020"/>
      <c r="D16" s="1168">
        <v>2018</v>
      </c>
      <c r="E16" s="1020"/>
      <c r="F16" s="1020"/>
      <c r="G16" s="1020"/>
      <c r="H16" s="1020"/>
      <c r="I16" s="1161">
        <v>0</v>
      </c>
      <c r="J16" s="1020"/>
      <c r="K16" s="1020"/>
      <c r="L16" s="1020"/>
      <c r="N16" s="1142"/>
      <c r="O16" s="221"/>
      <c r="P16" s="1069" t="s">
        <v>3614</v>
      </c>
      <c r="Q16" s="1148">
        <v>0</v>
      </c>
    </row>
    <row r="17" spans="1:17" ht="15.75" thickBot="1">
      <c r="A17" s="1020"/>
      <c r="B17" s="1020"/>
      <c r="C17" s="1020"/>
      <c r="D17" s="1168">
        <v>2019</v>
      </c>
      <c r="E17" s="1020"/>
      <c r="F17" s="1020"/>
      <c r="G17" s="1020"/>
      <c r="H17" s="1020"/>
      <c r="I17" s="1161">
        <v>0</v>
      </c>
      <c r="J17" s="1020"/>
      <c r="K17" s="1020"/>
      <c r="L17" s="1020"/>
      <c r="N17" s="4459" t="s">
        <v>3615</v>
      </c>
      <c r="O17" s="4460"/>
      <c r="P17" s="4460"/>
      <c r="Q17" s="1143"/>
    </row>
    <row r="18" spans="1:17" ht="15.75" thickBot="1">
      <c r="A18" s="1020"/>
      <c r="B18" s="1020"/>
      <c r="C18" s="1020"/>
      <c r="D18" s="1168">
        <v>2020</v>
      </c>
      <c r="E18" s="1020"/>
      <c r="F18" s="1020"/>
      <c r="G18" s="1020"/>
      <c r="H18" s="1020"/>
      <c r="I18" s="1162">
        <v>0</v>
      </c>
      <c r="J18" s="1020"/>
      <c r="K18" s="1020"/>
      <c r="L18" s="1020"/>
      <c r="N18" s="4459"/>
      <c r="O18" s="4460"/>
      <c r="P18" s="4460"/>
      <c r="Q18" s="1172">
        <f>Q14+Q15+Q16</f>
        <v>0</v>
      </c>
    </row>
    <row r="19" spans="1:17">
      <c r="A19" s="1020"/>
      <c r="B19" s="1020"/>
      <c r="C19" s="1020"/>
      <c r="D19" s="1020"/>
      <c r="E19" s="1020"/>
      <c r="F19" s="1020"/>
      <c r="G19" s="1020"/>
      <c r="H19" s="1020"/>
      <c r="I19" s="1169"/>
      <c r="J19" s="1020"/>
      <c r="K19" s="1020"/>
      <c r="L19" s="1020"/>
      <c r="N19" s="3698"/>
      <c r="O19" s="3699"/>
      <c r="P19" s="3699"/>
      <c r="Q19" s="1173"/>
    </row>
    <row r="20" spans="1:17" ht="15.75" customHeight="1">
      <c r="A20" s="1020"/>
      <c r="B20" s="1020"/>
      <c r="C20" s="1020"/>
      <c r="D20" s="219" t="s">
        <v>3616</v>
      </c>
      <c r="E20" s="1020"/>
      <c r="F20" s="1020"/>
      <c r="G20" s="1020"/>
      <c r="H20" s="1020"/>
      <c r="I20" s="1169">
        <f t="array" ref="I20">SUM(ROUND(I14:I18,0))</f>
        <v>0</v>
      </c>
      <c r="J20" s="1020"/>
      <c r="K20" s="1020"/>
      <c r="L20" s="1020"/>
      <c r="N20" s="4453" t="str">
        <f>IF(Q11&lt;&gt;0,IF(Q18&lt;&gt;1,"Please describe property purchased that is not included in the asset classes above.",""),"")</f>
        <v/>
      </c>
      <c r="O20" s="4454"/>
      <c r="P20" s="4454"/>
      <c r="Q20" s="4455"/>
    </row>
    <row r="21" spans="1:17" ht="15.75" thickBot="1">
      <c r="A21" s="1020"/>
      <c r="B21" s="1020"/>
      <c r="C21" s="1020"/>
      <c r="D21" s="1020" t="s">
        <v>664</v>
      </c>
      <c r="E21" s="1020"/>
      <c r="F21" s="1020"/>
      <c r="G21" s="1020"/>
      <c r="H21" s="1020"/>
      <c r="I21" s="1161">
        <v>0</v>
      </c>
      <c r="J21" s="1020"/>
      <c r="K21" s="1020"/>
      <c r="L21" s="1020"/>
      <c r="N21" s="4456"/>
      <c r="O21" s="4457"/>
      <c r="P21" s="4457"/>
      <c r="Q21" s="4458"/>
    </row>
    <row r="22" spans="1:17" ht="15.75" thickBot="1">
      <c r="A22" s="1020"/>
      <c r="B22" s="1020"/>
      <c r="C22" s="1020"/>
      <c r="D22" s="1020"/>
      <c r="E22" s="1020"/>
      <c r="F22" s="1020"/>
      <c r="G22" s="1020"/>
      <c r="H22" s="1020"/>
      <c r="I22" s="3803"/>
      <c r="J22" s="1020"/>
      <c r="K22" s="1020"/>
      <c r="L22" s="1020"/>
      <c r="N22" s="4441"/>
      <c r="O22" s="4442"/>
      <c r="P22" s="4442"/>
      <c r="Q22" s="4443"/>
    </row>
    <row r="23" spans="1:17" ht="15.75" customHeight="1" thickBot="1">
      <c r="A23" s="1020"/>
      <c r="B23" s="1020"/>
      <c r="C23" s="1020"/>
      <c r="D23" s="219" t="s">
        <v>3617</v>
      </c>
      <c r="E23" s="1020"/>
      <c r="F23" s="1020"/>
      <c r="G23" s="1020"/>
      <c r="H23" s="1020"/>
      <c r="I23" s="1171">
        <f>I20-ROUND(I21,0)</f>
        <v>0</v>
      </c>
      <c r="J23" s="1020"/>
      <c r="K23" s="1020"/>
      <c r="L23" s="1020"/>
      <c r="N23" s="4444" t="s">
        <v>3618</v>
      </c>
      <c r="O23" s="4445"/>
      <c r="P23" s="4445"/>
      <c r="Q23" s="4446"/>
    </row>
    <row r="24" spans="1:17" ht="15.75" customHeight="1" thickTop="1">
      <c r="A24" s="1020"/>
      <c r="B24" s="1020"/>
      <c r="C24" s="1020"/>
      <c r="D24" s="1020"/>
      <c r="E24" s="1020"/>
      <c r="F24" s="1020"/>
      <c r="G24" s="1020"/>
      <c r="H24" s="1020"/>
      <c r="I24" s="1020"/>
      <c r="J24" s="1020"/>
      <c r="K24" s="1020"/>
      <c r="L24" s="1020"/>
      <c r="N24" s="4447"/>
      <c r="O24" s="4448"/>
      <c r="P24" s="4448"/>
      <c r="Q24" s="4449"/>
    </row>
    <row r="25" spans="1:17" ht="15" customHeight="1">
      <c r="A25" s="1020"/>
      <c r="B25" s="1020"/>
      <c r="C25" s="1020"/>
      <c r="D25" s="1020"/>
      <c r="E25" s="1020"/>
      <c r="F25" s="1020"/>
      <c r="G25" s="1020"/>
      <c r="H25" s="1020"/>
      <c r="I25" s="1020"/>
      <c r="J25" s="1020"/>
      <c r="K25" s="1020"/>
      <c r="L25" s="1020"/>
      <c r="N25" s="4447"/>
      <c r="O25" s="4448"/>
      <c r="P25" s="4448"/>
      <c r="Q25" s="4449"/>
    </row>
    <row r="26" spans="1:17">
      <c r="A26" s="1020"/>
      <c r="B26" s="1020"/>
      <c r="C26" s="1020"/>
      <c r="D26" s="1020"/>
      <c r="E26" s="1020"/>
      <c r="F26" s="1020"/>
      <c r="G26" s="1020"/>
      <c r="H26" s="1020"/>
      <c r="I26" s="1020"/>
      <c r="J26" s="1020"/>
      <c r="K26" s="1020"/>
      <c r="L26" s="1020"/>
      <c r="N26" s="3695"/>
      <c r="O26" s="3696"/>
      <c r="P26" s="3696"/>
      <c r="Q26" s="3697"/>
    </row>
    <row r="27" spans="1:17" ht="15.75" thickBot="1">
      <c r="A27" s="1020"/>
      <c r="B27" s="4440" t="s">
        <v>3619</v>
      </c>
      <c r="C27" s="4440"/>
      <c r="D27" s="4440"/>
      <c r="E27" s="4440"/>
      <c r="F27" s="4440"/>
      <c r="G27" s="4440"/>
      <c r="H27" s="4440"/>
      <c r="I27" s="4440"/>
      <c r="J27" s="4440"/>
      <c r="K27" s="4440"/>
      <c r="L27" s="4440"/>
      <c r="N27" s="1166"/>
      <c r="O27" s="1153"/>
      <c r="P27" s="1164" t="s">
        <v>3620</v>
      </c>
      <c r="Q27" s="1165">
        <f>ROUND(SNP!M68,0)+ROUND(SNP!M90,0)</f>
        <v>0</v>
      </c>
    </row>
    <row r="28" spans="1:17" ht="15.75" thickTop="1">
      <c r="A28" s="1020"/>
      <c r="B28" s="4440"/>
      <c r="C28" s="4440"/>
      <c r="D28" s="4440"/>
      <c r="E28" s="4440"/>
      <c r="F28" s="4440"/>
      <c r="G28" s="4440"/>
      <c r="H28" s="4440"/>
      <c r="I28" s="4440"/>
      <c r="J28" s="4440"/>
      <c r="K28" s="4440"/>
      <c r="L28" s="4440"/>
      <c r="N28" s="1152"/>
      <c r="O28" s="1153"/>
      <c r="P28" s="1153"/>
      <c r="Q28" s="1154"/>
    </row>
    <row r="29" spans="1:17" ht="15.75" thickBot="1">
      <c r="A29" s="1020"/>
      <c r="B29" s="4440"/>
      <c r="C29" s="4440"/>
      <c r="D29" s="4440"/>
      <c r="E29" s="4440"/>
      <c r="F29" s="4440"/>
      <c r="G29" s="4440"/>
      <c r="H29" s="4440"/>
      <c r="I29" s="4440"/>
      <c r="J29" s="4440"/>
      <c r="K29" s="4440"/>
      <c r="L29" s="4440"/>
      <c r="N29" s="1141"/>
      <c r="O29" s="221"/>
      <c r="P29" s="221"/>
      <c r="Q29" s="1159" t="s">
        <v>3611</v>
      </c>
    </row>
    <row r="30" spans="1:17" ht="15.75" customHeight="1" thickBot="1">
      <c r="A30" s="1020"/>
      <c r="B30" s="4440"/>
      <c r="C30" s="4440"/>
      <c r="D30" s="4440"/>
      <c r="E30" s="4440"/>
      <c r="F30" s="4440"/>
      <c r="G30" s="4440"/>
      <c r="H30" s="4440"/>
      <c r="I30" s="4440"/>
      <c r="J30" s="4440"/>
      <c r="K30" s="4440"/>
      <c r="L30" s="4440"/>
      <c r="N30" s="1144"/>
      <c r="O30" s="1145"/>
      <c r="P30" s="1069" t="s">
        <v>3621</v>
      </c>
      <c r="Q30" s="1146">
        <v>0</v>
      </c>
    </row>
    <row r="31" spans="1:17" ht="15.75" thickBot="1">
      <c r="A31" s="1020"/>
      <c r="B31" s="1020"/>
      <c r="C31" s="1020"/>
      <c r="D31" s="1020"/>
      <c r="E31" s="1020"/>
      <c r="F31" s="1020"/>
      <c r="G31" s="1020"/>
      <c r="H31" s="1020"/>
      <c r="I31" s="1020"/>
      <c r="J31" s="1020"/>
      <c r="K31" s="1020"/>
      <c r="L31" s="1020"/>
      <c r="N31" s="1142"/>
      <c r="O31" s="221"/>
      <c r="P31" s="1069" t="s">
        <v>3622</v>
      </c>
      <c r="Q31" s="1146">
        <v>0</v>
      </c>
    </row>
    <row r="32" spans="1:17" ht="15" customHeight="1" thickBot="1">
      <c r="A32" s="1020"/>
      <c r="B32" s="1020"/>
      <c r="C32" s="1020"/>
      <c r="D32" s="1167" t="s">
        <v>3610</v>
      </c>
      <c r="E32" s="1167"/>
      <c r="F32" s="1167"/>
      <c r="G32" s="1020"/>
      <c r="H32" s="1020"/>
      <c r="I32" s="1170" t="s">
        <v>2776</v>
      </c>
      <c r="J32" s="1020"/>
      <c r="K32" s="1020"/>
      <c r="L32" s="1020"/>
      <c r="N32" s="1144"/>
      <c r="O32" s="1145"/>
      <c r="P32" s="1069" t="s">
        <v>3623</v>
      </c>
      <c r="Q32" s="1175">
        <v>0</v>
      </c>
    </row>
    <row r="33" spans="1:17" ht="9.75" customHeight="1">
      <c r="A33" s="1020"/>
      <c r="B33" s="1020"/>
      <c r="C33" s="1020"/>
      <c r="D33" s="1020"/>
      <c r="E33" s="1020"/>
      <c r="F33" s="1020"/>
      <c r="G33" s="1020"/>
      <c r="H33" s="1020"/>
      <c r="I33" s="1020"/>
      <c r="J33" s="1020"/>
      <c r="K33" s="1020"/>
      <c r="L33" s="1020"/>
      <c r="N33" s="4459" t="s">
        <v>3624</v>
      </c>
      <c r="O33" s="4460"/>
      <c r="P33" s="4460"/>
      <c r="Q33" s="1151"/>
    </row>
    <row r="34" spans="1:17" ht="15.75" thickBot="1">
      <c r="A34" s="1020"/>
      <c r="B34" s="1020"/>
      <c r="C34" s="1020"/>
      <c r="D34" s="1168">
        <v>2020</v>
      </c>
      <c r="E34" s="1020"/>
      <c r="F34" s="1020"/>
      <c r="G34" s="1020"/>
      <c r="H34" s="1020"/>
      <c r="I34" s="1163">
        <v>0</v>
      </c>
      <c r="J34" s="1020"/>
      <c r="K34" s="1020"/>
      <c r="L34" s="1020"/>
      <c r="N34" s="4459"/>
      <c r="O34" s="4460"/>
      <c r="P34" s="4460"/>
      <c r="Q34" s="1158"/>
    </row>
    <row r="35" spans="1:17" ht="15.75" thickBot="1">
      <c r="A35" s="1020"/>
      <c r="B35" s="1020"/>
      <c r="C35" s="1020"/>
      <c r="D35" s="1168">
        <v>2021</v>
      </c>
      <c r="E35" s="1020"/>
      <c r="F35" s="1020"/>
      <c r="G35" s="1020"/>
      <c r="H35" s="1020"/>
      <c r="I35" s="1161">
        <v>0</v>
      </c>
      <c r="J35" s="1020"/>
      <c r="K35" s="1020"/>
      <c r="L35" s="1020"/>
      <c r="N35" s="4459"/>
      <c r="O35" s="4460"/>
      <c r="P35" s="4460"/>
      <c r="Q35" s="1150">
        <f>Q30+Q31+Q32</f>
        <v>0</v>
      </c>
    </row>
    <row r="36" spans="1:17">
      <c r="A36" s="1020"/>
      <c r="B36" s="1020"/>
      <c r="C36" s="1020"/>
      <c r="D36" s="1168">
        <v>2022</v>
      </c>
      <c r="E36" s="1020"/>
      <c r="F36" s="1020"/>
      <c r="G36" s="1020"/>
      <c r="H36" s="1020"/>
      <c r="I36" s="1161">
        <v>0</v>
      </c>
      <c r="J36" s="1020"/>
      <c r="K36" s="1020"/>
      <c r="L36" s="1020"/>
      <c r="N36" s="3698"/>
      <c r="O36" s="3699"/>
      <c r="P36" s="3699"/>
      <c r="Q36" s="1160"/>
    </row>
    <row r="37" spans="1:17" ht="15" customHeight="1">
      <c r="A37" s="1020"/>
      <c r="B37" s="1020"/>
      <c r="C37" s="1020"/>
      <c r="D37" s="1168">
        <v>2023</v>
      </c>
      <c r="E37" s="1020"/>
      <c r="F37" s="1020"/>
      <c r="G37" s="1020"/>
      <c r="H37" s="1020"/>
      <c r="I37" s="1161">
        <v>0</v>
      </c>
      <c r="J37" s="1020"/>
      <c r="K37" s="1020"/>
      <c r="L37" s="1020"/>
      <c r="N37" s="4453" t="str">
        <f>IF(Q27&lt;&gt;0,IF(Q35&lt;&gt;1,"Please describe leased property that is not included in the asset classes above.",""),"")</f>
        <v/>
      </c>
      <c r="O37" s="4454"/>
      <c r="P37" s="4454"/>
      <c r="Q37" s="4455"/>
    </row>
    <row r="38" spans="1:17" ht="15.75" thickBot="1">
      <c r="A38" s="1020"/>
      <c r="B38" s="1020"/>
      <c r="C38" s="1020"/>
      <c r="D38" s="1168">
        <v>2024</v>
      </c>
      <c r="E38" s="1020"/>
      <c r="F38" s="1020"/>
      <c r="G38" s="1020"/>
      <c r="H38" s="1020"/>
      <c r="I38" s="1161">
        <v>0</v>
      </c>
      <c r="J38" s="1020"/>
      <c r="K38" s="1020"/>
      <c r="L38" s="1020"/>
      <c r="N38" s="4456"/>
      <c r="O38" s="4457"/>
      <c r="P38" s="4457"/>
      <c r="Q38" s="4458"/>
    </row>
    <row r="39" spans="1:17" ht="15.75" thickBot="1">
      <c r="A39" s="1020"/>
      <c r="B39" s="1020"/>
      <c r="C39" s="1020"/>
      <c r="D39" s="1168" t="s">
        <v>3625</v>
      </c>
      <c r="E39" s="1020"/>
      <c r="F39" s="1020"/>
      <c r="G39" s="1020"/>
      <c r="H39" s="1020"/>
      <c r="I39" s="1161">
        <v>0</v>
      </c>
      <c r="J39" s="1020"/>
      <c r="K39" s="1020"/>
      <c r="L39" s="1020"/>
      <c r="N39" s="4441"/>
      <c r="O39" s="4442"/>
      <c r="P39" s="4442"/>
      <c r="Q39" s="4443"/>
    </row>
    <row r="40" spans="1:17">
      <c r="A40" s="1020"/>
      <c r="B40" s="1020"/>
      <c r="C40" s="1020"/>
      <c r="D40" s="1168" t="s">
        <v>3626</v>
      </c>
      <c r="E40" s="1020"/>
      <c r="F40" s="1020"/>
      <c r="G40" s="1020"/>
      <c r="H40" s="1020"/>
      <c r="I40" s="1161">
        <v>0</v>
      </c>
      <c r="J40" s="1020"/>
      <c r="K40" s="1020"/>
      <c r="L40" s="1020"/>
    </row>
    <row r="41" spans="1:17">
      <c r="A41" s="1020"/>
      <c r="B41" s="1020"/>
      <c r="C41" s="1020"/>
      <c r="D41" s="734" t="s">
        <v>3627</v>
      </c>
      <c r="E41" s="1020"/>
      <c r="F41" s="1020"/>
      <c r="G41" s="1020"/>
      <c r="H41" s="1020"/>
      <c r="I41" s="1162">
        <v>0</v>
      </c>
      <c r="J41" s="1020"/>
      <c r="K41" s="1020"/>
      <c r="L41" s="1020"/>
    </row>
    <row r="42" spans="1:17" ht="9.75" customHeight="1">
      <c r="A42" s="1020"/>
      <c r="B42" s="1020"/>
      <c r="C42" s="1020"/>
      <c r="D42" s="1020"/>
      <c r="E42" s="1020"/>
      <c r="F42" s="1020"/>
      <c r="G42" s="1020"/>
      <c r="H42" s="1020"/>
      <c r="I42" s="1169"/>
      <c r="J42" s="1020"/>
      <c r="K42" s="1020"/>
      <c r="L42" s="1020"/>
    </row>
    <row r="43" spans="1:17">
      <c r="A43" s="1020"/>
      <c r="B43" s="1020"/>
      <c r="C43" s="1020"/>
      <c r="D43" s="219" t="s">
        <v>3616</v>
      </c>
      <c r="E43" s="1020"/>
      <c r="F43" s="1020"/>
      <c r="G43" s="1020"/>
      <c r="H43" s="1020"/>
      <c r="I43" s="1169">
        <f t="array" ref="I43">SUM(ROUND(I34:I41,0))</f>
        <v>0</v>
      </c>
      <c r="J43" s="1020"/>
      <c r="K43" s="1020"/>
      <c r="L43" s="1020"/>
    </row>
    <row r="44" spans="1:17">
      <c r="A44" s="1020"/>
      <c r="B44" s="1020"/>
      <c r="C44" s="1020"/>
      <c r="D44" s="1020" t="s">
        <v>664</v>
      </c>
      <c r="E44" s="1020"/>
      <c r="F44" s="1020"/>
      <c r="G44" s="1020"/>
      <c r="H44" s="1020"/>
      <c r="I44" s="1161">
        <v>0</v>
      </c>
      <c r="J44" s="1020"/>
      <c r="K44" s="1020"/>
      <c r="L44" s="1020"/>
    </row>
    <row r="45" spans="1:17" ht="9.75" customHeight="1">
      <c r="A45" s="1020"/>
      <c r="B45" s="1020"/>
      <c r="C45" s="1020"/>
      <c r="D45" s="1020"/>
      <c r="E45" s="1020"/>
      <c r="F45" s="1020"/>
      <c r="G45" s="1020"/>
      <c r="H45" s="1020"/>
      <c r="I45" s="3803"/>
      <c r="J45" s="1020"/>
      <c r="K45" s="1020"/>
      <c r="L45" s="1020"/>
    </row>
    <row r="46" spans="1:17" ht="15.75" thickBot="1">
      <c r="A46" s="1020"/>
      <c r="B46" s="1020"/>
      <c r="C46" s="1020"/>
      <c r="D46" s="219" t="s">
        <v>3617</v>
      </c>
      <c r="E46" s="1020"/>
      <c r="F46" s="1020"/>
      <c r="G46" s="1020"/>
      <c r="H46" s="1020"/>
      <c r="I46" s="1171">
        <f>I43-ROUND(I44,0)</f>
        <v>0</v>
      </c>
      <c r="J46" s="1020"/>
      <c r="K46" s="1020"/>
      <c r="L46" s="1020"/>
    </row>
    <row r="47" spans="1:17" ht="15.75" thickTop="1">
      <c r="A47" s="4450" t="s">
        <v>2308</v>
      </c>
      <c r="B47" s="4450"/>
      <c r="C47" s="4450"/>
      <c r="D47" s="1174"/>
      <c r="E47" s="1174"/>
      <c r="F47" s="1174"/>
      <c r="G47" s="1174"/>
      <c r="H47" s="1174"/>
      <c r="I47" s="1174"/>
      <c r="J47" s="1174"/>
      <c r="K47" s="1174"/>
      <c r="L47" s="1174"/>
      <c r="M47" s="1174"/>
      <c r="N47" s="1845"/>
      <c r="O47" s="1845"/>
      <c r="P47" s="1845"/>
      <c r="Q47" s="1845"/>
    </row>
    <row r="48" spans="1:17">
      <c r="A48" s="1174"/>
      <c r="B48" s="1174"/>
      <c r="C48" s="1174"/>
      <c r="D48" s="1174"/>
      <c r="E48" s="1174"/>
      <c r="F48" s="1174"/>
      <c r="G48" s="1174"/>
      <c r="H48" s="1174"/>
      <c r="I48" s="1174"/>
      <c r="J48" s="1174"/>
      <c r="K48" s="1174"/>
      <c r="L48" s="1174"/>
      <c r="M48" s="1174"/>
      <c r="N48" s="1845"/>
      <c r="O48" s="1845"/>
      <c r="P48" s="1845"/>
      <c r="Q48" s="1845"/>
    </row>
    <row r="49" spans="1:17">
      <c r="A49" s="1174"/>
      <c r="B49" s="1174"/>
      <c r="C49" s="1174"/>
      <c r="D49" s="1174"/>
      <c r="E49" s="1174"/>
      <c r="F49" s="1174"/>
      <c r="G49" s="1174"/>
      <c r="H49" s="1174"/>
      <c r="I49" s="1174"/>
      <c r="J49" s="1174"/>
      <c r="K49" s="1174"/>
      <c r="L49" s="1174"/>
      <c r="M49" s="1174"/>
      <c r="N49" s="1845"/>
      <c r="O49" s="1845"/>
      <c r="P49" s="1845"/>
      <c r="Q49" s="1845"/>
    </row>
    <row r="50" spans="1:17">
      <c r="A50" s="1174"/>
      <c r="B50" s="1174"/>
      <c r="C50" s="1174"/>
      <c r="D50" s="1174"/>
      <c r="E50" s="1174"/>
      <c r="F50" s="1174"/>
      <c r="G50" s="1174"/>
      <c r="H50" s="1174"/>
      <c r="I50" s="1174"/>
      <c r="J50" s="1174"/>
      <c r="K50" s="1174"/>
      <c r="L50" s="1174"/>
      <c r="M50" s="1174"/>
      <c r="N50" s="1845"/>
      <c r="O50" s="1845"/>
      <c r="P50" s="1845"/>
      <c r="Q50" s="1845"/>
    </row>
    <row r="51" spans="1:17">
      <c r="A51" s="1174"/>
      <c r="B51" s="1174"/>
      <c r="C51" s="1174"/>
      <c r="D51" s="1174"/>
      <c r="E51" s="1174"/>
      <c r="F51" s="1174"/>
      <c r="G51" s="1174"/>
      <c r="H51" s="1174"/>
      <c r="I51" s="1174"/>
      <c r="J51" s="1174"/>
      <c r="K51" s="1174"/>
      <c r="L51" s="1174"/>
      <c r="M51" s="1174"/>
      <c r="N51" s="1845"/>
      <c r="O51" s="1845"/>
      <c r="P51" s="1845"/>
      <c r="Q51" s="1845"/>
    </row>
    <row r="52" spans="1:17">
      <c r="A52" s="1174"/>
      <c r="B52" s="1174"/>
      <c r="C52" s="1174"/>
      <c r="D52" s="1174"/>
      <c r="E52" s="1174"/>
      <c r="F52" s="1174"/>
      <c r="G52" s="1174"/>
      <c r="H52" s="1174"/>
      <c r="I52" s="1174"/>
      <c r="J52" s="1174"/>
      <c r="K52" s="1174"/>
      <c r="L52" s="1174"/>
      <c r="M52" s="1174"/>
      <c r="N52" s="1845"/>
      <c r="O52" s="1845"/>
      <c r="P52" s="1845"/>
      <c r="Q52" s="1845"/>
    </row>
    <row r="53" spans="1:17">
      <c r="A53" s="1174"/>
      <c r="B53" s="1174"/>
      <c r="C53" s="1174"/>
      <c r="D53" s="1174"/>
      <c r="E53" s="1174"/>
      <c r="F53" s="1174"/>
      <c r="G53" s="1174"/>
      <c r="H53" s="1174"/>
      <c r="I53" s="1174"/>
      <c r="J53" s="1174"/>
      <c r="K53" s="1174"/>
      <c r="L53" s="1174"/>
      <c r="M53" s="1174"/>
      <c r="N53" s="1845"/>
      <c r="O53" s="1845"/>
      <c r="P53" s="1845"/>
      <c r="Q53" s="1845"/>
    </row>
    <row r="54" spans="1:17">
      <c r="A54" s="1174"/>
      <c r="B54" s="1174"/>
      <c r="C54" s="1174"/>
      <c r="D54" s="1174"/>
      <c r="E54" s="1174"/>
      <c r="F54" s="1174"/>
      <c r="G54" s="1174"/>
      <c r="H54" s="1174"/>
      <c r="I54" s="1174"/>
      <c r="J54" s="1174"/>
      <c r="K54" s="1174"/>
      <c r="L54" s="1174"/>
      <c r="M54" s="1174"/>
      <c r="N54" s="1845"/>
      <c r="O54" s="1845"/>
      <c r="P54" s="1845"/>
      <c r="Q54" s="1845"/>
    </row>
    <row r="55" spans="1:17">
      <c r="A55" s="1174"/>
      <c r="B55" s="1174"/>
      <c r="C55" s="1174"/>
      <c r="D55" s="1174"/>
      <c r="E55" s="1174"/>
      <c r="F55" s="1174"/>
      <c r="G55" s="1174"/>
      <c r="H55" s="1174"/>
      <c r="I55" s="1174"/>
      <c r="J55" s="1174"/>
      <c r="K55" s="1174"/>
      <c r="L55" s="1174"/>
      <c r="M55" s="1174"/>
      <c r="N55" s="1845"/>
      <c r="O55" s="1845"/>
      <c r="P55" s="1845"/>
      <c r="Q55" s="1845"/>
    </row>
    <row r="56" spans="1:17">
      <c r="A56" s="1174"/>
      <c r="B56" s="1174"/>
      <c r="C56" s="1174"/>
      <c r="D56" s="1174"/>
      <c r="E56" s="1174"/>
      <c r="F56" s="1174"/>
      <c r="G56" s="1174"/>
      <c r="H56" s="1174"/>
      <c r="I56" s="1174"/>
      <c r="J56" s="1174"/>
      <c r="K56" s="1174"/>
      <c r="L56" s="1174"/>
      <c r="M56" s="1174"/>
      <c r="N56" s="1845"/>
      <c r="O56" s="1845"/>
      <c r="P56" s="1845"/>
      <c r="Q56" s="1845"/>
    </row>
    <row r="57" spans="1:17">
      <c r="A57" s="1174"/>
      <c r="B57" s="1174"/>
      <c r="C57" s="1174"/>
      <c r="D57" s="1174"/>
      <c r="E57" s="1174"/>
      <c r="F57" s="1174"/>
      <c r="G57" s="1174"/>
      <c r="H57" s="1174"/>
      <c r="I57" s="1174"/>
      <c r="J57" s="1174"/>
      <c r="K57" s="1174"/>
      <c r="L57" s="1174"/>
      <c r="M57" s="1174"/>
      <c r="N57" s="1845"/>
      <c r="O57" s="1845"/>
      <c r="P57" s="1845"/>
      <c r="Q57" s="1845"/>
    </row>
  </sheetData>
  <sheetProtection algorithmName="SHA-512" hashValue="ArLqlPQdokr7RREsu0ZsNt+X+CgoItu0JUuPlYdLOtPlvZcDCHBNzvgPfwlrtgBWrts/wLHevUrmxxklYZfRUg==" saltValue="05Lt+lybXoBbWNMA0HmPuQ==" spinCount="100000" sheet="1" objects="1" scenarios="1" formatColumns="0" formatRows="0"/>
  <mergeCells count="20">
    <mergeCell ref="B27:L30"/>
    <mergeCell ref="N39:Q39"/>
    <mergeCell ref="N23:Q25"/>
    <mergeCell ref="A47:C47"/>
    <mergeCell ref="B6:L10"/>
    <mergeCell ref="Q12:Q13"/>
    <mergeCell ref="N20:Q21"/>
    <mergeCell ref="N33:P35"/>
    <mergeCell ref="N37:Q38"/>
    <mergeCell ref="N22:Q22"/>
    <mergeCell ref="N5:Q6"/>
    <mergeCell ref="N8:Q9"/>
    <mergeCell ref="N17:P18"/>
    <mergeCell ref="N2:Q2"/>
    <mergeCell ref="N3:Q3"/>
    <mergeCell ref="N4:Q4"/>
    <mergeCell ref="A1:L1"/>
    <mergeCell ref="A2:L2"/>
    <mergeCell ref="A3:L3"/>
    <mergeCell ref="A4:L4"/>
  </mergeCells>
  <conditionalFormatting sqref="Q11">
    <cfRule type="cellIs" dxfId="200" priority="16" operator="equal">
      <formula>$I$23</formula>
    </cfRule>
    <cfRule type="cellIs" dxfId="199" priority="17" operator="notEqual">
      <formula>$I$23</formula>
    </cfRule>
  </conditionalFormatting>
  <conditionalFormatting sqref="Q18">
    <cfRule type="expression" dxfId="198" priority="14">
      <formula>IF($Q$11&lt;&gt;0,$Q$18&lt;&gt;1)</formula>
    </cfRule>
    <cfRule type="expression" dxfId="197" priority="15">
      <formula>IF($Q$11&lt;&gt;0,$Q$18=1)</formula>
    </cfRule>
  </conditionalFormatting>
  <conditionalFormatting sqref="Q35">
    <cfRule type="expression" dxfId="196" priority="8">
      <formula>IF($Q$27&lt;&gt;0,$Q$35&lt;&gt;1)</formula>
    </cfRule>
    <cfRule type="expression" dxfId="195" priority="9">
      <formula>IF($Q$27&lt;&gt;0,$Q$35=1)</formula>
    </cfRule>
  </conditionalFormatting>
  <conditionalFormatting sqref="Q27">
    <cfRule type="cellIs" dxfId="194" priority="6" operator="notEqual">
      <formula>$I$46</formula>
    </cfRule>
    <cfRule type="cellIs" dxfId="193" priority="7" operator="equal">
      <formula>$I$46</formula>
    </cfRule>
  </conditionalFormatting>
  <conditionalFormatting sqref="I23">
    <cfRule type="cellIs" dxfId="192" priority="30" operator="notEqual">
      <formula>$Q$11</formula>
    </cfRule>
  </conditionalFormatting>
  <conditionalFormatting sqref="I46">
    <cfRule type="cellIs" dxfId="191" priority="31" operator="notEqual">
      <formula>$Q$27</formula>
    </cfRule>
  </conditionalFormatting>
  <printOptions horizontalCentered="1"/>
  <pageMargins left="0.7" right="0.7" top="0.75" bottom="0.75" header="0.3" footer="0.3"/>
  <pageSetup scale="81" orientation="portrait" r:id="rId1"/>
  <headerFooter>
    <oddHeader>&amp;L&amp;"Arial,Regular"&amp;8&amp;F&amp;R&amp;"Arial,Regular"&amp;8&amp;A</oddHeader>
    <oddFooter>&amp;L&amp;"Arial,Regular"&amp;8&amp;D&amp;R&amp;"Arial,Regular"&amp;8&amp;P of &amp;N</oddFooter>
  </headerFooter>
  <colBreaks count="1" manualBreakCount="1">
    <brk id="12" max="4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9" tint="-0.249977111117893"/>
    <pageSetUpPr fitToPage="1"/>
  </sheetPr>
  <dimension ref="A1:S25"/>
  <sheetViews>
    <sheetView workbookViewId="0">
      <selection sqref="A1:N1"/>
    </sheetView>
  </sheetViews>
  <sheetFormatPr defaultColWidth="9.140625" defaultRowHeight="12.75"/>
  <cols>
    <col min="1" max="1" width="4.5703125" style="141" customWidth="1"/>
    <col min="2" max="3" width="2" style="141" customWidth="1"/>
    <col min="4" max="4" width="14.42578125" style="141" bestFit="1" customWidth="1"/>
    <col min="5" max="5" width="4.140625" style="141" customWidth="1"/>
    <col min="6" max="6" width="8.28515625" style="141" customWidth="1"/>
    <col min="7" max="7" width="17.28515625" style="141" customWidth="1"/>
    <col min="8" max="8" width="0.85546875" style="141" customWidth="1"/>
    <col min="9" max="9" width="17.28515625" style="141" customWidth="1"/>
    <col min="10" max="10" width="0.85546875" style="141" customWidth="1"/>
    <col min="11" max="11" width="17.28515625" style="141" customWidth="1"/>
    <col min="12" max="12" width="6.28515625" style="141" customWidth="1"/>
    <col min="13" max="13" width="4.85546875" style="141" customWidth="1"/>
    <col min="14" max="14" width="3" style="141" customWidth="1"/>
    <col min="15" max="15" width="4.140625" style="141" customWidth="1"/>
    <col min="16" max="16384" width="9.140625" style="141"/>
  </cols>
  <sheetData>
    <row r="1" spans="1:19" s="132" customFormat="1" ht="15" customHeight="1">
      <c r="A1" s="4471" t="str">
        <f>'Contact Information'!$C$5</f>
        <v>SAMPLE STATE COLLEGE</v>
      </c>
      <c r="B1" s="4471"/>
      <c r="C1" s="4471"/>
      <c r="D1" s="4471"/>
      <c r="E1" s="4471"/>
      <c r="F1" s="4471"/>
      <c r="G1" s="4471"/>
      <c r="H1" s="4471"/>
      <c r="I1" s="4471"/>
      <c r="J1" s="4471"/>
      <c r="K1" s="4471"/>
      <c r="L1" s="4471"/>
      <c r="M1" s="4471"/>
      <c r="N1" s="4471"/>
      <c r="P1" s="132" t="s">
        <v>3628</v>
      </c>
    </row>
    <row r="2" spans="1:19" s="132" customFormat="1" ht="15" customHeight="1">
      <c r="A2" s="4472" t="s">
        <v>2298</v>
      </c>
      <c r="B2" s="4472"/>
      <c r="C2" s="4472"/>
      <c r="D2" s="4472"/>
      <c r="E2" s="4472"/>
      <c r="F2" s="4472"/>
      <c r="G2" s="4472"/>
      <c r="H2" s="4472"/>
      <c r="I2" s="4472"/>
      <c r="J2" s="4472"/>
      <c r="K2" s="4472"/>
      <c r="L2" s="4472"/>
      <c r="M2" s="4472"/>
      <c r="N2" s="4472"/>
      <c r="P2" s="1002"/>
      <c r="Q2" s="1002"/>
      <c r="R2" s="1002"/>
      <c r="S2" s="1002"/>
    </row>
    <row r="3" spans="1:19" s="132" customFormat="1" ht="15" customHeight="1">
      <c r="A3" s="4473" t="s">
        <v>2744</v>
      </c>
      <c r="B3" s="4473"/>
      <c r="C3" s="4473"/>
      <c r="D3" s="4473"/>
      <c r="E3" s="4473"/>
      <c r="F3" s="4473"/>
      <c r="G3" s="4473"/>
      <c r="H3" s="4473"/>
      <c r="I3" s="4473"/>
      <c r="J3" s="4473"/>
      <c r="K3" s="4473"/>
      <c r="L3" s="4473"/>
      <c r="M3" s="4473"/>
      <c r="N3" s="4473"/>
      <c r="P3" s="1002"/>
      <c r="Q3" s="1002"/>
      <c r="R3" s="1002"/>
      <c r="S3" s="1002"/>
    </row>
    <row r="4" spans="1:19" s="132" customFormat="1" ht="15" customHeight="1">
      <c r="A4" s="4468" t="e">
        <f>'FCS Notes Sched Inv &amp; Cash'!B4:H4</f>
        <v>#VALUE!</v>
      </c>
      <c r="B4" s="4468"/>
      <c r="C4" s="4468"/>
      <c r="D4" s="4468"/>
      <c r="E4" s="4468"/>
      <c r="F4" s="4468"/>
      <c r="G4" s="4468"/>
      <c r="H4" s="4468"/>
      <c r="I4" s="4468"/>
      <c r="J4" s="4468"/>
      <c r="K4" s="4468"/>
      <c r="L4" s="4468"/>
      <c r="M4" s="4468"/>
      <c r="N4" s="4468"/>
      <c r="P4" s="1002"/>
      <c r="Q4" s="1002"/>
      <c r="R4" s="1002"/>
      <c r="S4" s="1002"/>
    </row>
    <row r="5" spans="1:19" ht="15.75" customHeight="1">
      <c r="A5" s="1875"/>
      <c r="B5" s="1875"/>
      <c r="C5" s="1875"/>
      <c r="D5" s="1875"/>
      <c r="E5" s="1875"/>
      <c r="F5" s="1875"/>
      <c r="G5" s="1875"/>
      <c r="H5" s="1875"/>
      <c r="I5" s="1875"/>
      <c r="J5" s="1875"/>
      <c r="K5" s="1875"/>
      <c r="L5" s="1875"/>
      <c r="M5" s="1875"/>
      <c r="N5" s="1875"/>
      <c r="O5" s="1867"/>
      <c r="P5" s="1819"/>
      <c r="Q5" s="1819"/>
      <c r="R5" s="1819"/>
      <c r="S5" s="1819"/>
    </row>
    <row r="6" spans="1:19" ht="15.75">
      <c r="A6" s="1867"/>
      <c r="B6" s="735" t="s">
        <v>3629</v>
      </c>
      <c r="C6" s="1875"/>
      <c r="D6" s="1875"/>
      <c r="E6" s="1875"/>
      <c r="F6" s="1875"/>
      <c r="G6" s="1875"/>
      <c r="H6" s="1875"/>
      <c r="I6" s="1875"/>
      <c r="J6" s="1875"/>
      <c r="K6" s="1875"/>
      <c r="L6" s="1875"/>
      <c r="M6" s="1875"/>
      <c r="N6" s="1875"/>
      <c r="O6" s="1867"/>
      <c r="P6" s="1819"/>
      <c r="Q6" s="1819"/>
      <c r="R6" s="1819"/>
      <c r="S6" s="1819"/>
    </row>
    <row r="7" spans="1:19" ht="9.75" customHeight="1">
      <c r="A7" s="1875"/>
      <c r="B7" s="1875"/>
      <c r="C7" s="1875"/>
      <c r="D7" s="1875"/>
      <c r="E7" s="1875"/>
      <c r="F7" s="1875"/>
      <c r="G7" s="1875"/>
      <c r="H7" s="1875"/>
      <c r="I7" s="1875"/>
      <c r="J7" s="1875"/>
      <c r="K7" s="1875"/>
      <c r="L7" s="1875"/>
      <c r="M7" s="1875"/>
      <c r="N7" s="1875"/>
      <c r="O7" s="1867"/>
      <c r="P7" s="1819"/>
      <c r="Q7" s="1819"/>
      <c r="R7" s="1819"/>
      <c r="S7" s="1819"/>
    </row>
    <row r="8" spans="1:19" ht="15" customHeight="1">
      <c r="A8" s="1875"/>
      <c r="B8" s="1875"/>
      <c r="C8" s="1875"/>
      <c r="D8" s="1867"/>
      <c r="E8" s="1875"/>
      <c r="F8" s="1875"/>
      <c r="G8" s="4469" t="s">
        <v>3630</v>
      </c>
      <c r="H8" s="4469"/>
      <c r="I8" s="4469"/>
      <c r="J8" s="4469"/>
      <c r="K8" s="4469"/>
      <c r="L8" s="1875"/>
      <c r="M8" s="1875"/>
      <c r="N8" s="1875"/>
      <c r="O8" s="1867"/>
      <c r="P8" s="1819"/>
      <c r="Q8" s="1819"/>
      <c r="R8" s="1819"/>
      <c r="S8" s="1819"/>
    </row>
    <row r="9" spans="1:19">
      <c r="A9" s="1875"/>
      <c r="B9" s="1875"/>
      <c r="C9" s="1875"/>
      <c r="D9" s="725" t="s">
        <v>2868</v>
      </c>
      <c r="E9" s="429"/>
      <c r="F9" s="125"/>
      <c r="G9" s="4470" t="s">
        <v>3631</v>
      </c>
      <c r="H9" s="4470"/>
      <c r="I9" s="4470"/>
      <c r="J9" s="4470"/>
      <c r="K9" s="4470"/>
      <c r="L9" s="1875"/>
      <c r="M9" s="1875"/>
      <c r="N9" s="1875"/>
      <c r="O9" s="1867"/>
      <c r="P9" s="1819"/>
      <c r="Q9" s="1819"/>
      <c r="R9" s="1819"/>
      <c r="S9" s="1819"/>
    </row>
    <row r="10" spans="1:19" s="44" customFormat="1">
      <c r="A10" s="546"/>
      <c r="B10" s="546"/>
      <c r="C10" s="546"/>
      <c r="D10" s="397" t="s">
        <v>2869</v>
      </c>
      <c r="E10" s="1873"/>
      <c r="F10" s="125"/>
      <c r="G10" s="549" t="s">
        <v>2870</v>
      </c>
      <c r="H10" s="486"/>
      <c r="I10" s="549" t="s">
        <v>2871</v>
      </c>
      <c r="J10" s="486"/>
      <c r="K10" s="549" t="s">
        <v>108</v>
      </c>
      <c r="L10" s="546"/>
      <c r="M10" s="546"/>
      <c r="N10" s="546"/>
      <c r="P10" s="860"/>
      <c r="Q10" s="860"/>
      <c r="R10" s="860"/>
      <c r="S10" s="860"/>
    </row>
    <row r="11" spans="1:19">
      <c r="A11" s="1875"/>
      <c r="B11" s="1875"/>
      <c r="C11" s="1875"/>
      <c r="D11" s="1873"/>
      <c r="E11" s="1873"/>
      <c r="F11" s="125"/>
      <c r="G11" s="125"/>
      <c r="H11" s="125"/>
      <c r="I11" s="125"/>
      <c r="J11" s="125"/>
      <c r="K11" s="125"/>
      <c r="L11" s="1875"/>
      <c r="M11" s="1875"/>
      <c r="N11" s="1875"/>
      <c r="O11" s="1867"/>
      <c r="P11" s="1819"/>
      <c r="Q11" s="1819"/>
      <c r="R11" s="1819"/>
      <c r="S11" s="1819"/>
    </row>
    <row r="12" spans="1:19">
      <c r="A12" s="1875"/>
      <c r="B12" s="1875"/>
      <c r="C12" s="1875"/>
      <c r="D12" s="417">
        <v>2017</v>
      </c>
      <c r="E12" s="1873"/>
      <c r="F12" s="125"/>
      <c r="G12" s="452">
        <f>SNP!M65</f>
        <v>0</v>
      </c>
      <c r="H12" s="127"/>
      <c r="I12" s="455">
        <v>0</v>
      </c>
      <c r="J12" s="127"/>
      <c r="K12" s="544">
        <f t="array" ref="K12">SUM(ROUND(G12:I12,0))</f>
        <v>0</v>
      </c>
      <c r="L12" s="1875"/>
      <c r="M12" s="1875"/>
      <c r="N12" s="1875"/>
      <c r="O12" s="1867"/>
      <c r="P12" s="1819"/>
      <c r="Q12" s="1819"/>
      <c r="R12" s="1819"/>
      <c r="S12" s="1819"/>
    </row>
    <row r="13" spans="1:19">
      <c r="A13" s="1875"/>
      <c r="B13" s="1875"/>
      <c r="C13" s="1875"/>
      <c r="D13" s="417">
        <v>2018</v>
      </c>
      <c r="E13" s="1873"/>
      <c r="F13" s="125"/>
      <c r="G13" s="421">
        <v>0</v>
      </c>
      <c r="H13" s="1866"/>
      <c r="I13" s="421">
        <v>0</v>
      </c>
      <c r="J13" s="1866"/>
      <c r="K13" s="627">
        <f t="array" ref="K13">SUM(ROUND(G13:I13,0))</f>
        <v>0</v>
      </c>
      <c r="L13" s="1875"/>
      <c r="M13" s="1875"/>
      <c r="N13" s="1875"/>
      <c r="O13" s="1867"/>
      <c r="P13" s="1819"/>
      <c r="Q13" s="1819"/>
      <c r="R13" s="1819"/>
      <c r="S13" s="1819"/>
    </row>
    <row r="14" spans="1:19">
      <c r="A14" s="1875"/>
      <c r="B14" s="1875"/>
      <c r="C14" s="1875"/>
      <c r="D14" s="417">
        <v>2019</v>
      </c>
      <c r="E14" s="1873"/>
      <c r="F14" s="125"/>
      <c r="G14" s="421">
        <v>0</v>
      </c>
      <c r="H14" s="1866"/>
      <c r="I14" s="421">
        <v>0</v>
      </c>
      <c r="J14" s="1866"/>
      <c r="K14" s="627">
        <f t="array" ref="K14">SUM(ROUND(G14:I14,0))</f>
        <v>0</v>
      </c>
      <c r="L14" s="1875"/>
      <c r="M14" s="1875"/>
      <c r="N14" s="1875"/>
      <c r="O14" s="1867"/>
      <c r="P14" s="1819"/>
      <c r="Q14" s="1819"/>
      <c r="R14" s="1819"/>
      <c r="S14" s="1819"/>
    </row>
    <row r="15" spans="1:19">
      <c r="A15" s="1875"/>
      <c r="B15" s="1875"/>
      <c r="C15" s="1875"/>
      <c r="D15" s="417">
        <v>2020</v>
      </c>
      <c r="E15" s="1873"/>
      <c r="F15" s="125"/>
      <c r="G15" s="421">
        <v>0</v>
      </c>
      <c r="H15" s="1866"/>
      <c r="I15" s="421">
        <v>0</v>
      </c>
      <c r="J15" s="1866"/>
      <c r="K15" s="627">
        <f t="array" ref="K15">SUM(ROUND(G15:I15,0))</f>
        <v>0</v>
      </c>
      <c r="L15" s="1875"/>
      <c r="M15" s="1875"/>
      <c r="N15" s="1875"/>
      <c r="O15" s="1867"/>
      <c r="P15" s="1819"/>
      <c r="Q15" s="1819"/>
      <c r="R15" s="1819"/>
      <c r="S15" s="1819"/>
    </row>
    <row r="16" spans="1:19">
      <c r="A16" s="1875"/>
      <c r="B16" s="1875"/>
      <c r="C16" s="1875"/>
      <c r="D16" s="417">
        <v>2021</v>
      </c>
      <c r="E16" s="1873"/>
      <c r="F16" s="125"/>
      <c r="G16" s="421">
        <v>0</v>
      </c>
      <c r="H16" s="1866"/>
      <c r="I16" s="421">
        <v>0</v>
      </c>
      <c r="J16" s="1866"/>
      <c r="K16" s="627">
        <f t="array" ref="K16">SUM(ROUND(G16:I16,0))</f>
        <v>0</v>
      </c>
      <c r="L16" s="1875"/>
      <c r="M16" s="1875"/>
      <c r="N16" s="1875"/>
      <c r="O16" s="1867"/>
      <c r="P16" s="1819"/>
      <c r="Q16" s="1819"/>
      <c r="R16" s="1819"/>
      <c r="S16" s="1819"/>
    </row>
    <row r="17" spans="1:19">
      <c r="A17" s="1875"/>
      <c r="B17" s="1875"/>
      <c r="C17" s="1875"/>
      <c r="D17" s="724" t="s">
        <v>3632</v>
      </c>
      <c r="E17" s="1873"/>
      <c r="F17" s="125"/>
      <c r="G17" s="421">
        <v>0</v>
      </c>
      <c r="H17" s="1866"/>
      <c r="I17" s="421">
        <v>0</v>
      </c>
      <c r="J17" s="1866"/>
      <c r="K17" s="627">
        <f t="array" ref="K17">SUM(ROUND(G17:I17,0))</f>
        <v>0</v>
      </c>
      <c r="L17" s="1875"/>
      <c r="M17" s="1875"/>
      <c r="N17" s="1875"/>
      <c r="O17" s="1867"/>
      <c r="P17" s="1819"/>
      <c r="Q17" s="1819"/>
      <c r="R17" s="1819"/>
      <c r="S17" s="1819"/>
    </row>
    <row r="18" spans="1:19">
      <c r="A18" s="1875"/>
      <c r="B18" s="1875"/>
      <c r="C18" s="1875"/>
      <c r="D18" s="724" t="s">
        <v>3633</v>
      </c>
      <c r="E18" s="1873"/>
      <c r="F18" s="125"/>
      <c r="G18" s="421">
        <v>0</v>
      </c>
      <c r="H18" s="1866"/>
      <c r="I18" s="421">
        <v>0</v>
      </c>
      <c r="J18" s="1866"/>
      <c r="K18" s="627">
        <f t="array" ref="K18">SUM(ROUND(G18:I18,0))</f>
        <v>0</v>
      </c>
      <c r="L18" s="1875"/>
      <c r="M18" s="1875"/>
      <c r="N18" s="1875"/>
      <c r="O18" s="1867"/>
      <c r="P18" s="1819"/>
      <c r="Q18" s="1819"/>
      <c r="R18" s="1819"/>
      <c r="S18" s="1819"/>
    </row>
    <row r="19" spans="1:19">
      <c r="A19" s="1875"/>
      <c r="B19" s="1875"/>
      <c r="C19" s="1875"/>
      <c r="D19" s="724" t="s">
        <v>3634</v>
      </c>
      <c r="E19" s="1873"/>
      <c r="F19" s="125"/>
      <c r="G19" s="422">
        <v>0</v>
      </c>
      <c r="H19" s="1866"/>
      <c r="I19" s="422">
        <v>0</v>
      </c>
      <c r="J19" s="1866"/>
      <c r="K19" s="628">
        <f t="array" ref="K19">SUM(ROUND(G19:I19,0))</f>
        <v>0</v>
      </c>
      <c r="L19" s="1875"/>
      <c r="M19" s="1875"/>
      <c r="N19" s="1875"/>
      <c r="O19" s="1867"/>
      <c r="P19" s="1819"/>
      <c r="Q19" s="1819"/>
      <c r="R19" s="1819"/>
      <c r="S19" s="1819"/>
    </row>
    <row r="20" spans="1:19">
      <c r="A20" s="1875"/>
      <c r="B20" s="1875"/>
      <c r="C20" s="1875"/>
      <c r="D20" s="1873"/>
      <c r="E20" s="1873"/>
      <c r="F20" s="125"/>
      <c r="G20" s="1866"/>
      <c r="H20" s="1866"/>
      <c r="I20" s="1866"/>
      <c r="J20" s="1866"/>
      <c r="K20" s="1866"/>
      <c r="L20" s="1875"/>
      <c r="M20" s="1875"/>
      <c r="N20" s="1875"/>
      <c r="O20" s="1867"/>
      <c r="P20" s="1819"/>
      <c r="Q20" s="1819"/>
      <c r="R20" s="1819"/>
      <c r="S20" s="1819"/>
    </row>
    <row r="21" spans="1:19" ht="13.5" thickBot="1">
      <c r="A21" s="1875"/>
      <c r="B21" s="1875"/>
      <c r="C21" s="1875"/>
      <c r="D21" s="414" t="s">
        <v>108</v>
      </c>
      <c r="E21" s="1873"/>
      <c r="F21" s="1873"/>
      <c r="G21" s="419">
        <f t="array" ref="G21">SUM(ROUND(G12:G19,0))</f>
        <v>0</v>
      </c>
      <c r="H21" s="547"/>
      <c r="I21" s="419">
        <f t="array" ref="I21">SUM(ROUND(I12:I19,0))</f>
        <v>0</v>
      </c>
      <c r="J21" s="547"/>
      <c r="K21" s="419">
        <f t="array" ref="K21">SUM(ROUND(K12:K19,0))</f>
        <v>0</v>
      </c>
      <c r="L21" s="1875"/>
      <c r="M21" s="1875"/>
      <c r="N21" s="1875"/>
      <c r="O21" s="1867"/>
      <c r="P21" s="1867"/>
      <c r="Q21" s="1867"/>
      <c r="R21" s="1867"/>
      <c r="S21" s="1867"/>
    </row>
    <row r="22" spans="1:19" ht="13.5" thickTop="1">
      <c r="A22" s="1875"/>
      <c r="B22" s="1875"/>
      <c r="C22" s="1875"/>
      <c r="D22" s="1875"/>
      <c r="E22" s="1875"/>
      <c r="F22" s="1875"/>
      <c r="G22" s="1875"/>
      <c r="H22" s="1875"/>
      <c r="I22" s="1875"/>
      <c r="J22" s="1875"/>
      <c r="K22" s="1875"/>
      <c r="L22" s="1875"/>
      <c r="M22" s="1875"/>
      <c r="N22" s="1875"/>
      <c r="O22" s="1867"/>
      <c r="P22" s="1867"/>
      <c r="Q22" s="1867"/>
      <c r="R22" s="1867"/>
      <c r="S22" s="1867"/>
    </row>
    <row r="23" spans="1:19">
      <c r="A23" s="1867"/>
      <c r="B23" s="1867"/>
      <c r="C23" s="1867"/>
      <c r="D23" s="1867"/>
      <c r="E23" s="1867"/>
      <c r="F23" s="200" t="s">
        <v>2873</v>
      </c>
      <c r="G23" s="201">
        <f>ROUND(SNP!M87,0)+ROUND(SNP!M65,0)</f>
        <v>0</v>
      </c>
      <c r="H23" s="1867"/>
      <c r="I23" s="1867"/>
      <c r="J23" s="1867"/>
      <c r="K23" s="1867"/>
      <c r="L23" s="1867"/>
      <c r="M23" s="1867"/>
      <c r="N23" s="1867"/>
      <c r="O23" s="1867"/>
      <c r="P23" s="1867"/>
      <c r="Q23" s="1867"/>
      <c r="R23" s="1867"/>
      <c r="S23" s="1867"/>
    </row>
    <row r="24" spans="1:19" ht="15" customHeight="1">
      <c r="A24" s="1867"/>
      <c r="B24" s="1867"/>
      <c r="C24" s="4467" t="s">
        <v>3635</v>
      </c>
      <c r="D24" s="4467"/>
      <c r="E24" s="4467"/>
      <c r="F24" s="4467"/>
      <c r="G24" s="1867"/>
      <c r="H24" s="1867"/>
      <c r="I24" s="1867"/>
      <c r="J24" s="1867"/>
      <c r="K24" s="1867"/>
      <c r="L24" s="1867"/>
      <c r="M24" s="1867"/>
      <c r="N24" s="1867"/>
      <c r="O24" s="1867"/>
      <c r="P24" s="1867"/>
      <c r="Q24" s="1867"/>
      <c r="R24" s="1867"/>
      <c r="S24" s="1867"/>
    </row>
    <row r="25" spans="1:19">
      <c r="A25" s="1867"/>
      <c r="B25" s="1867"/>
      <c r="C25" s="4467"/>
      <c r="D25" s="4467"/>
      <c r="E25" s="4467"/>
      <c r="F25" s="4467"/>
      <c r="G25" s="201">
        <f>ROUND('Accounts by GL'!O122,0)+ROUND('Accounts by GL'!O123,0)</f>
        <v>0</v>
      </c>
      <c r="H25" s="1867"/>
      <c r="I25" s="1867"/>
      <c r="J25" s="1867"/>
      <c r="K25" s="1867"/>
      <c r="L25" s="1867"/>
      <c r="M25" s="1867"/>
      <c r="N25" s="1867"/>
      <c r="O25" s="1867"/>
      <c r="P25" s="1867"/>
      <c r="Q25" s="1867"/>
      <c r="R25" s="1867"/>
      <c r="S25" s="1867"/>
    </row>
  </sheetData>
  <sheetProtection algorithmName="SHA-512" hashValue="CxW94QYjZT0px/pKeoMiL9SQ9sOtCVzzX+F6yqVJGXEJjToo6XV7OpPxvsiSWFgWzh+BW4wyb+9seuaDTtL02g==" saltValue="DvkUm/8B+9ZPbQhbQ2MIUg==" spinCount="100000" sheet="1" objects="1" scenarios="1" formatColumns="0" formatRows="0"/>
  <mergeCells count="7">
    <mergeCell ref="C24:F25"/>
    <mergeCell ref="A4:N4"/>
    <mergeCell ref="G8:K8"/>
    <mergeCell ref="G9:K9"/>
    <mergeCell ref="A1:N1"/>
    <mergeCell ref="A2:N2"/>
    <mergeCell ref="A3:N3"/>
  </mergeCells>
  <conditionalFormatting sqref="G23 G25">
    <cfRule type="cellIs" dxfId="190" priority="7" operator="notEqual">
      <formula>$G$21</formula>
    </cfRule>
    <cfRule type="cellIs" dxfId="189" priority="8" operator="equal">
      <formula>$G$21</formula>
    </cfRule>
  </conditionalFormatting>
  <printOptions horizontalCentered="1"/>
  <pageMargins left="0.7" right="0.7" top="0.75" bottom="0.5" header="0.3" footer="0.3"/>
  <pageSetup scale="87" orientation="portrait" r:id="rId1"/>
  <headerFooter>
    <oddHeader>&amp;L&amp;"Arial,Regular"&amp;8&amp;F&amp;R&amp;"Arial,Regular"&amp;8&amp;A</oddHeader>
    <oddFooter>&amp;L&amp;"Arial,Regular"&amp;8&amp;D&amp;R&amp;"Arial,Regular"&amp;8&amp;P of &amp;N</oddFooter>
  </headerFooter>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249977111117893"/>
  </sheetPr>
  <dimension ref="A1:AO27"/>
  <sheetViews>
    <sheetView workbookViewId="0">
      <selection activeCell="O9" sqref="O9"/>
    </sheetView>
  </sheetViews>
  <sheetFormatPr defaultColWidth="9.140625" defaultRowHeight="15"/>
  <cols>
    <col min="1" max="1" width="2.42578125" style="61" customWidth="1"/>
    <col min="2" max="2" width="4" style="61" customWidth="1"/>
    <col min="3" max="3" width="5.7109375" style="61" customWidth="1"/>
    <col min="4" max="4" width="8.42578125" style="61" customWidth="1"/>
    <col min="5" max="5" width="2.85546875" style="61" customWidth="1"/>
    <col min="6" max="6" width="7" style="61" customWidth="1"/>
    <col min="7" max="7" width="4.7109375" style="61" customWidth="1"/>
    <col min="8" max="8" width="23.42578125" style="61" customWidth="1"/>
    <col min="9" max="9" width="16.140625" style="61" customWidth="1"/>
    <col min="10" max="10" width="4.42578125" style="61" customWidth="1"/>
    <col min="11" max="11" width="2.85546875" style="61" customWidth="1"/>
    <col min="12" max="12" width="2.7109375" style="61" customWidth="1"/>
    <col min="13" max="13" width="8.85546875" style="218" customWidth="1"/>
    <col min="14" max="14" width="4" style="212" customWidth="1"/>
    <col min="15" max="15" width="9" style="141" customWidth="1"/>
    <col min="16" max="16" width="11.28515625" style="141" customWidth="1"/>
    <col min="17" max="17" width="7.7109375" style="141" customWidth="1"/>
    <col min="18" max="18" width="25" style="141" customWidth="1"/>
    <col min="19" max="19" width="11.140625" style="726" bestFit="1" customWidth="1"/>
    <col min="20" max="20" width="3.85546875" style="61" customWidth="1"/>
    <col min="21" max="21" width="56.7109375" style="61" bestFit="1" customWidth="1"/>
    <col min="22" max="22" width="6.140625" style="61" bestFit="1" customWidth="1"/>
    <col min="23" max="23" width="37.28515625" style="61" bestFit="1" customWidth="1"/>
    <col min="24" max="24" width="39.5703125" style="218" bestFit="1" customWidth="1"/>
    <col min="25" max="25" width="2.140625" style="218" customWidth="1"/>
    <col min="26" max="26" width="6.28515625" style="61" bestFit="1" customWidth="1"/>
    <col min="27" max="27" width="39.42578125" style="218" bestFit="1" customWidth="1"/>
    <col min="28" max="28" width="2.140625" style="218" customWidth="1"/>
    <col min="29" max="32" width="2.140625" style="61" customWidth="1"/>
    <col min="33" max="33" width="8.7109375" style="61" bestFit="1" customWidth="1"/>
    <col min="34" max="35" width="2.140625" style="61" customWidth="1"/>
    <col min="36" max="36" width="11.42578125" style="61" bestFit="1" customWidth="1"/>
    <col min="37" max="37" width="2.140625" style="61" customWidth="1"/>
    <col min="38" max="38" width="4.85546875" style="61" bestFit="1" customWidth="1"/>
    <col min="39" max="39" width="11.28515625" style="61" bestFit="1" customWidth="1"/>
    <col min="40" max="41" width="2.140625" style="61" customWidth="1"/>
    <col min="42" max="16384" width="9.140625" style="61"/>
  </cols>
  <sheetData>
    <row r="1" spans="1:41" ht="15" customHeight="1" thickBot="1">
      <c r="A1" s="4492" t="str">
        <f>'Contact Information'!$C$5</f>
        <v>SAMPLE STATE COLLEGE</v>
      </c>
      <c r="B1" s="4492"/>
      <c r="C1" s="4492"/>
      <c r="D1" s="4492"/>
      <c r="E1" s="4492"/>
      <c r="F1" s="4492"/>
      <c r="G1" s="4492"/>
      <c r="H1" s="4492"/>
      <c r="I1" s="4492"/>
      <c r="J1" s="4492"/>
      <c r="K1" s="4492"/>
      <c r="L1" s="4492"/>
      <c r="M1" s="4492"/>
      <c r="N1" s="435"/>
      <c r="O1" s="1867"/>
      <c r="P1" s="1867"/>
      <c r="Q1" s="1867"/>
      <c r="R1" s="1867"/>
      <c r="X1" s="61"/>
      <c r="Y1" s="61"/>
      <c r="AA1" s="61"/>
      <c r="AB1" s="61"/>
    </row>
    <row r="2" spans="1:41" ht="15" customHeight="1">
      <c r="A2" s="4492" t="s">
        <v>2298</v>
      </c>
      <c r="B2" s="4492"/>
      <c r="C2" s="4492"/>
      <c r="D2" s="4492"/>
      <c r="E2" s="4492"/>
      <c r="F2" s="4492"/>
      <c r="G2" s="4492"/>
      <c r="H2" s="4492"/>
      <c r="I2" s="4492"/>
      <c r="J2" s="4492"/>
      <c r="K2" s="4492"/>
      <c r="L2" s="4492"/>
      <c r="M2" s="4492"/>
      <c r="N2" s="435"/>
      <c r="O2" s="4483" t="str">
        <f>A1</f>
        <v>SAMPLE STATE COLLEGE</v>
      </c>
      <c r="P2" s="4484"/>
      <c r="Q2" s="4484"/>
      <c r="R2" s="4485"/>
      <c r="X2" s="61"/>
      <c r="Y2" s="61"/>
      <c r="AA2" s="61"/>
      <c r="AB2" s="61"/>
    </row>
    <row r="3" spans="1:41" ht="15.75" thickBot="1">
      <c r="A3" s="4492" t="s">
        <v>2744</v>
      </c>
      <c r="B3" s="4492"/>
      <c r="C3" s="4492"/>
      <c r="D3" s="4492"/>
      <c r="E3" s="4492"/>
      <c r="F3" s="4492"/>
      <c r="G3" s="4492"/>
      <c r="H3" s="4492"/>
      <c r="I3" s="4492"/>
      <c r="J3" s="4492"/>
      <c r="K3" s="4492"/>
      <c r="L3" s="4492"/>
      <c r="M3" s="4492"/>
      <c r="N3" s="435"/>
      <c r="O3" s="4486" t="e">
        <f>A4</f>
        <v>#VALUE!</v>
      </c>
      <c r="P3" s="4487"/>
      <c r="Q3" s="4487"/>
      <c r="R3" s="4488"/>
      <c r="X3" s="61"/>
      <c r="Y3" s="61"/>
      <c r="AA3" s="61"/>
      <c r="AB3" s="61"/>
    </row>
    <row r="4" spans="1:41" ht="15.75" thickBot="1">
      <c r="A4" s="4493" t="e">
        <f>'FCS Notes Sched Inv &amp; Cash'!B4:H4</f>
        <v>#VALUE!</v>
      </c>
      <c r="B4" s="4493"/>
      <c r="C4" s="4493"/>
      <c r="D4" s="4493"/>
      <c r="E4" s="4493"/>
      <c r="F4" s="4493"/>
      <c r="G4" s="4493"/>
      <c r="H4" s="4493"/>
      <c r="I4" s="4493"/>
      <c r="J4" s="4493"/>
      <c r="K4" s="4493"/>
      <c r="L4" s="4493"/>
      <c r="M4" s="4493"/>
      <c r="N4" s="473"/>
      <c r="O4" s="4489" t="s">
        <v>3636</v>
      </c>
      <c r="P4" s="4490"/>
      <c r="Q4" s="4490"/>
      <c r="R4" s="4491"/>
      <c r="S4" s="727"/>
      <c r="T4" s="215"/>
      <c r="U4" s="215"/>
      <c r="V4" s="215"/>
      <c r="W4" s="215"/>
      <c r="X4" s="215"/>
      <c r="Y4" s="215"/>
      <c r="Z4" s="215"/>
      <c r="AA4" s="215"/>
      <c r="AB4" s="215"/>
      <c r="AC4" s="215"/>
      <c r="AD4" s="215"/>
      <c r="AE4" s="215"/>
      <c r="AF4" s="215"/>
      <c r="AG4" s="215"/>
      <c r="AH4" s="215"/>
      <c r="AI4" s="215"/>
      <c r="AJ4" s="215"/>
      <c r="AK4" s="215"/>
      <c r="AL4" s="215"/>
      <c r="AM4" s="215"/>
      <c r="AN4" s="215"/>
      <c r="AO4" s="215"/>
    </row>
    <row r="5" spans="1:41" ht="15" customHeight="1">
      <c r="A5" s="453"/>
      <c r="B5" s="453"/>
      <c r="C5" s="453"/>
      <c r="D5" s="453"/>
      <c r="E5" s="453"/>
      <c r="F5" s="453"/>
      <c r="G5" s="453"/>
      <c r="H5" s="453"/>
      <c r="I5" s="453"/>
      <c r="J5" s="453"/>
      <c r="K5" s="453"/>
      <c r="L5" s="453"/>
      <c r="M5" s="423"/>
      <c r="N5" s="474"/>
      <c r="O5" s="466"/>
      <c r="P5" s="467"/>
      <c r="Q5" s="467"/>
      <c r="R5" s="468"/>
      <c r="S5" s="727" t="s">
        <v>2790</v>
      </c>
      <c r="T5" s="215"/>
      <c r="U5" s="215"/>
      <c r="V5" s="215"/>
      <c r="W5" s="215"/>
      <c r="X5" s="215"/>
      <c r="Y5" s="215"/>
      <c r="Z5" s="215"/>
      <c r="AA5" s="215"/>
      <c r="AB5" s="215"/>
      <c r="AC5" s="215"/>
      <c r="AD5" s="215"/>
      <c r="AE5" s="215"/>
      <c r="AF5" s="215"/>
      <c r="AG5" s="215"/>
      <c r="AH5" s="215"/>
      <c r="AI5" s="215"/>
      <c r="AJ5" s="215"/>
      <c r="AK5" s="215"/>
      <c r="AL5" s="215"/>
      <c r="AM5" s="215"/>
      <c r="AN5" s="215"/>
      <c r="AO5" s="215"/>
    </row>
    <row r="6" spans="1:41">
      <c r="B6" s="732" t="s">
        <v>2745</v>
      </c>
      <c r="C6" s="1079" t="s">
        <v>3637</v>
      </c>
      <c r="D6" s="453"/>
      <c r="E6" s="453"/>
      <c r="F6" s="453"/>
      <c r="G6" s="453"/>
      <c r="H6" s="453"/>
      <c r="I6" s="453"/>
      <c r="J6" s="453"/>
      <c r="K6" s="453"/>
      <c r="L6" s="453"/>
      <c r="M6" s="423"/>
      <c r="N6" s="474"/>
      <c r="O6" s="4480" t="s">
        <v>3638</v>
      </c>
      <c r="P6" s="4481"/>
      <c r="Q6" s="4481"/>
      <c r="R6" s="4482"/>
      <c r="S6" s="727" t="s">
        <v>2791</v>
      </c>
      <c r="T6" s="215"/>
      <c r="U6" s="215"/>
      <c r="V6" s="215"/>
      <c r="W6" s="215"/>
      <c r="X6" s="215"/>
      <c r="Y6" s="215"/>
      <c r="Z6" s="215"/>
      <c r="AA6" s="215"/>
      <c r="AB6" s="215"/>
      <c r="AC6" s="215"/>
      <c r="AD6" s="215"/>
      <c r="AE6" s="215"/>
      <c r="AF6" s="215"/>
      <c r="AG6" s="215"/>
      <c r="AH6" s="215"/>
      <c r="AI6" s="215"/>
      <c r="AJ6" s="215"/>
      <c r="AK6" s="215"/>
      <c r="AL6" s="215"/>
      <c r="AM6" s="215"/>
      <c r="AN6" s="215"/>
      <c r="AO6" s="215"/>
    </row>
    <row r="7" spans="1:41" ht="9.75" customHeight="1" thickBot="1">
      <c r="A7" s="453"/>
      <c r="B7" s="453"/>
      <c r="C7" s="453"/>
      <c r="D7" s="453"/>
      <c r="E7" s="453"/>
      <c r="F7" s="453"/>
      <c r="G7" s="453"/>
      <c r="H7" s="453"/>
      <c r="I7" s="453"/>
      <c r="J7" s="453"/>
      <c r="K7" s="453"/>
      <c r="L7" s="453"/>
      <c r="M7" s="423"/>
      <c r="N7" s="474"/>
      <c r="O7" s="4480"/>
      <c r="P7" s="4481"/>
      <c r="Q7" s="4481"/>
      <c r="R7" s="4482"/>
      <c r="S7" s="727"/>
      <c r="T7" s="215"/>
      <c r="U7" s="215"/>
      <c r="V7" s="215"/>
      <c r="W7" s="215"/>
      <c r="X7" s="215"/>
      <c r="Y7" s="215"/>
      <c r="Z7" s="215"/>
      <c r="AA7" s="215"/>
      <c r="AB7" s="215"/>
      <c r="AC7" s="215"/>
      <c r="AD7" s="215"/>
      <c r="AE7" s="215"/>
      <c r="AF7" s="215"/>
      <c r="AG7" s="215"/>
      <c r="AH7" s="215"/>
      <c r="AI7" s="215"/>
      <c r="AJ7" s="215"/>
      <c r="AK7" s="215"/>
      <c r="AL7" s="215"/>
      <c r="AM7" s="215"/>
      <c r="AN7" s="215"/>
      <c r="AO7" s="215"/>
    </row>
    <row r="8" spans="1:41" ht="15" customHeight="1" thickBot="1">
      <c r="A8" s="453"/>
      <c r="B8" s="4478" t="str">
        <f>CONCATENATE("The College leased ",R20," under ",P20,"operating lease",P22,", which expire",P21," in ",R21,".  ",Q20)</f>
        <v>The College leased _______ under (an) operating lease(s), which expire(s) in 20__.  These (This)</v>
      </c>
      <c r="C8" s="4478"/>
      <c r="D8" s="4478"/>
      <c r="E8" s="4478"/>
      <c r="F8" s="4478"/>
      <c r="G8" s="4478"/>
      <c r="H8" s="4478"/>
      <c r="I8" s="4478"/>
      <c r="J8" s="4478"/>
      <c r="K8" s="4478"/>
      <c r="L8" s="4478"/>
      <c r="M8" s="4478"/>
      <c r="N8" s="1868"/>
      <c r="O8" s="1269" t="s">
        <v>3639</v>
      </c>
      <c r="P8" s="469"/>
      <c r="Q8" s="469"/>
      <c r="R8" s="470"/>
      <c r="S8" s="728"/>
      <c r="T8" s="216"/>
      <c r="U8" s="216"/>
      <c r="V8" s="216"/>
      <c r="W8" s="216"/>
      <c r="X8" s="216"/>
      <c r="Y8" s="216"/>
      <c r="Z8" s="216"/>
      <c r="AA8" s="216"/>
      <c r="AB8" s="216"/>
      <c r="AC8" s="216"/>
      <c r="AD8" s="216"/>
      <c r="AE8" s="216"/>
      <c r="AF8" s="216"/>
      <c r="AG8" s="216"/>
      <c r="AH8" s="216"/>
      <c r="AI8" s="216"/>
      <c r="AJ8" s="216"/>
      <c r="AK8" s="216"/>
      <c r="AL8" s="216"/>
      <c r="AM8" s="216"/>
      <c r="AN8" s="216"/>
      <c r="AO8" s="216"/>
    </row>
    <row r="9" spans="1:41" ht="15" customHeight="1">
      <c r="A9" s="217"/>
      <c r="B9" s="4478" t="str">
        <f>CONCATENATE("leased asset",P22," and the related commitments are not reported on the College’s statement of net assets.")</f>
        <v>leased asset(s) and the related commitments are not reported on the College’s statement of net assets.</v>
      </c>
      <c r="C9" s="4478"/>
      <c r="D9" s="4478"/>
      <c r="E9" s="4478"/>
      <c r="F9" s="4478"/>
      <c r="G9" s="4478"/>
      <c r="H9" s="4478"/>
      <c r="I9" s="4478"/>
      <c r="J9" s="4478"/>
      <c r="K9" s="4478"/>
      <c r="L9" s="4478"/>
      <c r="M9" s="4478"/>
      <c r="N9" s="1868"/>
      <c r="O9" s="205"/>
      <c r="P9" s="206"/>
      <c r="Q9" s="206"/>
      <c r="R9" s="214"/>
    </row>
    <row r="10" spans="1:41" ht="15" customHeight="1">
      <c r="A10" s="217"/>
      <c r="B10" s="4478" t="s">
        <v>3640</v>
      </c>
      <c r="C10" s="4478"/>
      <c r="D10" s="4478"/>
      <c r="E10" s="4478"/>
      <c r="F10" s="4478"/>
      <c r="G10" s="4478"/>
      <c r="H10" s="4478"/>
      <c r="I10" s="4478"/>
      <c r="J10" s="4478"/>
      <c r="K10" s="4478"/>
      <c r="L10" s="4478"/>
      <c r="M10" s="4478"/>
      <c r="N10" s="1868"/>
      <c r="O10" s="4474" t="str">
        <f>IF($R$8="Yes","Please Complete the schedule to the left.","")</f>
        <v/>
      </c>
      <c r="P10" s="4475"/>
      <c r="Q10" s="4475"/>
      <c r="R10" s="4476"/>
    </row>
    <row r="11" spans="1:41">
      <c r="A11" s="217"/>
      <c r="B11" s="4478" t="str">
        <f>CONCATENATE("resulting from ",Q21," lease agreement",P22," are contingent upon future appropriations.  Future")</f>
        <v>resulting from these (this) lease agreement(s) are contingent upon future appropriations.  Future</v>
      </c>
      <c r="C11" s="4478"/>
      <c r="D11" s="4478"/>
      <c r="E11" s="4478"/>
      <c r="F11" s="4478"/>
      <c r="G11" s="4478"/>
      <c r="H11" s="4478"/>
      <c r="I11" s="4478"/>
      <c r="J11" s="4478"/>
      <c r="K11" s="4478"/>
      <c r="L11" s="4478"/>
      <c r="M11" s="4478"/>
      <c r="N11" s="1868"/>
      <c r="O11" s="625"/>
      <c r="P11" s="667"/>
      <c r="Q11" s="667"/>
      <c r="R11" s="626"/>
      <c r="S11" s="726" t="s">
        <v>3641</v>
      </c>
    </row>
    <row r="12" spans="1:41" ht="15.75" customHeight="1" thickBot="1">
      <c r="A12" s="217"/>
      <c r="B12" s="4479" t="str">
        <f>CONCATENATE("minimum lease commitments for ",Q21," noncancelable operating lease",P22," are as follows:")</f>
        <v>minimum lease commitments for these (this) noncancelable operating lease(s) are as follows:</v>
      </c>
      <c r="C12" s="4479"/>
      <c r="D12" s="4479"/>
      <c r="E12" s="4479"/>
      <c r="F12" s="4479"/>
      <c r="G12" s="4479"/>
      <c r="H12" s="4479"/>
      <c r="I12" s="4479"/>
      <c r="J12" s="4479"/>
      <c r="K12" s="4479"/>
      <c r="L12" s="4479"/>
      <c r="M12" s="4479"/>
      <c r="N12" s="1868"/>
      <c r="O12" s="205" t="str">
        <f>IF($R$8="Yes","What were the current year payments on the oustanding","")</f>
        <v/>
      </c>
      <c r="P12" s="1868"/>
      <c r="Q12" s="1868"/>
      <c r="R12" s="203"/>
      <c r="S12" s="726" t="s">
        <v>3642</v>
      </c>
    </row>
    <row r="13" spans="1:41" s="212" customFormat="1" ht="13.5" thickBot="1">
      <c r="A13" s="461"/>
      <c r="B13" s="461"/>
      <c r="C13" s="461"/>
      <c r="D13" s="461"/>
      <c r="E13" s="461"/>
      <c r="F13" s="461"/>
      <c r="G13" s="461"/>
      <c r="H13" s="461"/>
      <c r="I13" s="461"/>
      <c r="J13" s="461"/>
      <c r="K13" s="461"/>
      <c r="L13" s="461"/>
      <c r="M13" s="206"/>
      <c r="N13" s="461"/>
      <c r="O13" s="462" t="str">
        <f>IF($R$8="Yes","operating leases?","")</f>
        <v/>
      </c>
      <c r="P13" s="1868"/>
      <c r="Q13" s="210" t="str">
        <f>IF($R$8="No","N/A",IF($R$8="Yes","$",""))</f>
        <v/>
      </c>
      <c r="R13" s="463"/>
      <c r="S13" s="731"/>
      <c r="T13" s="2520"/>
      <c r="U13" s="2520"/>
      <c r="V13" s="2520"/>
      <c r="W13" s="2520"/>
      <c r="X13" s="213"/>
      <c r="Y13" s="213"/>
      <c r="Z13" s="2520"/>
      <c r="AA13" s="213"/>
      <c r="AB13" s="213"/>
      <c r="AC13" s="2520"/>
      <c r="AD13" s="2520"/>
      <c r="AE13" s="2520"/>
      <c r="AF13" s="2520"/>
      <c r="AG13" s="2520"/>
      <c r="AH13" s="2520"/>
      <c r="AI13" s="2520"/>
      <c r="AJ13" s="2520"/>
      <c r="AK13" s="2520"/>
      <c r="AL13" s="2520"/>
      <c r="AM13" s="2520"/>
      <c r="AN13" s="2520"/>
      <c r="AO13" s="2520"/>
    </row>
    <row r="14" spans="1:41" s="212" customFormat="1" ht="13.5" thickBot="1">
      <c r="A14" s="461"/>
      <c r="B14" s="461"/>
      <c r="C14" s="461"/>
      <c r="D14" s="461"/>
      <c r="E14" s="461"/>
      <c r="F14" s="413" t="s">
        <v>3610</v>
      </c>
      <c r="G14" s="413"/>
      <c r="H14" s="1873"/>
      <c r="I14" s="398" t="s">
        <v>2776</v>
      </c>
      <c r="J14" s="461"/>
      <c r="K14" s="461"/>
      <c r="L14" s="461"/>
      <c r="M14" s="206"/>
      <c r="N14" s="461"/>
      <c r="O14" s="202"/>
      <c r="P14" s="1868"/>
      <c r="Q14" s="206"/>
      <c r="R14" s="203"/>
      <c r="S14" s="731"/>
      <c r="T14" s="2520"/>
      <c r="U14" s="2520"/>
      <c r="V14" s="2520"/>
      <c r="W14" s="2520"/>
      <c r="X14" s="213"/>
      <c r="Y14" s="213"/>
      <c r="Z14" s="2520"/>
      <c r="AA14" s="213"/>
      <c r="AB14" s="213"/>
      <c r="AC14" s="2520"/>
      <c r="AD14" s="2520"/>
      <c r="AE14" s="2520"/>
      <c r="AF14" s="2520"/>
      <c r="AG14" s="2520"/>
      <c r="AH14" s="2520"/>
      <c r="AI14" s="2520"/>
      <c r="AJ14" s="2520"/>
      <c r="AK14" s="2520"/>
      <c r="AL14" s="2520"/>
      <c r="AM14" s="2520"/>
      <c r="AN14" s="2520"/>
      <c r="AO14" s="2520"/>
    </row>
    <row r="15" spans="1:41" s="212" customFormat="1" ht="13.5" thickBot="1">
      <c r="A15" s="461"/>
      <c r="B15" s="461"/>
      <c r="C15" s="461"/>
      <c r="D15" s="461"/>
      <c r="E15" s="461"/>
      <c r="F15" s="1873"/>
      <c r="G15" s="1873"/>
      <c r="H15" s="1873"/>
      <c r="I15" s="1873"/>
      <c r="J15" s="461"/>
      <c r="K15" s="461"/>
      <c r="L15" s="461"/>
      <c r="M15" s="206"/>
      <c r="N15" s="461"/>
      <c r="O15" s="202"/>
      <c r="P15" s="1868"/>
      <c r="Q15" s="464" t="str">
        <f>IF($R$8="Yes","Single Lease or Multiple Leases?",IF($R$8="No","N/A",""))</f>
        <v/>
      </c>
      <c r="R15" s="463"/>
      <c r="S15" s="731"/>
      <c r="T15" s="2520"/>
      <c r="U15" s="2520"/>
      <c r="V15" s="2520"/>
      <c r="W15" s="2520"/>
      <c r="X15" s="213"/>
      <c r="Y15" s="213"/>
      <c r="Z15" s="2520"/>
      <c r="AA15" s="213"/>
      <c r="AB15" s="213"/>
      <c r="AC15" s="2520"/>
      <c r="AD15" s="2520"/>
      <c r="AE15" s="2520"/>
      <c r="AF15" s="2520"/>
      <c r="AG15" s="2520"/>
      <c r="AH15" s="2520"/>
      <c r="AI15" s="2520"/>
      <c r="AJ15" s="2520"/>
      <c r="AK15" s="2520"/>
      <c r="AL15" s="2520"/>
      <c r="AM15" s="2520"/>
      <c r="AN15" s="2520"/>
      <c r="AO15" s="2520"/>
    </row>
    <row r="16" spans="1:41" s="212" customFormat="1" ht="13.5" thickBot="1">
      <c r="A16" s="461"/>
      <c r="B16" s="461"/>
      <c r="C16" s="461"/>
      <c r="D16" s="461"/>
      <c r="E16" s="461"/>
      <c r="F16" s="417">
        <v>2018</v>
      </c>
      <c r="G16" s="1873"/>
      <c r="H16" s="1873"/>
      <c r="I16" s="455">
        <v>0</v>
      </c>
      <c r="J16" s="461"/>
      <c r="K16" s="461"/>
      <c r="L16" s="461"/>
      <c r="M16" s="206"/>
      <c r="N16" s="461"/>
      <c r="O16" s="202"/>
      <c r="P16" s="1868"/>
      <c r="Q16" s="1868"/>
      <c r="R16" s="203"/>
      <c r="S16" s="731"/>
      <c r="T16" s="2520"/>
      <c r="U16" s="2520"/>
      <c r="V16" s="2520"/>
      <c r="W16" s="2520"/>
      <c r="X16" s="213"/>
      <c r="Y16" s="213"/>
      <c r="Z16" s="2520"/>
      <c r="AA16" s="213"/>
      <c r="AB16" s="213"/>
      <c r="AC16" s="2520"/>
      <c r="AD16" s="2520"/>
      <c r="AE16" s="2520"/>
      <c r="AF16" s="2520"/>
      <c r="AG16" s="2520"/>
      <c r="AH16" s="2520"/>
      <c r="AI16" s="2520"/>
      <c r="AJ16" s="2520"/>
      <c r="AK16" s="2520"/>
      <c r="AL16" s="2520"/>
      <c r="AM16" s="2520"/>
      <c r="AN16" s="2520"/>
      <c r="AO16" s="2520"/>
    </row>
    <row r="17" spans="1:28" s="212" customFormat="1" ht="13.5" thickBot="1">
      <c r="A17" s="461"/>
      <c r="B17" s="461"/>
      <c r="C17" s="461"/>
      <c r="D17" s="461"/>
      <c r="E17" s="461"/>
      <c r="F17" s="417">
        <v>2019</v>
      </c>
      <c r="G17" s="1873"/>
      <c r="H17" s="1873"/>
      <c r="I17" s="421">
        <v>0</v>
      </c>
      <c r="J17" s="461"/>
      <c r="K17" s="461"/>
      <c r="L17" s="461"/>
      <c r="M17" s="206"/>
      <c r="N17" s="461"/>
      <c r="O17" s="202"/>
      <c r="P17" s="1868"/>
      <c r="Q17" s="464" t="str">
        <f>IF($R$8="Yes","Assets leased?",IF($R$8="No","N/A",""))</f>
        <v/>
      </c>
      <c r="R17" s="472"/>
      <c r="S17" s="731"/>
      <c r="T17" s="2520"/>
      <c r="U17" s="2520"/>
      <c r="V17" s="2520"/>
      <c r="W17" s="2520"/>
      <c r="X17" s="213"/>
      <c r="Y17" s="213"/>
      <c r="Z17" s="2520"/>
      <c r="AA17" s="213"/>
      <c r="AB17" s="213"/>
    </row>
    <row r="18" spans="1:28" s="212" customFormat="1" ht="13.5" thickBot="1">
      <c r="A18" s="461"/>
      <c r="B18" s="461"/>
      <c r="C18" s="461"/>
      <c r="D18" s="461"/>
      <c r="E18" s="461"/>
      <c r="F18" s="417">
        <v>2020</v>
      </c>
      <c r="G18" s="1873"/>
      <c r="H18" s="1873"/>
      <c r="I18" s="421">
        <v>0</v>
      </c>
      <c r="J18" s="461"/>
      <c r="K18" s="461"/>
      <c r="L18" s="461"/>
      <c r="M18" s="206"/>
      <c r="N18" s="461"/>
      <c r="O18" s="202"/>
      <c r="P18" s="1868"/>
      <c r="Q18" s="1868"/>
      <c r="R18" s="203"/>
      <c r="S18" s="2520"/>
      <c r="T18" s="2520"/>
      <c r="U18" s="2520"/>
      <c r="V18" s="2520"/>
      <c r="W18" s="2520"/>
      <c r="X18" s="213"/>
      <c r="Y18" s="213"/>
      <c r="Z18" s="2520"/>
      <c r="AA18" s="213"/>
      <c r="AB18" s="213"/>
    </row>
    <row r="19" spans="1:28" s="212" customFormat="1" ht="13.5" thickBot="1">
      <c r="A19" s="461"/>
      <c r="B19" s="461"/>
      <c r="C19" s="461"/>
      <c r="D19" s="461"/>
      <c r="E19" s="461"/>
      <c r="F19" s="417">
        <v>2021</v>
      </c>
      <c r="G19" s="1873"/>
      <c r="H19" s="1873"/>
      <c r="I19" s="421">
        <v>0</v>
      </c>
      <c r="J19" s="461"/>
      <c r="K19" s="461"/>
      <c r="L19" s="461"/>
      <c r="M19" s="206"/>
      <c r="N19" s="461"/>
      <c r="O19" s="207"/>
      <c r="P19" s="208"/>
      <c r="Q19" s="465" t="str">
        <f>IF($R$8="Yes","Year lease expires (YYYY)?",IF($R$8="No","N/A",""))</f>
        <v/>
      </c>
      <c r="R19" s="471"/>
      <c r="S19" s="2520"/>
      <c r="T19" s="2520"/>
      <c r="U19" s="2520"/>
      <c r="V19" s="2520"/>
      <c r="W19" s="2520"/>
      <c r="X19" s="213"/>
      <c r="Y19" s="213"/>
      <c r="Z19" s="2520"/>
      <c r="AA19" s="213"/>
      <c r="AB19" s="213"/>
    </row>
    <row r="20" spans="1:28" s="212" customFormat="1" ht="12.75">
      <c r="A20" s="461"/>
      <c r="B20" s="461"/>
      <c r="C20" s="461"/>
      <c r="D20" s="461"/>
      <c r="E20" s="461"/>
      <c r="F20" s="417">
        <v>2022</v>
      </c>
      <c r="G20" s="1873"/>
      <c r="H20" s="1873"/>
      <c r="I20" s="421">
        <v>0</v>
      </c>
      <c r="J20" s="461"/>
      <c r="K20" s="461"/>
      <c r="L20" s="461"/>
      <c r="M20" s="206"/>
      <c r="N20" s="461"/>
      <c r="O20" s="1867"/>
      <c r="P20" s="729" t="str">
        <f>IF($R$15="single","an ",IF($R$15="Multiple","","(an) "))</f>
        <v xml:space="preserve">(an) </v>
      </c>
      <c r="Q20" s="729" t="str">
        <f>IF($R$15="Single","This",IF($R$15="Multiple","These","These (This)"))</f>
        <v>These (This)</v>
      </c>
      <c r="R20" s="729" t="str">
        <f>IF(R17="","_______",R22)</f>
        <v>_______</v>
      </c>
      <c r="S20" s="2520"/>
      <c r="T20" s="2520"/>
      <c r="U20" s="2520"/>
      <c r="V20" s="2520"/>
      <c r="W20" s="2520"/>
      <c r="X20" s="213"/>
      <c r="Y20" s="213"/>
      <c r="Z20" s="2520"/>
      <c r="AA20" s="213"/>
      <c r="AB20" s="213"/>
    </row>
    <row r="21" spans="1:28" s="212" customFormat="1" ht="12.75">
      <c r="A21" s="461"/>
      <c r="B21" s="461"/>
      <c r="C21" s="461"/>
      <c r="D21" s="461"/>
      <c r="E21" s="461"/>
      <c r="F21" s="4477" t="s">
        <v>3643</v>
      </c>
      <c r="G21" s="4477"/>
      <c r="H21" s="1873"/>
      <c r="I21" s="422">
        <v>0</v>
      </c>
      <c r="J21" s="461"/>
      <c r="K21" s="461"/>
      <c r="L21" s="461"/>
      <c r="M21" s="206"/>
      <c r="N21" s="461"/>
      <c r="O21" s="1867"/>
      <c r="P21" s="729" t="str">
        <f>IF($R$15="Multiple","",IF($R$15="Single","s","(s)"))</f>
        <v>(s)</v>
      </c>
      <c r="Q21" s="729" t="str">
        <f>IF($R$15="Single","this",IF($R$15="Multiple","these","these (this)"))</f>
        <v>these (this)</v>
      </c>
      <c r="R21" s="729" t="str">
        <f>IF(R19="","20__",R19)</f>
        <v>20__</v>
      </c>
      <c r="S21" s="1048"/>
      <c r="T21" s="2520"/>
      <c r="U21" s="2520"/>
      <c r="V21" s="2520"/>
      <c r="W21" s="2520"/>
      <c r="X21" s="213"/>
      <c r="Y21" s="213"/>
      <c r="Z21" s="2520"/>
      <c r="AA21" s="213"/>
      <c r="AB21" s="213"/>
    </row>
    <row r="22" spans="1:28" s="212" customFormat="1" ht="12.75">
      <c r="A22" s="461"/>
      <c r="B22" s="461"/>
      <c r="C22" s="461"/>
      <c r="D22" s="461"/>
      <c r="E22" s="461"/>
      <c r="F22" s="1873"/>
      <c r="G22" s="1873"/>
      <c r="H22" s="1873"/>
      <c r="I22" s="418"/>
      <c r="J22" s="461"/>
      <c r="K22" s="461"/>
      <c r="L22" s="461"/>
      <c r="M22" s="206"/>
      <c r="N22" s="461"/>
      <c r="O22" s="1867"/>
      <c r="P22" s="729" t="str">
        <f>IF($R$15="Single","",IF($R$15="Multiple","s","(s)"))</f>
        <v>(s)</v>
      </c>
      <c r="Q22" s="561"/>
      <c r="R22" s="730">
        <f>R17</f>
        <v>0</v>
      </c>
      <c r="S22" s="1048"/>
      <c r="T22" s="2520"/>
      <c r="U22" s="2520"/>
      <c r="V22" s="2520"/>
      <c r="W22" s="2520"/>
      <c r="X22" s="213"/>
      <c r="Y22" s="213"/>
      <c r="Z22" s="2520"/>
      <c r="AA22" s="213"/>
      <c r="AB22" s="213"/>
    </row>
    <row r="23" spans="1:28" s="212" customFormat="1" ht="13.5" thickBot="1">
      <c r="A23" s="461"/>
      <c r="B23" s="461"/>
      <c r="C23" s="461"/>
      <c r="D23" s="461"/>
      <c r="E23" s="461"/>
      <c r="F23" s="414" t="s">
        <v>3644</v>
      </c>
      <c r="G23" s="1873"/>
      <c r="H23" s="1873"/>
      <c r="I23" s="419">
        <f t="array" ref="I23">SUM(ROUND(I16:I21,0))</f>
        <v>0</v>
      </c>
      <c r="J23" s="461"/>
      <c r="K23" s="461"/>
      <c r="L23" s="461"/>
      <c r="M23" s="206"/>
      <c r="N23" s="461"/>
      <c r="O23" s="1867"/>
      <c r="P23" s="561"/>
      <c r="Q23" s="731"/>
      <c r="R23" s="731"/>
      <c r="S23" s="1048"/>
      <c r="T23" s="2520"/>
      <c r="U23" s="2520"/>
      <c r="V23" s="2520"/>
      <c r="W23" s="2520"/>
      <c r="X23" s="213"/>
      <c r="Y23" s="213"/>
      <c r="Z23" s="2520"/>
      <c r="AA23" s="213"/>
      <c r="AB23" s="213"/>
    </row>
    <row r="24" spans="1:28" s="212" customFormat="1" ht="13.5" thickTop="1">
      <c r="A24" s="461"/>
      <c r="B24" s="461"/>
      <c r="C24" s="461"/>
      <c r="D24" s="461"/>
      <c r="E24" s="461"/>
      <c r="F24" s="461"/>
      <c r="G24" s="461"/>
      <c r="H24" s="461"/>
      <c r="I24" s="461"/>
      <c r="J24" s="461"/>
      <c r="K24" s="461"/>
      <c r="L24" s="461"/>
      <c r="M24" s="206"/>
      <c r="N24" s="461"/>
      <c r="O24" s="1867"/>
      <c r="P24" s="561"/>
      <c r="Q24" s="561"/>
      <c r="R24" s="561"/>
      <c r="S24" s="1048"/>
      <c r="T24" s="2520"/>
      <c r="U24" s="2520"/>
      <c r="V24" s="2520"/>
      <c r="W24" s="2520"/>
      <c r="X24" s="213"/>
      <c r="Y24" s="213"/>
      <c r="Z24" s="2520"/>
      <c r="AA24" s="213"/>
      <c r="AB24" s="213"/>
    </row>
    <row r="25" spans="1:28">
      <c r="A25" s="217"/>
      <c r="B25" s="217"/>
      <c r="C25" s="217"/>
      <c r="D25" s="217"/>
      <c r="E25" s="217"/>
      <c r="F25" s="217"/>
      <c r="G25" s="217"/>
      <c r="H25" s="217"/>
      <c r="I25" s="217"/>
      <c r="J25" s="217"/>
      <c r="K25" s="217"/>
      <c r="L25" s="217"/>
      <c r="M25" s="420"/>
      <c r="N25" s="461"/>
      <c r="O25" s="1867"/>
      <c r="P25" s="561"/>
      <c r="Q25" s="561"/>
      <c r="R25" s="561"/>
    </row>
    <row r="26" spans="1:28">
      <c r="A26" s="217"/>
      <c r="B26" s="217"/>
      <c r="C26" s="217"/>
      <c r="D26" s="217"/>
      <c r="E26" s="217"/>
      <c r="F26" s="217"/>
      <c r="G26" s="217"/>
      <c r="H26" s="217"/>
      <c r="I26" s="217"/>
      <c r="J26" s="217"/>
      <c r="K26" s="217"/>
      <c r="L26" s="217"/>
      <c r="M26" s="420"/>
      <c r="N26" s="461"/>
      <c r="O26" s="1867"/>
      <c r="P26" s="1867"/>
      <c r="Q26" s="1867"/>
      <c r="R26" s="1867"/>
    </row>
    <row r="27" spans="1:28">
      <c r="A27" s="217"/>
      <c r="B27" s="217"/>
      <c r="C27" s="217"/>
      <c r="D27" s="217"/>
      <c r="E27" s="217"/>
      <c r="F27" s="217"/>
      <c r="G27" s="217"/>
      <c r="H27" s="217"/>
      <c r="I27" s="217"/>
      <c r="J27" s="217"/>
      <c r="K27" s="217"/>
      <c r="L27" s="217"/>
      <c r="M27" s="420"/>
      <c r="N27" s="461"/>
      <c r="O27" s="1867"/>
      <c r="P27" s="1867"/>
      <c r="Q27" s="1867"/>
      <c r="R27" s="1867"/>
    </row>
  </sheetData>
  <sheetProtection algorithmName="SHA-512" hashValue="GaFr8oqwqCvUfhE1ehfY9jxgTtm97HFqsbQLUy51ecsX0IHNBQgWtaY72D1g56GsIxPF4kYuE3L2iQQCGtl4RA==" saltValue="CgMSidfNPwlnAtHsNYLkww==" spinCount="100000" sheet="1" objects="1" scenarios="1" formatColumns="0" formatRows="0"/>
  <mergeCells count="15">
    <mergeCell ref="O6:R7"/>
    <mergeCell ref="O2:R2"/>
    <mergeCell ref="O3:R3"/>
    <mergeCell ref="O4:R4"/>
    <mergeCell ref="A1:M1"/>
    <mergeCell ref="A2:M2"/>
    <mergeCell ref="A3:M3"/>
    <mergeCell ref="A4:M4"/>
    <mergeCell ref="O10:R10"/>
    <mergeCell ref="F21:G21"/>
    <mergeCell ref="B8:M8"/>
    <mergeCell ref="B9:M9"/>
    <mergeCell ref="B10:M10"/>
    <mergeCell ref="B11:M11"/>
    <mergeCell ref="B12:M12"/>
  </mergeCells>
  <conditionalFormatting sqref="I16:I21">
    <cfRule type="containsBlanks" dxfId="188" priority="6">
      <formula>LEN(TRIM(I16))=0</formula>
    </cfRule>
    <cfRule type="cellIs" dxfId="187" priority="7" operator="notEqual">
      <formula>0</formula>
    </cfRule>
  </conditionalFormatting>
  <conditionalFormatting sqref="R8">
    <cfRule type="containsBlanks" dxfId="186" priority="5">
      <formula>LEN(TRIM(R8))=0</formula>
    </cfRule>
  </conditionalFormatting>
  <conditionalFormatting sqref="F21:G21">
    <cfRule type="notContainsText" dxfId="185" priority="2" operator="notContains" text="xx">
      <formula>ISERROR(SEARCH("xx",F21))</formula>
    </cfRule>
  </conditionalFormatting>
  <conditionalFormatting sqref="B6">
    <cfRule type="notContainsText" dxfId="184" priority="1" operator="notContains" text="XX.">
      <formula>ISERROR(SEARCH("XX.",B6))</formula>
    </cfRule>
  </conditionalFormatting>
  <dataValidations count="2">
    <dataValidation type="list" showInputMessage="1" showErrorMessage="1" sqref="R8">
      <formula1>$S$4:$S$6</formula1>
    </dataValidation>
    <dataValidation type="list" showInputMessage="1" showErrorMessage="1" sqref="R15">
      <formula1>$S$10:$S$12</formula1>
    </dataValidation>
  </dataValidations>
  <printOptions horizontalCentered="1"/>
  <pageMargins left="0.75" right="0.75" top="0.5" bottom="0.5" header="0.3" footer="0.3"/>
  <pageSetup scale="95" fitToWidth="2" orientation="portrait" r:id="rId1"/>
  <headerFooter>
    <oddHeader>&amp;L&amp;"Arial,Regular"&amp;8&amp;F&amp;R&amp;"Arial,Regular"&amp;8&amp;A</oddHeader>
    <oddFooter>&amp;L&amp;"Arial,Regular"&amp;8&amp;D&amp;R&amp;"Arial,Regular"&amp;8&amp;P of &amp;N</oddFooter>
  </headerFooter>
  <colBreaks count="1" manualBreakCount="1">
    <brk id="13" max="26" man="1"/>
  </col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theme="9" tint="-0.249977111117893"/>
  </sheetPr>
  <dimension ref="A1:S70"/>
  <sheetViews>
    <sheetView workbookViewId="0">
      <selection sqref="A1:M1"/>
    </sheetView>
  </sheetViews>
  <sheetFormatPr defaultColWidth="9.140625" defaultRowHeight="15"/>
  <cols>
    <col min="1" max="3" width="5.28515625" style="488" customWidth="1"/>
    <col min="4" max="4" width="2" style="488" customWidth="1"/>
    <col min="5" max="5" width="5" style="488" customWidth="1"/>
    <col min="6" max="7" width="18.42578125" style="488" customWidth="1"/>
    <col min="8" max="8" width="0.85546875" style="488" customWidth="1"/>
    <col min="9" max="9" width="18.42578125" style="488" customWidth="1"/>
    <col min="10" max="10" width="0.85546875" style="488" customWidth="1"/>
    <col min="11" max="11" width="18.42578125" style="488" customWidth="1"/>
    <col min="12" max="12" width="1.42578125" style="488" customWidth="1"/>
    <col min="13" max="13" width="1.140625" style="96" customWidth="1"/>
    <col min="14" max="14" width="9.85546875" style="1027" customWidth="1"/>
    <col min="15" max="15" width="11.28515625" style="96" customWidth="1"/>
    <col min="16" max="16" width="9.85546875" style="96" customWidth="1"/>
    <col min="17" max="17" width="32" style="96" customWidth="1"/>
    <col min="18" max="18" width="4.5703125" style="96" bestFit="1" customWidth="1"/>
    <col min="19" max="19" width="9.140625" style="96"/>
    <col min="20" max="16384" width="9.140625" style="488"/>
  </cols>
  <sheetData>
    <row r="1" spans="1:18" ht="15.75" thickBot="1">
      <c r="A1" s="4510" t="str">
        <f>'Contact Information'!$C$5</f>
        <v>SAMPLE STATE COLLEGE</v>
      </c>
      <c r="B1" s="4510"/>
      <c r="C1" s="4510"/>
      <c r="D1" s="4510"/>
      <c r="E1" s="4510"/>
      <c r="F1" s="4510"/>
      <c r="G1" s="4510"/>
      <c r="H1" s="4510"/>
      <c r="I1" s="4510"/>
      <c r="J1" s="4510"/>
      <c r="K1" s="4510"/>
      <c r="L1" s="4510"/>
      <c r="M1" s="4510"/>
      <c r="N1" s="243"/>
      <c r="O1" s="1813"/>
      <c r="P1" s="1813"/>
      <c r="Q1" s="1813"/>
      <c r="R1" s="1810"/>
    </row>
    <row r="2" spans="1:18">
      <c r="A2" s="4511" t="s">
        <v>2298</v>
      </c>
      <c r="B2" s="4511"/>
      <c r="C2" s="4511"/>
      <c r="D2" s="4511"/>
      <c r="E2" s="4511"/>
      <c r="F2" s="4511"/>
      <c r="G2" s="4511"/>
      <c r="H2" s="4511"/>
      <c r="I2" s="4511"/>
      <c r="J2" s="4511"/>
      <c r="K2" s="4511"/>
      <c r="L2" s="4511"/>
      <c r="M2" s="4511"/>
      <c r="N2" s="4497" t="str">
        <f>A1</f>
        <v>SAMPLE STATE COLLEGE</v>
      </c>
      <c r="O2" s="4498"/>
      <c r="P2" s="4498"/>
      <c r="Q2" s="4499"/>
      <c r="R2" s="1810"/>
    </row>
    <row r="3" spans="1:18">
      <c r="A3" s="4511" t="s">
        <v>2744</v>
      </c>
      <c r="B3" s="4511"/>
      <c r="C3" s="4511"/>
      <c r="D3" s="4511"/>
      <c r="E3" s="4511"/>
      <c r="F3" s="4511"/>
      <c r="G3" s="4511"/>
      <c r="H3" s="4511"/>
      <c r="I3" s="4511"/>
      <c r="J3" s="4511"/>
      <c r="K3" s="4511"/>
      <c r="L3" s="4511"/>
      <c r="M3" s="4511"/>
      <c r="N3" s="4500" t="e">
        <f>A4</f>
        <v>#VALUE!</v>
      </c>
      <c r="O3" s="4501"/>
      <c r="P3" s="4501"/>
      <c r="Q3" s="4502"/>
      <c r="R3" s="1810"/>
    </row>
    <row r="4" spans="1:18">
      <c r="A4" s="4512" t="e">
        <f>'FCS Notes Sched Inv &amp; Cash'!B4:H4</f>
        <v>#VALUE!</v>
      </c>
      <c r="B4" s="4512"/>
      <c r="C4" s="4512"/>
      <c r="D4" s="4512"/>
      <c r="E4" s="4512"/>
      <c r="F4" s="4512"/>
      <c r="G4" s="4512"/>
      <c r="H4" s="4512"/>
      <c r="I4" s="4512"/>
      <c r="J4" s="4512"/>
      <c r="K4" s="4512"/>
      <c r="L4" s="4512"/>
      <c r="M4" s="4512"/>
      <c r="N4" s="4503" t="s">
        <v>3645</v>
      </c>
      <c r="O4" s="4504"/>
      <c r="P4" s="4504"/>
      <c r="Q4" s="4505"/>
      <c r="R4" s="1810"/>
    </row>
    <row r="5" spans="1:18">
      <c r="A5" s="489"/>
      <c r="B5" s="489"/>
      <c r="C5" s="489"/>
      <c r="D5" s="489"/>
      <c r="E5" s="489"/>
      <c r="F5" s="489"/>
      <c r="G5" s="489"/>
      <c r="H5" s="489"/>
      <c r="I5" s="489"/>
      <c r="J5" s="489"/>
      <c r="K5" s="489"/>
      <c r="L5" s="489"/>
      <c r="M5" s="1813"/>
      <c r="N5" s="4494" t="s">
        <v>3646</v>
      </c>
      <c r="O5" s="4495"/>
      <c r="P5" s="4495"/>
      <c r="Q5" s="4496"/>
      <c r="R5" s="1810"/>
    </row>
    <row r="6" spans="1:18">
      <c r="A6" s="723" t="s">
        <v>2745</v>
      </c>
      <c r="B6" s="997" t="s">
        <v>3647</v>
      </c>
      <c r="C6" s="489"/>
      <c r="D6" s="489"/>
      <c r="E6" s="489"/>
      <c r="F6" s="489"/>
      <c r="G6" s="489"/>
      <c r="H6" s="489"/>
      <c r="I6" s="489"/>
      <c r="J6" s="489"/>
      <c r="K6" s="489"/>
      <c r="L6" s="489"/>
      <c r="M6" s="1813"/>
      <c r="N6" s="1049"/>
      <c r="O6" s="1050"/>
      <c r="P6" s="1050"/>
      <c r="Q6" s="1051"/>
      <c r="R6" s="1030"/>
    </row>
    <row r="7" spans="1:18" ht="15.75" thickBot="1">
      <c r="A7" s="1052"/>
      <c r="B7" s="489"/>
      <c r="C7" s="489"/>
      <c r="D7" s="489"/>
      <c r="E7" s="489"/>
      <c r="F7" s="489"/>
      <c r="G7" s="489"/>
      <c r="H7" s="489"/>
      <c r="I7" s="489"/>
      <c r="J7" s="489"/>
      <c r="K7" s="489"/>
      <c r="L7" s="489"/>
      <c r="M7" s="1813"/>
      <c r="N7" s="1053" t="s">
        <v>3648</v>
      </c>
      <c r="O7" s="1054"/>
      <c r="P7" s="1054"/>
      <c r="Q7" s="1055"/>
      <c r="R7" s="1030" t="s">
        <v>2790</v>
      </c>
    </row>
    <row r="8" spans="1:18" ht="15.75" thickBot="1">
      <c r="A8" s="489"/>
      <c r="B8" s="489" t="s">
        <v>3649</v>
      </c>
      <c r="C8" s="489"/>
      <c r="D8" s="489"/>
      <c r="E8" s="489"/>
      <c r="F8" s="489"/>
      <c r="G8" s="489"/>
      <c r="H8" s="489"/>
      <c r="I8" s="489"/>
      <c r="J8" s="489"/>
      <c r="K8" s="489"/>
      <c r="L8" s="489"/>
      <c r="M8" s="1813"/>
      <c r="N8" s="1056" t="s">
        <v>3650</v>
      </c>
      <c r="O8" s="1054"/>
      <c r="P8" s="1054"/>
      <c r="Q8" s="470"/>
      <c r="R8" s="1030" t="s">
        <v>2791</v>
      </c>
    </row>
    <row r="9" spans="1:18">
      <c r="A9" s="489"/>
      <c r="B9" s="489"/>
      <c r="C9" s="489"/>
      <c r="D9" s="489"/>
      <c r="E9" s="489"/>
      <c r="F9" s="489"/>
      <c r="G9" s="489"/>
      <c r="H9" s="489"/>
      <c r="I9" s="489"/>
      <c r="J9" s="489"/>
      <c r="K9" s="489"/>
      <c r="L9" s="489"/>
      <c r="M9" s="1813"/>
      <c r="N9" s="1049"/>
      <c r="O9" s="1050"/>
      <c r="P9" s="1050"/>
      <c r="Q9" s="1051"/>
      <c r="R9" s="1030"/>
    </row>
    <row r="10" spans="1:18" s="96" customFormat="1" ht="12.75">
      <c r="A10" s="1813"/>
      <c r="B10" s="1813"/>
      <c r="C10" s="1813"/>
      <c r="D10" s="1057" t="s">
        <v>2875</v>
      </c>
      <c r="E10" s="493"/>
      <c r="F10" s="221"/>
      <c r="G10" s="493" t="s">
        <v>108</v>
      </c>
      <c r="H10" s="1058"/>
      <c r="I10" s="493" t="s">
        <v>2876</v>
      </c>
      <c r="J10" s="1058"/>
      <c r="K10" s="493" t="s">
        <v>2754</v>
      </c>
      <c r="L10" s="1813"/>
      <c r="M10" s="1813"/>
      <c r="N10" s="1059" t="str">
        <f>IF($Q$8="Yes","Please provide detail of construction commitments","")</f>
        <v/>
      </c>
      <c r="O10" s="1050"/>
      <c r="P10" s="1050"/>
      <c r="Q10" s="1051"/>
      <c r="R10" s="1030"/>
    </row>
    <row r="11" spans="1:18" s="96" customFormat="1" ht="12.75">
      <c r="A11" s="1813"/>
      <c r="B11" s="1813"/>
      <c r="C11" s="1813"/>
      <c r="D11" s="1028"/>
      <c r="E11" s="1028"/>
      <c r="F11" s="221"/>
      <c r="G11" s="492" t="s">
        <v>2877</v>
      </c>
      <c r="H11" s="221"/>
      <c r="I11" s="492" t="s">
        <v>2878</v>
      </c>
      <c r="J11" s="221"/>
      <c r="K11" s="492" t="s">
        <v>2879</v>
      </c>
      <c r="L11" s="1813"/>
      <c r="M11" s="1813"/>
      <c r="N11" s="1049"/>
      <c r="O11" s="1050" t="str">
        <f>IF($Q$8="Yes","in the schedule to the left.","")</f>
        <v/>
      </c>
      <c r="P11" s="1050"/>
      <c r="Q11" s="1051"/>
      <c r="R11" s="1810"/>
    </row>
    <row r="12" spans="1:18" s="96" customFormat="1" ht="8.25" customHeight="1">
      <c r="A12" s="1813"/>
      <c r="B12" s="1813"/>
      <c r="C12" s="1813"/>
      <c r="D12" s="221"/>
      <c r="E12" s="221"/>
      <c r="F12" s="221"/>
      <c r="G12" s="221"/>
      <c r="H12" s="221"/>
      <c r="I12" s="221"/>
      <c r="J12" s="221"/>
      <c r="K12" s="221"/>
      <c r="L12" s="1813"/>
      <c r="M12" s="1813"/>
      <c r="N12" s="1049"/>
      <c r="O12" s="1050"/>
      <c r="P12" s="1050"/>
      <c r="Q12" s="1051"/>
      <c r="R12" s="1810"/>
    </row>
    <row r="13" spans="1:18" s="96" customFormat="1" ht="13.5" thickBot="1">
      <c r="A13" s="1813"/>
      <c r="B13" s="1813"/>
      <c r="C13" s="1813"/>
      <c r="D13" s="556" t="s">
        <v>2880</v>
      </c>
      <c r="E13" s="1078"/>
      <c r="F13" s="1078"/>
      <c r="G13" s="455">
        <v>0</v>
      </c>
      <c r="H13" s="1060"/>
      <c r="I13" s="455">
        <v>0</v>
      </c>
      <c r="J13" s="1060"/>
      <c r="K13" s="1061">
        <f>ROUND(G13,0)-ROUND(I13,0)</f>
        <v>0</v>
      </c>
      <c r="L13" s="1813"/>
      <c r="M13" s="1813"/>
      <c r="N13" s="1062" t="str">
        <f>IF($Q$8="Yes","Did the College have other significant commitments?","")</f>
        <v/>
      </c>
      <c r="O13" s="239"/>
      <c r="P13" s="239"/>
      <c r="Q13" s="1063"/>
      <c r="R13" s="1810"/>
    </row>
    <row r="14" spans="1:18" s="96" customFormat="1" ht="13.5" thickBot="1">
      <c r="A14" s="1813"/>
      <c r="B14" s="1813"/>
      <c r="C14" s="1813"/>
      <c r="D14" s="556" t="s">
        <v>3651</v>
      </c>
      <c r="E14" s="1078"/>
      <c r="F14" s="1078"/>
      <c r="G14" s="421">
        <v>0</v>
      </c>
      <c r="H14" s="502"/>
      <c r="I14" s="421">
        <v>0</v>
      </c>
      <c r="J14" s="502"/>
      <c r="K14" s="1064">
        <f>ROUND(G14,0)-ROUND(I14,0)</f>
        <v>0</v>
      </c>
      <c r="L14" s="1813"/>
      <c r="M14" s="1065"/>
      <c r="N14" s="1062"/>
      <c r="O14" s="239"/>
      <c r="P14" s="1066" t="str">
        <f>IF(Q8="No","N/A","")</f>
        <v/>
      </c>
      <c r="Q14" s="470"/>
      <c r="R14" s="1810"/>
    </row>
    <row r="15" spans="1:18" s="96" customFormat="1" ht="13.5" thickBot="1">
      <c r="A15" s="1813"/>
      <c r="B15" s="1813"/>
      <c r="C15" s="1813"/>
      <c r="D15" s="556"/>
      <c r="E15" s="1078"/>
      <c r="F15" s="1078"/>
      <c r="G15" s="421">
        <v>0</v>
      </c>
      <c r="H15" s="502"/>
      <c r="I15" s="421">
        <v>0</v>
      </c>
      <c r="J15" s="502"/>
      <c r="K15" s="1064">
        <f>ROUND(G15,0)-ROUND(I15,0)</f>
        <v>0</v>
      </c>
      <c r="L15" s="1813"/>
      <c r="M15" s="1813"/>
      <c r="N15" s="1067"/>
      <c r="O15" s="1068"/>
      <c r="P15" s="1050"/>
      <c r="Q15" s="1063"/>
      <c r="R15" s="1810"/>
    </row>
    <row r="16" spans="1:18" s="96" customFormat="1" ht="13.5" thickBot="1">
      <c r="A16" s="1813"/>
      <c r="B16" s="1813"/>
      <c r="C16" s="1813"/>
      <c r="D16" s="556"/>
      <c r="E16" s="1078"/>
      <c r="F16" s="1078"/>
      <c r="G16" s="421">
        <v>0</v>
      </c>
      <c r="H16" s="502"/>
      <c r="I16" s="421">
        <v>0</v>
      </c>
      <c r="J16" s="502"/>
      <c r="K16" s="1064">
        <f>ROUND(G16,0)-ROUND(I16,0)</f>
        <v>0</v>
      </c>
      <c r="L16" s="1813"/>
      <c r="M16" s="1813"/>
      <c r="N16" s="1067"/>
      <c r="O16" s="239"/>
      <c r="P16" s="1069" t="str">
        <f>IF(Q8="No","N/A",IF(Q8="Yes",IF($Q$14="Yes","Please list title of commitment/contract.",IF($Q$14="No","N/A","")),""))</f>
        <v/>
      </c>
      <c r="Q16" s="463"/>
      <c r="R16" s="1810"/>
    </row>
    <row r="17" spans="1:17" s="96" customFormat="1" ht="13.5" thickBot="1">
      <c r="A17" s="1813"/>
      <c r="B17" s="1813"/>
      <c r="C17" s="1813"/>
      <c r="D17" s="1201"/>
      <c r="E17" s="221"/>
      <c r="F17" s="221"/>
      <c r="G17" s="422">
        <v>0</v>
      </c>
      <c r="H17" s="502"/>
      <c r="I17" s="422">
        <v>0</v>
      </c>
      <c r="J17" s="502"/>
      <c r="K17" s="1070">
        <f>ROUND(G17,0)-ROUND(I17,0)</f>
        <v>0</v>
      </c>
      <c r="L17" s="1813"/>
      <c r="M17" s="1813"/>
      <c r="N17" s="1067"/>
      <c r="O17" s="239"/>
      <c r="P17" s="239"/>
      <c r="Q17" s="1063"/>
    </row>
    <row r="18" spans="1:17" s="96" customFormat="1" ht="13.5" thickBot="1">
      <c r="A18" s="1813"/>
      <c r="B18" s="1813"/>
      <c r="C18" s="1813"/>
      <c r="D18" s="1071" t="s">
        <v>2882</v>
      </c>
      <c r="E18" s="221"/>
      <c r="F18" s="221"/>
      <c r="G18" s="1072">
        <f t="array" ref="G18">SUM(ROUND(G13:G17,0))</f>
        <v>0</v>
      </c>
      <c r="H18" s="1072"/>
      <c r="I18" s="1072">
        <f t="array" ref="I18">SUM(ROUND(I13:I17,0))</f>
        <v>0</v>
      </c>
      <c r="J18" s="502"/>
      <c r="K18" s="1072">
        <f t="array" ref="K18">SUM(ROUND(K13:K17,0))</f>
        <v>0</v>
      </c>
      <c r="L18" s="1813"/>
      <c r="M18" s="1813"/>
      <c r="N18" s="1067"/>
      <c r="O18" s="239"/>
      <c r="P18" s="1069" t="str">
        <f>IF(Q8="No","N/A",IF(Q8="Yes",IF($Q$14="Yes","Please list goods/services to be received.",IF($Q$14="No","N/A","")),""))</f>
        <v/>
      </c>
      <c r="Q18" s="472"/>
    </row>
    <row r="19" spans="1:17" s="96" customFormat="1" ht="13.5" thickBot="1">
      <c r="A19" s="1813"/>
      <c r="B19" s="1813"/>
      <c r="C19" s="1813"/>
      <c r="D19" s="724" t="s">
        <v>2883</v>
      </c>
      <c r="E19" s="221"/>
      <c r="F19" s="221"/>
      <c r="G19" s="422">
        <v>0</v>
      </c>
      <c r="H19" s="502"/>
      <c r="I19" s="422">
        <v>0</v>
      </c>
      <c r="J19" s="502"/>
      <c r="K19" s="1070">
        <f>ROUND(G19,0)-ROUND(I19,0)</f>
        <v>0</v>
      </c>
      <c r="L19" s="1813"/>
      <c r="M19" s="1813"/>
      <c r="N19" s="1067"/>
      <c r="O19" s="239"/>
      <c r="P19" s="239"/>
      <c r="Q19" s="1063"/>
    </row>
    <row r="20" spans="1:17" s="96" customFormat="1" ht="15.75" customHeight="1" thickBot="1">
      <c r="A20" s="1813"/>
      <c r="B20" s="1813"/>
      <c r="C20" s="1813"/>
      <c r="D20" s="221"/>
      <c r="E20" s="221"/>
      <c r="F20" s="221"/>
      <c r="G20" s="1073"/>
      <c r="H20" s="1073"/>
      <c r="I20" s="1073"/>
      <c r="J20" s="1073"/>
      <c r="K20" s="1073"/>
      <c r="L20" s="1813"/>
      <c r="M20" s="1074"/>
      <c r="N20" s="1067"/>
      <c r="O20" s="239"/>
      <c r="P20" s="1069" t="str">
        <f>IF(Q8="No","N/A",IF(Q8="Yes",IF($Q$14="Yes","Please list the amount expended to date.",IF($Q$14="No","N/A","")),""))</f>
        <v/>
      </c>
      <c r="Q20" s="475"/>
    </row>
    <row r="21" spans="1:17" s="96" customFormat="1" ht="13.5" thickBot="1">
      <c r="A21" s="1813"/>
      <c r="B21" s="1813"/>
      <c r="C21" s="1813"/>
      <c r="D21" s="1040" t="s">
        <v>108</v>
      </c>
      <c r="E21" s="221"/>
      <c r="F21" s="221"/>
      <c r="G21" s="1041">
        <f t="array" ref="G21">SUM(ROUND(G18:G19,0))</f>
        <v>0</v>
      </c>
      <c r="H21" s="1060"/>
      <c r="I21" s="1041">
        <f t="array" ref="I21">SUM(ROUND(I18:I19,0))</f>
        <v>0</v>
      </c>
      <c r="J21" s="1060"/>
      <c r="K21" s="1041">
        <f t="array" ref="K21">SUM(ROUND(K18:K19,0))</f>
        <v>0</v>
      </c>
      <c r="L21" s="1813"/>
      <c r="M21" s="1074"/>
      <c r="N21" s="1067"/>
      <c r="O21" s="239"/>
      <c r="P21" s="1069"/>
      <c r="Q21" s="1075"/>
    </row>
    <row r="22" spans="1:17" s="96" customFormat="1" ht="16.5" customHeight="1" thickTop="1" thickBot="1">
      <c r="A22" s="1813"/>
      <c r="B22" s="1813"/>
      <c r="C22" s="1813"/>
      <c r="D22" s="1813"/>
      <c r="E22" s="1813"/>
      <c r="F22" s="1813"/>
      <c r="G22" s="1813"/>
      <c r="H22" s="1813"/>
      <c r="I22" s="1813"/>
      <c r="J22" s="1813"/>
      <c r="K22" s="1813"/>
      <c r="L22" s="1813"/>
      <c r="M22" s="1813"/>
      <c r="N22" s="4506" t="str">
        <f>IF(Q8="No","N/A",IF(Q8="Yes",IF($Q$14="Yes","Please list the estimated amount still committed.",IF($Q$14="No","N/A","")),""))</f>
        <v/>
      </c>
      <c r="O22" s="4460"/>
      <c r="P22" s="4460"/>
      <c r="Q22" s="1076"/>
    </row>
    <row r="23" spans="1:17" s="96" customFormat="1" ht="15.75" customHeight="1" thickBot="1">
      <c r="A23" s="1813"/>
      <c r="B23" s="1813"/>
      <c r="C23" s="1813"/>
      <c r="D23" s="1813" t="s">
        <v>3652</v>
      </c>
      <c r="E23" s="1813"/>
      <c r="F23" s="4509" t="s">
        <v>3653</v>
      </c>
      <c r="G23" s="4509"/>
      <c r="H23" s="4509"/>
      <c r="I23" s="4509"/>
      <c r="J23" s="4509"/>
      <c r="K23" s="4509"/>
      <c r="L23" s="1813"/>
      <c r="M23" s="1813"/>
      <c r="N23" s="4506"/>
      <c r="O23" s="4460"/>
      <c r="P23" s="4460"/>
      <c r="Q23" s="475"/>
    </row>
    <row r="24" spans="1:17" s="96" customFormat="1" ht="15.75" customHeight="1">
      <c r="A24" s="1813"/>
      <c r="B24" s="1813"/>
      <c r="C24" s="1813"/>
      <c r="D24" s="1813"/>
      <c r="E24" s="1813"/>
      <c r="F24" s="4509"/>
      <c r="G24" s="4509"/>
      <c r="H24" s="4509"/>
      <c r="I24" s="4509"/>
      <c r="J24" s="4509"/>
      <c r="K24" s="4509"/>
      <c r="L24" s="1813"/>
      <c r="M24" s="1813"/>
      <c r="N24" s="1067"/>
      <c r="O24" s="239"/>
      <c r="P24" s="1069"/>
      <c r="Q24" s="1075"/>
    </row>
    <row r="25" spans="1:17" s="96" customFormat="1" ht="15.75" customHeight="1" thickBot="1">
      <c r="A25" s="1813"/>
      <c r="B25" s="1813"/>
      <c r="C25" s="1813"/>
      <c r="D25" s="1813"/>
      <c r="E25" s="1813"/>
      <c r="F25" s="1813"/>
      <c r="G25" s="1813"/>
      <c r="H25" s="1813"/>
      <c r="I25" s="1813"/>
      <c r="J25" s="1813"/>
      <c r="K25" s="1813"/>
      <c r="L25" s="1813"/>
      <c r="M25" s="1813"/>
      <c r="N25" s="4506" t="str">
        <f>IF(Q8="No","N/A",IF(Q8="Yes",IF($Q$14="Yes","Does the College have additional significant commitments?",IF($Q$14="No","N/A","")),""))</f>
        <v/>
      </c>
      <c r="O25" s="4460"/>
      <c r="P25" s="4460"/>
      <c r="Q25" s="1063"/>
    </row>
    <row r="26" spans="1:17" ht="15.75" thickBot="1">
      <c r="A26" s="489"/>
      <c r="B26" s="489"/>
      <c r="C26" s="489"/>
      <c r="D26" s="489"/>
      <c r="E26" s="489"/>
      <c r="F26" s="489"/>
      <c r="G26" s="489"/>
      <c r="H26" s="489"/>
      <c r="I26" s="489"/>
      <c r="J26" s="489"/>
      <c r="K26" s="489"/>
      <c r="L26" s="489"/>
      <c r="M26" s="1813"/>
      <c r="N26" s="4507"/>
      <c r="O26" s="4508"/>
      <c r="P26" s="4508"/>
      <c r="Q26" s="470"/>
    </row>
    <row r="27" spans="1:17">
      <c r="A27" s="489"/>
      <c r="B27" s="489"/>
      <c r="C27" s="489"/>
      <c r="D27" s="489"/>
      <c r="E27" s="489"/>
      <c r="F27" s="489"/>
      <c r="G27" s="489"/>
      <c r="H27" s="489"/>
      <c r="I27" s="1077"/>
      <c r="J27" s="489"/>
      <c r="K27" s="489"/>
      <c r="L27" s="489"/>
      <c r="M27" s="1813"/>
      <c r="N27" s="243"/>
      <c r="O27" s="1813"/>
      <c r="P27" s="1813"/>
      <c r="Q27" s="1066" t="str">
        <f>IF(Q26="Yes","**Please include the detail provided above for each additional significant commitment.","")</f>
        <v/>
      </c>
    </row>
    <row r="28" spans="1:17">
      <c r="G28" s="1176" t="s">
        <v>3654</v>
      </c>
      <c r="I28" s="1027" t="e">
        <f>'FCS Notes Sched Cap Assets'!O17</f>
        <v>#N/A</v>
      </c>
      <c r="M28" s="1810"/>
      <c r="O28" s="1810"/>
      <c r="P28" s="1810"/>
      <c r="Q28" s="1810"/>
    </row>
    <row r="29" spans="1:17">
      <c r="A29" s="488" t="s">
        <v>2349</v>
      </c>
      <c r="M29" s="1810"/>
      <c r="O29" s="1810"/>
      <c r="P29" s="1810"/>
      <c r="Q29" s="1810"/>
    </row>
    <row r="30" spans="1:17">
      <c r="A30" s="421"/>
      <c r="B30" s="421"/>
      <c r="C30" s="421"/>
      <c r="D30" s="421"/>
      <c r="E30" s="421"/>
      <c r="F30" s="421"/>
      <c r="G30" s="421"/>
      <c r="H30" s="421"/>
      <c r="I30" s="421"/>
      <c r="J30" s="421"/>
      <c r="K30" s="421"/>
      <c r="L30" s="421"/>
      <c r="M30" s="1810"/>
      <c r="O30" s="1810"/>
      <c r="P30" s="1810"/>
      <c r="Q30" s="1810"/>
    </row>
    <row r="31" spans="1:17">
      <c r="A31" s="421"/>
      <c r="B31" s="421"/>
      <c r="C31" s="421"/>
      <c r="D31" s="421"/>
      <c r="E31" s="421"/>
      <c r="F31" s="421"/>
      <c r="G31" s="421"/>
      <c r="H31" s="421"/>
      <c r="I31" s="421"/>
      <c r="J31" s="421"/>
      <c r="K31" s="421"/>
      <c r="L31" s="421"/>
      <c r="M31" s="1810"/>
      <c r="O31" s="1810"/>
      <c r="P31" s="1810"/>
      <c r="Q31" s="1810"/>
    </row>
    <row r="32" spans="1:17">
      <c r="A32" s="421"/>
      <c r="B32" s="421"/>
      <c r="C32" s="421"/>
      <c r="D32" s="421"/>
      <c r="E32" s="421"/>
      <c r="F32" s="421"/>
      <c r="G32" s="421"/>
      <c r="H32" s="421"/>
      <c r="I32" s="421"/>
      <c r="J32" s="421"/>
      <c r="K32" s="421"/>
      <c r="L32" s="421"/>
      <c r="M32" s="1810"/>
      <c r="O32" s="1810"/>
      <c r="P32" s="1810"/>
      <c r="Q32" s="1810"/>
    </row>
    <row r="33" spans="1:12">
      <c r="A33" s="421"/>
      <c r="B33" s="421"/>
      <c r="C33" s="421"/>
      <c r="D33" s="421"/>
      <c r="E33" s="421"/>
      <c r="F33" s="421"/>
      <c r="G33" s="421"/>
      <c r="H33" s="421"/>
      <c r="I33" s="421"/>
      <c r="J33" s="421"/>
      <c r="K33" s="421"/>
      <c r="L33" s="421"/>
    </row>
    <row r="34" spans="1:12">
      <c r="A34" s="421"/>
      <c r="B34" s="421"/>
      <c r="C34" s="421"/>
      <c r="D34" s="421"/>
      <c r="E34" s="421"/>
      <c r="F34" s="421"/>
      <c r="G34" s="421"/>
      <c r="H34" s="421"/>
      <c r="I34" s="421"/>
      <c r="J34" s="421"/>
      <c r="K34" s="421"/>
      <c r="L34" s="421"/>
    </row>
    <row r="35" spans="1:12">
      <c r="A35" s="421"/>
      <c r="B35" s="421"/>
      <c r="C35" s="421"/>
      <c r="D35" s="421"/>
      <c r="E35" s="421"/>
      <c r="F35" s="421"/>
      <c r="G35" s="421"/>
      <c r="H35" s="421"/>
      <c r="I35" s="421"/>
      <c r="J35" s="421"/>
      <c r="K35" s="421"/>
      <c r="L35" s="421"/>
    </row>
    <row r="36" spans="1:12">
      <c r="A36" s="421"/>
      <c r="B36" s="421"/>
      <c r="C36" s="421"/>
      <c r="D36" s="421"/>
      <c r="E36" s="421"/>
      <c r="F36" s="421"/>
      <c r="G36" s="421"/>
      <c r="H36" s="421"/>
      <c r="I36" s="421"/>
      <c r="J36" s="421"/>
      <c r="K36" s="421"/>
      <c r="L36" s="421"/>
    </row>
    <row r="37" spans="1:12">
      <c r="A37" s="421"/>
      <c r="B37" s="421"/>
      <c r="C37" s="421"/>
      <c r="D37" s="421"/>
      <c r="E37" s="421"/>
      <c r="F37" s="421"/>
      <c r="G37" s="421"/>
      <c r="H37" s="421"/>
      <c r="I37" s="421"/>
      <c r="J37" s="421"/>
      <c r="K37" s="421"/>
      <c r="L37" s="421"/>
    </row>
    <row r="38" spans="1:12">
      <c r="A38" s="421"/>
      <c r="B38" s="421"/>
      <c r="C38" s="421"/>
      <c r="D38" s="421"/>
      <c r="E38" s="421"/>
      <c r="F38" s="421"/>
      <c r="G38" s="421"/>
      <c r="H38" s="421"/>
      <c r="I38" s="421"/>
      <c r="J38" s="421"/>
      <c r="K38" s="421"/>
      <c r="L38" s="421"/>
    </row>
    <row r="39" spans="1:12">
      <c r="A39" s="421"/>
      <c r="B39" s="421"/>
      <c r="C39" s="421"/>
      <c r="D39" s="421"/>
      <c r="E39" s="421"/>
      <c r="F39" s="421"/>
      <c r="G39" s="421"/>
      <c r="H39" s="421"/>
      <c r="I39" s="421"/>
      <c r="J39" s="421"/>
      <c r="K39" s="421"/>
      <c r="L39" s="421"/>
    </row>
    <row r="40" spans="1:12">
      <c r="A40" s="421"/>
      <c r="B40" s="421"/>
      <c r="C40" s="421"/>
      <c r="D40" s="421"/>
      <c r="E40" s="421"/>
      <c r="F40" s="421"/>
      <c r="G40" s="421"/>
      <c r="H40" s="421"/>
      <c r="I40" s="421"/>
      <c r="J40" s="421"/>
      <c r="K40" s="421"/>
      <c r="L40" s="421"/>
    </row>
    <row r="41" spans="1:12">
      <c r="A41" s="421"/>
      <c r="B41" s="421"/>
      <c r="C41" s="421"/>
      <c r="D41" s="421"/>
      <c r="E41" s="421"/>
      <c r="F41" s="421"/>
      <c r="G41" s="421"/>
      <c r="H41" s="421"/>
      <c r="I41" s="421"/>
      <c r="J41" s="421"/>
      <c r="K41" s="421"/>
      <c r="L41" s="421"/>
    </row>
    <row r="42" spans="1:12">
      <c r="A42" s="421"/>
      <c r="B42" s="421"/>
      <c r="C42" s="421"/>
      <c r="D42" s="421"/>
      <c r="E42" s="421"/>
      <c r="F42" s="421"/>
      <c r="G42" s="421"/>
      <c r="H42" s="421"/>
      <c r="I42" s="421"/>
      <c r="J42" s="421"/>
      <c r="K42" s="421"/>
      <c r="L42" s="421"/>
    </row>
    <row r="43" spans="1:12">
      <c r="A43" s="421"/>
      <c r="B43" s="421"/>
      <c r="C43" s="421"/>
      <c r="D43" s="421"/>
      <c r="E43" s="421"/>
      <c r="F43" s="421"/>
      <c r="G43" s="421"/>
      <c r="H43" s="421"/>
      <c r="I43" s="421"/>
      <c r="J43" s="421"/>
      <c r="K43" s="421"/>
      <c r="L43" s="421"/>
    </row>
    <row r="64" spans="2:19">
      <c r="B64" s="1810"/>
      <c r="C64" s="1027"/>
      <c r="D64" s="1810"/>
      <c r="E64" s="1810"/>
      <c r="F64" s="1810"/>
      <c r="G64" s="1810"/>
      <c r="H64" s="1810"/>
      <c r="M64" s="488"/>
      <c r="N64" s="488"/>
      <c r="O64" s="488"/>
      <c r="P64" s="488"/>
      <c r="Q64" s="488"/>
      <c r="R64" s="488"/>
      <c r="S64" s="488"/>
    </row>
    <row r="65" spans="2:19">
      <c r="B65" s="1810"/>
      <c r="C65" s="1027"/>
      <c r="D65" s="1810"/>
      <c r="E65" s="1810"/>
      <c r="F65" s="1810"/>
      <c r="G65" s="1810"/>
      <c r="H65" s="1810"/>
      <c r="M65" s="488"/>
      <c r="N65" s="488"/>
      <c r="O65" s="488"/>
      <c r="P65" s="488"/>
      <c r="Q65" s="488"/>
      <c r="R65" s="488"/>
      <c r="S65" s="488"/>
    </row>
    <row r="70" spans="2:19">
      <c r="M70" s="1810"/>
      <c r="N70" s="1177"/>
      <c r="O70" s="1810"/>
      <c r="P70" s="1810"/>
      <c r="Q70" s="1810"/>
      <c r="R70" s="1810"/>
      <c r="S70" s="1810"/>
    </row>
  </sheetData>
  <sheetProtection algorithmName="SHA-512" hashValue="jJARugHs4uVEfnUsXyM/JpacTYLCMYOgqI1dUCDvLHOWhzvKAWJO7YuI7AX3/4rfRGmeINKhKlt9orORpoohEQ==" saltValue="dkb8kz16OoGzA4ahGga2Mw==" spinCount="100000" sheet="1" objects="1" scenarios="1" formatColumns="0" formatRows="0"/>
  <mergeCells count="11">
    <mergeCell ref="F23:K24"/>
    <mergeCell ref="A1:M1"/>
    <mergeCell ref="A2:M2"/>
    <mergeCell ref="A3:M3"/>
    <mergeCell ref="A4:M4"/>
    <mergeCell ref="N5:Q5"/>
    <mergeCell ref="N2:Q2"/>
    <mergeCell ref="N3:Q3"/>
    <mergeCell ref="N4:Q4"/>
    <mergeCell ref="N25:P26"/>
    <mergeCell ref="N22:P23"/>
  </mergeCells>
  <conditionalFormatting sqref="I28">
    <cfRule type="cellIs" dxfId="183" priority="14" operator="notEqual">
      <formula>$I$21</formula>
    </cfRule>
    <cfRule type="cellIs" dxfId="182" priority="15" operator="equal">
      <formula>$I$21</formula>
    </cfRule>
  </conditionalFormatting>
  <dataValidations count="1">
    <dataValidation type="list" showInputMessage="1" showErrorMessage="1" sqref="Q8 Q14 Q26">
      <formula1>$R$6:$R$8</formula1>
    </dataValidation>
  </dataValidations>
  <printOptions horizontalCentered="1"/>
  <pageMargins left="0.75" right="0.75" top="0.5" bottom="0.5" header="0.3" footer="0.3"/>
  <pageSetup scale="88" fitToWidth="2" orientation="portrait" r:id="rId1"/>
  <headerFooter>
    <oddHeader>&amp;L&amp;"Arial,Regular"&amp;8&amp;F&amp;R&amp;"Arial,Regular"&amp;8&amp;A</oddHeader>
    <oddFooter>&amp;L&amp;"Arial,Regular"&amp;8&amp;D&amp;R&amp;"Arial,Regular"&amp;8&amp;P of &amp;N</oddFooter>
  </headerFooter>
  <colBreaks count="1" manualBreakCount="1">
    <brk id="13" max="26" man="1"/>
  </colBreaks>
  <ignoredErrors>
    <ignoredError sqref="K18" formula="1"/>
  </ignoredError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tint="-0.249977111117893"/>
    <pageSetUpPr fitToPage="1"/>
  </sheetPr>
  <dimension ref="A1:N60"/>
  <sheetViews>
    <sheetView workbookViewId="0">
      <selection sqref="A1:G1"/>
    </sheetView>
  </sheetViews>
  <sheetFormatPr defaultColWidth="9.140625" defaultRowHeight="12.75"/>
  <cols>
    <col min="1" max="3" width="14.5703125" style="1068" customWidth="1"/>
    <col min="4" max="4" width="13" style="1068" customWidth="1"/>
    <col min="5" max="7" width="11.42578125" style="1068" customWidth="1"/>
    <col min="8" max="13" width="9.140625" style="1068"/>
    <col min="14" max="14" width="9.140625" style="1178"/>
    <col min="15" max="16384" width="9.140625" style="1068"/>
  </cols>
  <sheetData>
    <row r="1" spans="1:14">
      <c r="A1" s="4524" t="str">
        <f>'FCS Notes Sched Commitments'!A1</f>
        <v>SAMPLE STATE COLLEGE</v>
      </c>
      <c r="B1" s="4524"/>
      <c r="C1" s="4524"/>
      <c r="D1" s="4524"/>
      <c r="E1" s="4524"/>
      <c r="F1" s="4524"/>
      <c r="G1" s="4524"/>
    </row>
    <row r="2" spans="1:14">
      <c r="A2" s="4525" t="e">
        <f>'FCS Notes Sched Commitments'!A4</f>
        <v>#VALUE!</v>
      </c>
      <c r="B2" s="4525"/>
      <c r="C2" s="4525"/>
      <c r="D2" s="4525"/>
      <c r="E2" s="4525"/>
      <c r="F2" s="4525"/>
      <c r="G2" s="4525"/>
    </row>
    <row r="3" spans="1:14">
      <c r="A3" s="4526" t="s">
        <v>3645</v>
      </c>
      <c r="B3" s="4526"/>
      <c r="C3" s="4526"/>
      <c r="D3" s="4526"/>
      <c r="E3" s="4526"/>
      <c r="F3" s="4526"/>
      <c r="G3" s="4526"/>
    </row>
    <row r="4" spans="1:14">
      <c r="A4" s="4526" t="s">
        <v>3655</v>
      </c>
      <c r="B4" s="4526"/>
      <c r="C4" s="4526"/>
      <c r="D4" s="4526"/>
      <c r="E4" s="4526"/>
      <c r="F4" s="4526"/>
      <c r="G4" s="4526"/>
    </row>
    <row r="5" spans="1:14" ht="9" customHeight="1">
      <c r="A5" s="4518"/>
      <c r="B5" s="4518"/>
      <c r="C5" s="4518"/>
      <c r="D5" s="4518"/>
      <c r="E5" s="4518"/>
      <c r="F5" s="4518"/>
      <c r="G5" s="4518"/>
    </row>
    <row r="6" spans="1:14" ht="13.5" thickBot="1">
      <c r="A6" s="4521" t="s">
        <v>3656</v>
      </c>
      <c r="B6" s="4521"/>
      <c r="C6" s="4521"/>
      <c r="D6" s="4521"/>
      <c r="E6" s="4521"/>
      <c r="F6" s="4521"/>
      <c r="G6" s="4521"/>
      <c r="N6" s="1178" t="s">
        <v>2790</v>
      </c>
    </row>
    <row r="7" spans="1:14" ht="13.5" thickBot="1">
      <c r="A7" s="4521" t="s">
        <v>3657</v>
      </c>
      <c r="B7" s="4521"/>
      <c r="C7" s="4521"/>
      <c r="D7" s="4522"/>
      <c r="E7" s="4519"/>
      <c r="F7" s="4520"/>
      <c r="G7" s="1179"/>
      <c r="N7" s="1178" t="s">
        <v>2791</v>
      </c>
    </row>
    <row r="8" spans="1:14" ht="9" customHeight="1">
      <c r="A8" s="4518"/>
      <c r="B8" s="4518"/>
      <c r="C8" s="4518"/>
      <c r="D8" s="4518"/>
      <c r="E8" s="4518"/>
      <c r="F8" s="4518"/>
      <c r="G8" s="4518"/>
    </row>
    <row r="9" spans="1:14">
      <c r="A9" s="4523" t="str">
        <f>IF(E7="Yes","Please provide a description of the related party transaction(s) in the unlocked area below.","")</f>
        <v/>
      </c>
      <c r="B9" s="4523"/>
      <c r="C9" s="4523"/>
      <c r="D9" s="4523"/>
      <c r="E9" s="4523"/>
      <c r="F9" s="4523"/>
      <c r="G9" s="4523"/>
    </row>
    <row r="10" spans="1:14">
      <c r="A10" s="4514"/>
      <c r="B10" s="4514"/>
      <c r="C10" s="4514"/>
      <c r="D10" s="4514"/>
      <c r="E10" s="4514"/>
      <c r="F10" s="4514"/>
      <c r="G10" s="4514"/>
    </row>
    <row r="11" spans="1:14">
      <c r="A11" s="4514" t="s">
        <v>3658</v>
      </c>
      <c r="B11" s="4514"/>
      <c r="C11" s="4514"/>
      <c r="D11" s="4514"/>
      <c r="E11" s="4514"/>
      <c r="F11" s="4514"/>
      <c r="G11" s="4514"/>
    </row>
    <row r="12" spans="1:14">
      <c r="A12" s="4514" t="s">
        <v>3659</v>
      </c>
      <c r="B12" s="4514"/>
      <c r="C12" s="4514"/>
      <c r="D12" s="4514"/>
      <c r="E12" s="4514"/>
      <c r="F12" s="4514"/>
      <c r="G12" s="4514"/>
    </row>
    <row r="13" spans="1:14">
      <c r="A13" s="4514" t="s">
        <v>3660</v>
      </c>
      <c r="B13" s="4514"/>
      <c r="C13" s="4514"/>
      <c r="D13" s="4514"/>
      <c r="E13" s="4514"/>
      <c r="F13" s="4514"/>
      <c r="G13" s="4514"/>
    </row>
    <row r="14" spans="1:14" ht="8.25" customHeight="1">
      <c r="A14" s="4518"/>
      <c r="B14" s="4518"/>
      <c r="C14" s="4518"/>
      <c r="D14" s="4518"/>
      <c r="E14" s="4518"/>
      <c r="F14" s="4518"/>
      <c r="G14" s="4518"/>
    </row>
    <row r="15" spans="1:14">
      <c r="A15" s="4514" t="s">
        <v>3661</v>
      </c>
      <c r="B15" s="4514"/>
      <c r="C15" s="4514"/>
      <c r="D15" s="4514"/>
      <c r="E15" s="4514"/>
      <c r="F15" s="4514"/>
      <c r="G15" s="4514"/>
    </row>
    <row r="16" spans="1:14">
      <c r="A16" s="4514" t="s">
        <v>3662</v>
      </c>
      <c r="B16" s="4514"/>
      <c r="C16" s="4514"/>
      <c r="D16" s="4514"/>
      <c r="E16" s="4514"/>
      <c r="F16" s="4514"/>
      <c r="G16" s="4514"/>
    </row>
    <row r="17" spans="1:7" ht="8.25" customHeight="1">
      <c r="A17" s="4518"/>
      <c r="B17" s="4518"/>
      <c r="C17" s="4518"/>
      <c r="D17" s="4518"/>
      <c r="E17" s="4518"/>
      <c r="F17" s="4518"/>
      <c r="G17" s="4518"/>
    </row>
    <row r="18" spans="1:7">
      <c r="A18" s="4527" t="s">
        <v>3587</v>
      </c>
      <c r="B18" s="4527"/>
      <c r="C18" s="4527"/>
      <c r="D18" s="4527"/>
      <c r="E18" s="4527"/>
      <c r="F18" s="4527"/>
      <c r="G18" s="4527"/>
    </row>
    <row r="19" spans="1:7" ht="7.5" customHeight="1">
      <c r="A19" s="3702"/>
      <c r="B19" s="3702"/>
      <c r="C19" s="3702"/>
      <c r="D19" s="3702"/>
      <c r="E19" s="3702"/>
      <c r="F19" s="3702"/>
      <c r="G19" s="3702"/>
    </row>
    <row r="20" spans="1:7">
      <c r="A20" s="4516" t="s">
        <v>3663</v>
      </c>
      <c r="B20" s="4516"/>
      <c r="C20" s="4516"/>
      <c r="D20" s="4516"/>
      <c r="E20" s="4516"/>
      <c r="F20" s="4516"/>
      <c r="G20" s="4516"/>
    </row>
    <row r="21" spans="1:7">
      <c r="A21" s="4516" t="s">
        <v>3664</v>
      </c>
      <c r="B21" s="4516"/>
      <c r="C21" s="4516"/>
      <c r="D21" s="4516"/>
      <c r="E21" s="4516"/>
      <c r="F21" s="4516"/>
      <c r="G21" s="4516"/>
    </row>
    <row r="22" spans="1:7">
      <c r="A22" s="4516" t="s">
        <v>3665</v>
      </c>
      <c r="B22" s="4516"/>
      <c r="C22" s="4516"/>
      <c r="D22" s="4516"/>
      <c r="E22" s="4516"/>
      <c r="F22" s="4516"/>
      <c r="G22" s="4516"/>
    </row>
    <row r="23" spans="1:7">
      <c r="A23" s="4516" t="s">
        <v>3666</v>
      </c>
      <c r="B23" s="4516"/>
      <c r="C23" s="4516"/>
      <c r="D23" s="4516"/>
      <c r="E23" s="4516"/>
      <c r="F23" s="4516"/>
      <c r="G23" s="4516"/>
    </row>
    <row r="24" spans="1:7">
      <c r="A24" s="4516" t="s">
        <v>3667</v>
      </c>
      <c r="B24" s="4516"/>
      <c r="C24" s="4516"/>
      <c r="D24" s="4516"/>
      <c r="E24" s="4516"/>
      <c r="F24" s="4516"/>
      <c r="G24" s="4516"/>
    </row>
    <row r="25" spans="1:7">
      <c r="A25" s="4516" t="s">
        <v>3668</v>
      </c>
      <c r="B25" s="4516"/>
      <c r="C25" s="4516"/>
      <c r="D25" s="4516"/>
      <c r="E25" s="4516"/>
      <c r="F25" s="4516"/>
      <c r="G25" s="4516"/>
    </row>
    <row r="26" spans="1:7" ht="8.25" customHeight="1">
      <c r="A26" s="4517"/>
      <c r="B26" s="4517"/>
      <c r="C26" s="4517"/>
      <c r="D26" s="4517"/>
      <c r="E26" s="4517"/>
      <c r="F26" s="4517"/>
      <c r="G26" s="4517"/>
    </row>
    <row r="27" spans="1:7">
      <c r="A27" s="4528" t="s">
        <v>3595</v>
      </c>
      <c r="B27" s="4528"/>
      <c r="C27" s="4528"/>
      <c r="D27" s="4528"/>
      <c r="E27" s="4528"/>
      <c r="F27" s="4528"/>
      <c r="G27" s="4528"/>
    </row>
    <row r="28" spans="1:7" ht="8.25" customHeight="1">
      <c r="A28" s="1180"/>
      <c r="B28" s="1180"/>
      <c r="C28" s="1180"/>
      <c r="D28" s="1180"/>
      <c r="E28" s="1180"/>
      <c r="F28" s="1180"/>
      <c r="G28" s="1180"/>
    </row>
    <row r="29" spans="1:7">
      <c r="A29" s="4515" t="s">
        <v>3669</v>
      </c>
      <c r="B29" s="4515"/>
      <c r="C29" s="4515"/>
      <c r="D29" s="4515"/>
      <c r="E29" s="4515"/>
      <c r="F29" s="4515"/>
      <c r="G29" s="4515"/>
    </row>
    <row r="30" spans="1:7">
      <c r="A30" s="4515" t="s">
        <v>3670</v>
      </c>
      <c r="B30" s="4515"/>
      <c r="C30" s="4515"/>
      <c r="D30" s="4515"/>
      <c r="E30" s="4515"/>
      <c r="F30" s="4515"/>
      <c r="G30" s="4515"/>
    </row>
    <row r="31" spans="1:7">
      <c r="A31" s="4515" t="s">
        <v>3599</v>
      </c>
      <c r="B31" s="4515"/>
      <c r="C31" s="4515"/>
      <c r="D31" s="4515"/>
      <c r="E31" s="4515"/>
      <c r="F31" s="4515"/>
      <c r="G31" s="4515"/>
    </row>
    <row r="32" spans="1:7" ht="8.25" customHeight="1">
      <c r="A32" s="4515"/>
      <c r="B32" s="4515"/>
      <c r="C32" s="4515"/>
      <c r="D32" s="4515"/>
      <c r="E32" s="4515"/>
      <c r="F32" s="4515"/>
      <c r="G32" s="4515"/>
    </row>
    <row r="33" spans="1:7">
      <c r="A33" s="4515" t="s">
        <v>3671</v>
      </c>
      <c r="B33" s="4515"/>
      <c r="C33" s="4515"/>
      <c r="D33" s="4515"/>
      <c r="E33" s="4515"/>
      <c r="F33" s="4515"/>
      <c r="G33" s="4515"/>
    </row>
    <row r="34" spans="1:7" ht="8.25" customHeight="1">
      <c r="A34" s="3701"/>
      <c r="B34" s="3701"/>
      <c r="C34" s="3701"/>
      <c r="D34" s="3701"/>
      <c r="E34" s="3701"/>
      <c r="F34" s="3701"/>
      <c r="G34" s="3701"/>
    </row>
    <row r="35" spans="1:7">
      <c r="A35" s="4515" t="s">
        <v>3672</v>
      </c>
      <c r="B35" s="4515"/>
      <c r="C35" s="4515"/>
      <c r="D35" s="4515"/>
      <c r="E35" s="4515"/>
      <c r="F35" s="4515"/>
      <c r="G35" s="4515"/>
    </row>
    <row r="36" spans="1:7" ht="8.25" customHeight="1">
      <c r="A36" s="3701"/>
      <c r="B36" s="3701"/>
      <c r="C36" s="3701"/>
      <c r="D36" s="3701"/>
      <c r="E36" s="3701"/>
      <c r="F36" s="3701"/>
      <c r="G36" s="3701"/>
    </row>
    <row r="37" spans="1:7">
      <c r="A37" s="4515" t="s">
        <v>3673</v>
      </c>
      <c r="B37" s="4515"/>
      <c r="C37" s="4515"/>
      <c r="D37" s="4515"/>
      <c r="E37" s="4515"/>
      <c r="F37" s="4515"/>
      <c r="G37" s="4515"/>
    </row>
    <row r="38" spans="1:7">
      <c r="A38" s="3701"/>
      <c r="B38" s="3701"/>
      <c r="C38" s="3701"/>
      <c r="D38" s="3701"/>
      <c r="E38" s="3701"/>
      <c r="F38" s="3701"/>
      <c r="G38" s="3701"/>
    </row>
    <row r="39" spans="1:7">
      <c r="A39" s="4513" t="s">
        <v>3674</v>
      </c>
      <c r="B39" s="4513"/>
      <c r="C39" s="4513"/>
      <c r="D39" s="4513"/>
      <c r="E39" s="4513"/>
      <c r="F39" s="4513"/>
      <c r="G39" s="4513"/>
    </row>
    <row r="40" spans="1:7">
      <c r="A40" s="4513" t="s">
        <v>3675</v>
      </c>
      <c r="B40" s="4513"/>
      <c r="C40" s="4513"/>
      <c r="D40" s="4513"/>
      <c r="E40" s="4513"/>
      <c r="F40" s="4513"/>
      <c r="G40" s="4513"/>
    </row>
    <row r="41" spans="1:7">
      <c r="A41" s="4513" t="s">
        <v>3676</v>
      </c>
      <c r="B41" s="4513"/>
      <c r="C41" s="4513"/>
      <c r="D41" s="4513"/>
      <c r="E41" s="4513"/>
      <c r="F41" s="4513"/>
      <c r="G41" s="4513"/>
    </row>
    <row r="42" spans="1:7">
      <c r="A42" s="1181"/>
      <c r="B42" s="1181"/>
      <c r="C42" s="1181"/>
      <c r="D42" s="1181"/>
      <c r="E42" s="1181"/>
      <c r="F42" s="1181"/>
      <c r="G42" s="1181"/>
    </row>
    <row r="43" spans="1:7">
      <c r="A43" s="1181"/>
      <c r="B43" s="1181"/>
      <c r="C43" s="1181"/>
      <c r="D43" s="1181"/>
      <c r="E43" s="1181"/>
      <c r="F43" s="1181"/>
      <c r="G43" s="1181"/>
    </row>
    <row r="44" spans="1:7">
      <c r="A44" s="1181"/>
      <c r="B44" s="1181"/>
      <c r="C44" s="1181"/>
      <c r="D44" s="1181"/>
      <c r="E44" s="1181"/>
      <c r="F44" s="1181"/>
      <c r="G44" s="1181"/>
    </row>
    <row r="45" spans="1:7">
      <c r="A45" s="1181"/>
      <c r="B45" s="1181"/>
      <c r="C45" s="1181"/>
      <c r="D45" s="1181"/>
      <c r="E45" s="1181"/>
      <c r="F45" s="1181"/>
      <c r="G45" s="1181"/>
    </row>
    <row r="46" spans="1:7">
      <c r="A46" s="1181"/>
      <c r="B46" s="1181"/>
      <c r="C46" s="1181"/>
      <c r="D46" s="1181"/>
      <c r="E46" s="1181"/>
      <c r="F46" s="1181"/>
      <c r="G46" s="1181"/>
    </row>
    <row r="47" spans="1:7">
      <c r="A47" s="1181"/>
      <c r="B47" s="1181"/>
      <c r="C47" s="1181"/>
      <c r="D47" s="1181"/>
      <c r="E47" s="1181"/>
      <c r="F47" s="1181"/>
      <c r="G47" s="1181"/>
    </row>
    <row r="48" spans="1:7">
      <c r="A48" s="1181"/>
      <c r="B48" s="1181"/>
      <c r="C48" s="1181"/>
      <c r="D48" s="1181"/>
      <c r="E48" s="1181"/>
      <c r="F48" s="1181"/>
      <c r="G48" s="1181"/>
    </row>
    <row r="49" spans="1:7">
      <c r="A49" s="1181"/>
      <c r="B49" s="1181"/>
      <c r="C49" s="1181"/>
      <c r="D49" s="1181"/>
      <c r="E49" s="1181"/>
      <c r="F49" s="1181"/>
      <c r="G49" s="1181"/>
    </row>
    <row r="50" spans="1:7">
      <c r="A50" s="1181"/>
      <c r="B50" s="1181"/>
      <c r="C50" s="1181"/>
      <c r="D50" s="1181"/>
      <c r="E50" s="1181"/>
      <c r="F50" s="1181"/>
      <c r="G50" s="1181"/>
    </row>
    <row r="51" spans="1:7">
      <c r="A51" s="1181"/>
      <c r="B51" s="1181"/>
      <c r="C51" s="1181"/>
      <c r="D51" s="1181"/>
      <c r="E51" s="1181"/>
      <c r="F51" s="1181"/>
      <c r="G51" s="1181"/>
    </row>
    <row r="52" spans="1:7">
      <c r="A52" s="1181"/>
      <c r="B52" s="1181"/>
      <c r="C52" s="1181"/>
      <c r="D52" s="1181"/>
      <c r="E52" s="1181"/>
      <c r="F52" s="1181"/>
      <c r="G52" s="1181"/>
    </row>
    <row r="53" spans="1:7">
      <c r="A53" s="1181"/>
      <c r="B53" s="1181"/>
      <c r="C53" s="1181"/>
      <c r="D53" s="1181"/>
      <c r="E53" s="1181"/>
      <c r="F53" s="1181"/>
      <c r="G53" s="1181"/>
    </row>
    <row r="54" spans="1:7">
      <c r="A54" s="1181"/>
      <c r="B54" s="1181"/>
      <c r="C54" s="1181"/>
      <c r="D54" s="1181"/>
      <c r="E54" s="1181"/>
      <c r="F54" s="1181"/>
      <c r="G54" s="1181"/>
    </row>
    <row r="55" spans="1:7">
      <c r="A55" s="1181"/>
      <c r="B55" s="1181"/>
      <c r="C55" s="1181"/>
      <c r="D55" s="1181"/>
      <c r="E55" s="1181"/>
      <c r="F55" s="1181"/>
      <c r="G55" s="1181"/>
    </row>
    <row r="56" spans="1:7">
      <c r="A56" s="1181"/>
      <c r="B56" s="1181"/>
      <c r="C56" s="1181"/>
      <c r="D56" s="1181"/>
      <c r="E56" s="1181"/>
      <c r="F56" s="1181"/>
      <c r="G56" s="1181"/>
    </row>
    <row r="57" spans="1:7">
      <c r="A57" s="1181"/>
      <c r="B57" s="1181"/>
      <c r="C57" s="1181"/>
      <c r="D57" s="1181"/>
      <c r="E57" s="1181"/>
      <c r="F57" s="1181"/>
      <c r="G57" s="1181"/>
    </row>
    <row r="58" spans="1:7">
      <c r="A58" s="1181"/>
      <c r="B58" s="1181"/>
      <c r="C58" s="1181"/>
      <c r="D58" s="1181"/>
      <c r="E58" s="1181"/>
      <c r="F58" s="1181"/>
      <c r="G58" s="1181"/>
    </row>
    <row r="59" spans="1:7">
      <c r="A59" s="1181"/>
      <c r="B59" s="1181"/>
      <c r="C59" s="1181"/>
      <c r="D59" s="1181"/>
      <c r="E59" s="1181"/>
      <c r="F59" s="1181"/>
      <c r="G59" s="1181"/>
    </row>
    <row r="60" spans="1:7">
      <c r="A60" s="1181"/>
      <c r="B60" s="1181"/>
      <c r="C60" s="1181"/>
      <c r="D60" s="1181"/>
      <c r="E60" s="1181"/>
      <c r="F60" s="1181"/>
      <c r="G60" s="1181"/>
    </row>
  </sheetData>
  <sheetProtection algorithmName="SHA-512" hashValue="i1pUuEL3aeZk9KTSZiqFXjW6tj4+siU3I4PLDIyv7CNincQoi3Z9/zytX6y9WTZ0e9ym4hLSJMDyxvFXX6E0MQ==" saltValue="UDWBK2HA3mzPuLYL/ni3Og==" spinCount="100000" sheet="1" objects="1" scenarios="1"/>
  <mergeCells count="37">
    <mergeCell ref="A6:G6"/>
    <mergeCell ref="A11:G11"/>
    <mergeCell ref="A35:G35"/>
    <mergeCell ref="A37:G37"/>
    <mergeCell ref="A16:G16"/>
    <mergeCell ref="A17:G17"/>
    <mergeCell ref="A18:G18"/>
    <mergeCell ref="A20:G20"/>
    <mergeCell ref="A21:G21"/>
    <mergeCell ref="A22:G22"/>
    <mergeCell ref="A23:G23"/>
    <mergeCell ref="A27:G27"/>
    <mergeCell ref="A29:G29"/>
    <mergeCell ref="A30:G30"/>
    <mergeCell ref="A14:G14"/>
    <mergeCell ref="A32:G32"/>
    <mergeCell ref="A1:G1"/>
    <mergeCell ref="A2:G2"/>
    <mergeCell ref="A3:G3"/>
    <mergeCell ref="A4:G4"/>
    <mergeCell ref="A5:G5"/>
    <mergeCell ref="A8:G8"/>
    <mergeCell ref="E7:F7"/>
    <mergeCell ref="A7:D7"/>
    <mergeCell ref="A9:G9"/>
    <mergeCell ref="A10:G10"/>
    <mergeCell ref="A39:G39"/>
    <mergeCell ref="A41:G41"/>
    <mergeCell ref="A12:G12"/>
    <mergeCell ref="A13:G13"/>
    <mergeCell ref="A15:G15"/>
    <mergeCell ref="A40:G40"/>
    <mergeCell ref="A33:G33"/>
    <mergeCell ref="A24:G24"/>
    <mergeCell ref="A25:G25"/>
    <mergeCell ref="A26:G26"/>
    <mergeCell ref="A31:G31"/>
  </mergeCells>
  <conditionalFormatting sqref="E7">
    <cfRule type="containsBlanks" dxfId="181" priority="1">
      <formula>LEN(TRIM(E7))=0</formula>
    </cfRule>
  </conditionalFormatting>
  <dataValidations count="1">
    <dataValidation type="list" showInputMessage="1" showErrorMessage="1" sqref="E7">
      <formula1>$N$5:$N$7</formula1>
    </dataValidation>
  </dataValidations>
  <pageMargins left="0.7" right="0.7" top="0.75" bottom="0.75" header="0.3" footer="0.3"/>
  <pageSetup scale="98" orientation="portrait" r:id="rId1"/>
  <headerFooter>
    <oddHeader>&amp;L&amp;"Arial,Regular"&amp;8&amp;F&amp;R&amp;"Arial,Regular"&amp;8&amp;A</oddHeader>
    <oddFooter>&amp;L&amp;"Arial,Regular"&amp;8&amp;D&amp;R&amp;"Arial,Regular"&amp;8&amp;P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00FF"/>
    <pageSetUpPr fitToPage="1"/>
  </sheetPr>
  <dimension ref="A1:S398"/>
  <sheetViews>
    <sheetView workbookViewId="0"/>
  </sheetViews>
  <sheetFormatPr defaultColWidth="9.140625" defaultRowHeight="12"/>
  <cols>
    <col min="1" max="1" width="50.42578125" style="983" customWidth="1"/>
    <col min="2" max="2" width="14.7109375" style="992" customWidth="1"/>
    <col min="3" max="3" width="3" style="1669" customWidth="1"/>
    <col min="4" max="4" width="14.140625" style="992" customWidth="1"/>
    <col min="5" max="5" width="1.140625" style="934" customWidth="1"/>
    <col min="6" max="6" width="19.85546875" style="992" customWidth="1"/>
    <col min="7" max="7" width="1" style="1669" customWidth="1"/>
    <col min="8" max="8" width="18.42578125" style="992" customWidth="1"/>
    <col min="9" max="9" width="1.140625" style="948" customWidth="1"/>
    <col min="10" max="10" width="14.7109375" style="977" customWidth="1"/>
    <col min="11" max="11" width="12.140625" style="978" customWidth="1"/>
    <col min="12" max="12" width="1" style="948" customWidth="1"/>
    <col min="13" max="13" width="19" style="977" customWidth="1"/>
    <col min="14" max="14" width="11.85546875" style="978" customWidth="1"/>
    <col min="15" max="15" width="30.140625" style="910" customWidth="1"/>
    <col min="16" max="16" width="44.140625" style="910" customWidth="1"/>
    <col min="17" max="17" width="12" style="910" customWidth="1"/>
    <col min="18" max="18" width="31.5703125" style="948" customWidth="1"/>
    <col min="19" max="20" width="12.7109375" style="910" customWidth="1"/>
    <col min="21" max="21" width="44.140625" style="910" customWidth="1"/>
    <col min="22" max="32" width="12.7109375" style="910" customWidth="1"/>
    <col min="33" max="33" width="19.7109375" style="910" customWidth="1"/>
    <col min="34" max="36" width="12.7109375" style="910" customWidth="1"/>
    <col min="37" max="37" width="16.85546875" style="910" customWidth="1"/>
    <col min="38" max="38" width="12.7109375" style="910" customWidth="1"/>
    <col min="39" max="39" width="20.85546875" style="910" customWidth="1"/>
    <col min="40" max="43" width="12.7109375" style="910" customWidth="1"/>
    <col min="44" max="44" width="18.42578125" style="910" customWidth="1"/>
    <col min="45" max="49" width="12.7109375" style="910" customWidth="1"/>
    <col min="50" max="50" width="15.28515625" style="910" customWidth="1"/>
    <col min="51" max="51" width="14" style="910" customWidth="1"/>
    <col min="52" max="52" width="12.7109375" style="910" customWidth="1"/>
    <col min="53" max="53" width="16.85546875" style="910" customWidth="1"/>
    <col min="54" max="54" width="23.42578125" style="910" customWidth="1"/>
    <col min="55" max="55" width="12.7109375" style="910" customWidth="1"/>
    <col min="56" max="56" width="15.28515625" style="910" customWidth="1"/>
    <col min="57" max="64" width="12.7109375" style="910" customWidth="1"/>
    <col min="65" max="65" width="14.28515625" style="910" customWidth="1"/>
    <col min="66" max="66" width="19" style="910" customWidth="1"/>
    <col min="67" max="70" width="12.7109375" style="910" customWidth="1"/>
    <col min="71" max="71" width="16.85546875" style="910" customWidth="1"/>
    <col min="72" max="75" width="12.7109375" style="910" customWidth="1"/>
    <col min="76" max="76" width="14.28515625" style="910" customWidth="1"/>
    <col min="77" max="77" width="13.28515625" style="910" customWidth="1"/>
    <col min="78" max="78" width="20.85546875" style="910" customWidth="1"/>
    <col min="79" max="90" width="12.7109375" style="910" customWidth="1"/>
    <col min="91" max="91" width="14.28515625" style="910" customWidth="1"/>
    <col min="92" max="92" width="21.140625" style="910" customWidth="1"/>
    <col min="93" max="98" width="12.7109375" style="910" customWidth="1"/>
    <col min="99" max="99" width="15.28515625" style="910" customWidth="1"/>
    <col min="100" max="100" width="18.7109375" style="910" customWidth="1"/>
    <col min="101" max="104" width="12.7109375" style="910" customWidth="1"/>
    <col min="105" max="105" width="14.7109375" style="910" customWidth="1"/>
    <col min="106" max="116" width="12.7109375" style="910" customWidth="1"/>
    <col min="117" max="117" width="14.28515625" style="910" customWidth="1"/>
    <col min="118" max="122" width="12.7109375" style="910" customWidth="1"/>
    <col min="123" max="123" width="16" style="910" customWidth="1"/>
    <col min="124" max="125" width="12.7109375" style="910" customWidth="1"/>
    <col min="126" max="126" width="13.7109375" style="910" customWidth="1"/>
    <col min="127" max="127" width="17.28515625" style="910" customWidth="1"/>
    <col min="128" max="135" width="12.7109375" style="910" customWidth="1"/>
    <col min="136" max="136" width="0.5703125" style="910" customWidth="1"/>
    <col min="137" max="137" width="32.5703125" style="910" customWidth="1"/>
    <col min="138" max="142" width="12.7109375" style="910" customWidth="1"/>
    <col min="143" max="143" width="14.140625" style="910" customWidth="1"/>
    <col min="144" max="146" width="12.7109375" style="910" customWidth="1"/>
    <col min="147" max="149" width="14.42578125" style="910" customWidth="1"/>
    <col min="150" max="183" width="13.85546875" style="910" customWidth="1"/>
    <col min="184" max="185" width="12.5703125" style="910" bestFit="1" customWidth="1"/>
    <col min="186" max="186" width="13.140625" style="910" bestFit="1" customWidth="1"/>
    <col min="187" max="187" width="14" style="910" bestFit="1" customWidth="1"/>
    <col min="188" max="188" width="13" style="910" bestFit="1" customWidth="1"/>
    <col min="189" max="189" width="14.42578125" style="910" bestFit="1" customWidth="1"/>
    <col min="190" max="190" width="12.5703125" style="910" bestFit="1" customWidth="1"/>
    <col min="191" max="192" width="11.42578125" style="910" bestFit="1" customWidth="1"/>
    <col min="193" max="193" width="12.5703125" style="910" bestFit="1" customWidth="1"/>
    <col min="194" max="194" width="13.28515625" style="910" bestFit="1" customWidth="1"/>
    <col min="195" max="195" width="11" style="910" bestFit="1" customWidth="1"/>
    <col min="196" max="196" width="12.5703125" style="910" bestFit="1" customWidth="1"/>
    <col min="197" max="197" width="11.7109375" style="910" bestFit="1" customWidth="1"/>
    <col min="198" max="198" width="11.5703125" style="910" bestFit="1" customWidth="1"/>
    <col min="199" max="199" width="13.7109375" style="910" bestFit="1" customWidth="1"/>
    <col min="200" max="200" width="13.28515625" style="910" bestFit="1" customWidth="1"/>
    <col min="201" max="201" width="13.5703125" style="910" bestFit="1" customWidth="1"/>
    <col min="202" max="202" width="12.5703125" style="910" bestFit="1" customWidth="1"/>
    <col min="203" max="203" width="11.5703125" style="910" bestFit="1" customWidth="1"/>
    <col min="204" max="204" width="12.5703125" style="910" bestFit="1" customWidth="1"/>
    <col min="205" max="205" width="12.28515625" style="910" bestFit="1" customWidth="1"/>
    <col min="206" max="206" width="13.5703125" style="910" bestFit="1" customWidth="1"/>
    <col min="207" max="207" width="12.5703125" style="910" bestFit="1" customWidth="1"/>
    <col min="208" max="209" width="14.28515625" style="910" bestFit="1" customWidth="1"/>
    <col min="210" max="210" width="12.42578125" style="910" bestFit="1" customWidth="1"/>
    <col min="211" max="211" width="11.42578125" style="910" bestFit="1" customWidth="1"/>
    <col min="212" max="213" width="12.42578125" style="910" bestFit="1" customWidth="1"/>
    <col min="214" max="215" width="16.7109375" style="910" bestFit="1" customWidth="1"/>
    <col min="216" max="16384" width="9.140625" style="910"/>
  </cols>
  <sheetData>
    <row r="1" spans="1:19" s="1003" customFormat="1" ht="15">
      <c r="B1" s="2750"/>
      <c r="C1" s="2750"/>
      <c r="E1" s="3146" t="str">
        <f>'Contact Information'!C5</f>
        <v>SAMPLE STATE COLLEGE</v>
      </c>
      <c r="F1" s="2750"/>
      <c r="G1" s="2750"/>
      <c r="H1" s="2750"/>
      <c r="I1" s="2750"/>
      <c r="J1" s="2750"/>
      <c r="K1" s="2750"/>
      <c r="L1" s="2750"/>
      <c r="M1" s="2750"/>
      <c r="N1" s="2750"/>
      <c r="R1" s="1107" t="s">
        <v>3677</v>
      </c>
    </row>
    <row r="2" spans="1:19" s="1003" customFormat="1" ht="15">
      <c r="A2" s="2750"/>
      <c r="B2" s="2750"/>
      <c r="C2" s="2750"/>
      <c r="E2" s="3146" t="s">
        <v>3678</v>
      </c>
      <c r="F2" s="2750"/>
      <c r="G2" s="2750"/>
      <c r="H2" s="2750"/>
      <c r="I2" s="2750"/>
      <c r="J2" s="2750"/>
      <c r="K2" s="2750"/>
      <c r="L2" s="2750"/>
      <c r="M2" s="2750"/>
      <c r="N2" s="2750"/>
      <c r="R2" s="1108" t="s">
        <v>2289</v>
      </c>
    </row>
    <row r="3" spans="1:19" s="1003" customFormat="1" ht="15">
      <c r="B3" s="923"/>
      <c r="C3" s="923"/>
      <c r="E3" s="3147" t="s">
        <v>4056</v>
      </c>
      <c r="F3" s="923"/>
      <c r="G3" s="923"/>
      <c r="H3" s="923"/>
      <c r="I3" s="923"/>
      <c r="J3" s="923"/>
      <c r="K3" s="923"/>
      <c r="L3" s="923"/>
      <c r="M3" s="923"/>
      <c r="N3" s="923"/>
      <c r="R3" s="1108" t="s">
        <v>2290</v>
      </c>
    </row>
    <row r="4" spans="1:19" ht="12.75">
      <c r="A4" s="912"/>
      <c r="B4" s="912"/>
      <c r="C4" s="912"/>
      <c r="D4" s="912"/>
      <c r="E4" s="912"/>
      <c r="F4" s="912"/>
      <c r="G4" s="912"/>
      <c r="H4" s="912"/>
      <c r="I4" s="912"/>
      <c r="J4" s="912"/>
      <c r="K4" s="912"/>
      <c r="L4" s="912"/>
      <c r="M4" s="912"/>
      <c r="N4" s="912"/>
      <c r="R4" s="1109" t="s">
        <v>351</v>
      </c>
    </row>
    <row r="5" spans="1:19" s="1080" customFormat="1" ht="16.5" thickBot="1">
      <c r="A5" s="3261"/>
      <c r="B5" s="2751"/>
      <c r="C5" s="2751"/>
      <c r="D5" s="2751"/>
      <c r="E5" s="2751"/>
      <c r="F5" s="3259" t="s">
        <v>3679</v>
      </c>
      <c r="G5" s="2751"/>
      <c r="H5" s="2751"/>
      <c r="I5" s="2751"/>
      <c r="J5" s="2751"/>
      <c r="K5" s="2751"/>
      <c r="L5" s="2751"/>
      <c r="M5" s="2751"/>
      <c r="N5" s="2751"/>
      <c r="R5" s="1110" t="s">
        <v>383</v>
      </c>
    </row>
    <row r="6" spans="1:19" s="1080" customFormat="1" ht="15.75" customHeight="1">
      <c r="B6" s="2752"/>
      <c r="C6" s="2752"/>
      <c r="D6" s="2752"/>
      <c r="E6" s="2752"/>
      <c r="F6" s="3260" t="s">
        <v>3680</v>
      </c>
      <c r="G6" s="2752"/>
      <c r="H6" s="2752"/>
      <c r="I6" s="2752"/>
      <c r="J6" s="2752"/>
      <c r="K6" s="2752"/>
      <c r="L6" s="2752"/>
      <c r="M6" s="2752"/>
      <c r="N6" s="2753"/>
      <c r="R6" s="1110" t="s">
        <v>401</v>
      </c>
    </row>
    <row r="7" spans="1:19" s="1080" customFormat="1" ht="15.75" thickBot="1">
      <c r="A7" s="2754"/>
      <c r="B7" s="2755"/>
      <c r="C7" s="2755"/>
      <c r="D7" s="2755"/>
      <c r="E7" s="2755"/>
      <c r="F7" s="3262" t="s">
        <v>3681</v>
      </c>
      <c r="G7" s="2755"/>
      <c r="H7" s="2755"/>
      <c r="I7" s="2755"/>
      <c r="J7" s="2755"/>
      <c r="K7" s="2755"/>
      <c r="L7" s="2755"/>
      <c r="M7" s="2755"/>
      <c r="N7" s="2756"/>
      <c r="R7" s="1111" t="s">
        <v>3682</v>
      </c>
    </row>
    <row r="8" spans="1:19" ht="12.75">
      <c r="A8" s="913"/>
      <c r="B8" s="913"/>
      <c r="C8" s="913"/>
      <c r="D8" s="913"/>
      <c r="E8" s="913"/>
      <c r="F8" s="913"/>
      <c r="G8" s="913"/>
      <c r="H8" s="993"/>
      <c r="I8" s="913"/>
      <c r="J8" s="913"/>
      <c r="K8" s="913"/>
      <c r="L8" s="913"/>
      <c r="M8" s="913"/>
      <c r="N8" s="913"/>
      <c r="Q8" s="914"/>
      <c r="R8" s="1112"/>
      <c r="S8" s="914"/>
    </row>
    <row r="9" spans="1:19" s="914" customFormat="1" ht="12.75" customHeight="1">
      <c r="A9" s="913"/>
      <c r="B9" s="3804" t="s">
        <v>3683</v>
      </c>
      <c r="C9" s="3805"/>
      <c r="D9" s="3805"/>
      <c r="E9" s="3805"/>
      <c r="F9" s="3805"/>
      <c r="G9" s="3805"/>
      <c r="H9" s="3805"/>
      <c r="I9" s="3805"/>
      <c r="J9" s="3264"/>
      <c r="K9" s="3806"/>
      <c r="L9" s="913"/>
      <c r="M9" s="913"/>
      <c r="N9" s="913"/>
      <c r="R9" s="1105"/>
    </row>
    <row r="10" spans="1:19" s="914" customFormat="1" ht="26.25" customHeight="1">
      <c r="A10" s="913"/>
      <c r="B10" s="3430" t="s">
        <v>3684</v>
      </c>
      <c r="C10" s="3431"/>
      <c r="D10" s="3431"/>
      <c r="E10" s="3431"/>
      <c r="F10" s="3431"/>
      <c r="G10" s="3431"/>
      <c r="H10" s="2875"/>
      <c r="I10" s="3807"/>
      <c r="J10" s="3267">
        <v>0</v>
      </c>
      <c r="K10" s="3263"/>
      <c r="L10" s="913"/>
      <c r="M10" s="913"/>
      <c r="N10" s="913"/>
      <c r="R10" s="1105"/>
    </row>
    <row r="11" spans="1:19" s="914" customFormat="1" ht="7.5" customHeight="1">
      <c r="A11" s="913"/>
      <c r="B11" s="994"/>
      <c r="C11" s="994"/>
      <c r="D11" s="994"/>
      <c r="E11" s="994"/>
      <c r="F11" s="994"/>
      <c r="G11" s="994"/>
      <c r="H11" s="994"/>
      <c r="I11" s="994"/>
      <c r="J11" s="995"/>
      <c r="K11" s="995"/>
      <c r="L11" s="913"/>
      <c r="M11" s="913"/>
      <c r="N11" s="913"/>
      <c r="Q11" s="910"/>
      <c r="R11" s="948"/>
      <c r="S11" s="910"/>
    </row>
    <row r="12" spans="1:19" ht="12.75" customHeight="1">
      <c r="A12" s="3432" t="s">
        <v>3685</v>
      </c>
      <c r="B12" s="3433"/>
      <c r="C12" s="3433"/>
      <c r="D12" s="3433"/>
      <c r="E12" s="3433"/>
      <c r="F12" s="3433"/>
      <c r="G12" s="3433"/>
      <c r="H12" s="3433"/>
      <c r="I12" s="3433"/>
      <c r="J12" s="3433"/>
      <c r="K12" s="3433"/>
      <c r="L12" s="3433"/>
      <c r="M12" s="3433"/>
      <c r="N12" s="3808"/>
    </row>
    <row r="13" spans="1:19" ht="12" hidden="1" customHeight="1">
      <c r="A13" s="3809" t="s">
        <v>3686</v>
      </c>
      <c r="B13" s="3810" t="s">
        <v>3687</v>
      </c>
      <c r="C13" s="3810"/>
      <c r="D13" s="3810"/>
      <c r="E13" s="3810"/>
      <c r="F13" s="3810"/>
      <c r="G13" s="3810"/>
      <c r="H13" s="3809" t="s">
        <v>3688</v>
      </c>
      <c r="I13" s="3809"/>
      <c r="J13" s="3809"/>
      <c r="K13" s="3434" t="s">
        <v>3689</v>
      </c>
      <c r="L13" s="3434"/>
      <c r="M13" s="3434" t="s">
        <v>3690</v>
      </c>
      <c r="N13" s="3434"/>
    </row>
    <row r="14" spans="1:19">
      <c r="A14" s="3435" t="s">
        <v>3691</v>
      </c>
      <c r="B14" s="3811"/>
      <c r="C14" s="3812"/>
      <c r="D14" s="3812" t="s">
        <v>3687</v>
      </c>
      <c r="E14" s="3812"/>
      <c r="F14" s="3812"/>
      <c r="G14" s="3813"/>
      <c r="H14" s="3814" t="s">
        <v>3688</v>
      </c>
      <c r="I14" s="3815"/>
      <c r="J14" s="3816"/>
      <c r="K14" s="3817" t="s">
        <v>3689</v>
      </c>
      <c r="L14" s="3818"/>
      <c r="M14" s="3810" t="s">
        <v>3690</v>
      </c>
      <c r="N14" s="3809"/>
    </row>
    <row r="15" spans="1:19">
      <c r="A15" s="3269" t="s">
        <v>3692</v>
      </c>
      <c r="B15" s="3268" t="s">
        <v>3693</v>
      </c>
      <c r="C15" s="2877"/>
      <c r="D15" s="3270"/>
      <c r="E15" s="2876"/>
      <c r="F15" s="2876"/>
      <c r="G15" s="3819"/>
      <c r="H15" s="2878" t="e">
        <f>VLOOKUP(B15,$A$23:$N$194,2,FALSE)</f>
        <v>#N/A</v>
      </c>
      <c r="I15" s="2878"/>
      <c r="J15" s="3820"/>
      <c r="K15" s="3821">
        <v>0</v>
      </c>
      <c r="L15" s="2880"/>
      <c r="M15" s="3265" t="e">
        <f>K15*ABS(H15)</f>
        <v>#N/A</v>
      </c>
      <c r="N15" s="3822"/>
    </row>
    <row r="16" spans="1:19">
      <c r="A16" s="3269" t="s">
        <v>3694</v>
      </c>
      <c r="B16" s="3268" t="s">
        <v>3693</v>
      </c>
      <c r="C16" s="2877"/>
      <c r="D16" s="3270"/>
      <c r="E16" s="2876"/>
      <c r="F16" s="2876"/>
      <c r="G16" s="3819"/>
      <c r="H16" s="2878" t="e">
        <f>VLOOKUP(B16,$A$23:$N$194,2,FALSE)</f>
        <v>#N/A</v>
      </c>
      <c r="I16" s="2878"/>
      <c r="J16" s="3820"/>
      <c r="K16" s="3821">
        <v>0</v>
      </c>
      <c r="L16" s="2880"/>
      <c r="M16" s="3266" t="e">
        <f>K16*ABS(H16)</f>
        <v>#N/A</v>
      </c>
      <c r="N16" s="2879"/>
    </row>
    <row r="17" spans="1:19" ht="6.75" customHeight="1">
      <c r="A17" s="1668"/>
      <c r="B17" s="915"/>
      <c r="C17" s="916"/>
      <c r="D17" s="915"/>
      <c r="E17" s="915"/>
      <c r="F17" s="915"/>
      <c r="G17" s="915"/>
      <c r="H17" s="915"/>
      <c r="I17" s="915"/>
      <c r="J17" s="916"/>
      <c r="K17" s="915"/>
      <c r="L17" s="917"/>
      <c r="M17" s="918"/>
      <c r="N17" s="919"/>
    </row>
    <row r="18" spans="1:19" ht="6.75" hidden="1" customHeight="1">
      <c r="A18" s="1668"/>
      <c r="B18" s="915"/>
      <c r="C18" s="916"/>
      <c r="D18" s="915"/>
      <c r="E18" s="915"/>
      <c r="F18" s="915"/>
      <c r="G18" s="915"/>
      <c r="H18" s="915"/>
      <c r="I18" s="915"/>
      <c r="J18" s="916"/>
      <c r="K18" s="915"/>
      <c r="L18" s="917"/>
      <c r="M18" s="918"/>
      <c r="N18" s="919"/>
    </row>
    <row r="19" spans="1:19" ht="18">
      <c r="A19" s="2757" t="s">
        <v>3695</v>
      </c>
      <c r="B19" s="2757"/>
      <c r="C19" s="2757"/>
      <c r="D19" s="2757"/>
      <c r="E19" s="2757"/>
      <c r="F19" s="2757"/>
      <c r="G19" s="2757"/>
      <c r="H19" s="2757"/>
      <c r="I19" s="2757"/>
      <c r="J19" s="2757"/>
      <c r="K19" s="2757"/>
      <c r="L19" s="2757"/>
      <c r="M19" s="2757"/>
      <c r="N19" s="2757"/>
      <c r="O19" s="1114" t="s">
        <v>2308</v>
      </c>
    </row>
    <row r="20" spans="1:19" ht="7.5" customHeight="1" thickBot="1">
      <c r="A20" s="1668"/>
      <c r="B20" s="913"/>
      <c r="C20" s="913"/>
      <c r="D20" s="913"/>
      <c r="E20" s="915"/>
      <c r="F20" s="913"/>
      <c r="G20" s="913"/>
      <c r="H20" s="913"/>
      <c r="I20" s="920"/>
      <c r="J20" s="921"/>
      <c r="K20" s="919"/>
      <c r="L20" s="913"/>
      <c r="M20" s="921"/>
      <c r="N20" s="919"/>
      <c r="Q20" s="922"/>
      <c r="R20" s="1106"/>
      <c r="S20" s="922"/>
    </row>
    <row r="21" spans="1:19" s="922" customFormat="1" ht="15.75" thickBot="1">
      <c r="A21" s="1668"/>
      <c r="B21" s="2982" t="s">
        <v>4073</v>
      </c>
      <c r="C21" s="2758"/>
      <c r="D21" s="2759"/>
      <c r="E21" s="923"/>
      <c r="F21" s="2982" t="s">
        <v>3696</v>
      </c>
      <c r="G21" s="2758"/>
      <c r="H21" s="2759"/>
      <c r="I21" s="916"/>
      <c r="J21" s="2760" t="s">
        <v>3697</v>
      </c>
      <c r="K21" s="2761"/>
      <c r="L21" s="2524"/>
      <c r="M21" s="2760" t="s">
        <v>3698</v>
      </c>
      <c r="N21" s="2761"/>
      <c r="O21" s="801"/>
      <c r="Q21" s="910"/>
      <c r="R21" s="948"/>
      <c r="S21" s="910"/>
    </row>
    <row r="22" spans="1:19" ht="15" thickBot="1">
      <c r="A22" s="1668"/>
      <c r="B22" s="924" t="s">
        <v>2303</v>
      </c>
      <c r="C22" s="925"/>
      <c r="D22" s="926" t="s">
        <v>2314</v>
      </c>
      <c r="E22" s="927"/>
      <c r="F22" s="924" t="s">
        <v>2303</v>
      </c>
      <c r="G22" s="925"/>
      <c r="H22" s="926" t="str">
        <f>D22</f>
        <v>CU</v>
      </c>
      <c r="I22" s="928"/>
      <c r="J22" s="929" t="s">
        <v>3373</v>
      </c>
      <c r="K22" s="930" t="s">
        <v>2599</v>
      </c>
      <c r="L22" s="2523"/>
      <c r="M22" s="929" t="s">
        <v>3373</v>
      </c>
      <c r="N22" s="930" t="s">
        <v>2599</v>
      </c>
      <c r="O22" s="801" t="s">
        <v>3699</v>
      </c>
    </row>
    <row r="23" spans="1:19">
      <c r="A23" s="931" t="s">
        <v>924</v>
      </c>
      <c r="B23" s="932"/>
      <c r="D23" s="933"/>
      <c r="F23" s="932"/>
      <c r="H23" s="933"/>
      <c r="I23" s="934"/>
      <c r="J23" s="935"/>
      <c r="K23" s="936"/>
      <c r="L23" s="937"/>
      <c r="M23" s="935"/>
      <c r="N23" s="936"/>
      <c r="O23" s="1113"/>
    </row>
    <row r="24" spans="1:19">
      <c r="A24" s="1668" t="s">
        <v>2312</v>
      </c>
      <c r="B24" s="932"/>
      <c r="D24" s="933"/>
      <c r="F24" s="932"/>
      <c r="H24" s="933"/>
      <c r="I24" s="934"/>
      <c r="J24" s="935"/>
      <c r="K24" s="936"/>
      <c r="L24" s="937"/>
      <c r="M24" s="935"/>
      <c r="N24" s="936"/>
      <c r="O24" s="801" t="s">
        <v>3700</v>
      </c>
    </row>
    <row r="25" spans="1:19">
      <c r="A25" s="938" t="s">
        <v>2798</v>
      </c>
      <c r="B25" s="2041">
        <f>SNP!M12</f>
        <v>0</v>
      </c>
      <c r="C25" s="2042"/>
      <c r="D25" s="2043">
        <f>SNP!O12</f>
        <v>0</v>
      </c>
      <c r="E25" s="2044"/>
      <c r="F25" s="2045" t="e">
        <f>VLOOKUP($E$1,VLOOKUP!A403:FD430,2,FALSE)</f>
        <v>#N/A</v>
      </c>
      <c r="G25" s="2046"/>
      <c r="H25" s="2047" t="e">
        <f>VLOOKUP($E$1,VLOOKUP!A403:FD430,82,FALSE)</f>
        <v>#N/A</v>
      </c>
      <c r="I25" s="1669"/>
      <c r="J25" s="2041" t="e">
        <f t="shared" ref="J25:J36" si="0">B25-F25</f>
        <v>#N/A</v>
      </c>
      <c r="K25" s="939" t="e">
        <f t="shared" ref="K25:K36" si="1">IF(F25&lt;&gt;0,(B25-F25)/F25,"N/A")</f>
        <v>#N/A</v>
      </c>
      <c r="L25" s="937"/>
      <c r="M25" s="2041" t="e">
        <f t="shared" ref="M25:M36" si="2">D25-H25</f>
        <v>#N/A</v>
      </c>
      <c r="N25" s="939" t="e">
        <f t="shared" ref="N25:N36" si="3">IF(H25&lt;&gt;0,(D25-H25)/H25,"N/A")</f>
        <v>#N/A</v>
      </c>
      <c r="O25" s="801" t="s">
        <v>3701</v>
      </c>
    </row>
    <row r="26" spans="1:19">
      <c r="A26" s="940" t="s">
        <v>2799</v>
      </c>
      <c r="B26" s="941">
        <f>SNP!M13</f>
        <v>0</v>
      </c>
      <c r="C26" s="942"/>
      <c r="D26" s="943">
        <f>SNP!O13</f>
        <v>0</v>
      </c>
      <c r="E26" s="944"/>
      <c r="F26" s="1679" t="e">
        <f>VLOOKUP($E$1,VLOOKUP!A403:FD430,3,FALSE)</f>
        <v>#N/A</v>
      </c>
      <c r="G26" s="1680"/>
      <c r="H26" s="1681" t="e">
        <f>VLOOKUP($E$1,VLOOKUP!A403:FD430,83,FALSE)</f>
        <v>#N/A</v>
      </c>
      <c r="I26" s="1669"/>
      <c r="J26" s="941" t="e">
        <f t="shared" si="0"/>
        <v>#N/A</v>
      </c>
      <c r="K26" s="945" t="e">
        <f t="shared" si="1"/>
        <v>#N/A</v>
      </c>
      <c r="L26" s="937"/>
      <c r="M26" s="941" t="e">
        <f t="shared" si="2"/>
        <v>#N/A</v>
      </c>
      <c r="N26" s="945" t="e">
        <f t="shared" si="3"/>
        <v>#N/A</v>
      </c>
      <c r="O26" s="801"/>
    </row>
    <row r="27" spans="1:19">
      <c r="A27" s="938" t="s">
        <v>184</v>
      </c>
      <c r="B27" s="946">
        <f>SNP!M14</f>
        <v>0</v>
      </c>
      <c r="C27" s="942"/>
      <c r="D27" s="947">
        <f>SNP!O14</f>
        <v>0</v>
      </c>
      <c r="E27" s="944"/>
      <c r="F27" s="1682" t="e">
        <f>VLOOKUP($E$1,VLOOKUP!A403:FD430,4,FALSE)</f>
        <v>#N/A</v>
      </c>
      <c r="G27" s="1680"/>
      <c r="H27" s="1683" t="e">
        <f>VLOOKUP($E$1,VLOOKUP!A403:FD430,84,FALSE)</f>
        <v>#N/A</v>
      </c>
      <c r="I27" s="934"/>
      <c r="J27" s="946" t="e">
        <f t="shared" si="0"/>
        <v>#N/A</v>
      </c>
      <c r="K27" s="939" t="e">
        <f t="shared" si="1"/>
        <v>#N/A</v>
      </c>
      <c r="L27" s="937"/>
      <c r="M27" s="946" t="e">
        <f t="shared" si="2"/>
        <v>#N/A</v>
      </c>
      <c r="N27" s="939" t="e">
        <f t="shared" si="3"/>
        <v>#N/A</v>
      </c>
      <c r="O27" s="801"/>
    </row>
    <row r="28" spans="1:19">
      <c r="A28" s="940" t="s">
        <v>187</v>
      </c>
      <c r="B28" s="941">
        <f>SNP!M15</f>
        <v>0</v>
      </c>
      <c r="C28" s="942"/>
      <c r="D28" s="943">
        <f>SNP!O15</f>
        <v>0</v>
      </c>
      <c r="E28" s="944"/>
      <c r="F28" s="1679" t="e">
        <f>VLOOKUP($E$1,VLOOKUP!A403:FD430,5,FALSE)</f>
        <v>#N/A</v>
      </c>
      <c r="G28" s="1680"/>
      <c r="H28" s="1681" t="e">
        <f>VLOOKUP($E$1,VLOOKUP!A403:FD430,85,FALSE)</f>
        <v>#N/A</v>
      </c>
      <c r="I28" s="934"/>
      <c r="J28" s="941" t="e">
        <f t="shared" si="0"/>
        <v>#N/A</v>
      </c>
      <c r="K28" s="945" t="e">
        <f t="shared" si="1"/>
        <v>#N/A</v>
      </c>
      <c r="L28" s="937"/>
      <c r="M28" s="941" t="e">
        <f t="shared" si="2"/>
        <v>#N/A</v>
      </c>
      <c r="N28" s="945" t="e">
        <f t="shared" si="3"/>
        <v>#N/A</v>
      </c>
      <c r="O28" s="801"/>
    </row>
    <row r="29" spans="1:19">
      <c r="A29" s="938" t="s">
        <v>190</v>
      </c>
      <c r="B29" s="946">
        <f>SNP!M16</f>
        <v>0</v>
      </c>
      <c r="C29" s="942"/>
      <c r="D29" s="947">
        <f>SNP!O16</f>
        <v>0</v>
      </c>
      <c r="E29" s="944"/>
      <c r="F29" s="1682" t="e">
        <f>VLOOKUP($E$1,VLOOKUP!A403:FD430,6,FALSE)</f>
        <v>#N/A</v>
      </c>
      <c r="G29" s="1680"/>
      <c r="H29" s="1683" t="e">
        <f>VLOOKUP($E$1,VLOOKUP!A403:FD430,86,FALSE)</f>
        <v>#N/A</v>
      </c>
      <c r="I29" s="934"/>
      <c r="J29" s="946" t="e">
        <f t="shared" si="0"/>
        <v>#N/A</v>
      </c>
      <c r="K29" s="939" t="e">
        <f t="shared" si="1"/>
        <v>#N/A</v>
      </c>
      <c r="L29" s="937"/>
      <c r="M29" s="946" t="e">
        <f t="shared" si="2"/>
        <v>#N/A</v>
      </c>
      <c r="N29" s="939" t="e">
        <f t="shared" si="3"/>
        <v>#N/A</v>
      </c>
      <c r="O29" s="801"/>
    </row>
    <row r="30" spans="1:19">
      <c r="A30" s="940" t="s">
        <v>193</v>
      </c>
      <c r="B30" s="941">
        <f>SNP!M17</f>
        <v>0</v>
      </c>
      <c r="C30" s="942"/>
      <c r="D30" s="943">
        <f>SNP!O17</f>
        <v>0</v>
      </c>
      <c r="E30" s="944"/>
      <c r="F30" s="1679" t="e">
        <f>VLOOKUP($E$1,VLOOKUP!A403:FD430,7,FALSE)</f>
        <v>#N/A</v>
      </c>
      <c r="G30" s="1680"/>
      <c r="H30" s="1681" t="e">
        <f>VLOOKUP($E$1,VLOOKUP!A403:FD430,87,FALSE)</f>
        <v>#N/A</v>
      </c>
      <c r="I30" s="934"/>
      <c r="J30" s="941" t="e">
        <f t="shared" si="0"/>
        <v>#N/A</v>
      </c>
      <c r="K30" s="945" t="e">
        <f t="shared" si="1"/>
        <v>#N/A</v>
      </c>
      <c r="L30" s="937"/>
      <c r="M30" s="941" t="e">
        <f t="shared" si="2"/>
        <v>#N/A</v>
      </c>
      <c r="N30" s="945" t="e">
        <f t="shared" si="3"/>
        <v>#N/A</v>
      </c>
      <c r="O30" s="801"/>
    </row>
    <row r="31" spans="1:19">
      <c r="A31" s="938" t="s">
        <v>3702</v>
      </c>
      <c r="B31" s="946">
        <f>SNP!M18</f>
        <v>0</v>
      </c>
      <c r="C31" s="942"/>
      <c r="D31" s="947">
        <f>SNP!O18</f>
        <v>0</v>
      </c>
      <c r="E31" s="944"/>
      <c r="F31" s="1682" t="e">
        <f>VLOOKUP($E$1,VLOOKUP!A403:FD430,8,FALSE)</f>
        <v>#N/A</v>
      </c>
      <c r="G31" s="1680"/>
      <c r="H31" s="1683" t="e">
        <f>VLOOKUP($E$1,VLOOKUP!A403:FD430,88,FALSE)</f>
        <v>#N/A</v>
      </c>
      <c r="I31" s="934"/>
      <c r="J31" s="946" t="e">
        <f t="shared" si="0"/>
        <v>#N/A</v>
      </c>
      <c r="K31" s="939" t="e">
        <f t="shared" si="1"/>
        <v>#N/A</v>
      </c>
      <c r="L31" s="937"/>
      <c r="M31" s="946" t="e">
        <f t="shared" si="2"/>
        <v>#N/A</v>
      </c>
      <c r="N31" s="939" t="e">
        <f t="shared" si="3"/>
        <v>#N/A</v>
      </c>
      <c r="O31" s="801"/>
    </row>
    <row r="32" spans="1:19">
      <c r="A32" s="940" t="s">
        <v>202</v>
      </c>
      <c r="B32" s="941">
        <f>SNP!M19</f>
        <v>0</v>
      </c>
      <c r="C32" s="942"/>
      <c r="D32" s="943">
        <f>SNP!O19</f>
        <v>0</v>
      </c>
      <c r="E32" s="944"/>
      <c r="F32" s="1679" t="e">
        <f>VLOOKUP($E$1,VLOOKUP!A403:FD430,9,FALSE)</f>
        <v>#N/A</v>
      </c>
      <c r="G32" s="1680"/>
      <c r="H32" s="1681" t="e">
        <f>VLOOKUP($E$1,VLOOKUP!A403:FD430,89,FALSE)</f>
        <v>#N/A</v>
      </c>
      <c r="I32" s="934"/>
      <c r="J32" s="941" t="e">
        <f t="shared" si="0"/>
        <v>#N/A</v>
      </c>
      <c r="K32" s="945" t="e">
        <f t="shared" si="1"/>
        <v>#N/A</v>
      </c>
      <c r="L32" s="937"/>
      <c r="M32" s="941" t="e">
        <f t="shared" si="2"/>
        <v>#N/A</v>
      </c>
      <c r="N32" s="945" t="e">
        <f t="shared" si="3"/>
        <v>#N/A</v>
      </c>
      <c r="O32" s="801"/>
    </row>
    <row r="33" spans="1:19">
      <c r="A33" s="938" t="s">
        <v>205</v>
      </c>
      <c r="B33" s="946">
        <f>SNP!M20</f>
        <v>0</v>
      </c>
      <c r="C33" s="942"/>
      <c r="D33" s="947">
        <f>SNP!O20</f>
        <v>0</v>
      </c>
      <c r="E33" s="944"/>
      <c r="F33" s="1682" t="e">
        <f>VLOOKUP($E$1,VLOOKUP!A403:FD430,10,FALSE)</f>
        <v>#N/A</v>
      </c>
      <c r="G33" s="1680"/>
      <c r="H33" s="1683" t="e">
        <f>VLOOKUP($E$1,VLOOKUP!A403:FD430,90,FALSE)</f>
        <v>#N/A</v>
      </c>
      <c r="I33" s="934"/>
      <c r="J33" s="946" t="e">
        <f t="shared" si="0"/>
        <v>#N/A</v>
      </c>
      <c r="K33" s="939" t="e">
        <f t="shared" si="1"/>
        <v>#N/A</v>
      </c>
      <c r="L33" s="937"/>
      <c r="M33" s="946" t="e">
        <f t="shared" si="2"/>
        <v>#N/A</v>
      </c>
      <c r="N33" s="939" t="e">
        <f t="shared" si="3"/>
        <v>#N/A</v>
      </c>
      <c r="O33" s="801"/>
    </row>
    <row r="34" spans="1:19">
      <c r="A34" s="940" t="s">
        <v>210</v>
      </c>
      <c r="B34" s="941">
        <f>SNP!M21</f>
        <v>0</v>
      </c>
      <c r="C34" s="942"/>
      <c r="D34" s="943">
        <f>SNP!O21</f>
        <v>0</v>
      </c>
      <c r="E34" s="944"/>
      <c r="F34" s="1679" t="e">
        <f>VLOOKUP($E$1,VLOOKUP!A403:FD430,11,FALSE)</f>
        <v>#N/A</v>
      </c>
      <c r="G34" s="1680"/>
      <c r="H34" s="1681" t="e">
        <f>VLOOKUP($E$1,VLOOKUP!A403:FD430,91,FALSE)</f>
        <v>#N/A</v>
      </c>
      <c r="I34" s="934"/>
      <c r="J34" s="941" t="e">
        <f t="shared" si="0"/>
        <v>#N/A</v>
      </c>
      <c r="K34" s="945" t="e">
        <f t="shared" si="1"/>
        <v>#N/A</v>
      </c>
      <c r="L34" s="937"/>
      <c r="M34" s="941" t="e">
        <f t="shared" si="2"/>
        <v>#N/A</v>
      </c>
      <c r="N34" s="945" t="e">
        <f t="shared" si="3"/>
        <v>#N/A</v>
      </c>
      <c r="O34" s="801"/>
      <c r="Q34" s="948"/>
      <c r="S34" s="948"/>
    </row>
    <row r="35" spans="1:19" s="948" customFormat="1">
      <c r="A35" s="938" t="s">
        <v>28</v>
      </c>
      <c r="B35" s="946">
        <f>SNP!M22</f>
        <v>0</v>
      </c>
      <c r="C35" s="942"/>
      <c r="D35" s="947">
        <f>SNP!O22</f>
        <v>0</v>
      </c>
      <c r="E35" s="944"/>
      <c r="F35" s="1682" t="e">
        <f>VLOOKUP($E$1,VLOOKUP!A403:FD430,12,FALSE)</f>
        <v>#N/A</v>
      </c>
      <c r="G35" s="1680"/>
      <c r="H35" s="1683" t="e">
        <f>VLOOKUP($E$1,VLOOKUP!A403:FD430,92,FALSE)</f>
        <v>#N/A</v>
      </c>
      <c r="I35" s="934"/>
      <c r="J35" s="946" t="e">
        <f t="shared" si="0"/>
        <v>#N/A</v>
      </c>
      <c r="K35" s="939" t="e">
        <f t="shared" si="1"/>
        <v>#N/A</v>
      </c>
      <c r="L35" s="937"/>
      <c r="M35" s="946" t="e">
        <f t="shared" si="2"/>
        <v>#N/A</v>
      </c>
      <c r="N35" s="939" t="e">
        <f t="shared" si="3"/>
        <v>#N/A</v>
      </c>
      <c r="O35" s="801"/>
      <c r="Q35" s="922"/>
      <c r="R35" s="1106"/>
      <c r="S35" s="922"/>
    </row>
    <row r="36" spans="1:19" s="922" customFormat="1">
      <c r="A36" s="940" t="s">
        <v>217</v>
      </c>
      <c r="B36" s="949">
        <f>SNP!M23</f>
        <v>0</v>
      </c>
      <c r="C36" s="942"/>
      <c r="D36" s="950">
        <f>SNP!O23</f>
        <v>0</v>
      </c>
      <c r="E36" s="944"/>
      <c r="F36" s="1684" t="e">
        <f>VLOOKUP($E$1,VLOOKUP!A403:FD430,13,FALSE)</f>
        <v>#N/A</v>
      </c>
      <c r="G36" s="1680"/>
      <c r="H36" s="1685" t="e">
        <f>VLOOKUP($E$1,VLOOKUP!A403:FD430,93,FALSE)</f>
        <v>#N/A</v>
      </c>
      <c r="I36" s="1669"/>
      <c r="J36" s="949" t="e">
        <f t="shared" si="0"/>
        <v>#N/A</v>
      </c>
      <c r="K36" s="951" t="e">
        <f t="shared" si="1"/>
        <v>#N/A</v>
      </c>
      <c r="L36" s="937"/>
      <c r="M36" s="949" t="e">
        <f t="shared" si="2"/>
        <v>#N/A</v>
      </c>
      <c r="N36" s="951" t="e">
        <f t="shared" si="3"/>
        <v>#N/A</v>
      </c>
      <c r="O36" s="801"/>
      <c r="Q36" s="948"/>
      <c r="R36" s="948"/>
      <c r="S36" s="948"/>
    </row>
    <row r="37" spans="1:19" s="948" customFormat="1" ht="6" customHeight="1">
      <c r="A37" s="952"/>
      <c r="B37" s="953"/>
      <c r="C37" s="942"/>
      <c r="D37" s="954"/>
      <c r="E37" s="944"/>
      <c r="F37" s="953"/>
      <c r="G37" s="942"/>
      <c r="H37" s="954"/>
      <c r="J37" s="953"/>
      <c r="K37" s="955"/>
      <c r="L37" s="937"/>
      <c r="M37" s="953"/>
      <c r="N37" s="955"/>
      <c r="O37" s="801"/>
      <c r="Q37" s="910"/>
      <c r="S37" s="910"/>
    </row>
    <row r="38" spans="1:19">
      <c r="A38" s="956" t="s">
        <v>222</v>
      </c>
      <c r="B38" s="957">
        <f>SNP!M25</f>
        <v>0</v>
      </c>
      <c r="C38" s="942"/>
      <c r="D38" s="958">
        <f>SNP!O25</f>
        <v>0</v>
      </c>
      <c r="E38" s="944"/>
      <c r="F38" s="957" t="e">
        <f>SUM(F25:F36)</f>
        <v>#N/A</v>
      </c>
      <c r="G38" s="942"/>
      <c r="H38" s="958" t="e">
        <f>SUM(H25:H36)</f>
        <v>#N/A</v>
      </c>
      <c r="I38" s="1669"/>
      <c r="J38" s="957" t="e">
        <f>B38-F38</f>
        <v>#N/A</v>
      </c>
      <c r="K38" s="959" t="e">
        <f>IF(F38&lt;&gt;0,(B38-F38)/F38,"N/A")</f>
        <v>#N/A</v>
      </c>
      <c r="L38" s="960"/>
      <c r="M38" s="957" t="e">
        <f>D38-H38</f>
        <v>#N/A</v>
      </c>
      <c r="N38" s="959" t="e">
        <f>IF(H38&lt;&gt;0,(D38-H38)/H38,"N/A")</f>
        <v>#N/A</v>
      </c>
      <c r="O38" s="1113"/>
    </row>
    <row r="39" spans="1:19">
      <c r="A39" s="952"/>
      <c r="B39" s="953"/>
      <c r="C39" s="942"/>
      <c r="D39" s="954"/>
      <c r="E39" s="944"/>
      <c r="F39" s="953"/>
      <c r="G39" s="942"/>
      <c r="H39" s="954"/>
      <c r="I39" s="1669"/>
      <c r="J39" s="953"/>
      <c r="K39" s="955"/>
      <c r="L39" s="937"/>
      <c r="M39" s="953"/>
      <c r="N39" s="955"/>
      <c r="O39" s="801"/>
    </row>
    <row r="40" spans="1:19">
      <c r="A40" s="1668" t="s">
        <v>2316</v>
      </c>
      <c r="B40" s="932"/>
      <c r="D40" s="933"/>
      <c r="F40" s="932"/>
      <c r="H40" s="933"/>
      <c r="I40" s="934"/>
      <c r="J40" s="935"/>
      <c r="K40" s="936"/>
      <c r="L40" s="937"/>
      <c r="M40" s="935"/>
      <c r="N40" s="936"/>
      <c r="O40" s="801"/>
    </row>
    <row r="41" spans="1:19">
      <c r="A41" s="938" t="s">
        <v>2799</v>
      </c>
      <c r="B41" s="946">
        <f>SNP!M28</f>
        <v>0</v>
      </c>
      <c r="C41" s="942"/>
      <c r="D41" s="947">
        <f>SNP!O28</f>
        <v>0</v>
      </c>
      <c r="E41" s="944"/>
      <c r="F41" s="1682" t="e">
        <f>VLOOKUP($E$1,VLOOKUP!A403:FD430,15,FALSE)</f>
        <v>#N/A</v>
      </c>
      <c r="G41" s="1680"/>
      <c r="H41" s="1683" t="e">
        <f>VLOOKUP($E$1,VLOOKUP!A403:FD430,95,FALSE)</f>
        <v>#N/A</v>
      </c>
      <c r="I41" s="934"/>
      <c r="J41" s="946" t="e">
        <f t="shared" ref="J41:J47" si="4">B41-F41</f>
        <v>#N/A</v>
      </c>
      <c r="K41" s="939" t="e">
        <f t="shared" ref="K41:K47" si="5">IF(F41&lt;&gt;0,(B41-F41)/F41,"N/A")</f>
        <v>#N/A</v>
      </c>
      <c r="L41" s="937"/>
      <c r="M41" s="946" t="e">
        <f t="shared" ref="M41:M47" si="6">D41-H41</f>
        <v>#N/A</v>
      </c>
      <c r="N41" s="939" t="e">
        <f t="shared" ref="N41:N47" si="7">IF(H41&lt;&gt;0,(D41-H41)/H41,"N/A")</f>
        <v>#N/A</v>
      </c>
      <c r="O41" s="801"/>
    </row>
    <row r="42" spans="1:19">
      <c r="A42" s="940" t="s">
        <v>184</v>
      </c>
      <c r="B42" s="941">
        <f>SNP!M29</f>
        <v>0</v>
      </c>
      <c r="C42" s="942"/>
      <c r="D42" s="943">
        <f>SNP!O29</f>
        <v>0</v>
      </c>
      <c r="E42" s="944"/>
      <c r="F42" s="1679" t="e">
        <f>VLOOKUP($E$1,VLOOKUP!A403:FD430,16,FALSE)</f>
        <v>#N/A</v>
      </c>
      <c r="G42" s="1680"/>
      <c r="H42" s="1681" t="e">
        <f>VLOOKUP($E$1,VLOOKUP!A403:FD430,96,FALSE)</f>
        <v>#N/A</v>
      </c>
      <c r="I42" s="934"/>
      <c r="J42" s="941" t="e">
        <f t="shared" si="4"/>
        <v>#N/A</v>
      </c>
      <c r="K42" s="945" t="e">
        <f t="shared" si="5"/>
        <v>#N/A</v>
      </c>
      <c r="L42" s="937"/>
      <c r="M42" s="941" t="e">
        <f t="shared" si="6"/>
        <v>#N/A</v>
      </c>
      <c r="N42" s="945" t="e">
        <f t="shared" si="7"/>
        <v>#N/A</v>
      </c>
      <c r="O42" s="801"/>
    </row>
    <row r="43" spans="1:19">
      <c r="A43" s="938" t="s">
        <v>187</v>
      </c>
      <c r="B43" s="946">
        <f>SNP!M30</f>
        <v>0</v>
      </c>
      <c r="C43" s="942"/>
      <c r="D43" s="947">
        <f>SNP!O30</f>
        <v>0</v>
      </c>
      <c r="E43" s="944"/>
      <c r="F43" s="1682" t="e">
        <f>VLOOKUP($E$1,VLOOKUP!A403:FD430,17,FALSE)</f>
        <v>#N/A</v>
      </c>
      <c r="G43" s="1680"/>
      <c r="H43" s="1683" t="e">
        <f>VLOOKUP($E$1,VLOOKUP!A403:FD430,97,FALSE)</f>
        <v>#N/A</v>
      </c>
      <c r="I43" s="934"/>
      <c r="J43" s="946" t="e">
        <f t="shared" si="4"/>
        <v>#N/A</v>
      </c>
      <c r="K43" s="939" t="e">
        <f t="shared" si="5"/>
        <v>#N/A</v>
      </c>
      <c r="L43" s="937"/>
      <c r="M43" s="946" t="e">
        <f t="shared" si="6"/>
        <v>#N/A</v>
      </c>
      <c r="N43" s="939" t="e">
        <f t="shared" si="7"/>
        <v>#N/A</v>
      </c>
      <c r="O43" s="801"/>
    </row>
    <row r="44" spans="1:19">
      <c r="A44" s="940" t="s">
        <v>230</v>
      </c>
      <c r="B44" s="941">
        <f>SNP!M32</f>
        <v>0</v>
      </c>
      <c r="C44" s="942"/>
      <c r="D44" s="943">
        <f>SNP!O32</f>
        <v>0</v>
      </c>
      <c r="E44" s="944"/>
      <c r="F44" s="1679" t="e">
        <f>VLOOKUP($E$1,VLOOKUP!A403:FD430,18,FALSE)</f>
        <v>#N/A</v>
      </c>
      <c r="G44" s="1680"/>
      <c r="H44" s="1681" t="e">
        <f>VLOOKUP($E$1,VLOOKUP!A403:FD430,98,FALSE)</f>
        <v>#N/A</v>
      </c>
      <c r="I44" s="934"/>
      <c r="J44" s="941" t="e">
        <f t="shared" si="4"/>
        <v>#N/A</v>
      </c>
      <c r="K44" s="945" t="e">
        <f t="shared" si="5"/>
        <v>#N/A</v>
      </c>
      <c r="L44" s="937"/>
      <c r="M44" s="941" t="e">
        <f t="shared" si="6"/>
        <v>#N/A</v>
      </c>
      <c r="N44" s="945" t="e">
        <f t="shared" si="7"/>
        <v>#N/A</v>
      </c>
      <c r="O44" s="801"/>
    </row>
    <row r="45" spans="1:19">
      <c r="A45" s="938" t="s">
        <v>232</v>
      </c>
      <c r="B45" s="946">
        <f>SNP!M33</f>
        <v>0</v>
      </c>
      <c r="C45" s="942"/>
      <c r="D45" s="947">
        <f>SNP!O33</f>
        <v>0</v>
      </c>
      <c r="E45" s="944"/>
      <c r="F45" s="1682" t="e">
        <f>VLOOKUP($E$1,VLOOKUP!A403:FD430,19,FALSE)</f>
        <v>#N/A</v>
      </c>
      <c r="G45" s="1680"/>
      <c r="H45" s="1683" t="e">
        <f>VLOOKUP($E$1,VLOOKUP!A403:FD430,99,FALSE)</f>
        <v>#N/A</v>
      </c>
      <c r="I45" s="934"/>
      <c r="J45" s="946" t="e">
        <f t="shared" si="4"/>
        <v>#N/A</v>
      </c>
      <c r="K45" s="939" t="e">
        <f t="shared" si="5"/>
        <v>#N/A</v>
      </c>
      <c r="L45" s="937"/>
      <c r="M45" s="946" t="e">
        <f t="shared" si="6"/>
        <v>#N/A</v>
      </c>
      <c r="N45" s="939" t="e">
        <f t="shared" si="7"/>
        <v>#N/A</v>
      </c>
      <c r="O45" s="801"/>
      <c r="Q45" s="948"/>
      <c r="S45" s="948"/>
    </row>
    <row r="46" spans="1:19" s="948" customFormat="1">
      <c r="A46" s="940" t="s">
        <v>234</v>
      </c>
      <c r="B46" s="941">
        <f>SNP!M34</f>
        <v>0</v>
      </c>
      <c r="C46" s="942"/>
      <c r="D46" s="943">
        <f>SNP!O34</f>
        <v>0</v>
      </c>
      <c r="E46" s="944"/>
      <c r="F46" s="1679" t="e">
        <f>VLOOKUP($E$1,VLOOKUP!A403:FD430,20,FALSE)</f>
        <v>#N/A</v>
      </c>
      <c r="G46" s="1680"/>
      <c r="H46" s="1681" t="e">
        <f>VLOOKUP($E$1,VLOOKUP!A403:FD430,100,FALSE)</f>
        <v>#N/A</v>
      </c>
      <c r="I46" s="934"/>
      <c r="J46" s="941" t="e">
        <f t="shared" si="4"/>
        <v>#N/A</v>
      </c>
      <c r="K46" s="945" t="e">
        <f t="shared" si="5"/>
        <v>#N/A</v>
      </c>
      <c r="L46" s="937"/>
      <c r="M46" s="941" t="e">
        <f t="shared" si="6"/>
        <v>#N/A</v>
      </c>
      <c r="N46" s="945" t="e">
        <f t="shared" si="7"/>
        <v>#N/A</v>
      </c>
      <c r="O46" s="801"/>
      <c r="Q46" s="922"/>
      <c r="R46" s="1106"/>
      <c r="S46" s="922"/>
    </row>
    <row r="47" spans="1:19" s="922" customFormat="1">
      <c r="A47" s="938" t="s">
        <v>217</v>
      </c>
      <c r="B47" s="961">
        <f>SNP!M35</f>
        <v>0</v>
      </c>
      <c r="C47" s="942"/>
      <c r="D47" s="962">
        <f>SNP!O35</f>
        <v>0</v>
      </c>
      <c r="E47" s="944"/>
      <c r="F47" s="1686" t="e">
        <f>VLOOKUP($E$1,VLOOKUP!A403:FD430,21,FALSE)</f>
        <v>#N/A</v>
      </c>
      <c r="G47" s="1680"/>
      <c r="H47" s="1687" t="e">
        <f>VLOOKUP($E$1,VLOOKUP!A403:FD430,101,FALSE)</f>
        <v>#N/A</v>
      </c>
      <c r="I47" s="934"/>
      <c r="J47" s="961" t="e">
        <f t="shared" si="4"/>
        <v>#N/A</v>
      </c>
      <c r="K47" s="963" t="e">
        <f t="shared" si="5"/>
        <v>#N/A</v>
      </c>
      <c r="L47" s="937"/>
      <c r="M47" s="961" t="e">
        <f t="shared" si="6"/>
        <v>#N/A</v>
      </c>
      <c r="N47" s="963" t="e">
        <f t="shared" si="7"/>
        <v>#N/A</v>
      </c>
      <c r="O47" s="801"/>
      <c r="Q47" s="948"/>
      <c r="R47" s="948"/>
      <c r="S47" s="948"/>
    </row>
    <row r="48" spans="1:19" s="948" customFormat="1">
      <c r="A48" s="952"/>
      <c r="B48" s="953"/>
      <c r="C48" s="942"/>
      <c r="D48" s="954"/>
      <c r="E48" s="944"/>
      <c r="F48" s="953"/>
      <c r="G48" s="942"/>
      <c r="H48" s="954"/>
      <c r="I48" s="934"/>
      <c r="J48" s="953"/>
      <c r="K48" s="955"/>
      <c r="L48" s="937"/>
      <c r="M48" s="953"/>
      <c r="N48" s="955"/>
      <c r="O48" s="801"/>
      <c r="Q48" s="922"/>
      <c r="R48" s="1106"/>
      <c r="S48" s="922"/>
    </row>
    <row r="49" spans="1:19" s="922" customFormat="1">
      <c r="A49" s="956" t="s">
        <v>240</v>
      </c>
      <c r="B49" s="957">
        <f>SNP!M37</f>
        <v>0</v>
      </c>
      <c r="C49" s="942"/>
      <c r="D49" s="958">
        <f>SNP!O37</f>
        <v>0</v>
      </c>
      <c r="E49" s="944"/>
      <c r="F49" s="957" t="e">
        <f>SUM(F41:F47)</f>
        <v>#N/A</v>
      </c>
      <c r="G49" s="942"/>
      <c r="H49" s="958" t="e">
        <f>SUM(H41:H47)</f>
        <v>#N/A</v>
      </c>
      <c r="I49" s="934"/>
      <c r="J49" s="957" t="e">
        <f>B49-F49</f>
        <v>#N/A</v>
      </c>
      <c r="K49" s="959" t="e">
        <f>IF(F49&lt;&gt;0,(B49-F49)/F49,"N/A")</f>
        <v>#N/A</v>
      </c>
      <c r="L49" s="937"/>
      <c r="M49" s="957" t="e">
        <f>D49-H49</f>
        <v>#N/A</v>
      </c>
      <c r="N49" s="959" t="e">
        <f>IF(H49&lt;&gt;0,(D49-H49)/H49,"N/A")</f>
        <v>#N/A</v>
      </c>
      <c r="O49" s="1113"/>
      <c r="Q49" s="948"/>
      <c r="R49" s="948"/>
      <c r="S49" s="948"/>
    </row>
    <row r="50" spans="1:19" s="948" customFormat="1" ht="6" customHeight="1">
      <c r="A50" s="952"/>
      <c r="B50" s="953"/>
      <c r="C50" s="942"/>
      <c r="D50" s="954"/>
      <c r="E50" s="944"/>
      <c r="F50" s="953"/>
      <c r="G50" s="942"/>
      <c r="H50" s="954"/>
      <c r="I50" s="934"/>
      <c r="J50" s="953"/>
      <c r="K50" s="955"/>
      <c r="L50" s="937"/>
      <c r="M50" s="953"/>
      <c r="N50" s="955"/>
      <c r="O50" s="801"/>
      <c r="Q50" s="922"/>
      <c r="R50" s="1106"/>
      <c r="S50" s="922"/>
    </row>
    <row r="51" spans="1:19" s="922" customFormat="1" ht="12.75" thickBot="1">
      <c r="A51" s="911" t="s">
        <v>1169</v>
      </c>
      <c r="B51" s="2048">
        <f>SNP!M39</f>
        <v>0</v>
      </c>
      <c r="C51" s="942"/>
      <c r="D51" s="964">
        <f>SNP!O39</f>
        <v>0</v>
      </c>
      <c r="E51" s="944"/>
      <c r="F51" s="2048" t="e">
        <f>+F49+F38</f>
        <v>#N/A</v>
      </c>
      <c r="G51" s="942"/>
      <c r="H51" s="964" t="e">
        <f>+H49+H38</f>
        <v>#N/A</v>
      </c>
      <c r="I51" s="948"/>
      <c r="J51" s="2048" t="e">
        <f>B51-F51</f>
        <v>#N/A</v>
      </c>
      <c r="K51" s="965" t="e">
        <f>IF(F51&lt;&gt;0,(B51-F51)/F51,"N/A")</f>
        <v>#N/A</v>
      </c>
      <c r="L51" s="937"/>
      <c r="M51" s="2048" t="e">
        <f>D51-H51</f>
        <v>#N/A</v>
      </c>
      <c r="N51" s="965" t="e">
        <f>IF(H51&lt;&gt;0,(D51-H51)/H51,"N/A")</f>
        <v>#N/A</v>
      </c>
      <c r="O51" s="1113"/>
      <c r="Q51" s="910"/>
      <c r="R51" s="948"/>
      <c r="S51" s="910"/>
    </row>
    <row r="52" spans="1:19" ht="6" customHeight="1" thickTop="1">
      <c r="A52" s="952"/>
      <c r="B52" s="966"/>
      <c r="D52" s="967"/>
      <c r="F52" s="966"/>
      <c r="H52" s="967"/>
      <c r="I52" s="934"/>
      <c r="J52" s="953"/>
      <c r="K52" s="955"/>
      <c r="L52" s="960"/>
      <c r="M52" s="953"/>
      <c r="N52" s="955"/>
      <c r="O52" s="801"/>
    </row>
    <row r="53" spans="1:19" ht="12.75" customHeight="1">
      <c r="A53" s="2350" t="s">
        <v>2317</v>
      </c>
      <c r="B53" s="966"/>
      <c r="D53" s="967"/>
      <c r="F53" s="966"/>
      <c r="H53" s="967"/>
      <c r="I53" s="934"/>
      <c r="J53" s="953"/>
      <c r="K53" s="955"/>
      <c r="L53" s="960"/>
      <c r="M53" s="953"/>
      <c r="N53" s="955"/>
      <c r="O53" s="801"/>
    </row>
    <row r="54" spans="1:19" ht="12.75" customHeight="1">
      <c r="A54" s="946" t="s">
        <v>2318</v>
      </c>
      <c r="B54" s="946">
        <f>SNP!M42</f>
        <v>0</v>
      </c>
      <c r="C54" s="942"/>
      <c r="D54" s="947">
        <f>SNP!O42</f>
        <v>0</v>
      </c>
      <c r="E54" s="944"/>
      <c r="F54" s="1682" t="e">
        <f>VLOOKUP($E$1,VLOOKUP!A403:FA430,23,FALSE)</f>
        <v>#N/A</v>
      </c>
      <c r="G54" s="1680"/>
      <c r="H54" s="1683" t="e">
        <f>VLOOKUP($E$1,VLOOKUP!A403:FD430,103,FALSE)</f>
        <v>#N/A</v>
      </c>
      <c r="I54" s="934"/>
      <c r="J54" s="946" t="e">
        <f t="shared" ref="J54:J60" si="8">B54-F54</f>
        <v>#N/A</v>
      </c>
      <c r="K54" s="939" t="e">
        <f t="shared" ref="K54:K60" si="9">IF(F54&lt;&gt;0,(B54-F54)/F54,"N/A")</f>
        <v>#N/A</v>
      </c>
      <c r="L54" s="937"/>
      <c r="M54" s="946" t="e">
        <f t="shared" ref="M54:M60" si="10">D54-H54</f>
        <v>#N/A</v>
      </c>
      <c r="N54" s="939" t="e">
        <f t="shared" ref="N54:N60" si="11">IF(H54&lt;&gt;0,(D54-H54)/H54,"N/A")</f>
        <v>#N/A</v>
      </c>
      <c r="O54" s="801"/>
    </row>
    <row r="55" spans="1:19" ht="12.75" customHeight="1">
      <c r="A55" s="966" t="s">
        <v>35</v>
      </c>
      <c r="B55" s="966">
        <f>SNP!M43</f>
        <v>0</v>
      </c>
      <c r="D55" s="967">
        <f>SNP!O43</f>
        <v>0</v>
      </c>
      <c r="F55" s="966" t="e">
        <f>VLOOKUP($E$1,VLOOKUP!A403:FA430,24,FALSE)</f>
        <v>#N/A</v>
      </c>
      <c r="H55" s="967" t="e">
        <f>VLOOKUP($E$1,VLOOKUP!A403:FD430,104,FALSE)</f>
        <v>#N/A</v>
      </c>
      <c r="I55" s="934"/>
      <c r="J55" s="953" t="e">
        <f t="shared" si="8"/>
        <v>#N/A</v>
      </c>
      <c r="K55" s="955" t="e">
        <f t="shared" si="9"/>
        <v>#N/A</v>
      </c>
      <c r="L55" s="960"/>
      <c r="M55" s="953" t="e">
        <f t="shared" si="10"/>
        <v>#N/A</v>
      </c>
      <c r="N55" s="955" t="e">
        <f t="shared" si="11"/>
        <v>#N/A</v>
      </c>
      <c r="O55" s="801"/>
    </row>
    <row r="56" spans="1:19" ht="12.75" customHeight="1">
      <c r="A56" s="946" t="s">
        <v>36</v>
      </c>
      <c r="B56" s="946">
        <f>SNP!M44</f>
        <v>0</v>
      </c>
      <c r="C56" s="942"/>
      <c r="D56" s="947">
        <f>SNP!O44</f>
        <v>0</v>
      </c>
      <c r="E56" s="944"/>
      <c r="F56" s="1682" t="e">
        <f>VLOOKUP($E$1,VLOOKUP!A403:FD430,25,FALSE)</f>
        <v>#N/A</v>
      </c>
      <c r="G56" s="1680"/>
      <c r="H56" s="1683" t="e">
        <f>VLOOKUP($E$1,VLOOKUP!A403:FD430,105,FALSE)</f>
        <v>#N/A</v>
      </c>
      <c r="I56" s="934"/>
      <c r="J56" s="946" t="e">
        <f t="shared" si="8"/>
        <v>#N/A</v>
      </c>
      <c r="K56" s="939" t="e">
        <f t="shared" si="9"/>
        <v>#N/A</v>
      </c>
      <c r="L56" s="937"/>
      <c r="M56" s="946" t="e">
        <f t="shared" si="10"/>
        <v>#N/A</v>
      </c>
      <c r="N56" s="939" t="e">
        <f t="shared" si="11"/>
        <v>#N/A</v>
      </c>
      <c r="O56" s="801"/>
    </row>
    <row r="57" spans="1:19" ht="12.75" customHeight="1">
      <c r="A57" s="966" t="s">
        <v>3703</v>
      </c>
      <c r="B57" s="966">
        <f>SNP!M45</f>
        <v>0</v>
      </c>
      <c r="D57" s="967">
        <f>SNP!O45</f>
        <v>0</v>
      </c>
      <c r="E57" s="944"/>
      <c r="F57" s="966" t="e">
        <f>VLOOKUP($E$1,VLOOKUP!A403:FD430,26,FALSE)</f>
        <v>#N/A</v>
      </c>
      <c r="H57" s="967" t="e">
        <f>VLOOKUP($E$1,VLOOKUP!A403:FD430,106,FALSE)</f>
        <v>#N/A</v>
      </c>
      <c r="I57" s="934"/>
      <c r="J57" s="953" t="e">
        <f t="shared" si="8"/>
        <v>#N/A</v>
      </c>
      <c r="K57" s="955" t="e">
        <f t="shared" si="9"/>
        <v>#N/A</v>
      </c>
      <c r="L57" s="960"/>
      <c r="M57" s="953" t="e">
        <f t="shared" si="10"/>
        <v>#N/A</v>
      </c>
      <c r="N57" s="955" t="e">
        <f t="shared" si="11"/>
        <v>#N/A</v>
      </c>
      <c r="O57" s="801"/>
    </row>
    <row r="58" spans="1:19" ht="12.75" customHeight="1">
      <c r="A58" s="946" t="s">
        <v>248</v>
      </c>
      <c r="B58" s="946"/>
      <c r="C58" s="942"/>
      <c r="D58" s="947"/>
      <c r="E58" s="944"/>
      <c r="F58" s="1682" t="e">
        <f>VLOOKUP($E$1,VLOOKUP!A403:EW430,27,FALSE)</f>
        <v>#N/A</v>
      </c>
      <c r="G58" s="1680"/>
      <c r="H58" s="1683" t="e">
        <f>VLOOKUP($E$1,VLOOKUP!A404:FA431,107,FALSE)</f>
        <v>#N/A</v>
      </c>
      <c r="I58" s="934"/>
      <c r="J58" s="946" t="e">
        <f t="shared" si="8"/>
        <v>#N/A</v>
      </c>
      <c r="K58" s="939" t="e">
        <f t="shared" si="9"/>
        <v>#N/A</v>
      </c>
      <c r="L58" s="937"/>
      <c r="M58" s="946" t="e">
        <f t="shared" si="10"/>
        <v>#N/A</v>
      </c>
      <c r="N58" s="939" t="e">
        <f t="shared" si="11"/>
        <v>#N/A</v>
      </c>
      <c r="O58" s="801"/>
    </row>
    <row r="59" spans="1:19" ht="12.75" customHeight="1">
      <c r="A59" s="966" t="s">
        <v>2319</v>
      </c>
      <c r="B59" s="966"/>
      <c r="D59" s="967"/>
      <c r="E59" s="944"/>
      <c r="F59" s="966" t="e">
        <f>VLOOKUP($E$1,VLOOKUP!A403:EW430,28,FALSE)</f>
        <v>#N/A</v>
      </c>
      <c r="H59" s="1669" t="e">
        <f>VLOOKUP($E$1,VLOOKUP!A405:FA432,108,FALSE)</f>
        <v>#N/A</v>
      </c>
      <c r="I59" s="934"/>
      <c r="J59" s="953" t="e">
        <f t="shared" si="8"/>
        <v>#N/A</v>
      </c>
      <c r="K59" s="955" t="e">
        <f t="shared" si="9"/>
        <v>#N/A</v>
      </c>
      <c r="L59" s="960"/>
      <c r="M59" s="953" t="e">
        <f t="shared" si="10"/>
        <v>#N/A</v>
      </c>
      <c r="N59" s="955" t="e">
        <f t="shared" si="11"/>
        <v>#N/A</v>
      </c>
      <c r="O59" s="801"/>
    </row>
    <row r="60" spans="1:19" ht="12.75" customHeight="1">
      <c r="A60" s="946" t="s">
        <v>3704</v>
      </c>
      <c r="B60" s="946">
        <f>SNP!M48</f>
        <v>0</v>
      </c>
      <c r="C60" s="942"/>
      <c r="D60" s="947">
        <f>SNP!O48</f>
        <v>0</v>
      </c>
      <c r="F60" s="1682" t="e">
        <f>VLOOKUP($E$1,VLOOKUP!A403:FD430,29,FALSE)</f>
        <v>#N/A</v>
      </c>
      <c r="G60" s="1680"/>
      <c r="H60" s="2363" t="e">
        <f>VLOOKUP($E$1,VLOOKUP!A403:FD430,109,FALSE)</f>
        <v>#N/A</v>
      </c>
      <c r="I60" s="934"/>
      <c r="J60" s="946" t="e">
        <f t="shared" si="8"/>
        <v>#N/A</v>
      </c>
      <c r="K60" s="939" t="e">
        <f t="shared" si="9"/>
        <v>#N/A</v>
      </c>
      <c r="L60" s="937"/>
      <c r="M60" s="946" t="e">
        <f t="shared" si="10"/>
        <v>#N/A</v>
      </c>
      <c r="N60" s="939" t="e">
        <f t="shared" si="11"/>
        <v>#N/A</v>
      </c>
      <c r="O60" s="801"/>
    </row>
    <row r="61" spans="1:19" ht="12.75" customHeight="1">
      <c r="A61" s="952"/>
      <c r="B61" s="966"/>
      <c r="D61" s="967"/>
      <c r="F61" s="966"/>
      <c r="H61" s="967"/>
      <c r="I61" s="934"/>
      <c r="J61" s="953"/>
      <c r="K61" s="955"/>
      <c r="L61" s="960"/>
      <c r="M61" s="953"/>
      <c r="N61" s="955"/>
      <c r="O61" s="801"/>
    </row>
    <row r="62" spans="1:19">
      <c r="A62" s="931" t="s">
        <v>1170</v>
      </c>
      <c r="B62" s="932"/>
      <c r="D62" s="933"/>
      <c r="F62" s="932"/>
      <c r="H62" s="933"/>
      <c r="I62" s="934"/>
      <c r="J62" s="935"/>
      <c r="K62" s="936"/>
      <c r="L62" s="937"/>
      <c r="M62" s="935"/>
      <c r="N62" s="936"/>
      <c r="O62" s="1113"/>
    </row>
    <row r="63" spans="1:19">
      <c r="A63" s="1668" t="s">
        <v>2323</v>
      </c>
      <c r="B63" s="932"/>
      <c r="D63" s="933"/>
      <c r="F63" s="932"/>
      <c r="H63" s="933"/>
      <c r="I63" s="934"/>
      <c r="J63" s="935"/>
      <c r="K63" s="936"/>
      <c r="L63" s="937"/>
      <c r="M63" s="935"/>
      <c r="N63" s="936"/>
      <c r="O63" s="801"/>
    </row>
    <row r="64" spans="1:19">
      <c r="A64" s="938" t="s">
        <v>56</v>
      </c>
      <c r="B64" s="2041">
        <f>SNP!M55</f>
        <v>0</v>
      </c>
      <c r="C64" s="942"/>
      <c r="D64" s="947">
        <f>SNP!O55</f>
        <v>0</v>
      </c>
      <c r="E64" s="944"/>
      <c r="F64" s="2045" t="e">
        <f>VLOOKUP($E$1,VLOOKUP!A403:FD430,31,FALSE)</f>
        <v>#N/A</v>
      </c>
      <c r="G64" s="1680"/>
      <c r="H64" s="2045" t="e">
        <f>VLOOKUP($E$1,VLOOKUP!$A$403:$FD$430,111,FALSE)</f>
        <v>#N/A</v>
      </c>
      <c r="I64" s="934"/>
      <c r="J64" s="2041" t="e">
        <f t="shared" ref="J64:J72" si="12">B64-F64</f>
        <v>#N/A</v>
      </c>
      <c r="K64" s="939" t="e">
        <f t="shared" ref="K64:K72" si="13">IF(F64&lt;&gt;0,(B64-F64)/F64,"N/A")</f>
        <v>#N/A</v>
      </c>
      <c r="L64" s="937"/>
      <c r="M64" s="2041" t="e">
        <f t="shared" ref="M64:M72" si="14">D64-H64</f>
        <v>#N/A</v>
      </c>
      <c r="N64" s="939" t="e">
        <f t="shared" ref="N64:N72" si="15">IF(H64&lt;&gt;0,(D64-H64)/H64,"N/A")</f>
        <v>#N/A</v>
      </c>
      <c r="O64" s="801"/>
    </row>
    <row r="65" spans="1:19">
      <c r="A65" s="940" t="s">
        <v>253</v>
      </c>
      <c r="B65" s="941">
        <f>SNP!M56</f>
        <v>0</v>
      </c>
      <c r="C65" s="942"/>
      <c r="D65" s="943">
        <f>SNP!O56</f>
        <v>0</v>
      </c>
      <c r="E65" s="944"/>
      <c r="F65" s="1679" t="e">
        <f>VLOOKUP($E$1,VLOOKUP!A403:FD430,32,FALSE)</f>
        <v>#N/A</v>
      </c>
      <c r="G65" s="1680"/>
      <c r="H65" s="1679" t="e">
        <f>VLOOKUP($E$1,VLOOKUP!$A$403:$FD$430,112,FALSE)</f>
        <v>#N/A</v>
      </c>
      <c r="I65" s="934"/>
      <c r="J65" s="941" t="e">
        <f t="shared" si="12"/>
        <v>#N/A</v>
      </c>
      <c r="K65" s="945" t="e">
        <f t="shared" si="13"/>
        <v>#N/A</v>
      </c>
      <c r="L65" s="937"/>
      <c r="M65" s="941" t="e">
        <f t="shared" si="14"/>
        <v>#N/A</v>
      </c>
      <c r="N65" s="945" t="e">
        <f t="shared" si="15"/>
        <v>#N/A</v>
      </c>
      <c r="O65" s="801"/>
    </row>
    <row r="66" spans="1:19">
      <c r="A66" s="938" t="s">
        <v>256</v>
      </c>
      <c r="B66" s="946">
        <f>SNP!M57</f>
        <v>0</v>
      </c>
      <c r="C66" s="942"/>
      <c r="D66" s="947">
        <f>SNP!O57</f>
        <v>0</v>
      </c>
      <c r="E66" s="944"/>
      <c r="F66" s="1682" t="e">
        <f>VLOOKUP($E$1,VLOOKUP!A403:FD430,33,FALSE)</f>
        <v>#N/A</v>
      </c>
      <c r="G66" s="1680"/>
      <c r="H66" s="1682" t="e">
        <f>VLOOKUP($E$1,VLOOKUP!$A$403:$FD$430,113,FALSE)</f>
        <v>#N/A</v>
      </c>
      <c r="I66" s="934"/>
      <c r="J66" s="946" t="e">
        <f t="shared" si="12"/>
        <v>#N/A</v>
      </c>
      <c r="K66" s="939" t="e">
        <f t="shared" si="13"/>
        <v>#N/A</v>
      </c>
      <c r="L66" s="937"/>
      <c r="M66" s="946" t="e">
        <f t="shared" si="14"/>
        <v>#N/A</v>
      </c>
      <c r="N66" s="939" t="e">
        <f t="shared" si="15"/>
        <v>#N/A</v>
      </c>
      <c r="O66" s="801"/>
    </row>
    <row r="67" spans="1:19">
      <c r="A67" s="940" t="s">
        <v>259</v>
      </c>
      <c r="B67" s="941">
        <f>SNP!M58</f>
        <v>0</v>
      </c>
      <c r="C67" s="942"/>
      <c r="D67" s="943">
        <f>SNP!O58</f>
        <v>0</v>
      </c>
      <c r="E67" s="944"/>
      <c r="F67" s="1679" t="e">
        <f>VLOOKUP($E$1,VLOOKUP!A403:FD430,34,FALSE)</f>
        <v>#N/A</v>
      </c>
      <c r="G67" s="1680"/>
      <c r="H67" s="1679" t="e">
        <f>VLOOKUP($E$1,VLOOKUP!$A$403:$FD$430,114,FALSE)</f>
        <v>#N/A</v>
      </c>
      <c r="I67" s="934"/>
      <c r="J67" s="941" t="e">
        <f t="shared" si="12"/>
        <v>#N/A</v>
      </c>
      <c r="K67" s="945" t="e">
        <f t="shared" si="13"/>
        <v>#N/A</v>
      </c>
      <c r="L67" s="937"/>
      <c r="M67" s="941" t="e">
        <f t="shared" si="14"/>
        <v>#N/A</v>
      </c>
      <c r="N67" s="945" t="e">
        <f t="shared" si="15"/>
        <v>#N/A</v>
      </c>
      <c r="O67" s="801"/>
    </row>
    <row r="68" spans="1:19">
      <c r="A68" s="938" t="s">
        <v>62</v>
      </c>
      <c r="B68" s="946">
        <f>SNP!M59</f>
        <v>0</v>
      </c>
      <c r="C68" s="942"/>
      <c r="D68" s="947">
        <f>SNP!O59</f>
        <v>0</v>
      </c>
      <c r="E68" s="944"/>
      <c r="F68" s="1682" t="e">
        <f>VLOOKUP($E$1,VLOOKUP!A403:FD430,35,FALSE)</f>
        <v>#N/A</v>
      </c>
      <c r="G68" s="1680"/>
      <c r="H68" s="1682" t="e">
        <f>VLOOKUP($E$1,VLOOKUP!$A$403:$FD$430,115,FALSE)</f>
        <v>#N/A</v>
      </c>
      <c r="I68" s="934"/>
      <c r="J68" s="946" t="e">
        <f t="shared" si="12"/>
        <v>#N/A</v>
      </c>
      <c r="K68" s="939" t="e">
        <f t="shared" si="13"/>
        <v>#N/A</v>
      </c>
      <c r="L68" s="937"/>
      <c r="M68" s="946" t="e">
        <f t="shared" si="14"/>
        <v>#N/A</v>
      </c>
      <c r="N68" s="939" t="e">
        <f t="shared" si="15"/>
        <v>#N/A</v>
      </c>
      <c r="O68" s="801"/>
    </row>
    <row r="69" spans="1:19">
      <c r="A69" s="940" t="s">
        <v>264</v>
      </c>
      <c r="B69" s="941">
        <f>SNP!M60</f>
        <v>0</v>
      </c>
      <c r="C69" s="942"/>
      <c r="D69" s="943">
        <f>SNP!O60</f>
        <v>0</v>
      </c>
      <c r="E69" s="944"/>
      <c r="F69" s="1679" t="e">
        <f>VLOOKUP($E$1,VLOOKUP!A403:FD430,36,FALSE)</f>
        <v>#N/A</v>
      </c>
      <c r="G69" s="1680"/>
      <c r="H69" s="1679" t="e">
        <f>VLOOKUP($E$1,VLOOKUP!$A$403:$FD$430,116,FALSE)</f>
        <v>#N/A</v>
      </c>
      <c r="I69" s="934"/>
      <c r="J69" s="941" t="e">
        <f t="shared" si="12"/>
        <v>#N/A</v>
      </c>
      <c r="K69" s="945" t="e">
        <f t="shared" si="13"/>
        <v>#N/A</v>
      </c>
      <c r="L69" s="937"/>
      <c r="M69" s="941" t="e">
        <f t="shared" si="14"/>
        <v>#N/A</v>
      </c>
      <c r="N69" s="945" t="e">
        <f t="shared" si="15"/>
        <v>#N/A</v>
      </c>
      <c r="O69" s="801"/>
    </row>
    <row r="70" spans="1:19">
      <c r="A70" s="938" t="s">
        <v>73</v>
      </c>
      <c r="B70" s="946">
        <f>SNP!M61</f>
        <v>0</v>
      </c>
      <c r="C70" s="942"/>
      <c r="D70" s="947">
        <f>SNP!O61</f>
        <v>0</v>
      </c>
      <c r="E70" s="944"/>
      <c r="F70" s="1682" t="e">
        <f>VLOOKUP($E$1,VLOOKUP!A403:FD430,37,FALSE)</f>
        <v>#N/A</v>
      </c>
      <c r="G70" s="1680"/>
      <c r="H70" s="1682" t="e">
        <f>VLOOKUP($E$1,VLOOKUP!$A$403:$FD$430,117,FALSE)</f>
        <v>#N/A</v>
      </c>
      <c r="I70" s="934"/>
      <c r="J70" s="946" t="e">
        <f t="shared" si="12"/>
        <v>#N/A</v>
      </c>
      <c r="K70" s="939" t="e">
        <f t="shared" si="13"/>
        <v>#N/A</v>
      </c>
      <c r="L70" s="937"/>
      <c r="M70" s="946" t="e">
        <f t="shared" si="14"/>
        <v>#N/A</v>
      </c>
      <c r="N70" s="939" t="e">
        <f t="shared" si="15"/>
        <v>#N/A</v>
      </c>
      <c r="O70" s="801"/>
    </row>
    <row r="71" spans="1:19">
      <c r="A71" s="940" t="s">
        <v>270</v>
      </c>
      <c r="B71" s="941">
        <f>SNP!M62</f>
        <v>0</v>
      </c>
      <c r="C71" s="942"/>
      <c r="D71" s="943">
        <f>SNP!O62</f>
        <v>0</v>
      </c>
      <c r="E71" s="944"/>
      <c r="F71" s="1679" t="e">
        <f>VLOOKUP($E$1,VLOOKUP!A403:FD430,38,FALSE)</f>
        <v>#N/A</v>
      </c>
      <c r="G71" s="1680"/>
      <c r="H71" s="1679" t="e">
        <f>VLOOKUP($E$1,VLOOKUP!$A$403:$FD$430,118,FALSE)</f>
        <v>#N/A</v>
      </c>
      <c r="I71" s="934"/>
      <c r="J71" s="941" t="e">
        <f t="shared" si="12"/>
        <v>#N/A</v>
      </c>
      <c r="K71" s="945" t="e">
        <f t="shared" si="13"/>
        <v>#N/A</v>
      </c>
      <c r="L71" s="937"/>
      <c r="M71" s="941" t="e">
        <f t="shared" si="14"/>
        <v>#N/A</v>
      </c>
      <c r="N71" s="945" t="e">
        <f t="shared" si="15"/>
        <v>#N/A</v>
      </c>
      <c r="O71" s="801"/>
    </row>
    <row r="72" spans="1:19">
      <c r="A72" s="938" t="s">
        <v>61</v>
      </c>
      <c r="B72" s="946">
        <f>SNP!M63</f>
        <v>0</v>
      </c>
      <c r="C72" s="942"/>
      <c r="D72" s="947">
        <f>SNP!O63</f>
        <v>0</v>
      </c>
      <c r="E72" s="944"/>
      <c r="F72" s="1682" t="e">
        <f>VLOOKUP($E$1,VLOOKUP!A403:FD430,39,FALSE)</f>
        <v>#N/A</v>
      </c>
      <c r="G72" s="1680"/>
      <c r="H72" s="1682" t="e">
        <f>VLOOKUP($E$1,VLOOKUP!$A$403:$FD$430,119,FALSE)</f>
        <v>#N/A</v>
      </c>
      <c r="I72" s="934"/>
      <c r="J72" s="946" t="e">
        <f t="shared" si="12"/>
        <v>#N/A</v>
      </c>
      <c r="K72" s="939" t="e">
        <f t="shared" si="13"/>
        <v>#N/A</v>
      </c>
      <c r="L72" s="937"/>
      <c r="M72" s="946" t="e">
        <f t="shared" si="14"/>
        <v>#N/A</v>
      </c>
      <c r="N72" s="939" t="e">
        <f t="shared" si="15"/>
        <v>#N/A</v>
      </c>
      <c r="O72" s="801"/>
    </row>
    <row r="73" spans="1:19">
      <c r="A73" s="1668" t="s">
        <v>2324</v>
      </c>
      <c r="B73" s="941"/>
      <c r="C73" s="942"/>
      <c r="D73" s="943"/>
      <c r="E73" s="944"/>
      <c r="F73" s="1679"/>
      <c r="G73" s="1680"/>
      <c r="H73" s="1681"/>
      <c r="I73" s="934"/>
      <c r="J73" s="941"/>
      <c r="K73" s="945"/>
      <c r="L73" s="937"/>
      <c r="M73" s="941"/>
      <c r="N73" s="945"/>
      <c r="O73" s="801"/>
    </row>
    <row r="74" spans="1:19">
      <c r="A74" s="968" t="s">
        <v>75</v>
      </c>
      <c r="B74" s="946">
        <f>SNP!M65</f>
        <v>0</v>
      </c>
      <c r="C74" s="942"/>
      <c r="D74" s="947">
        <f>SNP!O65</f>
        <v>0</v>
      </c>
      <c r="E74" s="944"/>
      <c r="F74" s="1682" t="e">
        <f>VLOOKUP($E$1,VLOOKUP!A403:FD430,40,FALSE)</f>
        <v>#N/A</v>
      </c>
      <c r="G74" s="1680"/>
      <c r="H74" s="1683" t="e">
        <f>VLOOKUP($E$1,VLOOKUP!A403:FD430,120,FALSE)</f>
        <v>#N/A</v>
      </c>
      <c r="J74" s="946" t="e">
        <f t="shared" ref="J74:J84" si="16">B74-F74</f>
        <v>#N/A</v>
      </c>
      <c r="K74" s="939" t="e">
        <f t="shared" ref="K74:K84" si="17">IF(F74&lt;&gt;0,(B74-F74)/F74,"N/A")</f>
        <v>#N/A</v>
      </c>
      <c r="L74" s="937"/>
      <c r="M74" s="946" t="e">
        <f t="shared" ref="M74:M84" si="18">D74-H74</f>
        <v>#N/A</v>
      </c>
      <c r="N74" s="939" t="e">
        <f t="shared" ref="N74:N84" si="19">IF(H74&lt;&gt;0,(D74-H74)/H74,"N/A")</f>
        <v>#N/A</v>
      </c>
      <c r="O74" s="801"/>
    </row>
    <row r="75" spans="1:19">
      <c r="A75" s="969" t="s">
        <v>277</v>
      </c>
      <c r="B75" s="941">
        <f>SNP!M66</f>
        <v>0</v>
      </c>
      <c r="C75" s="942"/>
      <c r="D75" s="943">
        <f>SNP!O66</f>
        <v>0</v>
      </c>
      <c r="E75" s="944"/>
      <c r="F75" s="1679" t="e">
        <f>VLOOKUP($E$1,VLOOKUP!A403:FD430,41,FALSE)</f>
        <v>#N/A</v>
      </c>
      <c r="G75" s="1680"/>
      <c r="H75" s="1681" t="e">
        <f>VLOOKUP($E$1,VLOOKUP!A403:FD430,121,FALSE)</f>
        <v>#N/A</v>
      </c>
      <c r="I75" s="934"/>
      <c r="J75" s="941" t="e">
        <f t="shared" si="16"/>
        <v>#N/A</v>
      </c>
      <c r="K75" s="945" t="e">
        <f t="shared" si="17"/>
        <v>#N/A</v>
      </c>
      <c r="L75" s="960"/>
      <c r="M75" s="941" t="e">
        <f t="shared" si="18"/>
        <v>#N/A</v>
      </c>
      <c r="N75" s="945" t="e">
        <f t="shared" si="19"/>
        <v>#N/A</v>
      </c>
      <c r="O75" s="801"/>
    </row>
    <row r="76" spans="1:19">
      <c r="A76" s="968" t="s">
        <v>83</v>
      </c>
      <c r="B76" s="946">
        <f>SNP!M67</f>
        <v>0</v>
      </c>
      <c r="C76" s="942"/>
      <c r="D76" s="947">
        <f>SNP!O67</f>
        <v>0</v>
      </c>
      <c r="E76" s="944"/>
      <c r="F76" s="1682" t="e">
        <f>VLOOKUP($E$1,VLOOKUP!A403:FD430,42,FALSE)</f>
        <v>#N/A</v>
      </c>
      <c r="G76" s="1680"/>
      <c r="H76" s="1683" t="e">
        <f>VLOOKUP($E$1,VLOOKUP!A403:FD430,122,FALSE)</f>
        <v>#N/A</v>
      </c>
      <c r="I76" s="934"/>
      <c r="J76" s="946" t="e">
        <f t="shared" si="16"/>
        <v>#N/A</v>
      </c>
      <c r="K76" s="939" t="e">
        <f t="shared" si="17"/>
        <v>#N/A</v>
      </c>
      <c r="L76" s="937"/>
      <c r="M76" s="946" t="e">
        <f t="shared" si="18"/>
        <v>#N/A</v>
      </c>
      <c r="N76" s="939" t="e">
        <f t="shared" si="19"/>
        <v>#N/A</v>
      </c>
      <c r="O76" s="801"/>
    </row>
    <row r="77" spans="1:19">
      <c r="A77" s="969" t="s">
        <v>283</v>
      </c>
      <c r="B77" s="941">
        <f>SNP!M68</f>
        <v>0</v>
      </c>
      <c r="C77" s="942"/>
      <c r="D77" s="943">
        <f>SNP!O68</f>
        <v>0</v>
      </c>
      <c r="E77" s="944"/>
      <c r="F77" s="1679" t="e">
        <f>VLOOKUP($E$1,VLOOKUP!A403:FD430,43,FALSE)</f>
        <v>#N/A</v>
      </c>
      <c r="G77" s="1680"/>
      <c r="H77" s="1681" t="e">
        <f>VLOOKUP($E$1,VLOOKUP!A403:FD430,123,FALSE)</f>
        <v>#N/A</v>
      </c>
      <c r="I77" s="934"/>
      <c r="J77" s="941" t="e">
        <f t="shared" si="16"/>
        <v>#N/A</v>
      </c>
      <c r="K77" s="945" t="e">
        <f t="shared" si="17"/>
        <v>#N/A</v>
      </c>
      <c r="L77" s="937"/>
      <c r="M77" s="941" t="e">
        <f t="shared" si="18"/>
        <v>#N/A</v>
      </c>
      <c r="N77" s="945" t="e">
        <f t="shared" si="19"/>
        <v>#N/A</v>
      </c>
      <c r="O77" s="801"/>
      <c r="Q77" s="948"/>
      <c r="S77" s="948"/>
    </row>
    <row r="78" spans="1:19">
      <c r="A78" s="968" t="s">
        <v>65</v>
      </c>
      <c r="B78" s="946">
        <f>SNP!M69</f>
        <v>0</v>
      </c>
      <c r="C78" s="942"/>
      <c r="D78" s="947">
        <f>SNP!O69</f>
        <v>0</v>
      </c>
      <c r="E78" s="944"/>
      <c r="F78" s="1683" t="e">
        <f>VLOOKUP($E$1,VLOOKUP!A403:EY430,44,FALSE)</f>
        <v>#N/A</v>
      </c>
      <c r="G78" s="1680"/>
      <c r="H78" s="1683" t="e">
        <f>VLOOKUP($E$1,VLOOKUP!A404:FC431,124,FALSE)</f>
        <v>#N/A</v>
      </c>
      <c r="I78" s="934"/>
      <c r="J78" s="946" t="e">
        <f>B78-F78</f>
        <v>#N/A</v>
      </c>
      <c r="K78" s="939" t="e">
        <f>IF(F78&lt;&gt;0,(B78-F78)/F78,"N/A")</f>
        <v>#N/A</v>
      </c>
      <c r="L78" s="937"/>
      <c r="M78" s="946" t="e">
        <f>D78-H78</f>
        <v>#N/A</v>
      </c>
      <c r="N78" s="939" t="e">
        <f>IF(H78&lt;&gt;0,(D78-H78)/H78,"N/A")</f>
        <v>#N/A</v>
      </c>
      <c r="O78" s="801"/>
    </row>
    <row r="79" spans="1:19" s="948" customFormat="1">
      <c r="A79" s="975" t="s">
        <v>289</v>
      </c>
      <c r="B79" s="953">
        <f>SNP!M70</f>
        <v>0</v>
      </c>
      <c r="C79" s="942"/>
      <c r="D79" s="954">
        <f>SNP!O70</f>
        <v>0</v>
      </c>
      <c r="E79" s="944"/>
      <c r="F79" s="1688" t="e">
        <f>VLOOKUP($E$1,VLOOKUP!A403:FD430,45,FALSE)</f>
        <v>#N/A</v>
      </c>
      <c r="G79" s="1680"/>
      <c r="H79" s="1689" t="e">
        <f>VLOOKUP($E$1,VLOOKUP!A403:FD430,125,FALSE)</f>
        <v>#N/A</v>
      </c>
      <c r="I79" s="934"/>
      <c r="J79" s="953" t="e">
        <f t="shared" si="16"/>
        <v>#N/A</v>
      </c>
      <c r="K79" s="955" t="e">
        <f t="shared" si="17"/>
        <v>#N/A</v>
      </c>
      <c r="L79" s="937"/>
      <c r="M79" s="953" t="e">
        <f t="shared" si="18"/>
        <v>#N/A</v>
      </c>
      <c r="N79" s="955" t="e">
        <f t="shared" si="19"/>
        <v>#N/A</v>
      </c>
      <c r="O79" s="801"/>
    </row>
    <row r="80" spans="1:19">
      <c r="A80" s="968" t="s">
        <v>291</v>
      </c>
      <c r="B80" s="946">
        <f>SNP!M71</f>
        <v>0</v>
      </c>
      <c r="C80" s="942"/>
      <c r="D80" s="947">
        <f>SNP!O71</f>
        <v>0</v>
      </c>
      <c r="E80" s="944"/>
      <c r="F80" s="1682" t="e">
        <f>VLOOKUP($E$1,VLOOKUP!A403:FD430,46,FALSE)</f>
        <v>#N/A</v>
      </c>
      <c r="G80" s="1680"/>
      <c r="H80" s="1683" t="e">
        <f>VLOOKUP($E$1,VLOOKUP!A403:FD430,126,FALSE)</f>
        <v>#N/A</v>
      </c>
      <c r="I80" s="934"/>
      <c r="J80" s="946" t="e">
        <f t="shared" si="16"/>
        <v>#N/A</v>
      </c>
      <c r="K80" s="939" t="e">
        <f t="shared" si="17"/>
        <v>#N/A</v>
      </c>
      <c r="L80" s="937"/>
      <c r="M80" s="946" t="e">
        <f t="shared" si="18"/>
        <v>#N/A</v>
      </c>
      <c r="N80" s="939" t="e">
        <f t="shared" si="19"/>
        <v>#N/A</v>
      </c>
      <c r="O80" s="801"/>
    </row>
    <row r="81" spans="1:19" s="948" customFormat="1">
      <c r="A81" s="975" t="s">
        <v>2325</v>
      </c>
      <c r="B81" s="953">
        <f>SNP!M72</f>
        <v>0</v>
      </c>
      <c r="C81" s="942"/>
      <c r="D81" s="953">
        <f>SNP!O72</f>
        <v>0</v>
      </c>
      <c r="E81" s="944"/>
      <c r="F81" s="1688" t="e">
        <f>VLOOKUP($E$1,VLOOKUP!A403:FD430,47,FALSE)</f>
        <v>#N/A</v>
      </c>
      <c r="G81" s="1680"/>
      <c r="H81" s="1689" t="e">
        <f>VLOOKUP($E$1,VLOOKUP!A403:FD430,127,FALSE)</f>
        <v>#N/A</v>
      </c>
      <c r="I81" s="934"/>
      <c r="J81" s="953" t="e">
        <f t="shared" si="16"/>
        <v>#N/A</v>
      </c>
      <c r="K81" s="955" t="e">
        <f t="shared" si="17"/>
        <v>#N/A</v>
      </c>
      <c r="L81" s="937"/>
      <c r="M81" s="953" t="e">
        <f t="shared" si="18"/>
        <v>#N/A</v>
      </c>
      <c r="N81" s="955" t="e">
        <f t="shared" si="19"/>
        <v>#N/A</v>
      </c>
      <c r="O81" s="801"/>
    </row>
    <row r="82" spans="1:19">
      <c r="A82" s="968" t="s">
        <v>2326</v>
      </c>
      <c r="B82" s="946">
        <f>SNP!M73</f>
        <v>0</v>
      </c>
      <c r="C82" s="942"/>
      <c r="D82" s="947">
        <f>SNP!O73</f>
        <v>0</v>
      </c>
      <c r="E82" s="944"/>
      <c r="F82" s="1682" t="e">
        <f>VLOOKUP($E$1,VLOOKUP!A403:FD430,48,FALSE)</f>
        <v>#N/A</v>
      </c>
      <c r="G82" s="1680"/>
      <c r="H82" s="1683" t="e">
        <f>VLOOKUP($E$1,VLOOKUP!A403:FD430,128,FALSE)</f>
        <v>#N/A</v>
      </c>
      <c r="I82" s="934"/>
      <c r="J82" s="946" t="e">
        <f t="shared" si="16"/>
        <v>#N/A</v>
      </c>
      <c r="K82" s="939" t="e">
        <f t="shared" si="17"/>
        <v>#N/A</v>
      </c>
      <c r="L82" s="937"/>
      <c r="M82" s="946" t="e">
        <f t="shared" si="18"/>
        <v>#N/A</v>
      </c>
      <c r="N82" s="939" t="e">
        <f t="shared" si="19"/>
        <v>#N/A</v>
      </c>
      <c r="O82" s="801"/>
    </row>
    <row r="83" spans="1:19" s="948" customFormat="1">
      <c r="A83" s="975" t="s">
        <v>3705</v>
      </c>
      <c r="B83" s="953">
        <f>SNP!M74</f>
        <v>0</v>
      </c>
      <c r="C83" s="942"/>
      <c r="D83" s="954">
        <f>SNP!O74</f>
        <v>0</v>
      </c>
      <c r="E83" s="944"/>
      <c r="F83" s="1688" t="e">
        <f>VLOOKUP($E$1,VLOOKUP!A403:FD430,49,FALSE)</f>
        <v>#N/A</v>
      </c>
      <c r="G83" s="1680"/>
      <c r="H83" s="1689" t="e">
        <f>VLOOKUP($E$1,VLOOKUP!A403:FB430,129,FALSE)</f>
        <v>#N/A</v>
      </c>
      <c r="I83" s="934"/>
      <c r="J83" s="953" t="e">
        <f>B83-F83</f>
        <v>#N/A</v>
      </c>
      <c r="K83" s="955" t="e">
        <f>IF(F83&lt;&gt;0,(B83-F83)/F83,"N/A")</f>
        <v>#N/A</v>
      </c>
      <c r="L83" s="937"/>
      <c r="M83" s="953" t="e">
        <f>D83-H83</f>
        <v>#N/A</v>
      </c>
      <c r="N83" s="955" t="e">
        <f>IF(H83&lt;&gt;0,(D83-H83)/H83,"N/A")</f>
        <v>#N/A</v>
      </c>
      <c r="O83" s="801"/>
      <c r="Q83" s="922"/>
      <c r="R83" s="1106"/>
      <c r="S83" s="922"/>
    </row>
    <row r="84" spans="1:19">
      <c r="A84" s="968" t="s">
        <v>89</v>
      </c>
      <c r="B84" s="946">
        <f>SNP!M75</f>
        <v>0</v>
      </c>
      <c r="C84" s="942"/>
      <c r="D84" s="947">
        <f>SNP!O75</f>
        <v>0</v>
      </c>
      <c r="E84" s="944"/>
      <c r="F84" s="1682" t="e">
        <f>VLOOKUP($E$1,VLOOKUP!A403:FD430,50,FALSE)</f>
        <v>#N/A</v>
      </c>
      <c r="G84" s="1680"/>
      <c r="H84" s="1683" t="e">
        <f>VLOOKUP($E$1,VLOOKUP!A403:FD430,130,FALSE)</f>
        <v>#N/A</v>
      </c>
      <c r="I84" s="934"/>
      <c r="J84" s="946" t="e">
        <f t="shared" si="16"/>
        <v>#N/A</v>
      </c>
      <c r="K84" s="939" t="e">
        <f t="shared" si="17"/>
        <v>#N/A</v>
      </c>
      <c r="L84" s="937"/>
      <c r="M84" s="946" t="e">
        <f t="shared" si="18"/>
        <v>#N/A</v>
      </c>
      <c r="N84" s="939" t="e">
        <f t="shared" si="19"/>
        <v>#N/A</v>
      </c>
      <c r="O84" s="801"/>
    </row>
    <row r="85" spans="1:19" s="948" customFormat="1" ht="6" customHeight="1">
      <c r="A85" s="952"/>
      <c r="B85" s="953"/>
      <c r="C85" s="942"/>
      <c r="D85" s="954"/>
      <c r="E85" s="944"/>
      <c r="F85" s="953"/>
      <c r="G85" s="942"/>
      <c r="H85" s="954"/>
      <c r="I85" s="934"/>
      <c r="J85" s="953"/>
      <c r="K85" s="955"/>
      <c r="L85" s="937"/>
      <c r="M85" s="953"/>
      <c r="N85" s="955"/>
      <c r="O85" s="801"/>
      <c r="Q85" s="910"/>
      <c r="S85" s="910"/>
    </row>
    <row r="86" spans="1:19">
      <c r="A86" s="956" t="s">
        <v>304</v>
      </c>
      <c r="B86" s="957">
        <f>SNP!M77</f>
        <v>0</v>
      </c>
      <c r="C86" s="942"/>
      <c r="D86" s="958">
        <f>SNP!O77</f>
        <v>0</v>
      </c>
      <c r="E86" s="944"/>
      <c r="F86" s="957" t="e">
        <f>SUM(F64:F84)</f>
        <v>#N/A</v>
      </c>
      <c r="G86" s="942"/>
      <c r="H86" s="958" t="e">
        <f>SUM(H64:H84)</f>
        <v>#N/A</v>
      </c>
      <c r="I86" s="934"/>
      <c r="J86" s="957" t="e">
        <f>B86-F86</f>
        <v>#N/A</v>
      </c>
      <c r="K86" s="959" t="e">
        <f>IF(F86&lt;&gt;0,(B86-F86)/F86,"N/A")</f>
        <v>#N/A</v>
      </c>
      <c r="L86" s="937"/>
      <c r="M86" s="957" t="e">
        <f>D86-H86</f>
        <v>#N/A</v>
      </c>
      <c r="N86" s="959" t="e">
        <f>IF(H86&lt;&gt;0,(D86-H86)/H86,"N/A")</f>
        <v>#N/A</v>
      </c>
      <c r="O86" s="1113"/>
    </row>
    <row r="87" spans="1:19" ht="6" customHeight="1">
      <c r="A87" s="952"/>
      <c r="B87" s="966"/>
      <c r="D87" s="967"/>
      <c r="F87" s="966"/>
      <c r="H87" s="967"/>
      <c r="I87" s="934"/>
      <c r="J87" s="953"/>
      <c r="K87" s="955"/>
      <c r="L87" s="937"/>
      <c r="M87" s="953"/>
      <c r="N87" s="955"/>
      <c r="O87" s="801"/>
      <c r="Q87" s="948"/>
      <c r="S87" s="948"/>
    </row>
    <row r="88" spans="1:19" s="948" customFormat="1">
      <c r="A88" s="1668" t="s">
        <v>2330</v>
      </c>
      <c r="B88" s="932"/>
      <c r="C88" s="1669"/>
      <c r="D88" s="933"/>
      <c r="E88" s="934"/>
      <c r="F88" s="932"/>
      <c r="G88" s="1669"/>
      <c r="H88" s="933"/>
      <c r="I88" s="934"/>
      <c r="J88" s="935"/>
      <c r="K88" s="936"/>
      <c r="L88" s="937"/>
      <c r="M88" s="935"/>
      <c r="N88" s="936"/>
      <c r="O88" s="801"/>
      <c r="Q88" s="910"/>
      <c r="S88" s="910"/>
    </row>
    <row r="89" spans="1:19">
      <c r="A89" s="938" t="s">
        <v>75</v>
      </c>
      <c r="B89" s="946">
        <f>SNP!M87</f>
        <v>0</v>
      </c>
      <c r="C89" s="942"/>
      <c r="D89" s="947">
        <f>SNP!O87</f>
        <v>0</v>
      </c>
      <c r="E89" s="944"/>
      <c r="F89" s="1682" t="e">
        <f>VLOOKUP($E$1,VLOOKUP!A403:FD430,52,FALSE)</f>
        <v>#N/A</v>
      </c>
      <c r="G89" s="1680"/>
      <c r="H89" s="1683" t="e">
        <f>VLOOKUP($E$1,VLOOKUP!A403:FD430,132,FALSE)</f>
        <v>#N/A</v>
      </c>
      <c r="J89" s="946" t="e">
        <f t="shared" ref="J89:J99" si="20">B89-F89</f>
        <v>#N/A</v>
      </c>
      <c r="K89" s="939" t="e">
        <f t="shared" ref="K89:K99" si="21">IF(F89&lt;&gt;0,(B89-F89)/F89,"N/A")</f>
        <v>#N/A</v>
      </c>
      <c r="L89" s="937"/>
      <c r="M89" s="946" t="e">
        <f t="shared" ref="M89:M99" si="22">D89-H89</f>
        <v>#N/A</v>
      </c>
      <c r="N89" s="939" t="e">
        <f t="shared" ref="N89:N99" si="23">IF(H89&lt;&gt;0,(D89-H89)/H89,"N/A")</f>
        <v>#N/A</v>
      </c>
      <c r="O89" s="801"/>
    </row>
    <row r="90" spans="1:19">
      <c r="A90" s="970" t="s">
        <v>277</v>
      </c>
      <c r="B90" s="953">
        <f>SNP!M88</f>
        <v>0</v>
      </c>
      <c r="C90" s="942"/>
      <c r="D90" s="954">
        <f>SNP!O88</f>
        <v>0</v>
      </c>
      <c r="E90" s="944"/>
      <c r="F90" s="1688" t="e">
        <f>VLOOKUP($E$1,VLOOKUP!A403:FD430,53,FALSE)</f>
        <v>#N/A</v>
      </c>
      <c r="G90" s="1680"/>
      <c r="H90" s="1689" t="e">
        <f>VLOOKUP($E$1,VLOOKUP!A403:FD430,133,FALSE)</f>
        <v>#N/A</v>
      </c>
      <c r="I90" s="934"/>
      <c r="J90" s="953" t="e">
        <f t="shared" si="20"/>
        <v>#N/A</v>
      </c>
      <c r="K90" s="955" t="e">
        <f t="shared" si="21"/>
        <v>#N/A</v>
      </c>
      <c r="L90" s="960"/>
      <c r="M90" s="953" t="e">
        <f t="shared" si="22"/>
        <v>#N/A</v>
      </c>
      <c r="N90" s="955" t="e">
        <f t="shared" si="23"/>
        <v>#N/A</v>
      </c>
      <c r="O90" s="801"/>
    </row>
    <row r="91" spans="1:19">
      <c r="A91" s="938" t="s">
        <v>83</v>
      </c>
      <c r="B91" s="946">
        <f>SNP!M89</f>
        <v>0</v>
      </c>
      <c r="C91" s="942"/>
      <c r="D91" s="947">
        <f>SNP!O89</f>
        <v>0</v>
      </c>
      <c r="E91" s="944"/>
      <c r="F91" s="1682" t="e">
        <f>VLOOKUP($E$1,VLOOKUP!A403:FD430,54,FALSE)</f>
        <v>#N/A</v>
      </c>
      <c r="G91" s="1680"/>
      <c r="H91" s="1683" t="e">
        <f>VLOOKUP($E$1,VLOOKUP!A403:FD430,134,FALSE)</f>
        <v>#N/A</v>
      </c>
      <c r="I91" s="934"/>
      <c r="J91" s="946" t="e">
        <f t="shared" si="20"/>
        <v>#N/A</v>
      </c>
      <c r="K91" s="939" t="e">
        <f t="shared" si="21"/>
        <v>#N/A</v>
      </c>
      <c r="L91" s="937"/>
      <c r="M91" s="946" t="e">
        <f t="shared" si="22"/>
        <v>#N/A</v>
      </c>
      <c r="N91" s="939" t="e">
        <f t="shared" si="23"/>
        <v>#N/A</v>
      </c>
      <c r="O91" s="801"/>
    </row>
    <row r="92" spans="1:19">
      <c r="A92" s="940" t="s">
        <v>283</v>
      </c>
      <c r="B92" s="941">
        <f>SNP!M90</f>
        <v>0</v>
      </c>
      <c r="C92" s="942"/>
      <c r="D92" s="943">
        <f>SNP!O90</f>
        <v>0</v>
      </c>
      <c r="E92" s="944"/>
      <c r="F92" s="1679" t="e">
        <f>VLOOKUP($E$1,VLOOKUP!A403:FD430,55,FALSE)</f>
        <v>#N/A</v>
      </c>
      <c r="G92" s="1680"/>
      <c r="H92" s="1681" t="e">
        <f>VLOOKUP($E$1,VLOOKUP!A403:FD430,135,FALSE)</f>
        <v>#N/A</v>
      </c>
      <c r="I92" s="934"/>
      <c r="J92" s="941" t="e">
        <f t="shared" si="20"/>
        <v>#N/A</v>
      </c>
      <c r="K92" s="945" t="e">
        <f t="shared" si="21"/>
        <v>#N/A</v>
      </c>
      <c r="L92" s="937"/>
      <c r="M92" s="941" t="e">
        <f t="shared" si="22"/>
        <v>#N/A</v>
      </c>
      <c r="N92" s="945" t="e">
        <f t="shared" si="23"/>
        <v>#N/A</v>
      </c>
      <c r="O92" s="801"/>
    </row>
    <row r="93" spans="1:19">
      <c r="A93" s="938" t="s">
        <v>82</v>
      </c>
      <c r="B93" s="946">
        <f>SNP!M91</f>
        <v>0</v>
      </c>
      <c r="C93" s="942"/>
      <c r="D93" s="947">
        <f>SNP!O91</f>
        <v>0</v>
      </c>
      <c r="E93" s="944"/>
      <c r="F93" s="1682" t="e">
        <f>VLOOKUP($E$1,VLOOKUP!A403:FD430,56,FALSE)</f>
        <v>#N/A</v>
      </c>
      <c r="G93" s="1680"/>
      <c r="H93" s="1683" t="e">
        <f>VLOOKUP($E$1,VLOOKUP!A403:FD430,136,FALSE)</f>
        <v>#N/A</v>
      </c>
      <c r="I93" s="941"/>
      <c r="J93" s="946" t="e">
        <f>B93-F93</f>
        <v>#N/A</v>
      </c>
      <c r="K93" s="939" t="e">
        <f>IF(F93&lt;&gt;0,(B93-F93)/F93,"N/A")</f>
        <v>#N/A</v>
      </c>
      <c r="L93" s="937"/>
      <c r="M93" s="946" t="e">
        <f>D93-H93</f>
        <v>#N/A</v>
      </c>
      <c r="N93" s="939" t="e">
        <f>IF(H93&lt;&gt;0,(D93-H93)/H93,"N/A")</f>
        <v>#N/A</v>
      </c>
      <c r="O93" s="801"/>
    </row>
    <row r="94" spans="1:19">
      <c r="A94" s="970" t="s">
        <v>289</v>
      </c>
      <c r="B94" s="953">
        <f>SNP!M92</f>
        <v>0</v>
      </c>
      <c r="C94" s="942"/>
      <c r="D94" s="954">
        <f>SNP!O92</f>
        <v>0</v>
      </c>
      <c r="E94" s="944"/>
      <c r="F94" s="1688" t="e">
        <f>VLOOKUP($E$1,VLOOKUP!A403:FD430,57,FALSE)</f>
        <v>#N/A</v>
      </c>
      <c r="G94" s="1680"/>
      <c r="H94" s="1689" t="e">
        <f>VLOOKUP($E$1,VLOOKUP!A403:FD430,137,FALSE)</f>
        <v>#N/A</v>
      </c>
      <c r="I94" s="934"/>
      <c r="J94" s="953" t="e">
        <f t="shared" si="20"/>
        <v>#N/A</v>
      </c>
      <c r="K94" s="955" t="e">
        <f t="shared" si="21"/>
        <v>#N/A</v>
      </c>
      <c r="L94" s="937"/>
      <c r="M94" s="953" t="e">
        <f t="shared" si="22"/>
        <v>#N/A</v>
      </c>
      <c r="N94" s="955" t="e">
        <f t="shared" si="23"/>
        <v>#N/A</v>
      </c>
      <c r="O94" s="801"/>
    </row>
    <row r="95" spans="1:19">
      <c r="A95" s="938" t="s">
        <v>291</v>
      </c>
      <c r="B95" s="946">
        <f>SNP!M93</f>
        <v>0</v>
      </c>
      <c r="C95" s="942"/>
      <c r="D95" s="947">
        <f>SNP!O93</f>
        <v>0</v>
      </c>
      <c r="E95" s="944"/>
      <c r="F95" s="1682" t="e">
        <f>VLOOKUP($E$1,VLOOKUP!A403:FD430,58,FALSE)</f>
        <v>#N/A</v>
      </c>
      <c r="G95" s="1680"/>
      <c r="H95" s="1683" t="e">
        <f>VLOOKUP($E$1,VLOOKUP!A403:FD430,140,FALSE)</f>
        <v>#N/A</v>
      </c>
      <c r="I95" s="934"/>
      <c r="J95" s="946" t="e">
        <f t="shared" si="20"/>
        <v>#N/A</v>
      </c>
      <c r="K95" s="939" t="e">
        <f t="shared" si="21"/>
        <v>#N/A</v>
      </c>
      <c r="L95" s="937"/>
      <c r="M95" s="946" t="e">
        <f t="shared" si="22"/>
        <v>#N/A</v>
      </c>
      <c r="N95" s="939" t="e">
        <f t="shared" si="23"/>
        <v>#N/A</v>
      </c>
      <c r="O95" s="801"/>
    </row>
    <row r="96" spans="1:19" s="948" customFormat="1">
      <c r="A96" s="970" t="s">
        <v>3705</v>
      </c>
      <c r="B96" s="953">
        <f>SNP!M96</f>
        <v>0</v>
      </c>
      <c r="C96" s="942"/>
      <c r="D96" s="954">
        <f>SNP!O96</f>
        <v>0</v>
      </c>
      <c r="E96" s="944"/>
      <c r="F96" s="1688" t="e">
        <f>VLOOKUP($E$1,VLOOKUP!A403:FD430,61,FALSE)</f>
        <v>#N/A</v>
      </c>
      <c r="G96" s="1680"/>
      <c r="H96" s="1689" t="e">
        <f>VLOOKUP($E$1,VLOOKUP!A403:FD430,141,FALSE)</f>
        <v>#N/A</v>
      </c>
      <c r="I96" s="934"/>
      <c r="J96" s="953" t="e">
        <f t="shared" si="20"/>
        <v>#N/A</v>
      </c>
      <c r="K96" s="955" t="e">
        <f t="shared" si="21"/>
        <v>#N/A</v>
      </c>
      <c r="L96" s="937"/>
      <c r="M96" s="953" t="e">
        <f t="shared" si="22"/>
        <v>#N/A</v>
      </c>
      <c r="N96" s="955" t="e">
        <f t="shared" si="23"/>
        <v>#N/A</v>
      </c>
      <c r="O96" s="801"/>
      <c r="Q96" s="922"/>
      <c r="R96" s="1106"/>
      <c r="S96" s="922"/>
    </row>
    <row r="97" spans="1:19">
      <c r="A97" s="938" t="s">
        <v>2325</v>
      </c>
      <c r="B97" s="946">
        <f>SNP!M94</f>
        <v>0</v>
      </c>
      <c r="C97" s="942"/>
      <c r="D97" s="947">
        <f>SNP!O94</f>
        <v>0</v>
      </c>
      <c r="E97" s="944"/>
      <c r="F97" s="1682" t="e">
        <f>VLOOKUP($E$1,VLOOKUP!A403:FD430,59,FALSE)</f>
        <v>#N/A</v>
      </c>
      <c r="G97" s="1680"/>
      <c r="H97" s="1683" t="e">
        <f>VLOOKUP($E$1,VLOOKUP!A403:FD430,138,FALSE)</f>
        <v>#N/A</v>
      </c>
      <c r="I97" s="934"/>
      <c r="J97" s="946" t="e">
        <f t="shared" si="20"/>
        <v>#N/A</v>
      </c>
      <c r="K97" s="939" t="e">
        <f t="shared" si="21"/>
        <v>#N/A</v>
      </c>
      <c r="L97" s="937"/>
      <c r="M97" s="946" t="e">
        <f t="shared" si="22"/>
        <v>#N/A</v>
      </c>
      <c r="N97" s="939" t="e">
        <f t="shared" si="23"/>
        <v>#N/A</v>
      </c>
      <c r="O97" s="801"/>
    </row>
    <row r="98" spans="1:19" s="948" customFormat="1">
      <c r="A98" s="970" t="s">
        <v>2326</v>
      </c>
      <c r="B98" s="953">
        <f>SNP!M95</f>
        <v>0</v>
      </c>
      <c r="C98" s="942"/>
      <c r="D98" s="942">
        <f>SNP!O95</f>
        <v>0</v>
      </c>
      <c r="E98" s="944"/>
      <c r="F98" s="1688" t="e">
        <f>VLOOKUP($E$1,VLOOKUP!A403:FD430,60,FALSE)</f>
        <v>#N/A</v>
      </c>
      <c r="G98" s="1680"/>
      <c r="H98" s="1689" t="e">
        <f>VLOOKUP($E$1,VLOOKUP!A403:FD430,139,FALSE)</f>
        <v>#N/A</v>
      </c>
      <c r="I98" s="934"/>
      <c r="J98" s="953" t="e">
        <f t="shared" si="20"/>
        <v>#N/A</v>
      </c>
      <c r="K98" s="955" t="e">
        <f t="shared" si="21"/>
        <v>#N/A</v>
      </c>
      <c r="L98" s="937"/>
      <c r="M98" s="953" t="e">
        <f t="shared" si="22"/>
        <v>#N/A</v>
      </c>
      <c r="N98" s="955" t="e">
        <f t="shared" si="23"/>
        <v>#N/A</v>
      </c>
      <c r="O98" s="801"/>
      <c r="Q98" s="922"/>
      <c r="R98" s="1106"/>
      <c r="S98" s="922"/>
    </row>
    <row r="99" spans="1:19">
      <c r="A99" s="938" t="s">
        <v>89</v>
      </c>
      <c r="B99" s="946">
        <f>SNP!M97</f>
        <v>0</v>
      </c>
      <c r="C99" s="942"/>
      <c r="D99" s="947">
        <f>SNP!O97</f>
        <v>0</v>
      </c>
      <c r="E99" s="944"/>
      <c r="F99" s="1682" t="e">
        <f>VLOOKUP($E$1,VLOOKUP!A403:FD430,62,FALSE)</f>
        <v>#N/A</v>
      </c>
      <c r="G99" s="1680"/>
      <c r="H99" s="1683" t="e">
        <f>VLOOKUP($E$1,VLOOKUP!A403:FD430,142,FALSE)</f>
        <v>#N/A</v>
      </c>
      <c r="I99" s="934"/>
      <c r="J99" s="946" t="e">
        <f t="shared" si="20"/>
        <v>#N/A</v>
      </c>
      <c r="K99" s="939" t="e">
        <f t="shared" si="21"/>
        <v>#N/A</v>
      </c>
      <c r="L99" s="937"/>
      <c r="M99" s="946" t="e">
        <f t="shared" si="22"/>
        <v>#N/A</v>
      </c>
      <c r="N99" s="939" t="e">
        <f t="shared" si="23"/>
        <v>#N/A</v>
      </c>
      <c r="O99" s="801"/>
    </row>
    <row r="100" spans="1:19" s="948" customFormat="1" ht="6" customHeight="1">
      <c r="A100" s="952"/>
      <c r="B100" s="953"/>
      <c r="C100" s="942"/>
      <c r="D100" s="954"/>
      <c r="E100" s="944"/>
      <c r="F100" s="953"/>
      <c r="G100" s="942"/>
      <c r="H100" s="954"/>
      <c r="I100" s="934"/>
      <c r="J100" s="953"/>
      <c r="K100" s="955"/>
      <c r="L100" s="937"/>
      <c r="M100" s="953"/>
      <c r="N100" s="955"/>
      <c r="O100" s="801"/>
      <c r="Q100" s="922"/>
      <c r="R100" s="1106"/>
      <c r="S100" s="922"/>
    </row>
    <row r="101" spans="1:19" s="922" customFormat="1">
      <c r="A101" s="911" t="s">
        <v>2331</v>
      </c>
      <c r="B101" s="957">
        <f>SNP!M99</f>
        <v>0</v>
      </c>
      <c r="C101" s="942"/>
      <c r="D101" s="958">
        <f>SNP!O99</f>
        <v>0</v>
      </c>
      <c r="E101" s="944"/>
      <c r="F101" s="957" t="e">
        <f>SUM(F89:F99)</f>
        <v>#N/A</v>
      </c>
      <c r="G101" s="942"/>
      <c r="H101" s="958" t="e">
        <f>SUM(H89:H99)</f>
        <v>#N/A</v>
      </c>
      <c r="I101" s="934"/>
      <c r="J101" s="957" t="e">
        <f>B101-F101</f>
        <v>#N/A</v>
      </c>
      <c r="K101" s="959" t="e">
        <f>IF(F101&lt;&gt;0,(B101-F101)/F101,"N/A")</f>
        <v>#N/A</v>
      </c>
      <c r="L101" s="937"/>
      <c r="M101" s="957" t="e">
        <f>D101-H101</f>
        <v>#N/A</v>
      </c>
      <c r="N101" s="959" t="e">
        <f>IF(H101&lt;&gt;0,(D101-H101)/H101,"N/A")</f>
        <v>#N/A</v>
      </c>
      <c r="O101" s="1113"/>
      <c r="Q101" s="948"/>
      <c r="R101" s="948"/>
      <c r="S101" s="948"/>
    </row>
    <row r="102" spans="1:19" s="948" customFormat="1" ht="6" customHeight="1">
      <c r="A102" s="952"/>
      <c r="B102" s="953"/>
      <c r="C102" s="942"/>
      <c r="D102" s="954"/>
      <c r="E102" s="944"/>
      <c r="F102" s="953"/>
      <c r="G102" s="942"/>
      <c r="H102" s="954"/>
      <c r="I102" s="934"/>
      <c r="J102" s="953"/>
      <c r="K102" s="955"/>
      <c r="L102" s="937"/>
      <c r="M102" s="953"/>
      <c r="N102" s="955"/>
      <c r="O102" s="801"/>
      <c r="Q102" s="922"/>
      <c r="R102" s="1106"/>
      <c r="S102" s="922"/>
    </row>
    <row r="103" spans="1:19" s="922" customFormat="1">
      <c r="A103" s="911" t="s">
        <v>330</v>
      </c>
      <c r="B103" s="957">
        <f>SNP!M101</f>
        <v>0</v>
      </c>
      <c r="C103" s="942"/>
      <c r="D103" s="958">
        <f>SNP!O101</f>
        <v>0</v>
      </c>
      <c r="E103" s="944"/>
      <c r="F103" s="957" t="e">
        <f>+F101+F86</f>
        <v>#N/A</v>
      </c>
      <c r="G103" s="942"/>
      <c r="H103" s="958" t="e">
        <f>+H101+H86</f>
        <v>#N/A</v>
      </c>
      <c r="I103" s="948"/>
      <c r="J103" s="957" t="e">
        <f>B103-F103</f>
        <v>#N/A</v>
      </c>
      <c r="K103" s="959" t="e">
        <f>IF(F103&lt;&gt;0,(B103-F103)/F103,"N/A")</f>
        <v>#N/A</v>
      </c>
      <c r="L103" s="937"/>
      <c r="M103" s="957" t="e">
        <f>D103-H103</f>
        <v>#N/A</v>
      </c>
      <c r="N103" s="959" t="e">
        <f>IF(H103&lt;&gt;0,(D103-H103)/H103,"N/A")</f>
        <v>#N/A</v>
      </c>
      <c r="O103" s="1113"/>
      <c r="Q103" s="910"/>
      <c r="R103" s="948"/>
      <c r="S103" s="910"/>
    </row>
    <row r="104" spans="1:19" ht="6" customHeight="1">
      <c r="A104" s="1668"/>
      <c r="B104" s="935"/>
      <c r="C104" s="971"/>
      <c r="D104" s="972"/>
      <c r="E104" s="944"/>
      <c r="F104" s="935"/>
      <c r="G104" s="971"/>
      <c r="H104" s="972"/>
      <c r="I104" s="934"/>
      <c r="J104" s="935"/>
      <c r="K104" s="936"/>
      <c r="L104" s="937"/>
      <c r="M104" s="935"/>
      <c r="N104" s="936"/>
      <c r="O104" s="801"/>
    </row>
    <row r="105" spans="1:19" ht="12.75" customHeight="1">
      <c r="A105" s="2350" t="s">
        <v>2332</v>
      </c>
      <c r="B105" s="935"/>
      <c r="C105" s="971"/>
      <c r="D105" s="972"/>
      <c r="E105" s="944"/>
      <c r="F105" s="935"/>
      <c r="G105" s="971"/>
      <c r="H105" s="972"/>
      <c r="I105" s="934"/>
      <c r="J105" s="935"/>
      <c r="K105" s="936"/>
      <c r="L105" s="937"/>
      <c r="M105" s="935"/>
      <c r="N105" s="936"/>
      <c r="O105" s="801"/>
    </row>
    <row r="106" spans="1:19" ht="12.75" customHeight="1">
      <c r="A106" s="946" t="s">
        <v>76</v>
      </c>
      <c r="B106" s="946">
        <f>SNP!M104</f>
        <v>0</v>
      </c>
      <c r="C106" s="942"/>
      <c r="D106" s="947">
        <f>SNP!O104</f>
        <v>0</v>
      </c>
      <c r="E106" s="944"/>
      <c r="F106" s="1682" t="e">
        <f>VLOOKUP($E$1,VLOOKUP!A403:FD430,75,FALSE)</f>
        <v>#N/A</v>
      </c>
      <c r="G106" s="1680"/>
      <c r="H106" s="1682" t="e">
        <f>VLOOKUP($E$1,VLOOKUP!A403:FD430,144,FALSE)</f>
        <v>#N/A</v>
      </c>
      <c r="I106" s="934"/>
      <c r="J106" s="946" t="e">
        <f t="shared" ref="J106:J111" si="24">B106-F106</f>
        <v>#N/A</v>
      </c>
      <c r="K106" s="939" t="e">
        <f t="shared" ref="K106:K111" si="25">IF(F106&lt;&gt;0,(B106-F106)/F106,"N/A")</f>
        <v>#N/A</v>
      </c>
      <c r="L106" s="937"/>
      <c r="M106" s="946" t="e">
        <f t="shared" ref="M106:M111" si="26">D106-H106</f>
        <v>#N/A</v>
      </c>
      <c r="N106" s="939" t="e">
        <f t="shared" ref="N106:N111" si="27">IF(H106&lt;&gt;0,(D106-H106)/H106,"N/A")</f>
        <v>#N/A</v>
      </c>
      <c r="O106" s="801"/>
    </row>
    <row r="107" spans="1:19" ht="12.75" customHeight="1">
      <c r="A107" s="935" t="s">
        <v>78</v>
      </c>
      <c r="B107" s="935">
        <f>SNP!M105</f>
        <v>0</v>
      </c>
      <c r="C107" s="971"/>
      <c r="D107" s="972">
        <f>SNP!O105</f>
        <v>0</v>
      </c>
      <c r="E107" s="944"/>
      <c r="F107" s="935" t="e">
        <f>VLOOKUP($E$1,VLOOKUP!A403:FD430,76,FALSE)</f>
        <v>#N/A</v>
      </c>
      <c r="G107" s="971"/>
      <c r="H107" s="972" t="e">
        <f>VLOOKUP($E$1,VLOOKUP!A403:FD430,145,FALSE)</f>
        <v>#N/A</v>
      </c>
      <c r="I107" s="934"/>
      <c r="J107" s="935" t="e">
        <f t="shared" si="24"/>
        <v>#N/A</v>
      </c>
      <c r="K107" s="936" t="e">
        <f t="shared" si="25"/>
        <v>#N/A</v>
      </c>
      <c r="L107" s="937"/>
      <c r="M107" s="935" t="e">
        <f t="shared" si="26"/>
        <v>#N/A</v>
      </c>
      <c r="N107" s="936" t="e">
        <f t="shared" si="27"/>
        <v>#N/A</v>
      </c>
      <c r="O107" s="801"/>
    </row>
    <row r="108" spans="1:19" ht="12.75" customHeight="1">
      <c r="A108" s="946" t="s">
        <v>79</v>
      </c>
      <c r="B108" s="946">
        <f>SNP!M106</f>
        <v>0</v>
      </c>
      <c r="C108" s="942"/>
      <c r="D108" s="947">
        <f>SNP!O106</f>
        <v>0</v>
      </c>
      <c r="E108" s="944"/>
      <c r="F108" s="1682" t="e">
        <f>VLOOKUP($E$1,VLOOKUP!A403:FD430,77,FALSE)</f>
        <v>#N/A</v>
      </c>
      <c r="G108" s="1680"/>
      <c r="H108" s="1683" t="e">
        <f>VLOOKUP($E$1,VLOOKUP!A403:FD430,146,FALSE)</f>
        <v>#N/A</v>
      </c>
      <c r="I108" s="934"/>
      <c r="J108" s="946" t="e">
        <f t="shared" si="24"/>
        <v>#N/A</v>
      </c>
      <c r="K108" s="939" t="e">
        <f t="shared" si="25"/>
        <v>#N/A</v>
      </c>
      <c r="L108" s="937"/>
      <c r="M108" s="946" t="e">
        <f t="shared" si="26"/>
        <v>#N/A</v>
      </c>
      <c r="N108" s="939" t="e">
        <f t="shared" si="27"/>
        <v>#N/A</v>
      </c>
      <c r="O108" s="801"/>
    </row>
    <row r="109" spans="1:19" ht="12.75" customHeight="1">
      <c r="A109" s="935" t="s">
        <v>3706</v>
      </c>
      <c r="B109" s="935">
        <f>SNP!M107</f>
        <v>0</v>
      </c>
      <c r="C109" s="971"/>
      <c r="D109" s="972">
        <f>SNP!O107</f>
        <v>0</v>
      </c>
      <c r="E109" s="944"/>
      <c r="F109" s="935" t="e">
        <f>VLOOKUP($E$1,VLOOKUP!A403:FB430,78,FALSE)</f>
        <v>#N/A</v>
      </c>
      <c r="G109" s="971"/>
      <c r="H109" s="972" t="e">
        <f>VLOOKUP($E$1,VLOOKUP!A403:FB430,147,FALSE)</f>
        <v>#N/A</v>
      </c>
      <c r="I109" s="934"/>
      <c r="J109" s="935" t="e">
        <f>B109-F109</f>
        <v>#N/A</v>
      </c>
      <c r="K109" s="936" t="e">
        <f>IF(F109&lt;&gt;0,(B109-F109)/F109,"N/A")</f>
        <v>#N/A</v>
      </c>
      <c r="L109" s="937"/>
      <c r="M109" s="935" t="e">
        <f>D109-H109</f>
        <v>#N/A</v>
      </c>
      <c r="N109" s="936" t="e">
        <f>IF(H109&lt;&gt;0,(D109-H109)/H109,"N/A")</f>
        <v>#N/A</v>
      </c>
      <c r="O109" s="801"/>
    </row>
    <row r="110" spans="1:19" ht="12.75" customHeight="1">
      <c r="A110" s="946" t="s">
        <v>80</v>
      </c>
      <c r="B110" s="946">
        <f>SNP!M108</f>
        <v>0</v>
      </c>
      <c r="C110" s="942"/>
      <c r="D110" s="947">
        <f>SNP!O108</f>
        <v>0</v>
      </c>
      <c r="E110" s="944"/>
      <c r="F110" s="1682" t="e">
        <f>VLOOKUP($E$1,VLOOKUP!A403:FD430,79,FALSE)</f>
        <v>#N/A</v>
      </c>
      <c r="G110" s="1680"/>
      <c r="H110" s="1683" t="e">
        <f>VLOOKUP($E$1,VLOOKUP!A403:FD430,148,FALSE)</f>
        <v>#N/A</v>
      </c>
      <c r="I110" s="934"/>
      <c r="J110" s="946" t="e">
        <f t="shared" si="24"/>
        <v>#N/A</v>
      </c>
      <c r="K110" s="939" t="e">
        <f t="shared" si="25"/>
        <v>#N/A</v>
      </c>
      <c r="L110" s="937"/>
      <c r="M110" s="946" t="e">
        <f t="shared" si="26"/>
        <v>#N/A</v>
      </c>
      <c r="N110" s="939" t="e">
        <f t="shared" si="27"/>
        <v>#N/A</v>
      </c>
      <c r="O110" s="801"/>
    </row>
    <row r="111" spans="1:19" ht="12.75" customHeight="1">
      <c r="A111" s="935" t="s">
        <v>3707</v>
      </c>
      <c r="B111" s="935">
        <f>SNP!M110</f>
        <v>0</v>
      </c>
      <c r="C111" s="971"/>
      <c r="D111" s="972">
        <f>SNP!O110</f>
        <v>0</v>
      </c>
      <c r="E111" s="944"/>
      <c r="F111" s="935" t="e">
        <f>VLOOKUP($E$1,VLOOKUP!A403:FD430,80,FALSE)</f>
        <v>#N/A</v>
      </c>
      <c r="G111" s="971"/>
      <c r="H111" s="972" t="e">
        <f>VLOOKUP($E$1,VLOOKUP!A403:FD430,149,FALSE)</f>
        <v>#N/A</v>
      </c>
      <c r="I111" s="934"/>
      <c r="J111" s="935" t="e">
        <f t="shared" si="24"/>
        <v>#N/A</v>
      </c>
      <c r="K111" s="936" t="e">
        <f t="shared" si="25"/>
        <v>#N/A</v>
      </c>
      <c r="L111" s="937"/>
      <c r="M111" s="935" t="e">
        <f t="shared" si="26"/>
        <v>#N/A</v>
      </c>
      <c r="N111" s="936" t="e">
        <f t="shared" si="27"/>
        <v>#N/A</v>
      </c>
      <c r="O111" s="801"/>
    </row>
    <row r="112" spans="1:19" ht="10.5" customHeight="1">
      <c r="A112" s="1829"/>
      <c r="B112" s="935"/>
      <c r="C112" s="971"/>
      <c r="D112" s="972"/>
      <c r="E112" s="944"/>
      <c r="F112" s="935"/>
      <c r="G112" s="971"/>
      <c r="H112" s="972"/>
      <c r="I112" s="934"/>
      <c r="J112" s="935"/>
      <c r="K112" s="936"/>
      <c r="L112" s="937"/>
      <c r="M112" s="935"/>
      <c r="N112" s="936"/>
      <c r="O112" s="801"/>
    </row>
    <row r="113" spans="1:19">
      <c r="A113" s="931" t="s">
        <v>2337</v>
      </c>
      <c r="B113" s="935"/>
      <c r="C113" s="971"/>
      <c r="D113" s="972"/>
      <c r="E113" s="944"/>
      <c r="F113" s="935"/>
      <c r="G113" s="971"/>
      <c r="H113" s="972"/>
      <c r="I113" s="934"/>
      <c r="J113" s="935"/>
      <c r="K113" s="936"/>
      <c r="L113" s="937"/>
      <c r="M113" s="935"/>
      <c r="N113" s="936"/>
      <c r="O113" s="1113"/>
    </row>
    <row r="114" spans="1:19">
      <c r="A114" s="973" t="s">
        <v>332</v>
      </c>
      <c r="B114" s="946">
        <f>SNP!M116</f>
        <v>0</v>
      </c>
      <c r="C114" s="942"/>
      <c r="D114" s="947">
        <f>SNP!O116</f>
        <v>0</v>
      </c>
      <c r="E114" s="944"/>
      <c r="F114" s="1682" t="e">
        <f>VLOOKUP($E$1,VLOOKUP!A403:FD430,65,FALSE)</f>
        <v>#N/A</v>
      </c>
      <c r="G114" s="1680"/>
      <c r="H114" s="1683" t="e">
        <f>VLOOKUP($E$1,VLOOKUP!A403:FD430,151,FALSE)</f>
        <v>#N/A</v>
      </c>
      <c r="J114" s="946" t="e">
        <f>B114-F114</f>
        <v>#N/A</v>
      </c>
      <c r="K114" s="939" t="e">
        <f>IF(F114&lt;&gt;0,(B114-F114)/F114,"N/A")</f>
        <v>#N/A</v>
      </c>
      <c r="L114" s="937"/>
      <c r="M114" s="946" t="e">
        <f>D114-H114</f>
        <v>#N/A</v>
      </c>
      <c r="N114" s="939" t="e">
        <f>IF(H114&lt;&gt;0,(D114-H114)/H114,"N/A")</f>
        <v>#N/A</v>
      </c>
      <c r="O114" s="801"/>
    </row>
    <row r="115" spans="1:19">
      <c r="A115" s="1668" t="s">
        <v>2339</v>
      </c>
      <c r="B115" s="935"/>
      <c r="C115" s="942"/>
      <c r="D115" s="972"/>
      <c r="E115" s="944"/>
      <c r="F115" s="1690"/>
      <c r="G115" s="1680"/>
      <c r="H115" s="1691"/>
      <c r="I115" s="934"/>
      <c r="J115" s="935"/>
      <c r="K115" s="936"/>
      <c r="L115" s="960"/>
      <c r="M115" s="935"/>
      <c r="N115" s="936"/>
      <c r="O115" s="801"/>
    </row>
    <row r="116" spans="1:19">
      <c r="A116" s="974" t="s">
        <v>2340</v>
      </c>
      <c r="B116" s="935"/>
      <c r="C116" s="942"/>
      <c r="D116" s="972"/>
      <c r="E116" s="944"/>
      <c r="F116" s="1690"/>
      <c r="G116" s="1680"/>
      <c r="H116" s="1691"/>
      <c r="I116" s="934"/>
      <c r="J116" s="935"/>
      <c r="K116" s="936"/>
      <c r="L116" s="960"/>
      <c r="M116" s="935"/>
      <c r="N116" s="936"/>
      <c r="O116" s="801"/>
    </row>
    <row r="117" spans="1:19">
      <c r="A117" s="968" t="s">
        <v>334</v>
      </c>
      <c r="B117" s="946">
        <f>SNP!M119</f>
        <v>0</v>
      </c>
      <c r="C117" s="942"/>
      <c r="D117" s="947">
        <f>SNP!O119</f>
        <v>0</v>
      </c>
      <c r="E117" s="944"/>
      <c r="F117" s="1682" t="e">
        <f>VLOOKUP($E$1,VLOOKUP!A403:FD430,66,FALSE)</f>
        <v>#N/A</v>
      </c>
      <c r="G117" s="1680"/>
      <c r="H117" s="1683" t="e">
        <f>VLOOKUP($E$1,VLOOKUP!A403:FD430,152,FALSE)</f>
        <v>#N/A</v>
      </c>
      <c r="I117" s="934"/>
      <c r="J117" s="946" t="e">
        <f>B117-F117</f>
        <v>#N/A</v>
      </c>
      <c r="K117" s="939" t="e">
        <f>IF(F117&lt;&gt;0,(B117-F117)/F117,"N/A")</f>
        <v>#N/A</v>
      </c>
      <c r="L117" s="937"/>
      <c r="M117" s="946" t="e">
        <f>D117-H117</f>
        <v>#N/A</v>
      </c>
      <c r="N117" s="939" t="e">
        <f>IF(H117&lt;&gt;0,(D117-H117)/H117,"N/A")</f>
        <v>#N/A</v>
      </c>
      <c r="O117" s="801"/>
    </row>
    <row r="118" spans="1:19">
      <c r="A118" s="940" t="s">
        <v>2341</v>
      </c>
      <c r="B118" s="941"/>
      <c r="C118" s="942"/>
      <c r="D118" s="943"/>
      <c r="E118" s="944"/>
      <c r="F118" s="1679"/>
      <c r="G118" s="1680"/>
      <c r="H118" s="1681"/>
      <c r="I118" s="934"/>
      <c r="J118" s="941"/>
      <c r="K118" s="945"/>
      <c r="L118" s="937"/>
      <c r="M118" s="941"/>
      <c r="N118" s="945"/>
      <c r="O118" s="801"/>
    </row>
    <row r="119" spans="1:19">
      <c r="A119" s="968" t="s">
        <v>334</v>
      </c>
      <c r="B119" s="946">
        <f>SNP!M121</f>
        <v>0</v>
      </c>
      <c r="C119" s="942"/>
      <c r="D119" s="947">
        <f>SNP!O121</f>
        <v>0</v>
      </c>
      <c r="E119" s="944"/>
      <c r="F119" s="1682" t="e">
        <f>VLOOKUP($E$1,VLOOKUP!A403:FD430,67,FALSE)</f>
        <v>#N/A</v>
      </c>
      <c r="G119" s="1680"/>
      <c r="H119" s="1683" t="e">
        <f>VLOOKUP($E$1,VLOOKUP!A403:FD430,153,FALSE)</f>
        <v>#N/A</v>
      </c>
      <c r="I119" s="934"/>
      <c r="J119" s="946" t="e">
        <f t="shared" ref="J119:J125" si="28">B119-F119</f>
        <v>#N/A</v>
      </c>
      <c r="K119" s="939" t="e">
        <f t="shared" ref="K119:K125" si="29">IF(F119&lt;&gt;0,(B119-F119)/F119,"N/A")</f>
        <v>#N/A</v>
      </c>
      <c r="L119" s="937"/>
      <c r="M119" s="946"/>
      <c r="N119" s="939" t="e">
        <f t="shared" ref="N119:N125" si="30">IF(H119&lt;&gt;0,(D119-H119)/H119,"N/A")</f>
        <v>#N/A</v>
      </c>
      <c r="O119" s="801"/>
    </row>
    <row r="120" spans="1:19">
      <c r="A120" s="969" t="s">
        <v>337</v>
      </c>
      <c r="B120" s="941">
        <f>SNP!M122</f>
        <v>0</v>
      </c>
      <c r="C120" s="942"/>
      <c r="D120" s="943">
        <f>SNP!O122</f>
        <v>0</v>
      </c>
      <c r="E120" s="944"/>
      <c r="F120" s="1679" t="e">
        <f>VLOOKUP($E$1,VLOOKUP!A403:FD430,68,FALSE)</f>
        <v>#N/A</v>
      </c>
      <c r="G120" s="1680"/>
      <c r="H120" s="1681" t="e">
        <f>VLOOKUP($E$1,VLOOKUP!A403:FD430,154,FALSE)</f>
        <v>#N/A</v>
      </c>
      <c r="I120" s="934"/>
      <c r="J120" s="941" t="e">
        <f t="shared" si="28"/>
        <v>#N/A</v>
      </c>
      <c r="K120" s="945" t="e">
        <f t="shared" si="29"/>
        <v>#N/A</v>
      </c>
      <c r="L120" s="937"/>
      <c r="M120" s="941" t="e">
        <f t="shared" ref="M120:M125" si="31">D120-H120</f>
        <v>#N/A</v>
      </c>
      <c r="N120" s="945" t="e">
        <f t="shared" si="30"/>
        <v>#N/A</v>
      </c>
      <c r="O120" s="801"/>
    </row>
    <row r="121" spans="1:19">
      <c r="A121" s="968" t="s">
        <v>339</v>
      </c>
      <c r="B121" s="946">
        <f>SNP!M123</f>
        <v>0</v>
      </c>
      <c r="C121" s="942"/>
      <c r="D121" s="947">
        <f>SNP!O123</f>
        <v>0</v>
      </c>
      <c r="E121" s="944"/>
      <c r="F121" s="1682" t="e">
        <f>VLOOKUP($E$1,VLOOKUP!A403:FD430,69,FALSE)</f>
        <v>#N/A</v>
      </c>
      <c r="G121" s="1680"/>
      <c r="H121" s="1683" t="e">
        <f>VLOOKUP($E$1,VLOOKUP!A403:FD430,155,FALSE)</f>
        <v>#N/A</v>
      </c>
      <c r="I121" s="934"/>
      <c r="J121" s="946" t="e">
        <f t="shared" si="28"/>
        <v>#N/A</v>
      </c>
      <c r="K121" s="939" t="e">
        <f t="shared" si="29"/>
        <v>#N/A</v>
      </c>
      <c r="L121" s="937"/>
      <c r="M121" s="946" t="e">
        <f t="shared" si="31"/>
        <v>#N/A</v>
      </c>
      <c r="N121" s="939" t="e">
        <f t="shared" si="30"/>
        <v>#N/A</v>
      </c>
      <c r="O121" s="801"/>
      <c r="Q121" s="948"/>
      <c r="S121" s="948"/>
    </row>
    <row r="122" spans="1:19" s="948" customFormat="1">
      <c r="A122" s="969" t="s">
        <v>341</v>
      </c>
      <c r="B122" s="941">
        <f>SNP!M124</f>
        <v>0</v>
      </c>
      <c r="C122" s="942"/>
      <c r="D122" s="943">
        <f>SNP!O124</f>
        <v>0</v>
      </c>
      <c r="E122" s="944"/>
      <c r="F122" s="1679" t="e">
        <f>VLOOKUP($E$1,VLOOKUP!A403:FD430,70,FALSE)</f>
        <v>#N/A</v>
      </c>
      <c r="G122" s="1680"/>
      <c r="H122" s="1681" t="e">
        <f>VLOOKUP($E$1,VLOOKUP!A403:FD430,156,FALSE)</f>
        <v>#N/A</v>
      </c>
      <c r="I122" s="934"/>
      <c r="J122" s="941" t="e">
        <f t="shared" si="28"/>
        <v>#N/A</v>
      </c>
      <c r="K122" s="945" t="e">
        <f t="shared" si="29"/>
        <v>#N/A</v>
      </c>
      <c r="L122" s="937"/>
      <c r="M122" s="941" t="e">
        <f t="shared" si="31"/>
        <v>#N/A</v>
      </c>
      <c r="N122" s="945" t="e">
        <f t="shared" si="30"/>
        <v>#N/A</v>
      </c>
      <c r="O122" s="801"/>
      <c r="Q122" s="910"/>
      <c r="S122" s="910"/>
    </row>
    <row r="123" spans="1:19">
      <c r="A123" s="968" t="s">
        <v>343</v>
      </c>
      <c r="B123" s="946">
        <f>SNP!M125</f>
        <v>0</v>
      </c>
      <c r="C123" s="942"/>
      <c r="D123" s="947">
        <f>SNP!O125</f>
        <v>0</v>
      </c>
      <c r="E123" s="944"/>
      <c r="F123" s="1682" t="e">
        <f>VLOOKUP($E$1,VLOOKUP!A403:FD430,71,FALSE)</f>
        <v>#N/A</v>
      </c>
      <c r="G123" s="1680"/>
      <c r="H123" s="1683" t="e">
        <f>VLOOKUP($E$1,VLOOKUP!A403:FD430,157,FALSE)</f>
        <v>#N/A</v>
      </c>
      <c r="I123" s="934"/>
      <c r="J123" s="946" t="e">
        <f t="shared" si="28"/>
        <v>#N/A</v>
      </c>
      <c r="K123" s="939" t="e">
        <f t="shared" si="29"/>
        <v>#N/A</v>
      </c>
      <c r="L123" s="937"/>
      <c r="M123" s="946" t="e">
        <f t="shared" si="31"/>
        <v>#N/A</v>
      </c>
      <c r="N123" s="939" t="e">
        <f t="shared" si="30"/>
        <v>#N/A</v>
      </c>
      <c r="O123" s="801"/>
      <c r="Q123" s="948"/>
      <c r="S123" s="948"/>
    </row>
    <row r="124" spans="1:19" s="948" customFormat="1">
      <c r="A124" s="975" t="s">
        <v>345</v>
      </c>
      <c r="B124" s="953">
        <f>SNP!M126</f>
        <v>0</v>
      </c>
      <c r="C124" s="942"/>
      <c r="D124" s="954">
        <f>SNP!O126</f>
        <v>0</v>
      </c>
      <c r="E124" s="944"/>
      <c r="F124" s="1688" t="e">
        <f>VLOOKUP($E$1,VLOOKUP!A403:FD430,72,FALSE)</f>
        <v>#N/A</v>
      </c>
      <c r="G124" s="1680"/>
      <c r="H124" s="1689" t="e">
        <f>VLOOKUP($E$1,VLOOKUP!A403:FD430,158,FALSE)</f>
        <v>#N/A</v>
      </c>
      <c r="I124" s="934"/>
      <c r="J124" s="953" t="e">
        <f t="shared" si="28"/>
        <v>#N/A</v>
      </c>
      <c r="K124" s="955" t="e">
        <f t="shared" si="29"/>
        <v>#N/A</v>
      </c>
      <c r="L124" s="937"/>
      <c r="M124" s="953" t="e">
        <f t="shared" si="31"/>
        <v>#N/A</v>
      </c>
      <c r="N124" s="955" t="e">
        <f t="shared" si="30"/>
        <v>#N/A</v>
      </c>
      <c r="O124" s="801"/>
      <c r="Q124" s="922"/>
      <c r="R124" s="1106"/>
      <c r="S124" s="922"/>
    </row>
    <row r="125" spans="1:19" s="922" customFormat="1">
      <c r="A125" s="973" t="s">
        <v>347</v>
      </c>
      <c r="B125" s="961">
        <f>SNP!M127</f>
        <v>0</v>
      </c>
      <c r="C125" s="942"/>
      <c r="D125" s="962">
        <f>SNP!O127</f>
        <v>0</v>
      </c>
      <c r="E125" s="944"/>
      <c r="F125" s="1686" t="e">
        <f>VLOOKUP($E$1,VLOOKUP!A403:FD430,73,FALSE)</f>
        <v>#N/A</v>
      </c>
      <c r="G125" s="1680"/>
      <c r="H125" s="1687" t="e">
        <f>VLOOKUP($E$1,VLOOKUP!A403:FD430,159,FALSE)</f>
        <v>#N/A</v>
      </c>
      <c r="I125" s="934"/>
      <c r="J125" s="961" t="e">
        <f t="shared" si="28"/>
        <v>#N/A</v>
      </c>
      <c r="K125" s="963" t="e">
        <f t="shared" si="29"/>
        <v>#N/A</v>
      </c>
      <c r="L125" s="937"/>
      <c r="M125" s="961" t="e">
        <f t="shared" si="31"/>
        <v>#N/A</v>
      </c>
      <c r="N125" s="963" t="e">
        <f t="shared" si="30"/>
        <v>#N/A</v>
      </c>
      <c r="O125" s="801"/>
      <c r="Q125" s="948"/>
      <c r="R125" s="948"/>
      <c r="S125" s="948"/>
    </row>
    <row r="126" spans="1:19" s="948" customFormat="1" ht="6" customHeight="1">
      <c r="A126" s="952"/>
      <c r="B126" s="953"/>
      <c r="C126" s="942"/>
      <c r="D126" s="954"/>
      <c r="E126" s="944"/>
      <c r="F126" s="953"/>
      <c r="G126" s="942"/>
      <c r="H126" s="954"/>
      <c r="I126" s="934"/>
      <c r="J126" s="953"/>
      <c r="K126" s="955"/>
      <c r="L126" s="937"/>
      <c r="M126" s="953"/>
      <c r="N126" s="955"/>
      <c r="O126" s="801"/>
      <c r="Q126" s="922"/>
      <c r="R126" s="1106"/>
      <c r="S126" s="922"/>
    </row>
    <row r="127" spans="1:19" s="922" customFormat="1">
      <c r="A127" s="911" t="s">
        <v>2345</v>
      </c>
      <c r="B127" s="957">
        <f>SNP!M129</f>
        <v>0</v>
      </c>
      <c r="C127" s="942"/>
      <c r="D127" s="958">
        <f>SNP!O129</f>
        <v>0</v>
      </c>
      <c r="E127" s="944"/>
      <c r="F127" s="957" t="e">
        <f>SUM(F114:F125)</f>
        <v>#N/A</v>
      </c>
      <c r="G127" s="942"/>
      <c r="H127" s="958" t="e">
        <f>SUM(H114:H125)</f>
        <v>#N/A</v>
      </c>
      <c r="I127" s="934"/>
      <c r="J127" s="957" t="e">
        <f>B127-F127</f>
        <v>#N/A</v>
      </c>
      <c r="K127" s="959" t="e">
        <f>IF(F127&lt;&gt;0,(B127-F127)/F127,"N/A")</f>
        <v>#N/A</v>
      </c>
      <c r="L127" s="937"/>
      <c r="M127" s="957" t="e">
        <f>D127-H127</f>
        <v>#N/A</v>
      </c>
      <c r="N127" s="959" t="e">
        <f>IF(H127&lt;&gt;0,(D127-H127)/H127,"N/A")</f>
        <v>#N/A</v>
      </c>
      <c r="O127" s="1113"/>
      <c r="Q127" s="910"/>
      <c r="R127" s="948"/>
      <c r="S127" s="910"/>
    </row>
    <row r="128" spans="1:19" ht="6" customHeight="1">
      <c r="A128" s="952"/>
      <c r="B128" s="953"/>
      <c r="C128" s="942"/>
      <c r="D128" s="954"/>
      <c r="E128" s="944"/>
      <c r="F128" s="953"/>
      <c r="G128" s="942"/>
      <c r="H128" s="954"/>
      <c r="I128" s="934"/>
      <c r="J128" s="953"/>
      <c r="K128" s="955"/>
      <c r="L128" s="937"/>
      <c r="M128" s="953"/>
      <c r="N128" s="955"/>
      <c r="O128" s="801"/>
      <c r="Q128" s="948"/>
      <c r="S128" s="948"/>
    </row>
    <row r="129" spans="1:19" s="948" customFormat="1" ht="12.75" thickBot="1">
      <c r="A129" s="911" t="s">
        <v>3708</v>
      </c>
      <c r="B129" s="2048">
        <f>+SNP!M131-SNP!M112</f>
        <v>0</v>
      </c>
      <c r="C129" s="942"/>
      <c r="D129" s="2049">
        <f>SNP!O131-SNP!O112</f>
        <v>0</v>
      </c>
      <c r="E129" s="944"/>
      <c r="F129" s="2048" t="e">
        <f>+F103+F127</f>
        <v>#N/A</v>
      </c>
      <c r="G129" s="942"/>
      <c r="H129" s="2049" t="e">
        <f>+H103+H127</f>
        <v>#N/A</v>
      </c>
      <c r="J129" s="2048" t="e">
        <f>B129-F129</f>
        <v>#N/A</v>
      </c>
      <c r="K129" s="965" t="e">
        <f>IF(F129&lt;&gt;0,(B129-F129)/F129,"N/A")</f>
        <v>#N/A</v>
      </c>
      <c r="L129" s="937"/>
      <c r="M129" s="2048" t="e">
        <f>D129-H129</f>
        <v>#N/A</v>
      </c>
      <c r="N129" s="965" t="e">
        <f>IF(H129&lt;&gt;0,(D129-H129)/H129,"N/A")</f>
        <v>#N/A</v>
      </c>
      <c r="O129" s="1113"/>
      <c r="Q129" s="910"/>
      <c r="S129" s="910"/>
    </row>
    <row r="130" spans="1:19" ht="12.75" thickTop="1">
      <c r="A130" s="1670"/>
      <c r="B130" s="976"/>
      <c r="C130" s="942"/>
      <c r="D130" s="976"/>
      <c r="E130" s="942"/>
      <c r="F130" s="976"/>
      <c r="G130" s="942"/>
      <c r="H130" s="976"/>
      <c r="I130" s="1669"/>
      <c r="L130" s="960"/>
      <c r="O130" s="801"/>
    </row>
    <row r="131" spans="1:19">
      <c r="A131" s="952"/>
      <c r="B131" s="934"/>
      <c r="D131" s="934"/>
      <c r="F131" s="934"/>
      <c r="H131" s="934"/>
      <c r="I131" s="934"/>
      <c r="J131" s="944"/>
      <c r="K131" s="979"/>
      <c r="L131" s="960"/>
      <c r="M131" s="980"/>
      <c r="N131" s="979"/>
      <c r="O131" s="801"/>
    </row>
    <row r="132" spans="1:19" ht="18.75">
      <c r="A132" s="2762" t="s">
        <v>3709</v>
      </c>
      <c r="B132" s="2762"/>
      <c r="C132" s="2762"/>
      <c r="D132" s="2762"/>
      <c r="E132" s="2762"/>
      <c r="F132" s="2762"/>
      <c r="G132" s="2762"/>
      <c r="H132" s="2762"/>
      <c r="I132" s="2762"/>
      <c r="J132" s="2762"/>
      <c r="K132" s="2762"/>
      <c r="L132" s="2762"/>
      <c r="M132" s="2762"/>
      <c r="N132" s="2762"/>
      <c r="O132" s="801"/>
    </row>
    <row r="133" spans="1:19" ht="13.5" thickBot="1">
      <c r="A133" s="981"/>
      <c r="B133" s="910"/>
      <c r="C133" s="910"/>
      <c r="D133" s="910"/>
      <c r="E133" s="910"/>
      <c r="F133" s="910"/>
      <c r="G133" s="910"/>
      <c r="H133" s="910"/>
      <c r="I133" s="982"/>
      <c r="O133" s="801"/>
    </row>
    <row r="134" spans="1:19" ht="15.75" thickBot="1">
      <c r="B134" s="2982" t="str">
        <f>B21</f>
        <v>2020-21 Balances</v>
      </c>
      <c r="C134" s="2758"/>
      <c r="D134" s="2759"/>
      <c r="E134" s="923"/>
      <c r="F134" s="2982" t="str">
        <f>F21</f>
        <v>2019-20 Balances</v>
      </c>
      <c r="G134" s="2758"/>
      <c r="H134" s="2759"/>
      <c r="I134" s="916"/>
      <c r="J134" s="2760" t="s">
        <v>3697</v>
      </c>
      <c r="K134" s="2761"/>
      <c r="L134" s="2524"/>
      <c r="M134" s="2760" t="s">
        <v>3698</v>
      </c>
      <c r="N134" s="2761"/>
      <c r="O134" s="801"/>
    </row>
    <row r="135" spans="1:19" ht="15" thickBot="1">
      <c r="B135" s="924" t="s">
        <v>2303</v>
      </c>
      <c r="C135" s="925"/>
      <c r="D135" s="926" t="s">
        <v>2314</v>
      </c>
      <c r="E135" s="927"/>
      <c r="F135" s="924" t="s">
        <v>2303</v>
      </c>
      <c r="G135" s="925"/>
      <c r="H135" s="926" t="str">
        <f>D135</f>
        <v>CU</v>
      </c>
      <c r="I135" s="928"/>
      <c r="J135" s="929" t="s">
        <v>3373</v>
      </c>
      <c r="K135" s="930" t="s">
        <v>2599</v>
      </c>
      <c r="L135" s="2523"/>
      <c r="M135" s="929" t="s">
        <v>3373</v>
      </c>
      <c r="N135" s="930" t="s">
        <v>2599</v>
      </c>
      <c r="O135" s="801"/>
    </row>
    <row r="136" spans="1:19">
      <c r="A136" s="863" t="s">
        <v>2354</v>
      </c>
      <c r="B136" s="984"/>
      <c r="C136" s="985"/>
      <c r="D136" s="986"/>
      <c r="E136" s="910"/>
      <c r="F136" s="984"/>
      <c r="G136" s="985"/>
      <c r="H136" s="986"/>
      <c r="I136" s="910"/>
      <c r="J136" s="984"/>
      <c r="K136" s="986"/>
      <c r="L136" s="910"/>
      <c r="M136" s="984"/>
      <c r="N136" s="986"/>
      <c r="O136" s="801"/>
    </row>
    <row r="137" spans="1:19">
      <c r="A137" s="864" t="s">
        <v>2355</v>
      </c>
      <c r="B137" s="987"/>
      <c r="C137" s="988"/>
      <c r="D137" s="989"/>
      <c r="E137" s="910"/>
      <c r="F137" s="987"/>
      <c r="G137" s="988"/>
      <c r="H137" s="989"/>
      <c r="I137" s="988"/>
      <c r="J137" s="987"/>
      <c r="K137" s="989"/>
      <c r="L137" s="988"/>
      <c r="M137" s="987"/>
      <c r="N137" s="989"/>
      <c r="O137" s="801"/>
    </row>
    <row r="138" spans="1:19">
      <c r="A138" s="865" t="s">
        <v>2357</v>
      </c>
      <c r="B138" s="946">
        <f>SRECNP!L11</f>
        <v>0</v>
      </c>
      <c r="C138" s="942"/>
      <c r="D138" s="947">
        <f>SRECNP!N11</f>
        <v>0</v>
      </c>
      <c r="E138" s="944"/>
      <c r="F138" s="1682" t="e">
        <f>VLOOKUP($E$1,VLOOKUP!A437:BY464,2,FALSE)</f>
        <v>#N/A</v>
      </c>
      <c r="G138" s="1680"/>
      <c r="H138" s="1683" t="e">
        <f>VLOOKUP($E$1,VLOOKUP!A437:BY464,40,FALSE)</f>
        <v>#N/A</v>
      </c>
      <c r="J138" s="946" t="e">
        <f>B138-F138</f>
        <v>#N/A</v>
      </c>
      <c r="K138" s="939" t="e">
        <f t="shared" ref="K138:K146" si="32">IF(F138&lt;&gt;0,(B138-F138)/F138,"N/A")</f>
        <v>#N/A</v>
      </c>
      <c r="M138" s="946" t="e">
        <f>D138-H138</f>
        <v>#N/A</v>
      </c>
      <c r="N138" s="939" t="e">
        <f t="shared" ref="N138:N148" si="33">IF(H138&lt;&gt;0,(D138-H138)/H138,"N/A")</f>
        <v>#N/A</v>
      </c>
      <c r="O138" s="801"/>
    </row>
    <row r="139" spans="1:19">
      <c r="A139" s="864" t="s">
        <v>3710</v>
      </c>
      <c r="B139" s="941">
        <f>SRECNP!F11</f>
        <v>0</v>
      </c>
      <c r="C139" s="942"/>
      <c r="D139" s="943"/>
      <c r="E139" s="944"/>
      <c r="F139" s="1692"/>
      <c r="G139" s="1680"/>
      <c r="H139" s="1693"/>
      <c r="J139" s="941">
        <f t="shared" ref="J139:J194" si="34">B139-F139</f>
        <v>0</v>
      </c>
      <c r="K139" s="945" t="str">
        <f t="shared" si="32"/>
        <v>N/A</v>
      </c>
      <c r="M139" s="941">
        <f t="shared" ref="M139:M194" si="35">D139-H139</f>
        <v>0</v>
      </c>
      <c r="N139" s="945" t="str">
        <f t="shared" si="33"/>
        <v>N/A</v>
      </c>
      <c r="O139" s="801"/>
    </row>
    <row r="140" spans="1:19">
      <c r="A140" s="865" t="s">
        <v>369</v>
      </c>
      <c r="B140" s="946">
        <f>SRECNP!L12</f>
        <v>0</v>
      </c>
      <c r="C140" s="942"/>
      <c r="D140" s="947">
        <f>SRECNP!N12</f>
        <v>0</v>
      </c>
      <c r="E140" s="944"/>
      <c r="F140" s="1682" t="e">
        <f>VLOOKUP($E$1,VLOOKUP!A437:BY464,3,FALSE)</f>
        <v>#N/A</v>
      </c>
      <c r="G140" s="1680"/>
      <c r="H140" s="1683" t="e">
        <f>VLOOKUP($E$1,VLOOKUP!A437:BY464,41,FALSE)</f>
        <v>#N/A</v>
      </c>
      <c r="J140" s="946" t="e">
        <f t="shared" si="34"/>
        <v>#N/A</v>
      </c>
      <c r="K140" s="939" t="e">
        <f t="shared" si="32"/>
        <v>#N/A</v>
      </c>
      <c r="M140" s="946" t="e">
        <f t="shared" si="35"/>
        <v>#N/A</v>
      </c>
      <c r="N140" s="939" t="e">
        <f t="shared" si="33"/>
        <v>#N/A</v>
      </c>
      <c r="O140" s="801"/>
    </row>
    <row r="141" spans="1:19">
      <c r="A141" s="866" t="s">
        <v>371</v>
      </c>
      <c r="B141" s="941">
        <f>SRECNP!L13</f>
        <v>0</v>
      </c>
      <c r="C141" s="942"/>
      <c r="D141" s="943">
        <f>SRECNP!N13</f>
        <v>0</v>
      </c>
      <c r="E141" s="944"/>
      <c r="F141" s="1679" t="e">
        <f>VLOOKUP($E$1,VLOOKUP!A437:BY464,4,FALSE)</f>
        <v>#N/A</v>
      </c>
      <c r="G141" s="1680"/>
      <c r="H141" s="1681" t="e">
        <f>VLOOKUP($E$1,VLOOKUP!A437:BY464,42,FALSE)</f>
        <v>#N/A</v>
      </c>
      <c r="J141" s="941" t="e">
        <f t="shared" si="34"/>
        <v>#N/A</v>
      </c>
      <c r="K141" s="945" t="e">
        <f t="shared" si="32"/>
        <v>#N/A</v>
      </c>
      <c r="M141" s="941" t="e">
        <f t="shared" si="35"/>
        <v>#N/A</v>
      </c>
      <c r="N141" s="945" t="e">
        <f t="shared" si="33"/>
        <v>#N/A</v>
      </c>
      <c r="O141" s="801"/>
    </row>
    <row r="142" spans="1:19">
      <c r="A142" s="865" t="s">
        <v>373</v>
      </c>
      <c r="B142" s="946">
        <f>SRECNP!L14</f>
        <v>0</v>
      </c>
      <c r="C142" s="942"/>
      <c r="D142" s="947">
        <f>SRECNP!N14</f>
        <v>0</v>
      </c>
      <c r="E142" s="944"/>
      <c r="F142" s="1682" t="e">
        <f>VLOOKUP($E$1,VLOOKUP!A437:BY464,5,FALSE)</f>
        <v>#N/A</v>
      </c>
      <c r="G142" s="1680"/>
      <c r="H142" s="1683" t="e">
        <f>VLOOKUP($E$1,VLOOKUP!A437:BY464,43,FALSE)</f>
        <v>#N/A</v>
      </c>
      <c r="J142" s="946" t="e">
        <f t="shared" si="34"/>
        <v>#N/A</v>
      </c>
      <c r="K142" s="939" t="e">
        <f t="shared" si="32"/>
        <v>#N/A</v>
      </c>
      <c r="M142" s="946" t="e">
        <f t="shared" si="35"/>
        <v>#N/A</v>
      </c>
      <c r="N142" s="939" t="e">
        <f t="shared" si="33"/>
        <v>#N/A</v>
      </c>
      <c r="O142" s="801"/>
    </row>
    <row r="143" spans="1:19">
      <c r="A143" s="866" t="s">
        <v>375</v>
      </c>
      <c r="B143" s="941">
        <f>SRECNP!L15</f>
        <v>0</v>
      </c>
      <c r="C143" s="942"/>
      <c r="D143" s="943">
        <f>SRECNP!N15</f>
        <v>0</v>
      </c>
      <c r="E143" s="944"/>
      <c r="F143" s="1679" t="e">
        <f>VLOOKUP($E$1,VLOOKUP!A437:BY464,6,FALSE)</f>
        <v>#N/A</v>
      </c>
      <c r="G143" s="1680"/>
      <c r="H143" s="1681" t="e">
        <f>VLOOKUP($E$1,VLOOKUP!A437:BY464,44,FALSE)</f>
        <v>#N/A</v>
      </c>
      <c r="J143" s="941" t="e">
        <f t="shared" si="34"/>
        <v>#N/A</v>
      </c>
      <c r="K143" s="945" t="e">
        <f t="shared" si="32"/>
        <v>#N/A</v>
      </c>
      <c r="M143" s="941" t="e">
        <f t="shared" si="35"/>
        <v>#N/A</v>
      </c>
      <c r="N143" s="945" t="e">
        <f t="shared" si="33"/>
        <v>#N/A</v>
      </c>
      <c r="O143" s="801"/>
    </row>
    <row r="144" spans="1:19">
      <c r="A144" s="865" t="s">
        <v>2361</v>
      </c>
      <c r="B144" s="946">
        <f>SRECNP!L17</f>
        <v>0</v>
      </c>
      <c r="C144" s="942"/>
      <c r="D144" s="947">
        <f>SRECNP!N17</f>
        <v>0</v>
      </c>
      <c r="E144" s="944"/>
      <c r="F144" s="1682" t="e">
        <f>VLOOKUP($E$1,VLOOKUP!A437:BY464,7,FALSE)</f>
        <v>#N/A</v>
      </c>
      <c r="G144" s="1680"/>
      <c r="H144" s="1683" t="e">
        <f>VLOOKUP($E$1,VLOOKUP!A437:BY464,45,FALSE)</f>
        <v>#N/A</v>
      </c>
      <c r="J144" s="946" t="e">
        <f t="shared" si="34"/>
        <v>#N/A</v>
      </c>
      <c r="K144" s="939" t="e">
        <f t="shared" si="32"/>
        <v>#N/A</v>
      </c>
      <c r="M144" s="946" t="e">
        <f t="shared" si="35"/>
        <v>#N/A</v>
      </c>
      <c r="N144" s="939" t="e">
        <f t="shared" si="33"/>
        <v>#N/A</v>
      </c>
      <c r="O144" s="801"/>
      <c r="Q144" s="948"/>
      <c r="S144" s="948"/>
    </row>
    <row r="145" spans="1:19" s="948" customFormat="1">
      <c r="A145" s="864" t="s">
        <v>3710</v>
      </c>
      <c r="B145" s="941">
        <f>SRECNP!F17</f>
        <v>0</v>
      </c>
      <c r="C145" s="942"/>
      <c r="D145" s="943"/>
      <c r="E145" s="944"/>
      <c r="F145" s="1692"/>
      <c r="G145" s="1680"/>
      <c r="H145" s="1693"/>
      <c r="J145" s="941">
        <f t="shared" si="34"/>
        <v>0</v>
      </c>
      <c r="K145" s="945" t="str">
        <f t="shared" si="32"/>
        <v>N/A</v>
      </c>
      <c r="M145" s="941">
        <f t="shared" si="35"/>
        <v>0</v>
      </c>
      <c r="N145" s="945" t="str">
        <f t="shared" si="33"/>
        <v>N/A</v>
      </c>
      <c r="O145" s="801"/>
      <c r="Q145" s="910"/>
      <c r="S145" s="910"/>
    </row>
    <row r="146" spans="1:19">
      <c r="A146" s="867" t="s">
        <v>379</v>
      </c>
      <c r="B146" s="961">
        <f>SRECNP!L18</f>
        <v>0</v>
      </c>
      <c r="C146" s="942"/>
      <c r="D146" s="962">
        <f>SRECNP!N18</f>
        <v>0</v>
      </c>
      <c r="E146" s="944"/>
      <c r="F146" s="1686" t="e">
        <f>VLOOKUP($E$1,VLOOKUP!A437:BY464,8,FALSE)</f>
        <v>#N/A</v>
      </c>
      <c r="G146" s="1680"/>
      <c r="H146" s="1687" t="e">
        <f>VLOOKUP($E$1,VLOOKUP!A437:BY464,46,FALSE)</f>
        <v>#N/A</v>
      </c>
      <c r="J146" s="961" t="e">
        <f t="shared" si="34"/>
        <v>#N/A</v>
      </c>
      <c r="K146" s="963" t="e">
        <f t="shared" si="32"/>
        <v>#N/A</v>
      </c>
      <c r="M146" s="961" t="e">
        <f t="shared" si="35"/>
        <v>#N/A</v>
      </c>
      <c r="N146" s="963" t="e">
        <f t="shared" si="33"/>
        <v>#N/A</v>
      </c>
      <c r="O146" s="801"/>
      <c r="Q146" s="948"/>
      <c r="S146" s="948"/>
    </row>
    <row r="147" spans="1:19" s="948" customFormat="1" ht="6" customHeight="1">
      <c r="A147" s="871"/>
      <c r="B147" s="953"/>
      <c r="C147" s="942"/>
      <c r="D147" s="954"/>
      <c r="E147" s="944"/>
      <c r="F147" s="953"/>
      <c r="G147" s="942"/>
      <c r="H147" s="954"/>
      <c r="J147" s="953"/>
      <c r="K147" s="955"/>
      <c r="M147" s="953"/>
      <c r="N147" s="955"/>
      <c r="O147" s="801"/>
      <c r="Q147" s="910"/>
      <c r="S147" s="910"/>
    </row>
    <row r="148" spans="1:19">
      <c r="A148" s="879" t="s">
        <v>383</v>
      </c>
      <c r="B148" s="957">
        <f>SRECNP!L20</f>
        <v>0</v>
      </c>
      <c r="C148" s="942"/>
      <c r="D148" s="958">
        <f>SRECNP!N20</f>
        <v>0</v>
      </c>
      <c r="E148" s="944"/>
      <c r="F148" s="957" t="e">
        <f>F138+SUM(F140:F144)+F146</f>
        <v>#N/A</v>
      </c>
      <c r="G148" s="942"/>
      <c r="H148" s="958" t="e">
        <f>H138+SUM(H140:H144)+H146</f>
        <v>#N/A</v>
      </c>
      <c r="J148" s="957" t="e">
        <f t="shared" si="34"/>
        <v>#N/A</v>
      </c>
      <c r="K148" s="959" t="e">
        <f>IF(F148&lt;&gt;0,(B148-F148)/F148,"N/A")</f>
        <v>#N/A</v>
      </c>
      <c r="M148" s="957" t="e">
        <f t="shared" si="35"/>
        <v>#N/A</v>
      </c>
      <c r="N148" s="959" t="e">
        <f t="shared" si="33"/>
        <v>#N/A</v>
      </c>
      <c r="O148" s="801"/>
    </row>
    <row r="149" spans="1:19" ht="6" customHeight="1">
      <c r="A149" s="874"/>
      <c r="B149" s="877"/>
      <c r="C149" s="942"/>
      <c r="D149" s="954"/>
      <c r="E149" s="944"/>
      <c r="F149" s="877"/>
      <c r="G149" s="942"/>
      <c r="H149" s="954"/>
      <c r="J149" s="953"/>
      <c r="K149" s="955"/>
      <c r="M149" s="953"/>
      <c r="N149" s="955"/>
      <c r="O149" s="801"/>
    </row>
    <row r="150" spans="1:19">
      <c r="A150" s="863" t="s">
        <v>2363</v>
      </c>
      <c r="B150" s="629"/>
      <c r="C150" s="942"/>
      <c r="D150" s="972"/>
      <c r="E150" s="944"/>
      <c r="F150" s="629"/>
      <c r="G150" s="942"/>
      <c r="H150" s="972"/>
      <c r="J150" s="935"/>
      <c r="K150" s="936"/>
      <c r="M150" s="935"/>
      <c r="N150" s="936"/>
      <c r="O150" s="801"/>
    </row>
    <row r="151" spans="1:19">
      <c r="A151" s="864" t="s">
        <v>2364</v>
      </c>
      <c r="B151" s="629"/>
      <c r="C151" s="942"/>
      <c r="D151" s="972"/>
      <c r="E151" s="944"/>
      <c r="F151" s="629"/>
      <c r="G151" s="942"/>
      <c r="H151" s="972"/>
      <c r="J151" s="935"/>
      <c r="K151" s="936"/>
      <c r="M151" s="935"/>
      <c r="N151" s="936"/>
      <c r="O151" s="801"/>
    </row>
    <row r="152" spans="1:19">
      <c r="A152" s="865" t="s">
        <v>385</v>
      </c>
      <c r="B152" s="946">
        <f>SRECNP!L24</f>
        <v>0</v>
      </c>
      <c r="C152" s="942"/>
      <c r="D152" s="947">
        <f>SRECNP!N24</f>
        <v>0</v>
      </c>
      <c r="E152" s="944"/>
      <c r="F152" s="1682" t="e">
        <f>VLOOKUP($E$1,VLOOKUP!A437:BY464,10,FALSE)</f>
        <v>#N/A</v>
      </c>
      <c r="G152" s="1680"/>
      <c r="H152" s="1683" t="e">
        <f>VLOOKUP($E$1,VLOOKUP!A437:BY464,48,FALSE)</f>
        <v>#N/A</v>
      </c>
      <c r="J152" s="946" t="e">
        <f t="shared" si="34"/>
        <v>#N/A</v>
      </c>
      <c r="K152" s="939" t="e">
        <f t="shared" ref="K152:K158" si="36">IF(F152&lt;&gt;0,(B152-F152)/F152,"N/A")</f>
        <v>#N/A</v>
      </c>
      <c r="M152" s="946" t="e">
        <f t="shared" si="35"/>
        <v>#N/A</v>
      </c>
      <c r="N152" s="939" t="e">
        <f t="shared" ref="N152:N158" si="37">IF(H152&lt;&gt;0,(D152-H152)/H152,"N/A")</f>
        <v>#N/A</v>
      </c>
      <c r="O152" s="801"/>
    </row>
    <row r="153" spans="1:19">
      <c r="A153" s="866" t="s">
        <v>387</v>
      </c>
      <c r="B153" s="941">
        <f>SRECNP!L25</f>
        <v>0</v>
      </c>
      <c r="C153" s="942"/>
      <c r="D153" s="943">
        <f>SRECNP!N25</f>
        <v>0</v>
      </c>
      <c r="E153" s="944"/>
      <c r="F153" s="1679" t="e">
        <f>VLOOKUP($E$1,VLOOKUP!A437:BY464,11,FALSE)</f>
        <v>#N/A</v>
      </c>
      <c r="G153" s="1680"/>
      <c r="H153" s="1681" t="e">
        <f>VLOOKUP($E$1,VLOOKUP!A437:BY464,49,FALSE)</f>
        <v>#N/A</v>
      </c>
      <c r="J153" s="941" t="e">
        <f t="shared" si="34"/>
        <v>#N/A</v>
      </c>
      <c r="K153" s="945" t="e">
        <f t="shared" si="36"/>
        <v>#N/A</v>
      </c>
      <c r="M153" s="941" t="e">
        <f t="shared" si="35"/>
        <v>#N/A</v>
      </c>
      <c r="N153" s="945" t="e">
        <f t="shared" si="37"/>
        <v>#N/A</v>
      </c>
      <c r="O153" s="801"/>
    </row>
    <row r="154" spans="1:19">
      <c r="A154" s="865" t="s">
        <v>389</v>
      </c>
      <c r="B154" s="946">
        <f>SRECNP!L26</f>
        <v>0</v>
      </c>
      <c r="C154" s="942"/>
      <c r="D154" s="947">
        <f>SRECNP!N26</f>
        <v>0</v>
      </c>
      <c r="E154" s="944"/>
      <c r="F154" s="1682" t="e">
        <f>VLOOKUP($E$1,VLOOKUP!A437:BY464,12,FALSE)</f>
        <v>#N/A</v>
      </c>
      <c r="G154" s="1680"/>
      <c r="H154" s="1683" t="e">
        <f>VLOOKUP($E$1,VLOOKUP!A437:BY464,50,FALSE)</f>
        <v>#N/A</v>
      </c>
      <c r="J154" s="946" t="e">
        <f t="shared" si="34"/>
        <v>#N/A</v>
      </c>
      <c r="K154" s="939" t="e">
        <f t="shared" si="36"/>
        <v>#N/A</v>
      </c>
      <c r="M154" s="946" t="e">
        <f t="shared" si="35"/>
        <v>#N/A</v>
      </c>
      <c r="N154" s="939" t="e">
        <f t="shared" si="37"/>
        <v>#N/A</v>
      </c>
      <c r="O154" s="801"/>
    </row>
    <row r="155" spans="1:19">
      <c r="A155" s="866" t="s">
        <v>391</v>
      </c>
      <c r="B155" s="941">
        <f>SRECNP!L27</f>
        <v>0</v>
      </c>
      <c r="C155" s="942"/>
      <c r="D155" s="943">
        <f>SRECNP!N27</f>
        <v>0</v>
      </c>
      <c r="E155" s="944"/>
      <c r="F155" s="1679" t="e">
        <f>VLOOKUP($E$1,VLOOKUP!A437:BY464,13,FALSE)</f>
        <v>#N/A</v>
      </c>
      <c r="G155" s="1680"/>
      <c r="H155" s="1681" t="e">
        <f>VLOOKUP($E$1,VLOOKUP!A437:BY464,51,FALSE)</f>
        <v>#N/A</v>
      </c>
      <c r="J155" s="941" t="e">
        <f t="shared" si="34"/>
        <v>#N/A</v>
      </c>
      <c r="K155" s="945" t="e">
        <f t="shared" si="36"/>
        <v>#N/A</v>
      </c>
      <c r="M155" s="941" t="e">
        <f t="shared" si="35"/>
        <v>#N/A</v>
      </c>
      <c r="N155" s="945" t="e">
        <f t="shared" si="37"/>
        <v>#N/A</v>
      </c>
      <c r="O155" s="801"/>
    </row>
    <row r="156" spans="1:19">
      <c r="A156" s="865" t="s">
        <v>393</v>
      </c>
      <c r="B156" s="946">
        <f>SRECNP!L28</f>
        <v>0</v>
      </c>
      <c r="C156" s="942"/>
      <c r="D156" s="947">
        <f>SRECNP!N28</f>
        <v>0</v>
      </c>
      <c r="E156" s="944"/>
      <c r="F156" s="1682" t="e">
        <f>VLOOKUP($E$1,VLOOKUP!A437:BY464,14,FALSE)</f>
        <v>#N/A</v>
      </c>
      <c r="G156" s="1680"/>
      <c r="H156" s="1683" t="e">
        <f>VLOOKUP($E$1,VLOOKUP!A437:BY464,52,FALSE)</f>
        <v>#N/A</v>
      </c>
      <c r="J156" s="946" t="e">
        <f t="shared" si="34"/>
        <v>#N/A</v>
      </c>
      <c r="K156" s="939" t="e">
        <f t="shared" si="36"/>
        <v>#N/A</v>
      </c>
      <c r="M156" s="946" t="e">
        <f t="shared" si="35"/>
        <v>#N/A</v>
      </c>
      <c r="N156" s="939" t="e">
        <f t="shared" si="37"/>
        <v>#N/A</v>
      </c>
      <c r="O156" s="801"/>
      <c r="Q156" s="948"/>
      <c r="S156" s="948"/>
    </row>
    <row r="157" spans="1:19" s="948" customFormat="1">
      <c r="A157" s="866" t="s">
        <v>395</v>
      </c>
      <c r="B157" s="941">
        <f>SRECNP!L29</f>
        <v>0</v>
      </c>
      <c r="C157" s="942"/>
      <c r="D157" s="943">
        <f>SRECNP!N29</f>
        <v>0</v>
      </c>
      <c r="E157" s="944"/>
      <c r="F157" s="1679" t="e">
        <f>VLOOKUP($E$1,VLOOKUP!A437:BY464,15,FALSE)</f>
        <v>#N/A</v>
      </c>
      <c r="G157" s="1680"/>
      <c r="H157" s="1681" t="e">
        <f>VLOOKUP($E$1,VLOOKUP!A437:BY464,53,FALSE)</f>
        <v>#N/A</v>
      </c>
      <c r="J157" s="941" t="e">
        <f t="shared" si="34"/>
        <v>#N/A</v>
      </c>
      <c r="K157" s="945" t="e">
        <f t="shared" si="36"/>
        <v>#N/A</v>
      </c>
      <c r="M157" s="941" t="e">
        <f t="shared" si="35"/>
        <v>#N/A</v>
      </c>
      <c r="N157" s="945" t="e">
        <f t="shared" si="37"/>
        <v>#N/A</v>
      </c>
      <c r="O157" s="801"/>
      <c r="Q157" s="910"/>
      <c r="S157" s="910"/>
    </row>
    <row r="158" spans="1:19">
      <c r="A158" s="865" t="s">
        <v>397</v>
      </c>
      <c r="B158" s="961">
        <f>SRECNP!L30</f>
        <v>0</v>
      </c>
      <c r="C158" s="942"/>
      <c r="D158" s="962">
        <f>SRECNP!N30</f>
        <v>0</v>
      </c>
      <c r="E158" s="944"/>
      <c r="F158" s="1686" t="e">
        <f>VLOOKUP($E$1,VLOOKUP!A437:BY464,16,FALSE)</f>
        <v>#N/A</v>
      </c>
      <c r="G158" s="1680"/>
      <c r="H158" s="1687" t="e">
        <f>VLOOKUP($E$1,VLOOKUP!A437:BY464,54,FALSE)</f>
        <v>#N/A</v>
      </c>
      <c r="J158" s="961" t="e">
        <f t="shared" si="34"/>
        <v>#N/A</v>
      </c>
      <c r="K158" s="963" t="e">
        <f t="shared" si="36"/>
        <v>#N/A</v>
      </c>
      <c r="M158" s="961" t="e">
        <f t="shared" si="35"/>
        <v>#N/A</v>
      </c>
      <c r="N158" s="963" t="e">
        <f t="shared" si="37"/>
        <v>#N/A</v>
      </c>
      <c r="O158" s="801"/>
      <c r="Q158" s="948"/>
      <c r="S158" s="948"/>
    </row>
    <row r="159" spans="1:19" s="948" customFormat="1" ht="6" customHeight="1">
      <c r="A159" s="874"/>
      <c r="B159" s="872"/>
      <c r="C159" s="942"/>
      <c r="D159" s="954"/>
      <c r="E159" s="944"/>
      <c r="F159" s="872"/>
      <c r="G159" s="942"/>
      <c r="H159" s="878"/>
      <c r="J159" s="953"/>
      <c r="K159" s="955"/>
      <c r="M159" s="953"/>
      <c r="N159" s="955"/>
      <c r="O159" s="801"/>
      <c r="Q159" s="910"/>
      <c r="S159" s="910"/>
    </row>
    <row r="160" spans="1:19">
      <c r="A160" s="879" t="s">
        <v>401</v>
      </c>
      <c r="B160" s="957">
        <f>SRECNP!L32</f>
        <v>0</v>
      </c>
      <c r="C160" s="942"/>
      <c r="D160" s="958">
        <f>SRECNP!N32</f>
        <v>0</v>
      </c>
      <c r="E160" s="944"/>
      <c r="F160" s="957" t="e">
        <f>SUM(F152:F158)</f>
        <v>#N/A</v>
      </c>
      <c r="G160" s="942"/>
      <c r="H160" s="958" t="e">
        <f>SUM(H152:H158)</f>
        <v>#N/A</v>
      </c>
      <c r="J160" s="957" t="e">
        <f t="shared" si="34"/>
        <v>#N/A</v>
      </c>
      <c r="K160" s="959" t="e">
        <f>IF(F160&lt;&gt;0,(B160-F160)/F160,"N/A")</f>
        <v>#N/A</v>
      </c>
      <c r="M160" s="957" t="e">
        <f t="shared" si="35"/>
        <v>#N/A</v>
      </c>
      <c r="N160" s="959" t="e">
        <f>IF(H160&lt;&gt;0,(D160-H160)/H160,"N/A")</f>
        <v>#N/A</v>
      </c>
      <c r="O160" s="801"/>
      <c r="Q160" s="948"/>
      <c r="S160" s="948"/>
    </row>
    <row r="161" spans="1:19" s="948" customFormat="1" ht="6" customHeight="1">
      <c r="A161" s="871"/>
      <c r="B161" s="953"/>
      <c r="C161" s="942"/>
      <c r="D161" s="954"/>
      <c r="E161" s="944"/>
      <c r="F161" s="953"/>
      <c r="G161" s="942"/>
      <c r="H161" s="954"/>
      <c r="J161" s="953"/>
      <c r="K161" s="955"/>
      <c r="M161" s="953"/>
      <c r="N161" s="955"/>
      <c r="O161" s="801"/>
      <c r="Q161" s="910"/>
      <c r="S161" s="910"/>
    </row>
    <row r="162" spans="1:19">
      <c r="A162" s="879" t="s">
        <v>2454</v>
      </c>
      <c r="B162" s="957">
        <f>SRECNP!L34</f>
        <v>0</v>
      </c>
      <c r="C162" s="942"/>
      <c r="D162" s="958">
        <f>SRECNP!N34</f>
        <v>0</v>
      </c>
      <c r="E162" s="944"/>
      <c r="F162" s="957" t="e">
        <f>+F148-F160</f>
        <v>#N/A</v>
      </c>
      <c r="G162" s="942"/>
      <c r="H162" s="958" t="e">
        <f>+H148-H160</f>
        <v>#N/A</v>
      </c>
      <c r="J162" s="957" t="e">
        <f t="shared" si="34"/>
        <v>#N/A</v>
      </c>
      <c r="K162" s="959" t="e">
        <f>IF(F162&lt;&gt;0,(B162-F162)/F162,"N/A")</f>
        <v>#N/A</v>
      </c>
      <c r="M162" s="957" t="e">
        <f t="shared" si="35"/>
        <v>#N/A</v>
      </c>
      <c r="N162" s="959" t="e">
        <f>IF(H162&lt;&gt;0,(D162-H162)/H162,"N/A")</f>
        <v>#N/A</v>
      </c>
      <c r="O162" s="801"/>
    </row>
    <row r="163" spans="1:19" ht="6" customHeight="1">
      <c r="A163" s="874"/>
      <c r="B163" s="877"/>
      <c r="C163" s="942"/>
      <c r="D163" s="954"/>
      <c r="E163" s="944"/>
      <c r="F163" s="877"/>
      <c r="G163" s="942"/>
      <c r="H163" s="954"/>
      <c r="J163" s="953"/>
      <c r="K163" s="955"/>
      <c r="M163" s="953"/>
      <c r="N163" s="955"/>
      <c r="O163" s="801"/>
    </row>
    <row r="164" spans="1:19">
      <c r="A164" s="863" t="s">
        <v>2367</v>
      </c>
      <c r="B164" s="629"/>
      <c r="C164" s="942"/>
      <c r="D164" s="972"/>
      <c r="E164" s="944"/>
      <c r="F164" s="629"/>
      <c r="G164" s="942"/>
      <c r="H164" s="972"/>
      <c r="J164" s="935"/>
      <c r="K164" s="936"/>
      <c r="M164" s="935"/>
      <c r="N164" s="936"/>
      <c r="O164" s="801"/>
    </row>
    <row r="165" spans="1:19">
      <c r="A165" s="866" t="s">
        <v>403</v>
      </c>
      <c r="B165" s="631">
        <f>SRECNP!L37</f>
        <v>0</v>
      </c>
      <c r="C165" s="942"/>
      <c r="D165" s="633">
        <f>SRECNP!N37</f>
        <v>0</v>
      </c>
      <c r="E165" s="944"/>
      <c r="F165" s="1679" t="e">
        <f>VLOOKUP($E$1,VLOOKUP!A437:BY464,19,FALSE)</f>
        <v>#N/A</v>
      </c>
      <c r="G165" s="1680"/>
      <c r="H165" s="1694" t="e">
        <f>VLOOKUP($E$1,VLOOKUP!A437:BY464,57,FALSE)</f>
        <v>#N/A</v>
      </c>
      <c r="J165" s="941" t="e">
        <f t="shared" si="34"/>
        <v>#N/A</v>
      </c>
      <c r="K165" s="945" t="e">
        <f t="shared" ref="K165:K173" si="38">IF(F165&lt;&gt;0,(B165-F165)/F165,"N/A")</f>
        <v>#N/A</v>
      </c>
      <c r="M165" s="941" t="e">
        <f t="shared" si="35"/>
        <v>#N/A</v>
      </c>
      <c r="N165" s="945" t="e">
        <f t="shared" ref="N165:N173" si="39">IF(H165&lt;&gt;0,(D165-H165)/H165,"N/A")</f>
        <v>#N/A</v>
      </c>
      <c r="O165" s="801"/>
    </row>
    <row r="166" spans="1:19">
      <c r="A166" s="865" t="s">
        <v>405</v>
      </c>
      <c r="B166" s="630">
        <f>SRECNP!L38</f>
        <v>0</v>
      </c>
      <c r="C166" s="942"/>
      <c r="D166" s="634">
        <f>SRECNP!N38</f>
        <v>0</v>
      </c>
      <c r="E166" s="944"/>
      <c r="F166" s="1682" t="e">
        <f>VLOOKUP($E$1,VLOOKUP!A437:BY464,20,FALSE)</f>
        <v>#N/A</v>
      </c>
      <c r="G166" s="1680"/>
      <c r="H166" s="1695" t="e">
        <f>VLOOKUP($E$1,VLOOKUP!A437:BY464,58,FALSE)</f>
        <v>#N/A</v>
      </c>
      <c r="J166" s="946" t="e">
        <f t="shared" si="34"/>
        <v>#N/A</v>
      </c>
      <c r="K166" s="939" t="e">
        <f t="shared" si="38"/>
        <v>#N/A</v>
      </c>
      <c r="M166" s="946" t="e">
        <f t="shared" si="35"/>
        <v>#N/A</v>
      </c>
      <c r="N166" s="939" t="e">
        <f t="shared" si="39"/>
        <v>#N/A</v>
      </c>
      <c r="O166" s="801"/>
    </row>
    <row r="167" spans="1:19">
      <c r="A167" s="866" t="s">
        <v>407</v>
      </c>
      <c r="B167" s="631">
        <f>SRECNP!L39</f>
        <v>0</v>
      </c>
      <c r="C167" s="942"/>
      <c r="D167" s="633">
        <f>SRECNP!N39</f>
        <v>0</v>
      </c>
      <c r="E167" s="944"/>
      <c r="F167" s="1696" t="e">
        <f>VLOOKUP($E$1,VLOOKUP!A437:BY464,21,FALSE)</f>
        <v>#N/A</v>
      </c>
      <c r="G167" s="1680"/>
      <c r="H167" s="1694" t="e">
        <f>VLOOKUP($E$1,VLOOKUP!A437:BY464,59,FALSE)</f>
        <v>#N/A</v>
      </c>
      <c r="J167" s="941" t="e">
        <f t="shared" si="34"/>
        <v>#N/A</v>
      </c>
      <c r="K167" s="945" t="e">
        <f t="shared" si="38"/>
        <v>#N/A</v>
      </c>
      <c r="M167" s="941" t="e">
        <f t="shared" si="35"/>
        <v>#N/A</v>
      </c>
      <c r="N167" s="945" t="e">
        <f t="shared" si="39"/>
        <v>#N/A</v>
      </c>
      <c r="O167" s="801"/>
    </row>
    <row r="168" spans="1:19">
      <c r="A168" s="865" t="s">
        <v>409</v>
      </c>
      <c r="B168" s="630">
        <f>SRECNP!L40</f>
        <v>0</v>
      </c>
      <c r="C168" s="942"/>
      <c r="D168" s="634">
        <f>SRECNP!N40</f>
        <v>0</v>
      </c>
      <c r="E168" s="944"/>
      <c r="F168" s="1697" t="e">
        <f>VLOOKUP($E$1,VLOOKUP!A437:BY464,22,FALSE)</f>
        <v>#N/A</v>
      </c>
      <c r="G168" s="1680"/>
      <c r="H168" s="1695" t="e">
        <f>VLOOKUP($E$1,VLOOKUP!A437:BY464,60,FALSE)</f>
        <v>#N/A</v>
      </c>
      <c r="J168" s="946" t="e">
        <f t="shared" si="34"/>
        <v>#N/A</v>
      </c>
      <c r="K168" s="939" t="e">
        <f t="shared" si="38"/>
        <v>#N/A</v>
      </c>
      <c r="M168" s="946" t="e">
        <f t="shared" si="35"/>
        <v>#N/A</v>
      </c>
      <c r="N168" s="939" t="e">
        <f t="shared" si="39"/>
        <v>#N/A</v>
      </c>
      <c r="O168" s="801"/>
    </row>
    <row r="169" spans="1:19">
      <c r="A169" s="866" t="s">
        <v>411</v>
      </c>
      <c r="B169" s="631">
        <f>SRECNP!L41</f>
        <v>0</v>
      </c>
      <c r="C169" s="942"/>
      <c r="D169" s="633">
        <f>SRECNP!N41</f>
        <v>0</v>
      </c>
      <c r="E169" s="944"/>
      <c r="F169" s="1696" t="e">
        <f>VLOOKUP($E$1,VLOOKUP!A437:BY464,23,FALSE)</f>
        <v>#N/A</v>
      </c>
      <c r="G169" s="1680"/>
      <c r="H169" s="1694" t="e">
        <f>VLOOKUP($E$1,VLOOKUP!A437:BY464,61,FALSE)</f>
        <v>#N/A</v>
      </c>
      <c r="J169" s="941" t="e">
        <f t="shared" si="34"/>
        <v>#N/A</v>
      </c>
      <c r="K169" s="945" t="e">
        <f t="shared" si="38"/>
        <v>#N/A</v>
      </c>
      <c r="M169" s="941" t="e">
        <f t="shared" si="35"/>
        <v>#N/A</v>
      </c>
      <c r="N169" s="945" t="e">
        <f t="shared" si="39"/>
        <v>#N/A</v>
      </c>
      <c r="O169" s="801"/>
    </row>
    <row r="170" spans="1:19">
      <c r="A170" s="865" t="s">
        <v>413</v>
      </c>
      <c r="B170" s="630">
        <f>SRECNP!L42</f>
        <v>0</v>
      </c>
      <c r="C170" s="942"/>
      <c r="D170" s="634">
        <f>SRECNP!N42</f>
        <v>0</v>
      </c>
      <c r="E170" s="944"/>
      <c r="F170" s="1697" t="e">
        <f>VLOOKUP($E$1,VLOOKUP!A437:BY464,24,FALSE)</f>
        <v>#N/A</v>
      </c>
      <c r="G170" s="1680"/>
      <c r="H170" s="1695" t="e">
        <f>VLOOKUP($E$1,VLOOKUP!A437:BY464,62,FALSE)</f>
        <v>#N/A</v>
      </c>
      <c r="J170" s="946" t="e">
        <f t="shared" si="34"/>
        <v>#N/A</v>
      </c>
      <c r="K170" s="939" t="e">
        <f t="shared" si="38"/>
        <v>#N/A</v>
      </c>
      <c r="M170" s="946" t="e">
        <f t="shared" si="35"/>
        <v>#N/A</v>
      </c>
      <c r="N170" s="939" t="e">
        <f t="shared" si="39"/>
        <v>#N/A</v>
      </c>
      <c r="O170" s="801"/>
    </row>
    <row r="171" spans="1:19">
      <c r="A171" s="866" t="s">
        <v>415</v>
      </c>
      <c r="B171" s="631">
        <f>SRECNP!L43</f>
        <v>0</v>
      </c>
      <c r="C171" s="942"/>
      <c r="D171" s="633">
        <f>SRECNP!N43</f>
        <v>0</v>
      </c>
      <c r="E171" s="944"/>
      <c r="F171" s="1696" t="e">
        <f>VLOOKUP($E$1,VLOOKUP!A437:BY464,25,FALSE)</f>
        <v>#N/A</v>
      </c>
      <c r="G171" s="1680"/>
      <c r="H171" s="1694" t="e">
        <f>VLOOKUP($E$1,VLOOKUP!A437:BY464,63,FALSE)</f>
        <v>#N/A</v>
      </c>
      <c r="J171" s="941" t="e">
        <f t="shared" si="34"/>
        <v>#N/A</v>
      </c>
      <c r="K171" s="945" t="e">
        <f t="shared" si="38"/>
        <v>#N/A</v>
      </c>
      <c r="M171" s="941" t="e">
        <f t="shared" si="35"/>
        <v>#N/A</v>
      </c>
      <c r="N171" s="945" t="e">
        <f t="shared" si="39"/>
        <v>#N/A</v>
      </c>
      <c r="O171" s="801"/>
      <c r="Q171" s="948"/>
      <c r="S171" s="948"/>
    </row>
    <row r="172" spans="1:19" s="948" customFormat="1">
      <c r="A172" s="865" t="s">
        <v>417</v>
      </c>
      <c r="B172" s="630">
        <f>SRECNP!L44</f>
        <v>0</v>
      </c>
      <c r="C172" s="942"/>
      <c r="D172" s="634">
        <f>SRECNP!N44</f>
        <v>0</v>
      </c>
      <c r="E172" s="944"/>
      <c r="F172" s="1697" t="e">
        <f>VLOOKUP($E$1,VLOOKUP!A437:BY464,26,FALSE)</f>
        <v>#N/A</v>
      </c>
      <c r="G172" s="1680"/>
      <c r="H172" s="1695" t="e">
        <f>VLOOKUP($E$1,VLOOKUP!A437:BY464,64,FALSE)</f>
        <v>#N/A</v>
      </c>
      <c r="J172" s="946" t="e">
        <f t="shared" si="34"/>
        <v>#N/A</v>
      </c>
      <c r="K172" s="939" t="e">
        <f t="shared" si="38"/>
        <v>#N/A</v>
      </c>
      <c r="M172" s="946" t="e">
        <f t="shared" si="35"/>
        <v>#N/A</v>
      </c>
      <c r="N172" s="939" t="e">
        <f t="shared" si="39"/>
        <v>#N/A</v>
      </c>
      <c r="O172" s="801"/>
      <c r="Q172" s="910"/>
      <c r="S172" s="910"/>
    </row>
    <row r="173" spans="1:19">
      <c r="A173" s="866" t="s">
        <v>419</v>
      </c>
      <c r="B173" s="632">
        <f>SRECNP!L45</f>
        <v>0</v>
      </c>
      <c r="C173" s="942"/>
      <c r="D173" s="635">
        <f>SRECNP!N45</f>
        <v>0</v>
      </c>
      <c r="E173" s="944"/>
      <c r="F173" s="1698" t="e">
        <f>VLOOKUP($E$1,VLOOKUP!A437:BY464,27,FALSE)</f>
        <v>#N/A</v>
      </c>
      <c r="G173" s="1680"/>
      <c r="H173" s="1699" t="e">
        <f>VLOOKUP($E$1,VLOOKUP!A437:BY464,65,FALSE)</f>
        <v>#N/A</v>
      </c>
      <c r="J173" s="949" t="e">
        <f t="shared" si="34"/>
        <v>#N/A</v>
      </c>
      <c r="K173" s="951" t="e">
        <f t="shared" si="38"/>
        <v>#N/A</v>
      </c>
      <c r="M173" s="949" t="e">
        <f t="shared" si="35"/>
        <v>#N/A</v>
      </c>
      <c r="N173" s="951" t="e">
        <f t="shared" si="39"/>
        <v>#N/A</v>
      </c>
      <c r="O173" s="801"/>
      <c r="Q173" s="948"/>
      <c r="S173" s="948"/>
    </row>
    <row r="174" spans="1:19" s="948" customFormat="1" ht="6" customHeight="1">
      <c r="A174" s="870"/>
      <c r="B174" s="872"/>
      <c r="C174" s="942"/>
      <c r="D174" s="954"/>
      <c r="E174" s="944"/>
      <c r="F174" s="872"/>
      <c r="G174" s="942"/>
      <c r="H174" s="954"/>
      <c r="J174" s="953"/>
      <c r="K174" s="955"/>
      <c r="M174" s="953"/>
      <c r="N174" s="955"/>
      <c r="O174" s="801"/>
      <c r="Q174" s="910"/>
      <c r="S174" s="910"/>
    </row>
    <row r="175" spans="1:19">
      <c r="A175" s="879" t="s">
        <v>423</v>
      </c>
      <c r="B175" s="957">
        <f>SRECNP!L47</f>
        <v>0</v>
      </c>
      <c r="C175" s="942"/>
      <c r="D175" s="958">
        <f>SRECNP!N47</f>
        <v>0</v>
      </c>
      <c r="E175" s="944"/>
      <c r="F175" s="957" t="e">
        <f>SUM(F165:F173)</f>
        <v>#N/A</v>
      </c>
      <c r="G175" s="942"/>
      <c r="H175" s="958" t="e">
        <f>SUM(H165:H173)</f>
        <v>#N/A</v>
      </c>
      <c r="J175" s="957" t="e">
        <f t="shared" si="34"/>
        <v>#N/A</v>
      </c>
      <c r="K175" s="959" t="e">
        <f>IF(F175&lt;&gt;0,(B175-F175)/F175,"N/A")</f>
        <v>#N/A</v>
      </c>
      <c r="M175" s="957" t="e">
        <f t="shared" si="35"/>
        <v>#N/A</v>
      </c>
      <c r="N175" s="959" t="e">
        <f>IF(H175&lt;&gt;0,(D175-H175)/H175,"N/A")</f>
        <v>#N/A</v>
      </c>
      <c r="O175" s="801"/>
    </row>
    <row r="176" spans="1:19" ht="6" customHeight="1">
      <c r="A176" s="876"/>
      <c r="B176" s="872"/>
      <c r="C176" s="942"/>
      <c r="D176" s="954"/>
      <c r="E176" s="944"/>
      <c r="F176" s="872"/>
      <c r="G176" s="942"/>
      <c r="H176" s="954"/>
      <c r="J176" s="953"/>
      <c r="K176" s="955"/>
      <c r="M176" s="953"/>
      <c r="N176" s="955"/>
      <c r="O176" s="801"/>
      <c r="Q176" s="948"/>
      <c r="S176" s="948"/>
    </row>
    <row r="177" spans="1:19" s="948" customFormat="1">
      <c r="A177" s="863" t="s">
        <v>3711</v>
      </c>
      <c r="B177" s="631"/>
      <c r="C177" s="942"/>
      <c r="D177" s="943"/>
      <c r="E177" s="944"/>
      <c r="F177" s="631"/>
      <c r="G177" s="942"/>
      <c r="H177" s="943"/>
      <c r="J177" s="941"/>
      <c r="K177" s="945"/>
      <c r="M177" s="941"/>
      <c r="N177" s="945"/>
      <c r="O177" s="801"/>
      <c r="Q177" s="910"/>
      <c r="S177" s="910"/>
    </row>
    <row r="178" spans="1:19">
      <c r="A178" s="879" t="s">
        <v>2371</v>
      </c>
      <c r="B178" s="957">
        <f>SRECNP!L50</f>
        <v>0</v>
      </c>
      <c r="C178" s="942"/>
      <c r="D178" s="958">
        <f>SRECNP!N50</f>
        <v>0</v>
      </c>
      <c r="E178" s="944"/>
      <c r="F178" s="957" t="e">
        <f>+F162+F175</f>
        <v>#N/A</v>
      </c>
      <c r="G178" s="942"/>
      <c r="H178" s="958" t="e">
        <f>+H162+H175</f>
        <v>#N/A</v>
      </c>
      <c r="J178" s="957" t="e">
        <f t="shared" si="34"/>
        <v>#N/A</v>
      </c>
      <c r="K178" s="959" t="e">
        <f>IF(F178&lt;&gt;0,(B178-F178)/F178,"N/A")</f>
        <v>#N/A</v>
      </c>
      <c r="M178" s="957" t="e">
        <f t="shared" si="35"/>
        <v>#N/A</v>
      </c>
      <c r="N178" s="959" t="e">
        <f>IF(H178&lt;&gt;0,(D178-H178)/H178,"N/A")</f>
        <v>#N/A</v>
      </c>
      <c r="O178" s="801"/>
    </row>
    <row r="179" spans="1:19" ht="6" customHeight="1">
      <c r="A179" s="874"/>
      <c r="B179" s="875"/>
      <c r="C179" s="942"/>
      <c r="D179" s="954"/>
      <c r="E179" s="944"/>
      <c r="F179" s="875"/>
      <c r="G179" s="942"/>
      <c r="H179" s="954"/>
      <c r="J179" s="953"/>
      <c r="K179" s="955"/>
      <c r="M179" s="953"/>
      <c r="N179" s="955"/>
      <c r="O179" s="801"/>
    </row>
    <row r="180" spans="1:19">
      <c r="A180" s="865" t="s">
        <v>425</v>
      </c>
      <c r="B180" s="630">
        <f>SRECNP!L52</f>
        <v>0</v>
      </c>
      <c r="C180" s="942"/>
      <c r="D180" s="634">
        <f>SRECNP!N52</f>
        <v>0</v>
      </c>
      <c r="E180" s="944"/>
      <c r="F180" s="1697" t="e">
        <f>VLOOKUP($E$1,VLOOKUP!A437:BY464,30,FALSE)</f>
        <v>#N/A</v>
      </c>
      <c r="G180" s="1680"/>
      <c r="H180" s="1695" t="e">
        <f>VLOOKUP($E$1,VLOOKUP!A437:BY464,68,FALSE)</f>
        <v>#N/A</v>
      </c>
      <c r="J180" s="946" t="e">
        <f t="shared" si="34"/>
        <v>#N/A</v>
      </c>
      <c r="K180" s="939" t="e">
        <f>IF(F180&lt;&gt;0,(B180-F180)/F180,"N/A")</f>
        <v>#N/A</v>
      </c>
      <c r="M180" s="946" t="e">
        <f t="shared" si="35"/>
        <v>#N/A</v>
      </c>
      <c r="N180" s="939" t="e">
        <f>IF(H180&lt;&gt;0,(D180-H180)/H180,"N/A")</f>
        <v>#N/A</v>
      </c>
      <c r="O180" s="801"/>
      <c r="Q180" s="948"/>
      <c r="S180" s="948"/>
    </row>
    <row r="181" spans="1:19" s="948" customFormat="1">
      <c r="A181" s="866" t="s">
        <v>427</v>
      </c>
      <c r="B181" s="631">
        <f>SRECNP!L53</f>
        <v>0</v>
      </c>
      <c r="C181" s="942"/>
      <c r="D181" s="633">
        <f>SRECNP!N53</f>
        <v>0</v>
      </c>
      <c r="E181" s="944"/>
      <c r="F181" s="1696" t="e">
        <f>VLOOKUP($E$1,VLOOKUP!A437:BY464,31,FALSE)</f>
        <v>#N/A</v>
      </c>
      <c r="G181" s="1680"/>
      <c r="H181" s="1694" t="e">
        <f>VLOOKUP($E$1,VLOOKUP!A437:BY464,69,FALSE)</f>
        <v>#N/A</v>
      </c>
      <c r="J181" s="2050" t="e">
        <f t="shared" si="34"/>
        <v>#N/A</v>
      </c>
      <c r="K181" s="945" t="e">
        <f>IF(F181&lt;&gt;0,(B181-F181)/F181,"N/A")</f>
        <v>#N/A</v>
      </c>
      <c r="M181" s="941" t="e">
        <f t="shared" si="35"/>
        <v>#N/A</v>
      </c>
      <c r="N181" s="945" t="e">
        <f>IF(H181&lt;&gt;0,(D181-H181)/H181,"N/A")</f>
        <v>#N/A</v>
      </c>
      <c r="O181" s="801"/>
      <c r="Q181" s="910"/>
      <c r="S181" s="910"/>
    </row>
    <row r="182" spans="1:19">
      <c r="A182" s="867" t="s">
        <v>104</v>
      </c>
      <c r="B182" s="630">
        <f>SRECNP!L54</f>
        <v>0</v>
      </c>
      <c r="C182" s="942"/>
      <c r="D182" s="634">
        <f>SRECNP!N54</f>
        <v>0</v>
      </c>
      <c r="E182" s="944"/>
      <c r="F182" s="1697" t="e">
        <f>VLOOKUP($E$1,VLOOKUP!A437:BY464,32,FALSE)</f>
        <v>#N/A</v>
      </c>
      <c r="G182" s="1680"/>
      <c r="H182" s="1695" t="e">
        <f>VLOOKUP($E$1,VLOOKUP!A437:BY464,70,FALSE)</f>
        <v>#N/A</v>
      </c>
      <c r="J182" s="946" t="e">
        <f t="shared" si="34"/>
        <v>#N/A</v>
      </c>
      <c r="K182" s="939" t="e">
        <f>IF(F182&lt;&gt;0,(B182-F182)/F182,"N/A")</f>
        <v>#N/A</v>
      </c>
      <c r="M182" s="946" t="e">
        <f t="shared" si="35"/>
        <v>#N/A</v>
      </c>
      <c r="N182" s="939" t="e">
        <f>IF(H182&lt;&gt;0,(D182-H182)/H182,"N/A")</f>
        <v>#N/A</v>
      </c>
      <c r="O182" s="801"/>
      <c r="Q182" s="948"/>
      <c r="S182" s="948"/>
    </row>
    <row r="183" spans="1:19" s="948" customFormat="1" ht="12" customHeight="1">
      <c r="A183" s="870" t="s">
        <v>430</v>
      </c>
      <c r="B183" s="632">
        <f>SRECNP!L55</f>
        <v>0</v>
      </c>
      <c r="C183" s="942"/>
      <c r="D183" s="635">
        <f>SRECNP!N55</f>
        <v>0</v>
      </c>
      <c r="E183" s="944"/>
      <c r="F183" s="1698" t="e">
        <f>VLOOKUP($E$1,VLOOKUP!A437:BY464,33,FALSE)</f>
        <v>#N/A</v>
      </c>
      <c r="G183" s="942"/>
      <c r="H183" s="1699" t="e">
        <f>VLOOKUP($E$1,VLOOKUP!A437:BY464,71,FALSE)</f>
        <v>#N/A</v>
      </c>
      <c r="J183" s="2348" t="e">
        <f>B183-F183</f>
        <v>#N/A</v>
      </c>
      <c r="K183" s="951" t="e">
        <f>IF(F183&lt;&gt;0,(B183-F183)/F183,"N/A")</f>
        <v>#N/A</v>
      </c>
      <c r="M183" s="949" t="e">
        <f>D183-H183</f>
        <v>#N/A</v>
      </c>
      <c r="N183" s="951" t="e">
        <f>IF(H183&lt;&gt;0,(D183-H183)/H183,"N/A")</f>
        <v>#N/A</v>
      </c>
      <c r="O183" s="801"/>
      <c r="Q183" s="910"/>
      <c r="S183" s="910"/>
    </row>
    <row r="184" spans="1:19" s="948" customFormat="1" ht="6.75" customHeight="1">
      <c r="A184" s="870"/>
      <c r="B184" s="632"/>
      <c r="C184" s="942"/>
      <c r="D184" s="635"/>
      <c r="E184" s="944"/>
      <c r="F184" s="1698"/>
      <c r="G184" s="942"/>
      <c r="H184" s="1699"/>
      <c r="J184" s="2348"/>
      <c r="K184" s="951"/>
      <c r="M184" s="949"/>
      <c r="N184" s="951"/>
      <c r="O184" s="801"/>
      <c r="Q184" s="910"/>
      <c r="S184" s="910"/>
    </row>
    <row r="185" spans="1:19">
      <c r="A185" s="879" t="s">
        <v>434</v>
      </c>
      <c r="B185" s="957">
        <f>SRECNP!L57</f>
        <v>0</v>
      </c>
      <c r="C185" s="942"/>
      <c r="D185" s="958">
        <f>SRECNP!N57</f>
        <v>0</v>
      </c>
      <c r="E185" s="944"/>
      <c r="F185" s="957" t="e">
        <f>SUM(F180:F182)</f>
        <v>#N/A</v>
      </c>
      <c r="G185" s="942"/>
      <c r="H185" s="958" t="e">
        <f>SUM(H180:H182)</f>
        <v>#N/A</v>
      </c>
      <c r="J185" s="957" t="e">
        <f t="shared" si="34"/>
        <v>#N/A</v>
      </c>
      <c r="K185" s="959" t="e">
        <f>IF(F185&lt;&gt;0,(B185-F185)/F185,"N/A")</f>
        <v>#N/A</v>
      </c>
      <c r="M185" s="957" t="e">
        <f t="shared" si="35"/>
        <v>#N/A</v>
      </c>
      <c r="N185" s="959" t="e">
        <f>IF(H185&lt;&gt;0,(D185-H185)/H185,"N/A")</f>
        <v>#N/A</v>
      </c>
      <c r="O185" s="801"/>
      <c r="Q185" s="948"/>
      <c r="S185" s="948"/>
    </row>
    <row r="186" spans="1:19" s="948" customFormat="1" ht="6" customHeight="1">
      <c r="A186" s="873"/>
      <c r="B186" s="872"/>
      <c r="C186" s="942"/>
      <c r="D186" s="954"/>
      <c r="E186" s="944"/>
      <c r="F186" s="872"/>
      <c r="G186" s="942"/>
      <c r="H186" s="954"/>
      <c r="J186" s="953"/>
      <c r="K186" s="955"/>
      <c r="M186" s="953"/>
      <c r="N186" s="955"/>
      <c r="O186" s="801"/>
      <c r="Q186" s="910"/>
      <c r="S186" s="910"/>
    </row>
    <row r="187" spans="1:19">
      <c r="A187" s="879" t="s">
        <v>3712</v>
      </c>
      <c r="B187" s="957">
        <f>SRECNP!L59</f>
        <v>0</v>
      </c>
      <c r="C187" s="942"/>
      <c r="D187" s="958">
        <f>SRECNP!N59</f>
        <v>0</v>
      </c>
      <c r="E187" s="944"/>
      <c r="F187" s="957" t="e">
        <f>+F178+F185</f>
        <v>#N/A</v>
      </c>
      <c r="G187" s="942"/>
      <c r="H187" s="958" t="e">
        <f>+H178+H185</f>
        <v>#N/A</v>
      </c>
      <c r="J187" s="957" t="e">
        <f t="shared" si="34"/>
        <v>#N/A</v>
      </c>
      <c r="K187" s="959" t="e">
        <f>IF(F187&lt;&gt;0,(B187-F187)/F187,"N/A")</f>
        <v>#N/A</v>
      </c>
      <c r="M187" s="957" t="e">
        <f t="shared" si="35"/>
        <v>#N/A</v>
      </c>
      <c r="N187" s="959" t="e">
        <f>IF(H187&lt;&gt;0,(D187-H187)/H187,"N/A")</f>
        <v>#N/A</v>
      </c>
      <c r="O187" s="801"/>
    </row>
    <row r="188" spans="1:19" ht="6" customHeight="1">
      <c r="A188" s="873"/>
      <c r="B188" s="872"/>
      <c r="C188" s="942"/>
      <c r="D188" s="954"/>
      <c r="E188" s="944"/>
      <c r="F188" s="872"/>
      <c r="G188" s="942"/>
      <c r="H188" s="954"/>
      <c r="J188" s="953"/>
      <c r="K188" s="955"/>
      <c r="M188" s="953"/>
      <c r="N188" s="955"/>
      <c r="O188" s="801"/>
      <c r="Q188" s="948"/>
      <c r="S188" s="948"/>
    </row>
    <row r="189" spans="1:19" s="948" customFormat="1">
      <c r="A189" s="867" t="s">
        <v>2374</v>
      </c>
      <c r="B189" s="630" t="e">
        <f>SRECNP!L61</f>
        <v>#N/A</v>
      </c>
      <c r="C189" s="942"/>
      <c r="D189" s="634" t="e">
        <f>SRECNP!N61</f>
        <v>#N/A</v>
      </c>
      <c r="E189" s="944"/>
      <c r="F189" s="1697" t="e">
        <f>VLOOKUP($E$1,VLOOKUP!A437:BY464,36,FALSE)</f>
        <v>#N/A</v>
      </c>
      <c r="G189" s="1680"/>
      <c r="H189" s="1695" t="e">
        <f>VLOOKUP($E$1,VLOOKUP!A437:BY464,74,FALSE)</f>
        <v>#N/A</v>
      </c>
      <c r="J189" s="946" t="e">
        <f t="shared" si="34"/>
        <v>#N/A</v>
      </c>
      <c r="K189" s="939" t="e">
        <f>IF(F189&lt;&gt;0,(B189-F189)/F189,"N/A")</f>
        <v>#N/A</v>
      </c>
      <c r="M189" s="946" t="e">
        <f t="shared" si="35"/>
        <v>#N/A</v>
      </c>
      <c r="N189" s="939" t="e">
        <f>IF(H189&lt;&gt;0,(D189-H189)/H189,"N/A")</f>
        <v>#N/A</v>
      </c>
      <c r="O189" s="801"/>
      <c r="Q189" s="910"/>
      <c r="S189" s="910"/>
    </row>
    <row r="190" spans="1:19">
      <c r="A190" s="864" t="s">
        <v>2375</v>
      </c>
      <c r="B190" s="632">
        <f>SRECNP!L62</f>
        <v>0</v>
      </c>
      <c r="C190" s="942"/>
      <c r="D190" s="635">
        <f>SRECNP!N62</f>
        <v>0</v>
      </c>
      <c r="E190" s="944"/>
      <c r="F190" s="1698" t="e">
        <f>VLOOKUP($E$1,VLOOKUP!A437:BY464,37,FALSE)</f>
        <v>#N/A</v>
      </c>
      <c r="G190" s="1680"/>
      <c r="H190" s="1699" t="e">
        <f>VLOOKUP($E$1,VLOOKUP!A437:BY464,75,FALSE)</f>
        <v>#N/A</v>
      </c>
      <c r="J190" s="949" t="e">
        <f t="shared" si="34"/>
        <v>#N/A</v>
      </c>
      <c r="K190" s="951" t="e">
        <f>IF(F190&lt;&gt;0,(B190-F190)/F190,"N/A")</f>
        <v>#N/A</v>
      </c>
      <c r="M190" s="949" t="e">
        <f t="shared" si="35"/>
        <v>#N/A</v>
      </c>
      <c r="N190" s="951" t="e">
        <f>IF(H190&lt;&gt;0,(D190-H190)/H190,"N/A")</f>
        <v>#N/A</v>
      </c>
      <c r="O190" s="801"/>
      <c r="Q190" s="948"/>
      <c r="S190" s="948"/>
    </row>
    <row r="191" spans="1:19" s="948" customFormat="1" ht="6" customHeight="1">
      <c r="A191" s="871"/>
      <c r="B191" s="872"/>
      <c r="C191" s="942"/>
      <c r="D191" s="954"/>
      <c r="E191" s="944"/>
      <c r="F191" s="872"/>
      <c r="G191" s="942"/>
      <c r="H191" s="954"/>
      <c r="J191" s="953"/>
      <c r="K191" s="955"/>
      <c r="M191" s="953"/>
      <c r="N191" s="955"/>
      <c r="O191" s="801"/>
      <c r="Q191" s="910"/>
      <c r="S191" s="910"/>
    </row>
    <row r="192" spans="1:19">
      <c r="A192" s="879" t="s">
        <v>2376</v>
      </c>
      <c r="B192" s="957" t="e">
        <f>SRECNP!L64</f>
        <v>#N/A</v>
      </c>
      <c r="C192" s="942"/>
      <c r="D192" s="958" t="e">
        <f>SRECNP!N64</f>
        <v>#N/A</v>
      </c>
      <c r="E192" s="944"/>
      <c r="F192" s="957" t="e">
        <f>SUM(F189:F190)</f>
        <v>#N/A</v>
      </c>
      <c r="G192" s="942"/>
      <c r="H192" s="958" t="e">
        <f>SUM(H189:H190)</f>
        <v>#N/A</v>
      </c>
      <c r="J192" s="957" t="e">
        <f t="shared" si="34"/>
        <v>#N/A</v>
      </c>
      <c r="K192" s="959" t="e">
        <f>IF(F192&lt;&gt;0,(B192-F192)/F192,"N/A")</f>
        <v>#N/A</v>
      </c>
      <c r="M192" s="957" t="e">
        <f t="shared" si="35"/>
        <v>#N/A</v>
      </c>
      <c r="N192" s="959" t="e">
        <f>IF(H192&lt;&gt;0,(D192-H192)/H192,"N/A")</f>
        <v>#N/A</v>
      </c>
      <c r="O192" s="801"/>
      <c r="Q192" s="948"/>
      <c r="S192" s="948"/>
    </row>
    <row r="193" spans="1:19" s="948" customFormat="1" ht="6" customHeight="1">
      <c r="A193" s="871"/>
      <c r="B193" s="872"/>
      <c r="C193" s="942"/>
      <c r="D193" s="954"/>
      <c r="E193" s="944"/>
      <c r="F193" s="872"/>
      <c r="G193" s="942"/>
      <c r="H193" s="954"/>
      <c r="J193" s="953"/>
      <c r="K193" s="955"/>
      <c r="M193" s="953"/>
      <c r="N193" s="955"/>
      <c r="O193" s="801"/>
      <c r="Q193" s="910"/>
      <c r="S193" s="910"/>
    </row>
    <row r="194" spans="1:19" ht="12.75" thickBot="1">
      <c r="A194" s="879" t="s">
        <v>2377</v>
      </c>
      <c r="B194" s="990" t="e">
        <f>SRECNP!L66</f>
        <v>#N/A</v>
      </c>
      <c r="C194" s="942"/>
      <c r="D194" s="964" t="e">
        <f>SRECNP!N66</f>
        <v>#N/A</v>
      </c>
      <c r="E194" s="944"/>
      <c r="F194" s="990" t="e">
        <f>+F187+F192</f>
        <v>#N/A</v>
      </c>
      <c r="G194" s="942"/>
      <c r="H194" s="964" t="e">
        <f>+H187+H192</f>
        <v>#N/A</v>
      </c>
      <c r="J194" s="990" t="e">
        <f t="shared" si="34"/>
        <v>#N/A</v>
      </c>
      <c r="K194" s="965" t="e">
        <f>IF(F194&lt;&gt;0,(B194-F194)/F194,"N/A")</f>
        <v>#N/A</v>
      </c>
      <c r="M194" s="990" t="e">
        <f t="shared" si="35"/>
        <v>#N/A</v>
      </c>
      <c r="N194" s="965" t="e">
        <f>IF(H194&lt;&gt;0,(D194-H194)/H194,"N/A")</f>
        <v>#N/A</v>
      </c>
      <c r="O194" s="801"/>
      <c r="Q194" s="948"/>
      <c r="S194" s="948"/>
    </row>
    <row r="195" spans="1:19" s="948" customFormat="1" ht="12.75" thickTop="1">
      <c r="A195" s="868"/>
      <c r="B195" s="869"/>
      <c r="C195" s="942"/>
      <c r="D195" s="942"/>
      <c r="E195" s="942"/>
      <c r="F195" s="944"/>
      <c r="G195" s="942"/>
      <c r="H195" s="944"/>
      <c r="J195" s="944"/>
      <c r="K195" s="991"/>
      <c r="M195" s="944"/>
      <c r="N195" s="979"/>
    </row>
    <row r="196" spans="1:19" s="948" customFormat="1">
      <c r="A196" s="870"/>
      <c r="B196" s="504"/>
      <c r="C196" s="1669"/>
      <c r="D196" s="934"/>
      <c r="E196" s="934"/>
      <c r="F196" s="934"/>
      <c r="G196" s="1669"/>
      <c r="H196" s="934"/>
      <c r="J196" s="980"/>
      <c r="K196" s="979"/>
      <c r="M196" s="980"/>
      <c r="N196" s="979"/>
    </row>
    <row r="197" spans="1:19" s="948" customFormat="1">
      <c r="A197" s="952"/>
      <c r="B197" s="934"/>
      <c r="C197" s="1669"/>
      <c r="D197" s="934"/>
      <c r="E197" s="934"/>
      <c r="F197" s="934"/>
      <c r="G197" s="1669"/>
      <c r="H197" s="934"/>
      <c r="J197" s="980"/>
      <c r="K197" s="979"/>
      <c r="M197" s="980"/>
      <c r="N197" s="979"/>
      <c r="Q197" s="910"/>
      <c r="S197" s="910"/>
    </row>
    <row r="198" spans="1:19" ht="15">
      <c r="A198" s="3353" t="s">
        <v>3056</v>
      </c>
      <c r="B198" s="3256"/>
      <c r="D198" s="1671"/>
    </row>
    <row r="199" spans="1:19">
      <c r="A199" s="1670"/>
      <c r="B199" s="1671"/>
      <c r="D199" s="1671"/>
    </row>
    <row r="200" spans="1:19">
      <c r="A200" s="1670"/>
      <c r="B200" s="1671"/>
      <c r="D200" s="1671"/>
    </row>
    <row r="201" spans="1:19">
      <c r="A201" s="1670"/>
      <c r="B201" s="1671"/>
      <c r="D201" s="1671"/>
    </row>
    <row r="202" spans="1:19">
      <c r="A202" s="1670"/>
      <c r="B202" s="1671"/>
      <c r="D202" s="1671"/>
    </row>
    <row r="203" spans="1:19">
      <c r="A203" s="1670"/>
      <c r="B203" s="1671"/>
      <c r="D203" s="1671"/>
    </row>
    <row r="204" spans="1:19">
      <c r="A204" s="1670"/>
      <c r="B204" s="1671"/>
      <c r="D204" s="1671"/>
    </row>
    <row r="205" spans="1:19">
      <c r="A205" s="1670"/>
      <c r="B205" s="1671"/>
      <c r="D205" s="1671"/>
    </row>
    <row r="206" spans="1:19">
      <c r="A206" s="1670"/>
      <c r="B206" s="1671"/>
      <c r="D206" s="1671"/>
    </row>
    <row r="207" spans="1:19">
      <c r="A207" s="1670"/>
      <c r="B207" s="1671"/>
      <c r="D207" s="1671"/>
    </row>
    <row r="208" spans="1:19">
      <c r="A208" s="1670"/>
      <c r="B208" s="1671"/>
      <c r="D208" s="1671"/>
    </row>
    <row r="209" spans="1:4">
      <c r="A209" s="1670"/>
      <c r="B209" s="1671"/>
      <c r="D209" s="1671"/>
    </row>
    <row r="210" spans="1:4">
      <c r="A210" s="1670"/>
      <c r="B210" s="1671"/>
      <c r="D210" s="1671"/>
    </row>
    <row r="211" spans="1:4">
      <c r="A211" s="1670"/>
      <c r="B211" s="1671"/>
      <c r="D211" s="1671"/>
    </row>
    <row r="212" spans="1:4">
      <c r="A212" s="1670"/>
      <c r="B212" s="1671"/>
      <c r="D212" s="1671"/>
    </row>
    <row r="213" spans="1:4">
      <c r="A213" s="1670"/>
      <c r="B213" s="1671"/>
      <c r="D213" s="1671"/>
    </row>
    <row r="214" spans="1:4">
      <c r="A214" s="1670"/>
      <c r="B214" s="1671"/>
      <c r="D214" s="1671"/>
    </row>
    <row r="215" spans="1:4">
      <c r="A215" s="1670"/>
      <c r="B215" s="1671"/>
      <c r="D215" s="1671"/>
    </row>
    <row r="216" spans="1:4">
      <c r="A216" s="1670"/>
      <c r="B216" s="1671"/>
      <c r="D216" s="1671"/>
    </row>
    <row r="217" spans="1:4">
      <c r="A217" s="1670"/>
      <c r="B217" s="1671"/>
      <c r="D217" s="1671"/>
    </row>
    <row r="218" spans="1:4">
      <c r="A218" s="1670"/>
      <c r="B218" s="1671"/>
      <c r="D218" s="1671"/>
    </row>
    <row r="219" spans="1:4">
      <c r="A219" s="1670"/>
      <c r="B219" s="1671"/>
      <c r="D219" s="1671"/>
    </row>
    <row r="220" spans="1:4">
      <c r="A220" s="1670"/>
      <c r="B220" s="1671"/>
      <c r="D220" s="1671"/>
    </row>
    <row r="221" spans="1:4">
      <c r="A221" s="1670"/>
      <c r="B221" s="1671"/>
      <c r="D221" s="1671"/>
    </row>
    <row r="222" spans="1:4">
      <c r="A222" s="1670"/>
      <c r="B222" s="1671"/>
      <c r="D222" s="1671"/>
    </row>
    <row r="223" spans="1:4">
      <c r="A223" s="1670"/>
      <c r="B223" s="1671"/>
      <c r="D223" s="1671"/>
    </row>
    <row r="224" spans="1:4">
      <c r="A224" s="1670"/>
      <c r="B224" s="1671"/>
      <c r="D224" s="1671"/>
    </row>
    <row r="225" spans="1:4">
      <c r="A225" s="1670"/>
      <c r="B225" s="1671"/>
      <c r="D225" s="1671"/>
    </row>
    <row r="226" spans="1:4">
      <c r="A226" s="1670"/>
      <c r="B226" s="1671"/>
      <c r="D226" s="1671"/>
    </row>
    <row r="227" spans="1:4">
      <c r="A227" s="1670"/>
      <c r="B227" s="1671"/>
      <c r="D227" s="1671"/>
    </row>
    <row r="228" spans="1:4">
      <c r="A228" s="1670"/>
      <c r="B228" s="1671"/>
      <c r="D228" s="1671"/>
    </row>
    <row r="229" spans="1:4">
      <c r="A229" s="1670"/>
      <c r="B229" s="1671"/>
      <c r="D229" s="1671"/>
    </row>
    <row r="230" spans="1:4">
      <c r="A230" s="1670"/>
      <c r="B230" s="1671"/>
      <c r="D230" s="1671"/>
    </row>
    <row r="231" spans="1:4">
      <c r="A231" s="1670"/>
      <c r="B231" s="1671"/>
      <c r="D231" s="1671"/>
    </row>
    <row r="232" spans="1:4">
      <c r="A232" s="1670"/>
      <c r="B232" s="1671"/>
      <c r="D232" s="1671"/>
    </row>
    <row r="233" spans="1:4">
      <c r="A233" s="1670"/>
      <c r="B233" s="1671"/>
      <c r="D233" s="1671"/>
    </row>
    <row r="234" spans="1:4">
      <c r="A234" s="1670"/>
      <c r="B234" s="1671"/>
      <c r="D234" s="1671"/>
    </row>
    <row r="235" spans="1:4">
      <c r="A235" s="1670"/>
      <c r="B235" s="1671"/>
      <c r="D235" s="1671"/>
    </row>
    <row r="236" spans="1:4">
      <c r="A236" s="1670"/>
      <c r="B236" s="1671"/>
      <c r="D236" s="1671"/>
    </row>
    <row r="237" spans="1:4">
      <c r="A237" s="1670"/>
      <c r="B237" s="1671"/>
      <c r="D237" s="1671"/>
    </row>
    <row r="238" spans="1:4">
      <c r="A238" s="1670"/>
      <c r="B238" s="1671"/>
      <c r="D238" s="1671"/>
    </row>
    <row r="239" spans="1:4">
      <c r="A239" s="1670"/>
      <c r="B239" s="1671"/>
      <c r="D239" s="1671"/>
    </row>
    <row r="240" spans="1:4">
      <c r="A240" s="1670"/>
      <c r="B240" s="1671"/>
      <c r="D240" s="1671"/>
    </row>
    <row r="241" spans="1:4">
      <c r="A241" s="1670"/>
      <c r="B241" s="1671"/>
      <c r="D241" s="1671"/>
    </row>
    <row r="242" spans="1:4">
      <c r="A242" s="1670"/>
      <c r="B242" s="1671"/>
      <c r="D242" s="1671"/>
    </row>
    <row r="243" spans="1:4">
      <c r="A243" s="1670"/>
      <c r="B243" s="1671"/>
      <c r="D243" s="1671"/>
    </row>
    <row r="244" spans="1:4">
      <c r="A244" s="1670"/>
      <c r="B244" s="1671"/>
      <c r="D244" s="1671"/>
    </row>
    <row r="245" spans="1:4">
      <c r="A245" s="1670"/>
      <c r="B245" s="1671"/>
      <c r="D245" s="1671"/>
    </row>
    <row r="246" spans="1:4">
      <c r="A246" s="1670"/>
      <c r="B246" s="1671"/>
      <c r="D246" s="1671"/>
    </row>
    <row r="247" spans="1:4">
      <c r="A247" s="1670"/>
      <c r="B247" s="1671"/>
      <c r="D247" s="1671"/>
    </row>
    <row r="248" spans="1:4">
      <c r="A248" s="1670"/>
      <c r="B248" s="1671"/>
      <c r="D248" s="1671"/>
    </row>
    <row r="249" spans="1:4">
      <c r="A249" s="1670"/>
      <c r="B249" s="1671"/>
      <c r="D249" s="1671"/>
    </row>
    <row r="250" spans="1:4">
      <c r="A250" s="1670"/>
      <c r="B250" s="1671"/>
      <c r="D250" s="1671"/>
    </row>
    <row r="251" spans="1:4">
      <c r="A251" s="1670"/>
      <c r="B251" s="1671"/>
      <c r="D251" s="1671"/>
    </row>
    <row r="252" spans="1:4">
      <c r="A252" s="1670"/>
      <c r="B252" s="1671"/>
      <c r="D252" s="1671"/>
    </row>
    <row r="253" spans="1:4">
      <c r="A253" s="1670"/>
      <c r="B253" s="1671"/>
      <c r="D253" s="1671"/>
    </row>
    <row r="254" spans="1:4">
      <c r="A254" s="1670"/>
      <c r="B254" s="1671"/>
      <c r="D254" s="1671"/>
    </row>
    <row r="255" spans="1:4">
      <c r="A255" s="1670"/>
      <c r="B255" s="1671"/>
      <c r="D255" s="1671"/>
    </row>
    <row r="256" spans="1:4">
      <c r="A256" s="1670"/>
      <c r="B256" s="1671"/>
      <c r="D256" s="1671"/>
    </row>
    <row r="257" spans="1:4">
      <c r="A257" s="1670"/>
      <c r="B257" s="1671"/>
      <c r="D257" s="1671"/>
    </row>
    <row r="258" spans="1:4">
      <c r="A258" s="1670"/>
      <c r="B258" s="1671"/>
      <c r="D258" s="1671"/>
    </row>
    <row r="259" spans="1:4">
      <c r="A259" s="1670"/>
      <c r="B259" s="1671"/>
      <c r="D259" s="1671"/>
    </row>
    <row r="260" spans="1:4">
      <c r="A260" s="1670"/>
      <c r="B260" s="1671"/>
      <c r="D260" s="1671"/>
    </row>
    <row r="261" spans="1:4">
      <c r="A261" s="1670"/>
      <c r="B261" s="1671"/>
      <c r="D261" s="1671"/>
    </row>
    <row r="262" spans="1:4">
      <c r="A262" s="1670"/>
      <c r="B262" s="1671"/>
      <c r="D262" s="1671"/>
    </row>
    <row r="263" spans="1:4">
      <c r="A263" s="1670"/>
      <c r="B263" s="1671"/>
      <c r="D263" s="1671"/>
    </row>
    <row r="264" spans="1:4">
      <c r="A264" s="1670"/>
      <c r="B264" s="1671"/>
      <c r="D264" s="1671"/>
    </row>
    <row r="265" spans="1:4">
      <c r="A265" s="1670"/>
      <c r="B265" s="1671"/>
      <c r="D265" s="1671"/>
    </row>
    <row r="266" spans="1:4">
      <c r="A266" s="1670"/>
      <c r="B266" s="1671"/>
      <c r="D266" s="1671"/>
    </row>
    <row r="267" spans="1:4">
      <c r="A267" s="1670"/>
      <c r="B267" s="1671"/>
      <c r="D267" s="1671"/>
    </row>
    <row r="268" spans="1:4">
      <c r="A268" s="1670"/>
      <c r="B268" s="1671"/>
      <c r="D268" s="1671"/>
    </row>
    <row r="269" spans="1:4">
      <c r="A269" s="1670"/>
      <c r="B269" s="1671"/>
      <c r="D269" s="1671"/>
    </row>
    <row r="270" spans="1:4">
      <c r="A270" s="1670"/>
      <c r="B270" s="1671"/>
      <c r="D270" s="1671"/>
    </row>
    <row r="271" spans="1:4">
      <c r="A271" s="1670"/>
      <c r="B271" s="1671"/>
      <c r="D271" s="1671"/>
    </row>
    <row r="272" spans="1:4">
      <c r="A272" s="1670"/>
      <c r="B272" s="1671"/>
      <c r="D272" s="1671"/>
    </row>
    <row r="273" spans="1:4">
      <c r="A273" s="1670"/>
      <c r="B273" s="1671"/>
      <c r="D273" s="1671"/>
    </row>
    <row r="274" spans="1:4">
      <c r="A274" s="1670"/>
      <c r="B274" s="1671"/>
      <c r="D274" s="1671"/>
    </row>
    <row r="275" spans="1:4">
      <c r="A275" s="1670"/>
      <c r="B275" s="1671"/>
      <c r="D275" s="1671"/>
    </row>
    <row r="276" spans="1:4">
      <c r="A276" s="1670"/>
      <c r="B276" s="1671"/>
      <c r="D276" s="1671"/>
    </row>
    <row r="277" spans="1:4">
      <c r="A277" s="1670"/>
      <c r="B277" s="1671"/>
      <c r="D277" s="1671"/>
    </row>
    <row r="278" spans="1:4">
      <c r="A278" s="1670"/>
      <c r="B278" s="1671"/>
      <c r="D278" s="1671"/>
    </row>
    <row r="279" spans="1:4">
      <c r="A279" s="1670"/>
      <c r="B279" s="1671"/>
      <c r="D279" s="1671"/>
    </row>
    <row r="280" spans="1:4">
      <c r="A280" s="1670"/>
      <c r="B280" s="1671"/>
      <c r="D280" s="1671"/>
    </row>
    <row r="281" spans="1:4">
      <c r="A281" s="1670"/>
      <c r="B281" s="1671"/>
      <c r="D281" s="1671"/>
    </row>
    <row r="282" spans="1:4">
      <c r="A282" s="1670"/>
      <c r="B282" s="1671"/>
      <c r="D282" s="1671"/>
    </row>
    <row r="283" spans="1:4">
      <c r="A283" s="1670"/>
      <c r="B283" s="1671"/>
      <c r="D283" s="1671"/>
    </row>
    <row r="284" spans="1:4">
      <c r="A284" s="1670"/>
      <c r="B284" s="1671"/>
      <c r="D284" s="1671"/>
    </row>
    <row r="285" spans="1:4">
      <c r="A285" s="1670"/>
      <c r="B285" s="1671"/>
      <c r="D285" s="1671"/>
    </row>
    <row r="286" spans="1:4">
      <c r="A286" s="1670"/>
      <c r="B286" s="1671"/>
      <c r="D286" s="1671"/>
    </row>
    <row r="287" spans="1:4">
      <c r="A287" s="1670"/>
      <c r="B287" s="1671"/>
      <c r="D287" s="1671"/>
    </row>
    <row r="288" spans="1:4">
      <c r="A288" s="1670"/>
      <c r="B288" s="1671"/>
      <c r="D288" s="1671"/>
    </row>
    <row r="289" spans="1:4">
      <c r="A289" s="1670"/>
      <c r="B289" s="1671"/>
      <c r="D289" s="1671"/>
    </row>
    <row r="290" spans="1:4">
      <c r="A290" s="1670"/>
      <c r="B290" s="1671"/>
      <c r="D290" s="1671"/>
    </row>
    <row r="291" spans="1:4">
      <c r="A291" s="1670"/>
      <c r="B291" s="1671"/>
      <c r="D291" s="1671"/>
    </row>
    <row r="292" spans="1:4">
      <c r="A292" s="1670"/>
      <c r="B292" s="1671"/>
      <c r="D292" s="1671"/>
    </row>
    <row r="293" spans="1:4">
      <c r="A293" s="1670"/>
      <c r="B293" s="1671"/>
      <c r="D293" s="1671"/>
    </row>
    <row r="294" spans="1:4">
      <c r="A294" s="1670"/>
      <c r="B294" s="1671"/>
      <c r="D294" s="1671"/>
    </row>
    <row r="295" spans="1:4">
      <c r="A295" s="1670"/>
      <c r="B295" s="1671"/>
      <c r="D295" s="1671"/>
    </row>
    <row r="296" spans="1:4">
      <c r="A296" s="1670"/>
      <c r="B296" s="1671"/>
      <c r="D296" s="1671"/>
    </row>
    <row r="297" spans="1:4">
      <c r="A297" s="1670"/>
      <c r="B297" s="1671"/>
      <c r="D297" s="1671"/>
    </row>
    <row r="298" spans="1:4">
      <c r="A298" s="1670"/>
      <c r="B298" s="1671"/>
      <c r="D298" s="1671"/>
    </row>
    <row r="299" spans="1:4">
      <c r="A299" s="1670"/>
      <c r="B299" s="1671"/>
      <c r="D299" s="1671"/>
    </row>
    <row r="300" spans="1:4">
      <c r="A300" s="1670"/>
      <c r="B300" s="1671"/>
      <c r="D300" s="1671"/>
    </row>
    <row r="301" spans="1:4">
      <c r="A301" s="1670"/>
      <c r="B301" s="1671"/>
      <c r="D301" s="1671"/>
    </row>
    <row r="302" spans="1:4">
      <c r="A302" s="1670"/>
      <c r="B302" s="1671"/>
      <c r="D302" s="1671"/>
    </row>
    <row r="303" spans="1:4">
      <c r="A303" s="1670"/>
      <c r="B303" s="1671"/>
      <c r="D303" s="1671"/>
    </row>
    <row r="304" spans="1:4">
      <c r="A304" s="1670"/>
      <c r="B304" s="1671"/>
      <c r="D304" s="1671"/>
    </row>
    <row r="305" spans="1:4">
      <c r="A305" s="1670"/>
      <c r="B305" s="1671"/>
      <c r="D305" s="1671"/>
    </row>
    <row r="306" spans="1:4">
      <c r="A306" s="1670"/>
      <c r="B306" s="1671"/>
      <c r="D306" s="1671"/>
    </row>
    <row r="307" spans="1:4">
      <c r="A307" s="1670"/>
      <c r="B307" s="1671"/>
      <c r="D307" s="1671"/>
    </row>
    <row r="308" spans="1:4">
      <c r="A308" s="1670"/>
      <c r="B308" s="1671"/>
      <c r="D308" s="1671"/>
    </row>
    <row r="309" spans="1:4">
      <c r="A309" s="1670"/>
      <c r="B309" s="1671"/>
      <c r="D309" s="1671"/>
    </row>
    <row r="310" spans="1:4">
      <c r="A310" s="1670"/>
      <c r="B310" s="1671"/>
      <c r="D310" s="1671"/>
    </row>
    <row r="311" spans="1:4">
      <c r="A311" s="1670"/>
      <c r="B311" s="1671"/>
      <c r="D311" s="1671"/>
    </row>
    <row r="312" spans="1:4">
      <c r="A312" s="1670"/>
      <c r="B312" s="1671"/>
      <c r="D312" s="1671"/>
    </row>
    <row r="313" spans="1:4">
      <c r="A313" s="1670"/>
      <c r="B313" s="1671"/>
      <c r="D313" s="1671"/>
    </row>
    <row r="314" spans="1:4">
      <c r="A314" s="1670"/>
      <c r="B314" s="1671"/>
      <c r="D314" s="1671"/>
    </row>
    <row r="315" spans="1:4">
      <c r="A315" s="1670"/>
      <c r="B315" s="1671"/>
      <c r="D315" s="1671"/>
    </row>
    <row r="316" spans="1:4">
      <c r="A316" s="1670"/>
      <c r="B316" s="1671"/>
      <c r="D316" s="1671"/>
    </row>
    <row r="317" spans="1:4">
      <c r="A317" s="1670"/>
      <c r="B317" s="1671"/>
      <c r="D317" s="1671"/>
    </row>
    <row r="318" spans="1:4">
      <c r="A318" s="1670"/>
      <c r="B318" s="1671"/>
      <c r="D318" s="1671"/>
    </row>
    <row r="319" spans="1:4">
      <c r="A319" s="1670"/>
      <c r="B319" s="1671"/>
      <c r="D319" s="1671"/>
    </row>
    <row r="320" spans="1:4">
      <c r="A320" s="1670"/>
      <c r="B320" s="1671"/>
      <c r="D320" s="1671"/>
    </row>
    <row r="321" spans="1:4">
      <c r="A321" s="1670"/>
      <c r="B321" s="1671"/>
      <c r="D321" s="1671"/>
    </row>
    <row r="322" spans="1:4">
      <c r="A322" s="1670"/>
      <c r="B322" s="1671"/>
      <c r="D322" s="1671"/>
    </row>
    <row r="323" spans="1:4">
      <c r="A323" s="1670"/>
      <c r="B323" s="1671"/>
      <c r="D323" s="1671"/>
    </row>
    <row r="324" spans="1:4">
      <c r="A324" s="1670"/>
      <c r="B324" s="1671"/>
      <c r="D324" s="1671"/>
    </row>
    <row r="325" spans="1:4">
      <c r="A325" s="1670"/>
      <c r="B325" s="1671"/>
      <c r="D325" s="1671"/>
    </row>
    <row r="326" spans="1:4">
      <c r="A326" s="1670"/>
      <c r="B326" s="1671"/>
      <c r="D326" s="1671"/>
    </row>
    <row r="327" spans="1:4">
      <c r="A327" s="1670"/>
      <c r="B327" s="1671"/>
      <c r="D327" s="1671"/>
    </row>
    <row r="328" spans="1:4">
      <c r="A328" s="1670"/>
      <c r="B328" s="1671"/>
      <c r="D328" s="1671"/>
    </row>
    <row r="329" spans="1:4">
      <c r="A329" s="1670"/>
      <c r="B329" s="1671"/>
      <c r="D329" s="1671"/>
    </row>
    <row r="330" spans="1:4">
      <c r="A330" s="1670"/>
      <c r="B330" s="1671"/>
      <c r="D330" s="1671"/>
    </row>
    <row r="331" spans="1:4">
      <c r="A331" s="1670"/>
      <c r="B331" s="1671"/>
      <c r="D331" s="1671"/>
    </row>
    <row r="332" spans="1:4">
      <c r="A332" s="1670"/>
      <c r="B332" s="1671"/>
      <c r="D332" s="1671"/>
    </row>
    <row r="333" spans="1:4">
      <c r="A333" s="1670"/>
      <c r="B333" s="1671"/>
      <c r="D333" s="1671"/>
    </row>
    <row r="334" spans="1:4">
      <c r="A334" s="1670"/>
      <c r="B334" s="1671"/>
      <c r="D334" s="1671"/>
    </row>
    <row r="335" spans="1:4">
      <c r="A335" s="1670"/>
      <c r="B335" s="1671"/>
      <c r="D335" s="1671"/>
    </row>
    <row r="336" spans="1:4">
      <c r="A336" s="1670"/>
      <c r="B336" s="1671"/>
      <c r="D336" s="1671"/>
    </row>
    <row r="337" spans="1:4">
      <c r="A337" s="1670"/>
      <c r="B337" s="1671"/>
      <c r="D337" s="1671"/>
    </row>
    <row r="338" spans="1:4">
      <c r="A338" s="1670"/>
      <c r="B338" s="1671"/>
      <c r="D338" s="1671"/>
    </row>
    <row r="339" spans="1:4">
      <c r="A339" s="1670"/>
      <c r="B339" s="1671"/>
      <c r="D339" s="1671"/>
    </row>
    <row r="340" spans="1:4">
      <c r="A340" s="1670"/>
      <c r="B340" s="1671"/>
      <c r="D340" s="1671"/>
    </row>
    <row r="341" spans="1:4">
      <c r="A341" s="1670"/>
      <c r="B341" s="1671"/>
      <c r="D341" s="1671"/>
    </row>
    <row r="342" spans="1:4">
      <c r="A342" s="1670"/>
      <c r="B342" s="1671"/>
      <c r="D342" s="1671"/>
    </row>
    <row r="343" spans="1:4">
      <c r="A343" s="1670"/>
      <c r="B343" s="1671"/>
      <c r="D343" s="1671"/>
    </row>
    <row r="344" spans="1:4">
      <c r="A344" s="1670"/>
      <c r="B344" s="1671"/>
      <c r="D344" s="1671"/>
    </row>
    <row r="345" spans="1:4">
      <c r="A345" s="1670"/>
      <c r="B345" s="1671"/>
      <c r="D345" s="1671"/>
    </row>
    <row r="346" spans="1:4">
      <c r="A346" s="1670"/>
      <c r="B346" s="1671"/>
      <c r="D346" s="1671"/>
    </row>
    <row r="347" spans="1:4">
      <c r="A347" s="1670"/>
      <c r="B347" s="1671"/>
      <c r="D347" s="1671"/>
    </row>
    <row r="348" spans="1:4">
      <c r="A348" s="1670"/>
      <c r="B348" s="1671"/>
      <c r="D348" s="1671"/>
    </row>
    <row r="349" spans="1:4">
      <c r="A349" s="1670"/>
      <c r="B349" s="1671"/>
      <c r="D349" s="1671"/>
    </row>
    <row r="350" spans="1:4">
      <c r="A350" s="1670"/>
      <c r="B350" s="1671"/>
      <c r="D350" s="1671"/>
    </row>
    <row r="351" spans="1:4">
      <c r="A351" s="1670"/>
      <c r="B351" s="1671"/>
      <c r="D351" s="1671"/>
    </row>
    <row r="352" spans="1:4">
      <c r="A352" s="1670"/>
      <c r="B352" s="1671"/>
      <c r="D352" s="1671"/>
    </row>
    <row r="353" spans="1:6">
      <c r="A353" s="1670"/>
      <c r="B353" s="1671"/>
      <c r="D353" s="1671"/>
    </row>
    <row r="354" spans="1:6">
      <c r="A354" s="1670"/>
      <c r="B354" s="1671"/>
      <c r="D354" s="1671"/>
    </row>
    <row r="355" spans="1:6">
      <c r="A355" s="1670"/>
      <c r="B355" s="1671"/>
      <c r="D355" s="1671"/>
    </row>
    <row r="356" spans="1:6">
      <c r="A356" s="1670"/>
      <c r="B356" s="1671"/>
      <c r="D356" s="1671"/>
    </row>
    <row r="357" spans="1:6">
      <c r="A357" s="1670"/>
      <c r="B357" s="1671"/>
      <c r="D357" s="1671"/>
    </row>
    <row r="358" spans="1:6">
      <c r="A358" s="1670"/>
      <c r="B358" s="1671"/>
      <c r="D358" s="1671"/>
    </row>
    <row r="359" spans="1:6">
      <c r="A359" s="1670"/>
      <c r="B359" s="1671"/>
      <c r="D359" s="1671"/>
      <c r="F359" s="1671"/>
    </row>
    <row r="360" spans="1:6">
      <c r="A360" s="1670"/>
      <c r="B360" s="1671"/>
      <c r="D360" s="1671"/>
    </row>
    <row r="361" spans="1:6">
      <c r="A361" s="1670"/>
      <c r="B361" s="1671"/>
      <c r="D361" s="1671"/>
    </row>
    <row r="362" spans="1:6">
      <c r="A362" s="1670"/>
      <c r="B362" s="1671"/>
      <c r="D362" s="1671"/>
    </row>
    <row r="363" spans="1:6">
      <c r="A363" s="1670"/>
      <c r="B363" s="1671"/>
      <c r="D363" s="1671"/>
    </row>
    <row r="364" spans="1:6">
      <c r="A364" s="1670"/>
      <c r="B364" s="1671"/>
      <c r="D364" s="1671"/>
    </row>
    <row r="365" spans="1:6">
      <c r="A365" s="1670"/>
      <c r="B365" s="1671"/>
      <c r="D365" s="1671"/>
    </row>
    <row r="366" spans="1:6">
      <c r="A366" s="1670"/>
      <c r="B366" s="1671"/>
      <c r="D366" s="1671"/>
    </row>
    <row r="367" spans="1:6">
      <c r="A367" s="1670"/>
      <c r="B367" s="1671"/>
      <c r="D367" s="1671"/>
    </row>
    <row r="368" spans="1:6">
      <c r="A368" s="1670"/>
      <c r="B368" s="1671"/>
      <c r="D368" s="1671"/>
    </row>
    <row r="369" spans="1:4">
      <c r="A369" s="1670"/>
      <c r="B369" s="1671"/>
      <c r="D369" s="1671"/>
    </row>
    <row r="370" spans="1:4">
      <c r="A370" s="1670"/>
      <c r="B370" s="1671"/>
      <c r="D370" s="1671"/>
    </row>
    <row r="371" spans="1:4">
      <c r="A371" s="1670"/>
      <c r="B371" s="1671"/>
      <c r="D371" s="1671"/>
    </row>
    <row r="372" spans="1:4">
      <c r="A372" s="1670"/>
      <c r="B372" s="1671"/>
      <c r="D372" s="1671"/>
    </row>
    <row r="373" spans="1:4">
      <c r="A373" s="1670"/>
      <c r="B373" s="1671"/>
      <c r="D373" s="1671"/>
    </row>
    <row r="374" spans="1:4">
      <c r="A374" s="1670"/>
      <c r="B374" s="1671"/>
      <c r="D374" s="1671"/>
    </row>
    <row r="375" spans="1:4">
      <c r="A375" s="1670"/>
      <c r="B375" s="1671"/>
      <c r="D375" s="1671"/>
    </row>
    <row r="376" spans="1:4">
      <c r="A376" s="1670"/>
      <c r="B376" s="1671"/>
      <c r="D376" s="1671"/>
    </row>
    <row r="377" spans="1:4">
      <c r="A377" s="1670"/>
      <c r="B377" s="1671"/>
      <c r="D377" s="1671"/>
    </row>
    <row r="378" spans="1:4">
      <c r="A378" s="1670"/>
      <c r="B378" s="1671"/>
      <c r="D378" s="1671"/>
    </row>
    <row r="379" spans="1:4">
      <c r="A379" s="1670"/>
      <c r="B379" s="1671"/>
      <c r="D379" s="1671"/>
    </row>
    <row r="380" spans="1:4">
      <c r="A380" s="1670"/>
      <c r="B380" s="1671"/>
      <c r="D380" s="1671"/>
    </row>
    <row r="381" spans="1:4">
      <c r="A381" s="1670"/>
      <c r="B381" s="1671"/>
      <c r="D381" s="1671"/>
    </row>
    <row r="382" spans="1:4">
      <c r="A382" s="1670"/>
      <c r="B382" s="1671"/>
      <c r="D382" s="1671"/>
    </row>
    <row r="383" spans="1:4">
      <c r="A383" s="1670"/>
      <c r="B383" s="1671"/>
      <c r="D383" s="1671"/>
    </row>
    <row r="384" spans="1:4">
      <c r="A384" s="1670"/>
      <c r="B384" s="1671"/>
      <c r="D384" s="1671"/>
    </row>
    <row r="385" spans="1:4">
      <c r="A385" s="1670"/>
      <c r="B385" s="1671"/>
      <c r="D385" s="1671"/>
    </row>
    <row r="386" spans="1:4">
      <c r="A386" s="1670"/>
      <c r="B386" s="1671"/>
      <c r="D386" s="1671"/>
    </row>
    <row r="387" spans="1:4">
      <c r="A387" s="1670"/>
      <c r="B387" s="1671"/>
      <c r="D387" s="1671"/>
    </row>
    <row r="388" spans="1:4">
      <c r="A388" s="1670"/>
      <c r="B388" s="1671"/>
      <c r="D388" s="1671"/>
    </row>
    <row r="389" spans="1:4">
      <c r="A389" s="1670"/>
      <c r="B389" s="1671"/>
      <c r="D389" s="1671"/>
    </row>
    <row r="390" spans="1:4">
      <c r="A390" s="1670"/>
      <c r="B390" s="1671"/>
      <c r="D390" s="1671"/>
    </row>
    <row r="391" spans="1:4">
      <c r="A391" s="1670"/>
      <c r="B391" s="1671"/>
      <c r="D391" s="1671"/>
    </row>
    <row r="392" spans="1:4">
      <c r="A392" s="1670"/>
      <c r="B392" s="1671"/>
      <c r="D392" s="1671"/>
    </row>
    <row r="393" spans="1:4">
      <c r="A393" s="1670"/>
      <c r="B393" s="1671"/>
      <c r="D393" s="1671"/>
    </row>
    <row r="394" spans="1:4">
      <c r="A394" s="1670"/>
      <c r="B394" s="1671"/>
      <c r="D394" s="1671"/>
    </row>
    <row r="395" spans="1:4">
      <c r="A395" s="1670"/>
      <c r="B395" s="1671"/>
      <c r="D395" s="1671"/>
    </row>
    <row r="396" spans="1:4">
      <c r="A396" s="1670"/>
      <c r="B396" s="1671"/>
      <c r="D396" s="1671"/>
    </row>
    <row r="397" spans="1:4">
      <c r="A397" s="1670"/>
      <c r="B397" s="1671"/>
      <c r="D397" s="1671"/>
    </row>
    <row r="398" spans="1:4">
      <c r="A398" s="1670"/>
      <c r="B398" s="1671"/>
      <c r="D398" s="1671"/>
    </row>
  </sheetData>
  <sheetProtection formatColumns="0" formatRows="0"/>
  <conditionalFormatting sqref="J138:J146 J152:J158 J165:J173 J117 J119:J125 J64:J72 J41:J47 J25:J36 F25:F36 J114 F165:F173 F152:F158 F138 F114 F117 F119:F125 F64:F72 F41:F47 A25:B36 A41:B47 A64:B72 A114:B114 A117:B117 A119:B125 A138:B146 A152:B158 A165:B173 A180:B182 F140:F144 F146 J74:J77 A98:B98 J89:J92 F89:F92 F98 J98 B183:B184 F180:F184 J180:J184 A74:B77 A89:B92 A94:B94 F94 J94 J96 F96 A96:B96 A79:B79 J79 F74:F77 F79">
    <cfRule type="expression" dxfId="180" priority="120">
      <formula>IF($J$9&lt;&gt;0,ABS($J25)&gt;$J$9)</formula>
    </cfRule>
  </conditionalFormatting>
  <conditionalFormatting sqref="K138:K146 K152:K158 K165:K173 K114 K117 K119:K125 K64:K72 K41:K47 K25:K36 F25:F36 F41:F47 F64:F72 F114 F117 F119:F125 F138 F152:F158 F165:F173 A64:B72 A114:B114 A117:B117 A119:B125 A41:B47 A25:B36 A138:B146 A152:B158 A165:B173 A180:B182 F140:F144 F146 K74:K77 A98:B98 K89:K92 F89:F92 F98 K98 B183:B184 F180:F184 K180:K184 A74:B77 A89:B92 A94:B94 F94 K94 K96 F96 A96:B96 A79:B79 K79 F74:F77 F79">
    <cfRule type="expression" dxfId="179" priority="121">
      <formula>IF($J$10&lt;&gt;0,ABS($K25)&gt;$J$10)</formula>
    </cfRule>
  </conditionalFormatting>
  <conditionalFormatting sqref="J25:J36 F25:F36 F41:F47 J41:J47 F64:F72 J64:J72 J114 J117 J119:J125 F114 F117 F119:F125 B117 B119:B125 A117:A125 A114:B114 A64:B72 A41:B47 A25:B36 J74:J77 A98:B98 F89:F92 J89:J92 J98 F98 A74:B77 A89:B92 A94:B94 J94 F94 F96 J96 A96:B96 A79:B79 J79 F74:F77 F79">
    <cfRule type="expression" dxfId="178" priority="119">
      <formula>IF($K$15&lt;&gt;0,ABS($J25)&gt;$M$15,)</formula>
    </cfRule>
  </conditionalFormatting>
  <conditionalFormatting sqref="J138:J146 F138 F152:F158 A152:B158 A138:B146 J152:J158 J165:J173 F165:F173 A180:B182 A165:B173 F140:F144 F146 B183:B184 F180:F184 J180:J184">
    <cfRule type="expression" dxfId="177" priority="118">
      <formula>IF($K$16&lt;&gt;0,ABS($J138)&gt;$M$16,)</formula>
    </cfRule>
  </conditionalFormatting>
  <conditionalFormatting sqref="F81 A81:B81 J81">
    <cfRule type="expression" dxfId="176" priority="113">
      <formula>IF($J$9&lt;&gt;0,ABS($J81)&gt;$J$9)</formula>
    </cfRule>
  </conditionalFormatting>
  <conditionalFormatting sqref="F81 A81:B81 K81">
    <cfRule type="expression" dxfId="175" priority="114">
      <formula>IF($J$10&lt;&gt;0,ABS($K81)&gt;$J$10)</formula>
    </cfRule>
  </conditionalFormatting>
  <conditionalFormatting sqref="F81 A81:B81 J81">
    <cfRule type="expression" dxfId="174" priority="112">
      <formula>IF($K$15&lt;&gt;0,ABS($J81)&gt;$M$15,)</formula>
    </cfRule>
  </conditionalFormatting>
  <conditionalFormatting sqref="D98">
    <cfRule type="expression" dxfId="173" priority="107">
      <formula>IF($J$9&lt;&gt;0,ABS($J98)&gt;$J$9)</formula>
    </cfRule>
  </conditionalFormatting>
  <conditionalFormatting sqref="D98">
    <cfRule type="expression" dxfId="172" priority="108">
      <formula>IF($J$10&lt;&gt;0,ABS($K98)&gt;$J$10)</formula>
    </cfRule>
  </conditionalFormatting>
  <conditionalFormatting sqref="D98">
    <cfRule type="expression" dxfId="171" priority="106">
      <formula>IF($K$15&lt;&gt;0,ABS($J98)&gt;$M$15,)</formula>
    </cfRule>
  </conditionalFormatting>
  <conditionalFormatting sqref="D81">
    <cfRule type="expression" dxfId="170" priority="110">
      <formula>IF($J$9&lt;&gt;0,ABS($J81)&gt;$J$9)</formula>
    </cfRule>
  </conditionalFormatting>
  <conditionalFormatting sqref="D81">
    <cfRule type="expression" dxfId="169" priority="111">
      <formula>IF($J$10&lt;&gt;0,ABS($K81)&gt;$J$10)</formula>
    </cfRule>
  </conditionalFormatting>
  <conditionalFormatting sqref="D81">
    <cfRule type="expression" dxfId="168" priority="109">
      <formula>IF($K$15&lt;&gt;0,ABS($J81)&gt;$M$15,)</formula>
    </cfRule>
  </conditionalFormatting>
  <conditionalFormatting sqref="H106">
    <cfRule type="expression" dxfId="167" priority="82">
      <formula>IF($K$15&lt;&gt;0,ABS($J106)&gt;$M$15,)</formula>
    </cfRule>
  </conditionalFormatting>
  <conditionalFormatting sqref="H106">
    <cfRule type="expression" dxfId="166" priority="83">
      <formula>IF($J$9&lt;&gt;0,ABS($J106)&gt;$J$9)</formula>
    </cfRule>
  </conditionalFormatting>
  <conditionalFormatting sqref="H106">
    <cfRule type="expression" dxfId="165" priority="84">
      <formula>IF($J$10&lt;&gt;0,ABS($K106)&gt;$J$10)</formula>
    </cfRule>
  </conditionalFormatting>
  <conditionalFormatting sqref="H64:H72">
    <cfRule type="expression" dxfId="164" priority="101">
      <formula>IF($J$9&lt;&gt;0,ABS($J64)&gt;$J$9)</formula>
    </cfRule>
  </conditionalFormatting>
  <conditionalFormatting sqref="H64:H72">
    <cfRule type="expression" dxfId="163" priority="102">
      <formula>IF($J$10&lt;&gt;0,ABS($K64)&gt;$J$10)</formula>
    </cfRule>
  </conditionalFormatting>
  <conditionalFormatting sqref="H64:H72">
    <cfRule type="expression" dxfId="162" priority="100">
      <formula>IF($K$15&lt;&gt;0,ABS($J64)&gt;$M$15,)</formula>
    </cfRule>
  </conditionalFormatting>
  <conditionalFormatting sqref="J54 F54 B54">
    <cfRule type="expression" dxfId="161" priority="98">
      <formula>IF($J$9&lt;&gt;0,ABS($J54)&gt;$J$9)</formula>
    </cfRule>
  </conditionalFormatting>
  <conditionalFormatting sqref="K54 F54 B54">
    <cfRule type="expression" dxfId="160" priority="99">
      <formula>IF($J$10&lt;&gt;0,ABS($K54)&gt;$J$10)</formula>
    </cfRule>
  </conditionalFormatting>
  <conditionalFormatting sqref="F54 J54 B54">
    <cfRule type="expression" dxfId="159" priority="97">
      <formula>IF($K$15&lt;&gt;0,ABS($J54)&gt;$M$15,)</formula>
    </cfRule>
  </conditionalFormatting>
  <conditionalFormatting sqref="J56 F56 B56">
    <cfRule type="expression" dxfId="158" priority="95">
      <formula>IF($J$9&lt;&gt;0,ABS($J56)&gt;$J$9)</formula>
    </cfRule>
  </conditionalFormatting>
  <conditionalFormatting sqref="K56 F56 B56">
    <cfRule type="expression" dxfId="157" priority="96">
      <formula>IF($J$10&lt;&gt;0,ABS($K56)&gt;$J$10)</formula>
    </cfRule>
  </conditionalFormatting>
  <conditionalFormatting sqref="F56 J56 B56">
    <cfRule type="expression" dxfId="156" priority="94">
      <formula>IF($K$15&lt;&gt;0,ABS($J56)&gt;$M$15,)</formula>
    </cfRule>
  </conditionalFormatting>
  <conditionalFormatting sqref="J106 F106 B106">
    <cfRule type="expression" dxfId="155" priority="92">
      <formula>IF($J$9&lt;&gt;0,ABS($J106)&gt;$J$9)</formula>
    </cfRule>
  </conditionalFormatting>
  <conditionalFormatting sqref="K106 F106 B106">
    <cfRule type="expression" dxfId="154" priority="93">
      <formula>IF($J$10&lt;&gt;0,ABS($K106)&gt;$J$10)</formula>
    </cfRule>
  </conditionalFormatting>
  <conditionalFormatting sqref="F106 J106 B106">
    <cfRule type="expression" dxfId="153" priority="91">
      <formula>IF($K$15&lt;&gt;0,ABS($J106)&gt;$M$15,)</formula>
    </cfRule>
  </conditionalFormatting>
  <conditionalFormatting sqref="F108 J108 B108">
    <cfRule type="expression" dxfId="152" priority="89">
      <formula>IF($J$9&lt;&gt;0,ABS($J108)&gt;$J$9)</formula>
    </cfRule>
  </conditionalFormatting>
  <conditionalFormatting sqref="F108 K108 B108">
    <cfRule type="expression" dxfId="151" priority="90">
      <formula>IF($J$10&lt;&gt;0,ABS($K108)&gt;$J$10)</formula>
    </cfRule>
  </conditionalFormatting>
  <conditionalFormatting sqref="F108 J108 B108">
    <cfRule type="expression" dxfId="150" priority="88">
      <formula>IF($K$15&lt;&gt;0,ABS($J108)&gt;$M$15,)</formula>
    </cfRule>
  </conditionalFormatting>
  <conditionalFormatting sqref="J60 F60">
    <cfRule type="expression" dxfId="149" priority="77">
      <formula>IF($J$9&lt;&gt;0,ABS($J60)&gt;$J$9)</formula>
    </cfRule>
  </conditionalFormatting>
  <conditionalFormatting sqref="K60 F60">
    <cfRule type="expression" dxfId="148" priority="78">
      <formula>IF($J$10&lt;&gt;0,ABS($K60)&gt;$J$10)</formula>
    </cfRule>
  </conditionalFormatting>
  <conditionalFormatting sqref="F60 J60">
    <cfRule type="expression" dxfId="147" priority="76">
      <formula>IF($K$15&lt;&gt;0,ABS($J60)&gt;$M$15,)</formula>
    </cfRule>
  </conditionalFormatting>
  <conditionalFormatting sqref="B60">
    <cfRule type="expression" dxfId="146" priority="80">
      <formula>IF($J$9&lt;&gt;0,ABS($J60)&gt;$J$9)</formula>
    </cfRule>
  </conditionalFormatting>
  <conditionalFormatting sqref="B60">
    <cfRule type="expression" dxfId="145" priority="81">
      <formula>IF($J$10&lt;&gt;0,ABS($K60)&gt;$J$10)</formula>
    </cfRule>
  </conditionalFormatting>
  <conditionalFormatting sqref="B60">
    <cfRule type="expression" dxfId="144" priority="79">
      <formula>IF($K$15&lt;&gt;0,ABS($J60)&gt;$M$15,)</formula>
    </cfRule>
  </conditionalFormatting>
  <conditionalFormatting sqref="B110 F110 J110">
    <cfRule type="expression" dxfId="143" priority="71">
      <formula>IF($J$9&lt;&gt;0,ABS($J110)&gt;$J$9)</formula>
    </cfRule>
  </conditionalFormatting>
  <conditionalFormatting sqref="B110 F110 K110">
    <cfRule type="expression" dxfId="142" priority="72">
      <formula>IF($J$10&lt;&gt;0,ABS($K110)&gt;$J$10)</formula>
    </cfRule>
  </conditionalFormatting>
  <conditionalFormatting sqref="B110 F110 J110">
    <cfRule type="expression" dxfId="141" priority="70">
      <formula>IF($K$15&lt;&gt;0,ABS($J110)&gt;$M$15,)</formula>
    </cfRule>
  </conditionalFormatting>
  <conditionalFormatting sqref="F83 B83 J83">
    <cfRule type="expression" dxfId="140" priority="62">
      <formula>IF($J$9&lt;&gt;0,ABS($J83)&gt;$J$9)</formula>
    </cfRule>
  </conditionalFormatting>
  <conditionalFormatting sqref="F83 B83 K83">
    <cfRule type="expression" dxfId="139" priority="63">
      <formula>IF($J$10&lt;&gt;0,ABS($K83)&gt;$J$10)</formula>
    </cfRule>
  </conditionalFormatting>
  <conditionalFormatting sqref="F83 B83 J83">
    <cfRule type="expression" dxfId="138" priority="61">
      <formula>IF($K$15&lt;&gt;0,ABS($J83)&gt;$M$15,)</formula>
    </cfRule>
  </conditionalFormatting>
  <conditionalFormatting sqref="A56">
    <cfRule type="expression" dxfId="137" priority="53">
      <formula>IF($J$9&lt;&gt;0,ABS($J56)&gt;$J$9)</formula>
    </cfRule>
  </conditionalFormatting>
  <conditionalFormatting sqref="A56">
    <cfRule type="expression" dxfId="136" priority="54">
      <formula>IF($J$10&lt;&gt;0,ABS($K56)&gt;$J$10)</formula>
    </cfRule>
  </conditionalFormatting>
  <conditionalFormatting sqref="A56">
    <cfRule type="expression" dxfId="135" priority="52">
      <formula>IF($K$15&lt;&gt;0,ABS($J56)&gt;$M$15,)</formula>
    </cfRule>
  </conditionalFormatting>
  <conditionalFormatting sqref="A54">
    <cfRule type="expression" dxfId="134" priority="56">
      <formula>IF($J$9&lt;&gt;0,ABS($J54)&gt;$J$9)</formula>
    </cfRule>
  </conditionalFormatting>
  <conditionalFormatting sqref="A54">
    <cfRule type="expression" dxfId="133" priority="57">
      <formula>IF($J$10&lt;&gt;0,ABS($K54)&gt;$J$10)</formula>
    </cfRule>
  </conditionalFormatting>
  <conditionalFormatting sqref="A54">
    <cfRule type="expression" dxfId="132" priority="55">
      <formula>IF($K$15&lt;&gt;0,ABS($J54)&gt;$M$15,)</formula>
    </cfRule>
  </conditionalFormatting>
  <conditionalFormatting sqref="A60">
    <cfRule type="expression" dxfId="131" priority="50">
      <formula>IF($J$9&lt;&gt;0,ABS($J60)&gt;$J$9)</formula>
    </cfRule>
  </conditionalFormatting>
  <conditionalFormatting sqref="A60">
    <cfRule type="expression" dxfId="130" priority="51">
      <formula>IF($J$10&lt;&gt;0,ABS($K60)&gt;$J$10)</formula>
    </cfRule>
  </conditionalFormatting>
  <conditionalFormatting sqref="A60">
    <cfRule type="expression" dxfId="129" priority="49">
      <formula>IF($K$15&lt;&gt;0,ABS($J60)&gt;$M$15,)</formula>
    </cfRule>
  </conditionalFormatting>
  <conditionalFormatting sqref="A106">
    <cfRule type="expression" dxfId="128" priority="44">
      <formula>IF($J$9&lt;&gt;0,ABS($J106)&gt;$J$9)</formula>
    </cfRule>
  </conditionalFormatting>
  <conditionalFormatting sqref="A106">
    <cfRule type="expression" dxfId="127" priority="45">
      <formula>IF($J$10&lt;&gt;0,ABS($K106)&gt;$J$10)</formula>
    </cfRule>
  </conditionalFormatting>
  <conditionalFormatting sqref="A106">
    <cfRule type="expression" dxfId="126" priority="43">
      <formula>IF($K$15&lt;&gt;0,ABS($J106)&gt;$M$15,)</formula>
    </cfRule>
  </conditionalFormatting>
  <conditionalFormatting sqref="A108">
    <cfRule type="expression" dxfId="125" priority="41">
      <formula>IF($J$9&lt;&gt;0,ABS($J108)&gt;$J$9)</formula>
    </cfRule>
  </conditionalFormatting>
  <conditionalFormatting sqref="A108">
    <cfRule type="expression" dxfId="124" priority="42">
      <formula>IF($J$10&lt;&gt;0,ABS($K108)&gt;$J$10)</formula>
    </cfRule>
  </conditionalFormatting>
  <conditionalFormatting sqref="A108">
    <cfRule type="expression" dxfId="123" priority="40">
      <formula>IF($K$15&lt;&gt;0,ABS($J108)&gt;$M$15,)</formula>
    </cfRule>
  </conditionalFormatting>
  <conditionalFormatting sqref="A110">
    <cfRule type="expression" dxfId="122" priority="38">
      <formula>IF($J$9&lt;&gt;0,ABS($J110)&gt;$J$9)</formula>
    </cfRule>
  </conditionalFormatting>
  <conditionalFormatting sqref="A110">
    <cfRule type="expression" dxfId="121" priority="39">
      <formula>IF($J$10&lt;&gt;0,ABS($K110)&gt;$J$10)</formula>
    </cfRule>
  </conditionalFormatting>
  <conditionalFormatting sqref="A110">
    <cfRule type="expression" dxfId="120" priority="37">
      <formula>IF($K$15&lt;&gt;0,ABS($J110)&gt;$M$15,)</formula>
    </cfRule>
  </conditionalFormatting>
  <conditionalFormatting sqref="J58 F58 B58">
    <cfRule type="expression" dxfId="119" priority="35">
      <formula>IF($J$9&lt;&gt;0,ABS($J58)&gt;$J$9)</formula>
    </cfRule>
  </conditionalFormatting>
  <conditionalFormatting sqref="K58 F58 B58">
    <cfRule type="expression" dxfId="118" priority="36">
      <formula>IF($J$10&lt;&gt;0,ABS($K58)&gt;$J$10)</formula>
    </cfRule>
  </conditionalFormatting>
  <conditionalFormatting sqref="F58 J58 B58">
    <cfRule type="expression" dxfId="117" priority="34">
      <formula>IF($K$15&lt;&gt;0,ABS($J58)&gt;$M$15,)</formula>
    </cfRule>
  </conditionalFormatting>
  <conditionalFormatting sqref="A58">
    <cfRule type="expression" dxfId="116" priority="32">
      <formula>IF($J$9&lt;&gt;0,ABS($J58)&gt;$J$9)</formula>
    </cfRule>
  </conditionalFormatting>
  <conditionalFormatting sqref="A58">
    <cfRule type="expression" dxfId="115" priority="33">
      <formula>IF($J$10&lt;&gt;0,ABS($K58)&gt;$J$10)</formula>
    </cfRule>
  </conditionalFormatting>
  <conditionalFormatting sqref="A58">
    <cfRule type="expression" dxfId="114" priority="31">
      <formula>IF($K$15&lt;&gt;0,ABS($J58)&gt;$M$15,)</formula>
    </cfRule>
  </conditionalFormatting>
  <conditionalFormatting sqref="J93 F93 A93:B93">
    <cfRule type="expression" dxfId="113" priority="29">
      <formula>IF($J$9&lt;&gt;0,ABS($J93)&gt;$J$9)</formula>
    </cfRule>
  </conditionalFormatting>
  <conditionalFormatting sqref="K93 F93 A93:B93">
    <cfRule type="expression" dxfId="112" priority="30">
      <formula>IF($J$10&lt;&gt;0,ABS($K93)&gt;$J$10)</formula>
    </cfRule>
  </conditionalFormatting>
  <conditionalFormatting sqref="F93 J93 A93:B93">
    <cfRule type="expression" dxfId="111" priority="28">
      <formula>IF($K$15&lt;&gt;0,ABS($J93)&gt;$M$15,)</formula>
    </cfRule>
  </conditionalFormatting>
  <conditionalFormatting sqref="J95 F95 A95:B95">
    <cfRule type="expression" dxfId="110" priority="26">
      <formula>IF($J$9&lt;&gt;0,ABS($J95)&gt;$J$9)</formula>
    </cfRule>
  </conditionalFormatting>
  <conditionalFormatting sqref="K95 F95 A95:B95">
    <cfRule type="expression" dxfId="109" priority="27">
      <formula>IF($J$10&lt;&gt;0,ABS($K95)&gt;$J$10)</formula>
    </cfRule>
  </conditionalFormatting>
  <conditionalFormatting sqref="F95 J95 A95:B95">
    <cfRule type="expression" dxfId="108" priority="25">
      <formula>IF($K$15&lt;&gt;0,ABS($J95)&gt;$M$15,)</formula>
    </cfRule>
  </conditionalFormatting>
  <conditionalFormatting sqref="J97 F97 A97:B97">
    <cfRule type="expression" dxfId="107" priority="23">
      <formula>IF($J$9&lt;&gt;0,ABS($J97)&gt;$J$9)</formula>
    </cfRule>
  </conditionalFormatting>
  <conditionalFormatting sqref="K97 F97 A97:B97">
    <cfRule type="expression" dxfId="106" priority="24">
      <formula>IF($J$10&lt;&gt;0,ABS($K97)&gt;$J$10)</formula>
    </cfRule>
  </conditionalFormatting>
  <conditionalFormatting sqref="F97 J97 A97:B97">
    <cfRule type="expression" dxfId="105" priority="22">
      <formula>IF($K$15&lt;&gt;0,ABS($J97)&gt;$M$15,)</formula>
    </cfRule>
  </conditionalFormatting>
  <conditionalFormatting sqref="J99 F99 A99:B99">
    <cfRule type="expression" dxfId="104" priority="20">
      <formula>IF($J$9&lt;&gt;0,ABS($J99)&gt;$J$9)</formula>
    </cfRule>
  </conditionalFormatting>
  <conditionalFormatting sqref="K99 F99 A99:B99">
    <cfRule type="expression" dxfId="103" priority="21">
      <formula>IF($J$10&lt;&gt;0,ABS($K99)&gt;$J$10)</formula>
    </cfRule>
  </conditionalFormatting>
  <conditionalFormatting sqref="F99 J99 A99:B99">
    <cfRule type="expression" dxfId="102" priority="19">
      <formula>IF($K$15&lt;&gt;0,ABS($J99)&gt;$M$15,)</formula>
    </cfRule>
  </conditionalFormatting>
  <conditionalFormatting sqref="J78 A78:B78">
    <cfRule type="expression" dxfId="101" priority="17">
      <formula>IF($J$9&lt;&gt;0,ABS($J78)&gt;$J$9)</formula>
    </cfRule>
  </conditionalFormatting>
  <conditionalFormatting sqref="K78 A78:B78">
    <cfRule type="expression" dxfId="100" priority="18">
      <formula>IF($J$10&lt;&gt;0,ABS($K78)&gt;$J$10)</formula>
    </cfRule>
  </conditionalFormatting>
  <conditionalFormatting sqref="J78 A78:B78">
    <cfRule type="expression" dxfId="99" priority="16">
      <formula>IF($K$15&lt;&gt;0,ABS($J78)&gt;$M$15,)</formula>
    </cfRule>
  </conditionalFormatting>
  <conditionalFormatting sqref="F80 J80 A80:B80">
    <cfRule type="expression" dxfId="98" priority="14">
      <formula>IF($J$9&lt;&gt;0,ABS($J80)&gt;$J$9)</formula>
    </cfRule>
  </conditionalFormatting>
  <conditionalFormatting sqref="F80 K80 A80:B80">
    <cfRule type="expression" dxfId="97" priority="15">
      <formula>IF($J$10&lt;&gt;0,ABS($K80)&gt;$J$10)</formula>
    </cfRule>
  </conditionalFormatting>
  <conditionalFormatting sqref="F80 J80 A80:B80">
    <cfRule type="expression" dxfId="96" priority="13">
      <formula>IF($K$15&lt;&gt;0,ABS($J80)&gt;$M$15,)</formula>
    </cfRule>
  </conditionalFormatting>
  <conditionalFormatting sqref="F82 J82 A82:B82">
    <cfRule type="expression" dxfId="95" priority="11">
      <formula>IF($J$9&lt;&gt;0,ABS($J82)&gt;$J$9)</formula>
    </cfRule>
  </conditionalFormatting>
  <conditionalFormatting sqref="F82 K82 A82:B82">
    <cfRule type="expression" dxfId="94" priority="12">
      <formula>IF($J$10&lt;&gt;0,ABS($K82)&gt;$J$10)</formula>
    </cfRule>
  </conditionalFormatting>
  <conditionalFormatting sqref="F82 J82 A82:B82">
    <cfRule type="expression" dxfId="93" priority="10">
      <formula>IF($K$15&lt;&gt;0,ABS($J82)&gt;$M$15,)</formula>
    </cfRule>
  </conditionalFormatting>
  <conditionalFormatting sqref="F84 J84 A84:B84">
    <cfRule type="expression" dxfId="92" priority="8">
      <formula>IF($J$9&lt;&gt;0,ABS($J84)&gt;$J$9)</formula>
    </cfRule>
  </conditionalFormatting>
  <conditionalFormatting sqref="F84 K84 A84:B84">
    <cfRule type="expression" dxfId="91" priority="9">
      <formula>IF($J$10&lt;&gt;0,ABS($K84)&gt;$J$10)</formula>
    </cfRule>
  </conditionalFormatting>
  <conditionalFormatting sqref="F84 J84 A84:B84">
    <cfRule type="expression" dxfId="90" priority="7">
      <formula>IF($K$15&lt;&gt;0,ABS($J84)&gt;$M$15,)</formula>
    </cfRule>
  </conditionalFormatting>
  <conditionalFormatting sqref="A83">
    <cfRule type="expression" dxfId="89" priority="5">
      <formula>IF($J$9&lt;&gt;0,ABS($J83)&gt;$J$9)</formula>
    </cfRule>
  </conditionalFormatting>
  <conditionalFormatting sqref="A83">
    <cfRule type="expression" dxfId="88" priority="6">
      <formula>IF($J$10&lt;&gt;0,ABS($K83)&gt;$J$10)</formula>
    </cfRule>
  </conditionalFormatting>
  <conditionalFormatting sqref="A83">
    <cfRule type="expression" dxfId="87" priority="4">
      <formula>IF($K$15&lt;&gt;0,ABS($J83)&gt;$M$15,)</formula>
    </cfRule>
  </conditionalFormatting>
  <conditionalFormatting sqref="I93">
    <cfRule type="expression" dxfId="86" priority="3">
      <formula>IF($J$9&lt;&gt;0,ABS($J93)&gt;$J$9)</formula>
    </cfRule>
  </conditionalFormatting>
  <conditionalFormatting sqref="I93">
    <cfRule type="expression" dxfId="85" priority="2">
      <formula>IF($K$15&lt;&gt;0,ABS($J93)&gt;$M$15,)</formula>
    </cfRule>
  </conditionalFormatting>
  <conditionalFormatting sqref="B198">
    <cfRule type="cellIs" dxfId="84" priority="1" operator="equal">
      <formula>0</formula>
    </cfRule>
  </conditionalFormatting>
  <printOptions horizontalCentered="1"/>
  <pageMargins left="0.45" right="0.45" top="0.5" bottom="0.5" header="0.3" footer="0.3"/>
  <pageSetup scale="54" fitToHeight="0" orientation="portrait" horizontalDpi="300" verticalDpi="300" r:id="rId1"/>
  <headerFooter>
    <oddHeader>&amp;L&amp;"Arial,Regular"&amp;8&amp;F&amp;R&amp;"Arial,Regular"&amp;8&amp;A</oddHeader>
    <oddFooter>&amp;L&amp;"Arial,Regular"&amp;8&amp;D&amp;R&amp;"Arial,Regular"&amp;8&amp;P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00FF"/>
    <pageSetUpPr fitToPage="1"/>
  </sheetPr>
  <dimension ref="A1:X111"/>
  <sheetViews>
    <sheetView workbookViewId="0"/>
  </sheetViews>
  <sheetFormatPr defaultColWidth="9.140625" defaultRowHeight="15"/>
  <cols>
    <col min="1" max="1" width="13.7109375" style="1863" customWidth="1"/>
    <col min="2" max="2" width="9.140625" style="1863"/>
    <col min="3" max="3" width="6.85546875" style="1863" customWidth="1"/>
    <col min="4" max="4" width="13.5703125" style="1863" customWidth="1"/>
    <col min="5" max="5" width="5.7109375" style="1863" customWidth="1"/>
    <col min="6" max="6" width="12.5703125" style="1863" customWidth="1"/>
    <col min="7" max="7" width="0.7109375" style="1863" customWidth="1"/>
    <col min="8" max="8" width="14" style="1863" bestFit="1" customWidth="1"/>
    <col min="9" max="9" width="4.28515625" style="1863" customWidth="1"/>
    <col min="10" max="10" width="13.28515625" style="1863" customWidth="1"/>
    <col min="11" max="11" width="0.7109375" style="1863" customWidth="1"/>
    <col min="12" max="12" width="14.5703125" style="1863" customWidth="1"/>
    <col min="13" max="13" width="1.28515625" style="184" customWidth="1"/>
    <col min="14" max="14" width="11.85546875" style="1867" customWidth="1"/>
    <col min="15" max="18" width="9.140625" style="1867"/>
    <col min="19" max="19" width="9.140625" style="1867" customWidth="1"/>
    <col min="20" max="16384" width="9.140625" style="1867"/>
  </cols>
  <sheetData>
    <row r="1" spans="1:24" ht="15" customHeight="1">
      <c r="A1" s="2881" t="s">
        <v>3713</v>
      </c>
      <c r="B1" s="2764"/>
      <c r="C1" s="2764"/>
      <c r="D1" s="2764"/>
      <c r="E1" s="2764"/>
      <c r="F1" s="2764"/>
      <c r="G1" s="2764"/>
      <c r="H1" s="2764"/>
      <c r="I1" s="2764"/>
      <c r="J1" s="2764"/>
      <c r="K1" s="2764"/>
      <c r="L1" s="2764"/>
      <c r="N1" s="561" t="str">
        <f>IF(J16=F16," for the 2011-12 and 2010-11 fiscal years"," for the respective fiscal years ended are")</f>
        <v xml:space="preserve"> for the 2011-12 and 2010-11 fiscal years</v>
      </c>
    </row>
    <row r="2" spans="1:24">
      <c r="A2" s="2763"/>
      <c r="B2" s="2764"/>
      <c r="C2" s="2764"/>
      <c r="D2" s="2764"/>
      <c r="E2" s="2764"/>
      <c r="F2" s="2764"/>
      <c r="G2" s="2764"/>
      <c r="H2" s="2764"/>
      <c r="I2" s="2764"/>
      <c r="J2" s="2764"/>
      <c r="K2" s="2764"/>
      <c r="L2" s="2764"/>
      <c r="N2" s="62"/>
    </row>
    <row r="3" spans="1:24">
      <c r="B3" s="2051"/>
      <c r="C3" s="2051"/>
      <c r="D3" s="2051"/>
      <c r="E3" s="2051"/>
      <c r="F3" s="580" t="str">
        <f>'Contact Information'!$C$5</f>
        <v>SAMPLE STATE COLLEGE</v>
      </c>
      <c r="G3" s="2051"/>
      <c r="H3" s="2051"/>
      <c r="I3" s="2051"/>
      <c r="J3" s="2051"/>
      <c r="K3" s="2051"/>
      <c r="L3" s="2051"/>
      <c r="N3" s="54"/>
    </row>
    <row r="4" spans="1:24">
      <c r="B4" s="2051"/>
      <c r="C4" s="2051"/>
      <c r="D4" s="2051"/>
      <c r="E4" s="2051"/>
      <c r="F4" s="580" t="s">
        <v>3714</v>
      </c>
      <c r="G4" s="2051"/>
      <c r="H4" s="2051"/>
      <c r="I4" s="2051"/>
      <c r="J4" s="2051"/>
      <c r="K4" s="2051"/>
      <c r="L4" s="2051"/>
      <c r="N4" s="1" t="s">
        <v>3</v>
      </c>
    </row>
    <row r="5" spans="1:24">
      <c r="B5" s="2765"/>
      <c r="C5" s="2765"/>
      <c r="D5" s="2765"/>
      <c r="E5" s="2765"/>
      <c r="F5" s="3054" t="s">
        <v>3715</v>
      </c>
      <c r="G5" s="2765"/>
      <c r="H5" s="2765"/>
      <c r="I5" s="2765"/>
      <c r="J5" s="2765"/>
      <c r="K5" s="2765"/>
      <c r="L5" s="2765"/>
      <c r="N5" s="1" t="str">
        <f>'Contact Information'!$C$3</f>
        <v>2021.v01</v>
      </c>
    </row>
    <row r="6" spans="1:24">
      <c r="B6" s="2766"/>
      <c r="C6" s="2766"/>
      <c r="D6" s="2766"/>
      <c r="E6" s="2766"/>
      <c r="F6" s="3044" t="str">
        <f>'CU3-Deficit Ending Equity'!D4</f>
        <v>June 30, 2021</v>
      </c>
      <c r="G6" s="2766"/>
      <c r="H6" s="2766"/>
      <c r="I6" s="2766"/>
      <c r="J6" s="2766"/>
      <c r="K6" s="2766"/>
      <c r="L6" s="2766"/>
    </row>
    <row r="7" spans="1:24" s="1080" customFormat="1" ht="15.75">
      <c r="A7" s="2767" t="s">
        <v>3679</v>
      </c>
      <c r="B7" s="2767"/>
      <c r="C7" s="2767"/>
      <c r="D7" s="2767"/>
      <c r="E7" s="2767"/>
      <c r="F7" s="2767"/>
      <c r="G7" s="2767"/>
      <c r="H7" s="2767"/>
      <c r="I7" s="2767"/>
      <c r="J7" s="2767"/>
      <c r="K7" s="2767"/>
      <c r="L7" s="2767"/>
      <c r="M7" s="1081"/>
      <c r="N7" s="1083"/>
      <c r="R7" s="1082"/>
    </row>
    <row r="8" spans="1:24">
      <c r="A8" s="3053" t="s">
        <v>4074</v>
      </c>
      <c r="B8" s="393"/>
      <c r="C8" s="393"/>
      <c r="D8" s="393"/>
      <c r="E8" s="393"/>
      <c r="F8" s="393"/>
      <c r="G8" s="393"/>
      <c r="H8" s="393"/>
      <c r="I8" s="393"/>
      <c r="J8" s="393"/>
      <c r="K8" s="393"/>
      <c r="L8" s="393"/>
    </row>
    <row r="9" spans="1:24">
      <c r="A9" s="2526" t="str">
        <f>IF(F17=J17,"are shown in the following table:","shown in the following table:")</f>
        <v>are shown in the following table:</v>
      </c>
      <c r="B9" s="393"/>
      <c r="C9" s="393"/>
      <c r="D9" s="393"/>
      <c r="E9" s="393"/>
      <c r="F9" s="393"/>
      <c r="G9" s="393"/>
      <c r="H9" s="393"/>
      <c r="I9" s="393"/>
      <c r="J9" s="393"/>
      <c r="K9" s="393"/>
      <c r="L9" s="393"/>
    </row>
    <row r="10" spans="1:24">
      <c r="A10" s="2526"/>
      <c r="B10" s="393"/>
      <c r="C10" s="393"/>
      <c r="D10" s="393"/>
      <c r="E10" s="393"/>
      <c r="F10" s="393"/>
      <c r="G10" s="393"/>
      <c r="H10" s="393"/>
      <c r="I10" s="393"/>
      <c r="J10" s="393"/>
      <c r="K10" s="393"/>
      <c r="L10" s="393"/>
    </row>
    <row r="11" spans="1:24">
      <c r="B11" s="559"/>
      <c r="C11" s="559"/>
      <c r="D11" s="559"/>
      <c r="E11" s="559"/>
      <c r="F11" s="3055" t="s">
        <v>3716</v>
      </c>
      <c r="G11" s="559"/>
      <c r="H11" s="559"/>
      <c r="I11" s="559"/>
      <c r="J11" s="559"/>
      <c r="K11" s="559"/>
      <c r="L11" s="559"/>
    </row>
    <row r="12" spans="1:24">
      <c r="B12" s="559"/>
      <c r="C12" s="559"/>
      <c r="D12" s="559"/>
      <c r="E12" s="559"/>
      <c r="F12" s="3055" t="s">
        <v>3717</v>
      </c>
      <c r="G12" s="559"/>
      <c r="H12" s="559"/>
      <c r="I12" s="559"/>
      <c r="J12" s="559"/>
      <c r="K12" s="559"/>
      <c r="L12" s="559"/>
    </row>
    <row r="13" spans="1:24">
      <c r="B13" s="559"/>
      <c r="C13" s="559"/>
      <c r="D13" s="559"/>
      <c r="E13" s="559"/>
      <c r="F13" s="3055" t="s">
        <v>3718</v>
      </c>
      <c r="G13" s="559"/>
      <c r="H13" s="559"/>
      <c r="I13" s="559"/>
      <c r="J13" s="559"/>
      <c r="K13" s="559"/>
      <c r="L13" s="559"/>
    </row>
    <row r="14" spans="1:24" ht="11.25" customHeight="1">
      <c r="A14" s="3700"/>
      <c r="B14" s="3700"/>
      <c r="C14" s="3700"/>
      <c r="D14" s="3700"/>
      <c r="E14" s="3700"/>
      <c r="F14" s="3700"/>
      <c r="G14" s="3700"/>
      <c r="H14" s="3700"/>
      <c r="I14" s="3700"/>
      <c r="J14" s="3700"/>
      <c r="K14" s="3700"/>
      <c r="L14" s="3700"/>
    </row>
    <row r="15" spans="1:24" ht="15.75">
      <c r="A15" s="1873"/>
      <c r="B15" s="1873"/>
      <c r="C15" s="1873"/>
      <c r="D15" s="1873"/>
      <c r="E15" s="1873"/>
      <c r="F15" s="2882" t="s">
        <v>2303</v>
      </c>
      <c r="G15" s="2768"/>
      <c r="H15" s="2768"/>
      <c r="I15" s="399"/>
      <c r="J15" s="2671" t="str">
        <f>'MD&amp;A Tool CondSNP'!H16</f>
        <v>Component Unit</v>
      </c>
      <c r="K15" s="2671"/>
      <c r="L15" s="2671"/>
      <c r="P15" s="2769"/>
      <c r="Q15" s="2769"/>
      <c r="R15" s="2769"/>
      <c r="S15" s="2769"/>
      <c r="T15" s="2769"/>
      <c r="U15" s="2769"/>
      <c r="V15" s="2769"/>
      <c r="W15" s="2769"/>
      <c r="X15" s="2769"/>
    </row>
    <row r="16" spans="1:24" ht="12.75">
      <c r="A16" s="1873"/>
      <c r="B16" s="1873"/>
      <c r="C16" s="1873"/>
      <c r="D16" s="1873"/>
      <c r="E16" s="1873"/>
      <c r="F16" s="3436">
        <v>44377</v>
      </c>
      <c r="G16" s="446"/>
      <c r="H16" s="3436">
        <v>44012</v>
      </c>
      <c r="I16" s="399"/>
      <c r="J16" s="3437">
        <v>44377</v>
      </c>
      <c r="K16" s="436"/>
      <c r="L16" s="3437">
        <v>44012</v>
      </c>
    </row>
    <row r="17" spans="1:12" ht="12.75">
      <c r="A17" s="1873"/>
      <c r="B17" s="1873"/>
      <c r="C17" s="1873"/>
      <c r="D17" s="1873"/>
      <c r="E17" s="1873"/>
      <c r="F17" s="447"/>
      <c r="G17" s="446"/>
      <c r="H17" s="447"/>
      <c r="I17" s="399"/>
      <c r="J17" s="447"/>
      <c r="K17" s="399"/>
      <c r="L17" s="447"/>
    </row>
    <row r="18" spans="1:12" ht="12.75">
      <c r="A18" s="414" t="s">
        <v>3719</v>
      </c>
      <c r="B18" s="1873"/>
      <c r="C18" s="1873"/>
      <c r="D18" s="1873"/>
      <c r="E18" s="1873"/>
      <c r="F18" s="448"/>
      <c r="G18" s="446"/>
      <c r="H18" s="448"/>
      <c r="I18" s="399"/>
      <c r="J18" s="448"/>
      <c r="K18" s="399"/>
      <c r="L18" s="448"/>
    </row>
    <row r="19" spans="1:12" ht="12.75">
      <c r="A19" s="1873" t="s">
        <v>2357</v>
      </c>
      <c r="B19" s="1873"/>
      <c r="C19" s="1873"/>
      <c r="D19" s="1873"/>
      <c r="E19" s="1873"/>
      <c r="F19" s="448"/>
      <c r="G19" s="446"/>
      <c r="H19" s="448"/>
      <c r="I19" s="399"/>
      <c r="J19" s="448"/>
      <c r="K19" s="399"/>
      <c r="L19" s="448"/>
    </row>
    <row r="20" spans="1:12" ht="12.75">
      <c r="A20" s="1873" t="s">
        <v>3720</v>
      </c>
      <c r="B20" s="1873"/>
      <c r="C20" s="1873"/>
      <c r="D20" s="1873"/>
      <c r="E20" s="1873"/>
      <c r="F20" s="571">
        <f>ROUND(SRECNP!L11/1000,0)</f>
        <v>0</v>
      </c>
      <c r="G20" s="446"/>
      <c r="H20" s="1700" t="e">
        <f>(VLOOKUP($F$3,VLOOKUP!A437:BY464,2,FALSE))/1000</f>
        <v>#N/A</v>
      </c>
      <c r="I20" s="399"/>
      <c r="J20" s="571">
        <f>ROUND(SRECNP!N11/1000,0)</f>
        <v>0</v>
      </c>
      <c r="K20" s="399"/>
      <c r="L20" s="1703" t="e">
        <f>(VLOOKUP($F$3,VLOOKUP!A437:BY464,40,FALSE))/1000</f>
        <v>#N/A</v>
      </c>
    </row>
    <row r="21" spans="1:12" ht="12.75">
      <c r="A21" s="1873" t="s">
        <v>369</v>
      </c>
      <c r="B21" s="1873"/>
      <c r="C21" s="1873"/>
      <c r="D21" s="1873"/>
      <c r="E21" s="1873"/>
      <c r="F21" s="567">
        <f>ROUND(SRECNP!L12/1000,0)</f>
        <v>0</v>
      </c>
      <c r="G21" s="568"/>
      <c r="H21" s="1700" t="e">
        <f>VLOOKUP($F$3,VLOOKUP!A437:BY464,3,FALSE)/1000</f>
        <v>#N/A</v>
      </c>
      <c r="I21" s="568"/>
      <c r="J21" s="567">
        <f>ROUND(SRECNP!N12/1000,0)</f>
        <v>0</v>
      </c>
      <c r="K21" s="568"/>
      <c r="L21" s="1702" t="e">
        <f>(VLOOKUP($F$3,VLOOKUP!A437:BY464,41,FALSE))/1000</f>
        <v>#N/A</v>
      </c>
    </row>
    <row r="22" spans="1:12" ht="12.75">
      <c r="A22" s="1873" t="s">
        <v>371</v>
      </c>
      <c r="B22" s="1873"/>
      <c r="C22" s="1873"/>
      <c r="D22" s="1873"/>
      <c r="E22" s="1873"/>
      <c r="F22" s="567">
        <f>ROUND(SRECNP!L13/1000,0)</f>
        <v>0</v>
      </c>
      <c r="G22" s="568"/>
      <c r="H22" s="1700" t="e">
        <f>VLOOKUP($F$3,VLOOKUP!A437:BY464,4,FALSE)/1000</f>
        <v>#N/A</v>
      </c>
      <c r="I22" s="568"/>
      <c r="J22" s="567">
        <f>ROUND(SRECNP!N13/1000,0)</f>
        <v>0</v>
      </c>
      <c r="K22" s="568"/>
      <c r="L22" s="1702" t="e">
        <f>(VLOOKUP($F$3,VLOOKUP!A437:BY464,42,FALSE))/1000</f>
        <v>#N/A</v>
      </c>
    </row>
    <row r="23" spans="1:12" ht="12.75">
      <c r="A23" s="1873" t="s">
        <v>373</v>
      </c>
      <c r="B23" s="1873"/>
      <c r="C23" s="1873"/>
      <c r="D23" s="1873"/>
      <c r="E23" s="1873"/>
      <c r="F23" s="567">
        <f>ROUND(SRECNP!L14/1000,0)</f>
        <v>0</v>
      </c>
      <c r="G23" s="568"/>
      <c r="H23" s="1700" t="e">
        <f>VLOOKUP($F$3,VLOOKUP!A437:BY464,5,FALSE)/1000</f>
        <v>#N/A</v>
      </c>
      <c r="I23" s="568"/>
      <c r="J23" s="567">
        <f>ROUND(SRECNP!N14/1000,0)</f>
        <v>0</v>
      </c>
      <c r="K23" s="568"/>
      <c r="L23" s="1702" t="e">
        <f>(VLOOKUP($F$3,VLOOKUP!A437:BY464,43,FALSE))/1000</f>
        <v>#N/A</v>
      </c>
    </row>
    <row r="24" spans="1:12" ht="12.75">
      <c r="A24" s="1873" t="s">
        <v>375</v>
      </c>
      <c r="B24" s="1873"/>
      <c r="C24" s="1873"/>
      <c r="D24" s="1873"/>
      <c r="E24" s="1873"/>
      <c r="F24" s="567">
        <f>ROUND(SRECNP!L15/1000,0)</f>
        <v>0</v>
      </c>
      <c r="G24" s="568"/>
      <c r="H24" s="1700" t="e">
        <f>(VLOOKUP($F$3,VLOOKUP!A437:BY464,6,FALSE))/1000</f>
        <v>#N/A</v>
      </c>
      <c r="I24" s="568"/>
      <c r="J24" s="567">
        <f>ROUND(SRECNP!N15/1000,0)</f>
        <v>0</v>
      </c>
      <c r="K24" s="568"/>
      <c r="L24" s="1702" t="e">
        <f>(VLOOKUP($F$3,VLOOKUP!A437:BY464,44,FALSE))/1000</f>
        <v>#N/A</v>
      </c>
    </row>
    <row r="25" spans="1:12">
      <c r="A25" s="1873" t="s">
        <v>3721</v>
      </c>
      <c r="B25" s="1873"/>
      <c r="C25" s="1873"/>
      <c r="D25" s="1873"/>
      <c r="E25" s="1873"/>
      <c r="F25" s="393"/>
      <c r="G25" s="393"/>
      <c r="H25" s="1700"/>
      <c r="I25" s="568"/>
      <c r="J25" s="567">
        <f>ROUND(SRECNP!N17/1000,0)</f>
        <v>0</v>
      </c>
      <c r="K25" s="568"/>
      <c r="L25" s="1702"/>
    </row>
    <row r="26" spans="1:12" ht="12.75">
      <c r="A26" s="1873" t="s">
        <v>3720</v>
      </c>
      <c r="B26" s="1873"/>
      <c r="C26" s="1873"/>
      <c r="D26" s="1873"/>
      <c r="E26" s="1873"/>
      <c r="F26" s="567">
        <f>ROUND(SRECNP!L17/1000,0)</f>
        <v>0</v>
      </c>
      <c r="G26" s="568"/>
      <c r="H26" s="1700" t="e">
        <f>(VLOOKUP($F$3,VLOOKUP!A437:BY464,7,FALSE))/1000</f>
        <v>#N/A</v>
      </c>
      <c r="I26" s="568"/>
      <c r="J26" s="567"/>
      <c r="K26" s="568"/>
      <c r="L26" s="1702" t="e">
        <f>(VLOOKUP($F$3,VLOOKUP!A437:BY464,45,FALSE))/1000</f>
        <v>#N/A</v>
      </c>
    </row>
    <row r="27" spans="1:12" ht="12.75">
      <c r="A27" s="1873" t="s">
        <v>379</v>
      </c>
      <c r="B27" s="1873"/>
      <c r="C27" s="1873"/>
      <c r="D27" s="1873"/>
      <c r="E27" s="1873"/>
      <c r="F27" s="569">
        <f>ROUND(SRECNP!L18/1000,0)</f>
        <v>0</v>
      </c>
      <c r="G27" s="568"/>
      <c r="H27" s="1701" t="e">
        <f>(VLOOKUP($F$3,VLOOKUP!A437:BY464,8,FALSE))/1000</f>
        <v>#N/A</v>
      </c>
      <c r="I27" s="568"/>
      <c r="J27" s="569">
        <f>ROUND(SRECNP!N18/1000,0)-SUM(J20:J26)</f>
        <v>0</v>
      </c>
      <c r="K27" s="568"/>
      <c r="L27" s="1701" t="e">
        <f>(VLOOKUP($F$3,VLOOKUP!A437:BY464,46,FALSE))/1000</f>
        <v>#N/A</v>
      </c>
    </row>
    <row r="28" spans="1:12" ht="12.75">
      <c r="A28" s="1873"/>
      <c r="B28" s="1873"/>
      <c r="C28" s="1873"/>
      <c r="D28" s="1873"/>
      <c r="E28" s="1873"/>
      <c r="F28" s="567"/>
      <c r="G28" s="568"/>
      <c r="H28" s="567"/>
      <c r="I28" s="568"/>
      <c r="J28" s="567"/>
      <c r="K28" s="568"/>
      <c r="L28" s="567"/>
    </row>
    <row r="29" spans="1:12" ht="12.75">
      <c r="A29" s="414" t="s">
        <v>383</v>
      </c>
      <c r="B29" s="1873"/>
      <c r="C29" s="1873"/>
      <c r="D29" s="1873"/>
      <c r="E29" s="1873"/>
      <c r="F29" s="567">
        <f>SUM(F20:F27)</f>
        <v>0</v>
      </c>
      <c r="G29" s="568"/>
      <c r="H29" s="1702" t="e">
        <f>SUM(H20:H27)</f>
        <v>#N/A</v>
      </c>
      <c r="I29" s="568"/>
      <c r="J29" s="567">
        <f>SUM(J20:J27)</f>
        <v>0</v>
      </c>
      <c r="K29" s="568"/>
      <c r="L29" s="1702" t="e">
        <f>SUM(L20:L27)</f>
        <v>#N/A</v>
      </c>
    </row>
    <row r="30" spans="1:12" ht="12.75">
      <c r="A30" s="1873" t="s">
        <v>3722</v>
      </c>
      <c r="B30" s="1873"/>
      <c r="C30" s="1873"/>
      <c r="D30" s="1873"/>
      <c r="E30" s="1873"/>
      <c r="F30" s="569">
        <f>ROUND(SRECNP!L32/1000,0)</f>
        <v>0</v>
      </c>
      <c r="G30" s="568"/>
      <c r="H30" s="1701" t="e">
        <f>(VLOOKUP($F$3,VLOOKUP!A437:BY464,17,FALSE))/1000</f>
        <v>#N/A</v>
      </c>
      <c r="I30" s="568"/>
      <c r="J30" s="569">
        <f>ROUND(SRECNP!N32/1000,0)</f>
        <v>0</v>
      </c>
      <c r="K30" s="568"/>
      <c r="L30" s="1701" t="e">
        <f>(VLOOKUP($F$3,VLOOKUP!A437:BY464,55,FALSE))/1000</f>
        <v>#N/A</v>
      </c>
    </row>
    <row r="31" spans="1:12" ht="12.75">
      <c r="A31" s="414"/>
      <c r="B31" s="1873"/>
      <c r="C31" s="1873"/>
      <c r="D31" s="1873"/>
      <c r="E31" s="1873"/>
      <c r="F31" s="567"/>
      <c r="G31" s="568"/>
      <c r="H31" s="567"/>
      <c r="I31" s="568"/>
      <c r="J31" s="567"/>
      <c r="K31" s="568"/>
      <c r="L31" s="567"/>
    </row>
    <row r="32" spans="1:12" ht="12.75">
      <c r="A32" s="414" t="s">
        <v>3723</v>
      </c>
      <c r="B32" s="1873"/>
      <c r="C32" s="1873"/>
      <c r="D32" s="1873"/>
      <c r="E32" s="1873"/>
      <c r="F32" s="569">
        <f>F29-F30</f>
        <v>0</v>
      </c>
      <c r="G32" s="568"/>
      <c r="H32" s="569" t="e">
        <f>H29-H30</f>
        <v>#N/A</v>
      </c>
      <c r="I32" s="568"/>
      <c r="J32" s="569">
        <f>J29-J30</f>
        <v>0</v>
      </c>
      <c r="K32" s="568"/>
      <c r="L32" s="569" t="e">
        <f>L29-L30</f>
        <v>#N/A</v>
      </c>
    </row>
    <row r="33" spans="1:12" ht="12.75">
      <c r="A33" s="1873"/>
      <c r="B33" s="1873"/>
      <c r="C33" s="1873"/>
      <c r="D33" s="1873"/>
      <c r="E33" s="1873"/>
      <c r="F33" s="567"/>
      <c r="G33" s="568"/>
      <c r="H33" s="567"/>
      <c r="I33" s="568"/>
      <c r="J33" s="567"/>
      <c r="K33" s="568"/>
      <c r="L33" s="567"/>
    </row>
    <row r="34" spans="1:12" ht="12.75">
      <c r="A34" s="414" t="s">
        <v>3724</v>
      </c>
      <c r="B34" s="1873"/>
      <c r="C34" s="1873"/>
      <c r="D34" s="1873"/>
      <c r="E34" s="1873"/>
      <c r="F34" s="567"/>
      <c r="G34" s="568"/>
      <c r="H34" s="567"/>
      <c r="I34" s="568"/>
      <c r="J34" s="567"/>
      <c r="K34" s="568"/>
      <c r="L34" s="567"/>
    </row>
    <row r="35" spans="1:12" ht="12.75">
      <c r="A35" s="1873" t="s">
        <v>403</v>
      </c>
      <c r="B35" s="1873"/>
      <c r="C35" s="1873"/>
      <c r="D35" s="1873"/>
      <c r="E35" s="1873"/>
      <c r="F35" s="567">
        <f>ROUND(SRECNP!L37/1000,0)</f>
        <v>0</v>
      </c>
      <c r="G35" s="568"/>
      <c r="H35" s="1702" t="e">
        <f>(VLOOKUP($F$3,VLOOKUP!A437:BY464,19,FALSE))/1000</f>
        <v>#N/A</v>
      </c>
      <c r="I35" s="568"/>
      <c r="J35" s="567">
        <f>ROUND(SRECNP!N37/1000,0)</f>
        <v>0</v>
      </c>
      <c r="K35" s="568"/>
      <c r="L35" s="1702" t="e">
        <f>(VLOOKUP($F$3,VLOOKUP!A437:BY464,57,FALSE))/1000</f>
        <v>#N/A</v>
      </c>
    </row>
    <row r="36" spans="1:12" ht="12.75">
      <c r="A36" s="1873" t="s">
        <v>3725</v>
      </c>
      <c r="B36" s="1873"/>
      <c r="C36" s="1873"/>
      <c r="D36" s="1873"/>
      <c r="E36" s="1873"/>
      <c r="F36" s="569">
        <f>ROUND(SRECNP!L50/1000,0)-F35-F32</f>
        <v>0</v>
      </c>
      <c r="G36" s="568"/>
      <c r="H36" s="1701" t="e">
        <f>(VLOOKUP($F$3,VLOOKUP!A437:BY464,20,FALSE)+VLOOKUP($F$3,VLOOKUP!A437:BY464,21,FALSE)+VLOOKUP($F$3,VLOOKUP!A437:BY464,22,FALSE)+VLOOKUP($F$3,VLOOKUP!A437:BY464,23,FALSE)+VLOOKUP($F$3,VLOOKUP!A437:BY464,24,FALSE)+VLOOKUP($F$3,VLOOKUP!A437:BY464,25,FALSE)+VLOOKUP($F$3,VLOOKUP!A437:BY464,26,FALSE)+VLOOKUP($F$3,VLOOKUP!A437:BY464,27,FALSE))/1000</f>
        <v>#N/A</v>
      </c>
      <c r="I36" s="568"/>
      <c r="J36" s="569">
        <f>ROUND(SRECNP!N50/1000,0)-J35-J32</f>
        <v>0</v>
      </c>
      <c r="K36" s="568"/>
      <c r="L36" s="1701" t="e">
        <f>(VLOOKUP($F$3,VLOOKUP!A437:BY464,58,FALSE)+VLOOKUP($F$3,VLOOKUP!A437:BY464,59,FALSE)+VLOOKUP($F$3,VLOOKUP!A437:BY464,60,FALSE)+VLOOKUP($F$3,VLOOKUP!A437:BY464,61,FALSE)+VLOOKUP($F$3,VLOOKUP!A437:BY464,62,FALSE)+VLOOKUP($F$3,VLOOKUP!A437:BY464,63,FALSE)+VLOOKUP($F$3,VLOOKUP!A437:BY464,64,FALSE)+VLOOKUP($F$3,VLOOKUP!A437:BY464,65,FALSE))/1000</f>
        <v>#N/A</v>
      </c>
    </row>
    <row r="37" spans="1:12" ht="12.75">
      <c r="A37" s="1873"/>
      <c r="B37" s="1873"/>
      <c r="C37" s="1873"/>
      <c r="D37" s="1873"/>
      <c r="E37" s="1873"/>
      <c r="F37" s="567"/>
      <c r="G37" s="568"/>
      <c r="H37" s="567"/>
      <c r="I37" s="568"/>
      <c r="J37" s="567"/>
      <c r="K37" s="568"/>
      <c r="L37" s="567"/>
    </row>
    <row r="38" spans="1:12" ht="12.75">
      <c r="A38" s="414" t="s">
        <v>3726</v>
      </c>
      <c r="B38" s="1873"/>
      <c r="C38" s="1873"/>
      <c r="D38" s="1873"/>
      <c r="E38" s="1873"/>
      <c r="F38" s="569">
        <f>SUM(F35:F36)</f>
        <v>0</v>
      </c>
      <c r="G38" s="568"/>
      <c r="H38" s="569" t="e">
        <f>SUM(H35:H36)</f>
        <v>#N/A</v>
      </c>
      <c r="I38" s="568"/>
      <c r="J38" s="569">
        <f>SUM(J35:J36)</f>
        <v>0</v>
      </c>
      <c r="K38" s="568"/>
      <c r="L38" s="569" t="e">
        <f>SUM(L35:L36)</f>
        <v>#N/A</v>
      </c>
    </row>
    <row r="39" spans="1:12" ht="12.75">
      <c r="A39" s="1873"/>
      <c r="B39" s="1873"/>
      <c r="C39" s="1873"/>
      <c r="D39" s="1873"/>
      <c r="E39" s="1873"/>
      <c r="F39" s="567"/>
      <c r="G39" s="568"/>
      <c r="H39" s="567"/>
      <c r="I39" s="568"/>
      <c r="J39" s="567"/>
      <c r="K39" s="568"/>
      <c r="L39" s="567"/>
    </row>
    <row r="40" spans="1:12" ht="12.75">
      <c r="A40" s="414" t="s">
        <v>3727</v>
      </c>
      <c r="B40" s="1873"/>
      <c r="C40" s="1873"/>
      <c r="D40" s="1873"/>
      <c r="E40" s="1873"/>
      <c r="F40" s="567"/>
      <c r="G40" s="568"/>
      <c r="H40" s="567"/>
      <c r="I40" s="568"/>
      <c r="J40" s="567"/>
      <c r="K40" s="568"/>
      <c r="L40" s="567"/>
    </row>
    <row r="41" spans="1:12" ht="12.75">
      <c r="A41" s="414" t="s">
        <v>3728</v>
      </c>
      <c r="B41" s="1873"/>
      <c r="C41" s="1873"/>
      <c r="D41" s="1873"/>
      <c r="E41" s="1873"/>
      <c r="F41" s="570">
        <f>F32+F38</f>
        <v>0</v>
      </c>
      <c r="G41" s="568"/>
      <c r="H41" s="1704" t="e">
        <f>H32+H38</f>
        <v>#N/A</v>
      </c>
      <c r="I41" s="568"/>
      <c r="J41" s="570">
        <f>J32+J38</f>
        <v>0</v>
      </c>
      <c r="K41" s="568"/>
      <c r="L41" s="1704" t="e">
        <f>L32+L38</f>
        <v>#N/A</v>
      </c>
    </row>
    <row r="42" spans="1:12" ht="12.75">
      <c r="A42" s="1873" t="s">
        <v>425</v>
      </c>
      <c r="B42" s="1873"/>
      <c r="C42" s="1873"/>
      <c r="D42" s="1873"/>
      <c r="E42" s="1873"/>
      <c r="F42" s="567">
        <f>ROUND(SRECNP!L52/1000,0)</f>
        <v>0</v>
      </c>
      <c r="G42" s="568"/>
      <c r="H42" s="1702" t="e">
        <f>(VLOOKUP($F$3,VLOOKUP!A437:BY464,30,FALSE))/1000</f>
        <v>#N/A</v>
      </c>
      <c r="I42" s="568"/>
      <c r="J42" s="567">
        <f>ROUND(SRECNP!N52/1000,0)</f>
        <v>0</v>
      </c>
      <c r="K42" s="568"/>
      <c r="L42" s="1702" t="e">
        <f>(VLOOKUP($F$3,VLOOKUP!A437:BY464,68,FALSE))/1000</f>
        <v>#N/A</v>
      </c>
    </row>
    <row r="43" spans="1:12" ht="12.75" customHeight="1">
      <c r="A43" s="1873" t="s">
        <v>427</v>
      </c>
      <c r="B43" s="1873"/>
      <c r="C43" s="1873"/>
      <c r="D43" s="1873"/>
      <c r="E43" s="1873"/>
      <c r="F43" s="567">
        <f>ROUND(SRECNP!L59/1000,0)-F41-F42-F44</f>
        <v>0</v>
      </c>
      <c r="G43" s="568"/>
      <c r="H43" s="1702" t="e">
        <f>(VLOOKUP($F$3,VLOOKUP!A437:BY464,31,FALSE))/1000</f>
        <v>#N/A</v>
      </c>
      <c r="I43" s="568"/>
      <c r="J43" s="567">
        <f>ROUND(SRECNP!N59/1000,0)-J41-J42-J44</f>
        <v>0</v>
      </c>
      <c r="K43" s="568"/>
      <c r="L43" s="1702" t="e">
        <f>(VLOOKUP($F$3,VLOOKUP!A437:BY464,69,FALSE))/1000</f>
        <v>#N/A</v>
      </c>
    </row>
    <row r="44" spans="1:12" ht="12.75">
      <c r="A44" s="1873" t="s">
        <v>3729</v>
      </c>
      <c r="B44" s="1873"/>
      <c r="C44" s="1873"/>
      <c r="D44" s="1873"/>
      <c r="E44" s="1873"/>
      <c r="F44" s="567">
        <f>ROUND(SRECNP!L54/1000,0)</f>
        <v>0</v>
      </c>
      <c r="G44" s="568"/>
      <c r="H44" s="1702" t="e">
        <f>VLOOKUP($F$3,VLOOKUP!A437:BY464,32,FALSE)</f>
        <v>#N/A</v>
      </c>
      <c r="I44" s="568"/>
      <c r="J44" s="567">
        <f>ROUND(SRECNP!N54/1000,0)</f>
        <v>0</v>
      </c>
      <c r="K44" s="568"/>
      <c r="L44" s="1702" t="e">
        <f>(VLOOKUP($F$3,VLOOKUP!A437:BY464,70,FALSE))/1000</f>
        <v>#N/A</v>
      </c>
    </row>
    <row r="45" spans="1:12" ht="12.75">
      <c r="A45" s="870" t="s">
        <v>430</v>
      </c>
      <c r="B45" s="1873"/>
      <c r="C45" s="1873"/>
      <c r="D45" s="1873"/>
      <c r="E45" s="1873"/>
      <c r="F45" s="569">
        <f>ROUND(SRECNP!L55/1000,0)</f>
        <v>0</v>
      </c>
      <c r="G45" s="568"/>
      <c r="H45" s="1701" t="e">
        <f>VLOOKUP($F$3,VLOOKUP!A437:BY464,33,FALSE)</f>
        <v>#N/A</v>
      </c>
      <c r="I45" s="568"/>
      <c r="J45" s="569">
        <f>ROUND(SRECNP!N55/1000,0)</f>
        <v>0</v>
      </c>
      <c r="K45" s="568"/>
      <c r="L45" s="1701" t="e">
        <f>(VLOOKUP($F$3,VLOOKUP!A437:BY464,71,FALSE))/1000</f>
        <v>#N/A</v>
      </c>
    </row>
    <row r="46" spans="1:12" ht="12.75">
      <c r="A46" s="449"/>
      <c r="B46" s="1873"/>
      <c r="C46" s="1873"/>
      <c r="D46" s="1873"/>
      <c r="E46" s="1873"/>
      <c r="F46" s="567"/>
      <c r="G46" s="568"/>
      <c r="H46" s="567"/>
      <c r="I46" s="568"/>
      <c r="J46" s="567"/>
      <c r="K46" s="568"/>
      <c r="L46" s="567"/>
    </row>
    <row r="47" spans="1:12" ht="12.75">
      <c r="A47" s="414" t="s">
        <v>3730</v>
      </c>
      <c r="B47" s="1873"/>
      <c r="C47" s="1873"/>
      <c r="D47" s="1873"/>
      <c r="E47" s="1873"/>
      <c r="F47" s="569">
        <f>SUM(F41:F45)</f>
        <v>0</v>
      </c>
      <c r="G47" s="568"/>
      <c r="H47" s="569" t="e">
        <f>SUM(H41:H45)</f>
        <v>#N/A</v>
      </c>
      <c r="I47" s="568"/>
      <c r="J47" s="569">
        <f>SUM(J41:J45)</f>
        <v>0</v>
      </c>
      <c r="K47" s="568"/>
      <c r="L47" s="569" t="e">
        <f>SUM(L41:L45)</f>
        <v>#N/A</v>
      </c>
    </row>
    <row r="48" spans="1:12" ht="12.75">
      <c r="A48" s="414"/>
      <c r="B48" s="1873"/>
      <c r="C48" s="1873"/>
      <c r="D48" s="1873"/>
      <c r="E48" s="1873"/>
      <c r="F48" s="567"/>
      <c r="G48" s="568"/>
      <c r="H48" s="567"/>
      <c r="I48" s="568"/>
      <c r="J48" s="567"/>
      <c r="K48" s="568"/>
      <c r="L48" s="567"/>
    </row>
    <row r="49" spans="1:16" ht="12.75">
      <c r="A49" s="1873" t="s">
        <v>2374</v>
      </c>
      <c r="B49" s="1873"/>
      <c r="C49" s="1873"/>
      <c r="D49" s="1873"/>
      <c r="E49" s="1873"/>
      <c r="F49" s="567" t="e">
        <f>ROUND(SRECNP!L61/1000,0)</f>
        <v>#N/A</v>
      </c>
      <c r="G49" s="568"/>
      <c r="H49" s="1702" t="e">
        <f>(VLOOKUP($F$3,VLOOKUP!A437:BY464,36,FALSE))/1000</f>
        <v>#N/A</v>
      </c>
      <c r="I49" s="568"/>
      <c r="J49" s="567" t="e">
        <f>ROUND(SRECNP!N61/1000,0)</f>
        <v>#N/A</v>
      </c>
      <c r="K49" s="568"/>
      <c r="L49" s="1702" t="e">
        <f>(VLOOKUP($F$3,VLOOKUP!A437:BY464,74,FALSE))/1000</f>
        <v>#N/A</v>
      </c>
    </row>
    <row r="50" spans="1:16" ht="12.75">
      <c r="A50" s="1873" t="s">
        <v>3731</v>
      </c>
      <c r="B50" s="1873"/>
      <c r="C50" s="1873"/>
      <c r="D50" s="1873"/>
      <c r="E50" s="1873"/>
      <c r="F50" s="569">
        <f>ROUND(SRECNP!L62/1000,0)</f>
        <v>0</v>
      </c>
      <c r="G50" s="568"/>
      <c r="H50" s="1701" t="e">
        <f>(VLOOKUP($F$3,VLOOKUP!A437:BY464,37,FALSE))/1000</f>
        <v>#N/A</v>
      </c>
      <c r="I50" s="568"/>
      <c r="J50" s="569">
        <f>ROUND(SRECNP!N62/1000,0)</f>
        <v>0</v>
      </c>
      <c r="K50" s="568"/>
      <c r="L50" s="1701" t="e">
        <f>(VLOOKUP($F$3,VLOOKUP!A437:BY464,75,FALSE))/1000</f>
        <v>#N/A</v>
      </c>
    </row>
    <row r="51" spans="1:16" ht="12.75">
      <c r="A51" s="1873"/>
      <c r="B51" s="1873"/>
      <c r="C51" s="1873"/>
      <c r="D51" s="1873"/>
      <c r="E51" s="1873"/>
      <c r="F51" s="567"/>
      <c r="G51" s="568"/>
      <c r="H51" s="567"/>
      <c r="I51" s="568"/>
      <c r="J51" s="567"/>
      <c r="K51" s="568"/>
      <c r="L51" s="567"/>
    </row>
    <row r="52" spans="1:16" ht="12.75">
      <c r="A52" s="414" t="s">
        <v>2376</v>
      </c>
      <c r="B52" s="1873"/>
      <c r="C52" s="1873"/>
      <c r="D52" s="1873"/>
      <c r="E52" s="1873"/>
      <c r="F52" s="569" t="e">
        <f>SUM(F49:F50)</f>
        <v>#N/A</v>
      </c>
      <c r="G52" s="568"/>
      <c r="H52" s="569" t="e">
        <f>SUM(H49:H50)</f>
        <v>#N/A</v>
      </c>
      <c r="I52" s="568"/>
      <c r="J52" s="569" t="e">
        <f>SUM(J49:J50)</f>
        <v>#N/A</v>
      </c>
      <c r="K52" s="568"/>
      <c r="L52" s="569" t="e">
        <f>SUM(L49:L50)</f>
        <v>#N/A</v>
      </c>
    </row>
    <row r="53" spans="1:16" ht="12.75">
      <c r="A53" s="1873"/>
      <c r="B53" s="1873"/>
      <c r="C53" s="1873"/>
      <c r="D53" s="1873"/>
      <c r="E53" s="1873"/>
      <c r="F53" s="448"/>
      <c r="G53" s="446"/>
      <c r="H53" s="448"/>
      <c r="I53" s="399"/>
      <c r="J53" s="448"/>
      <c r="K53" s="399"/>
      <c r="L53" s="448"/>
    </row>
    <row r="54" spans="1:16" ht="13.5" thickBot="1">
      <c r="A54" s="414" t="s">
        <v>2377</v>
      </c>
      <c r="B54" s="1873"/>
      <c r="C54" s="1873"/>
      <c r="D54" s="1873"/>
      <c r="E54" s="1873"/>
      <c r="F54" s="572" t="e">
        <f>F52+F47</f>
        <v>#N/A</v>
      </c>
      <c r="G54" s="446"/>
      <c r="H54" s="572" t="e">
        <f>H52+H47</f>
        <v>#N/A</v>
      </c>
      <c r="I54" s="399"/>
      <c r="J54" s="572" t="e">
        <f>J52+J47</f>
        <v>#N/A</v>
      </c>
      <c r="K54" s="399"/>
      <c r="L54" s="572" t="e">
        <f>L52+L47</f>
        <v>#N/A</v>
      </c>
    </row>
    <row r="55" spans="1:16" ht="13.5" thickTop="1">
      <c r="A55" s="414"/>
      <c r="B55" s="1873"/>
      <c r="C55" s="1873"/>
      <c r="D55" s="1873"/>
      <c r="E55" s="1873"/>
      <c r="F55" s="448"/>
      <c r="G55" s="446"/>
      <c r="H55" s="448"/>
      <c r="I55" s="399"/>
      <c r="J55" s="448"/>
      <c r="K55" s="399"/>
      <c r="L55" s="448"/>
    </row>
    <row r="56" spans="1:16">
      <c r="A56" s="68" t="s">
        <v>3732</v>
      </c>
      <c r="B56" s="1921"/>
      <c r="C56" s="2770"/>
      <c r="D56" s="2770"/>
      <c r="E56" s="2770"/>
      <c r="F56" s="3056" t="s">
        <v>3733</v>
      </c>
      <c r="G56" s="2770"/>
      <c r="H56" s="2770"/>
      <c r="I56" s="2770"/>
      <c r="J56" s="2770"/>
      <c r="K56" s="2770"/>
      <c r="L56" s="2770"/>
    </row>
    <row r="57" spans="1:16" ht="12.75">
      <c r="A57" s="1867"/>
      <c r="B57" s="1867"/>
      <c r="C57" s="1867"/>
      <c r="D57" s="1867"/>
      <c r="E57" s="1867"/>
      <c r="F57" s="80"/>
      <c r="G57" s="81"/>
      <c r="H57" s="80"/>
      <c r="I57" s="82"/>
      <c r="J57" s="80"/>
      <c r="K57" s="82"/>
      <c r="L57" s="80"/>
    </row>
    <row r="58" spans="1:16" s="184" customFormat="1" ht="12.75">
      <c r="A58" s="72"/>
      <c r="B58" s="69"/>
      <c r="C58" s="69"/>
      <c r="D58" s="73"/>
      <c r="E58" s="750"/>
      <c r="F58" s="73"/>
      <c r="G58" s="73"/>
      <c r="H58" s="73"/>
      <c r="I58" s="750"/>
      <c r="J58" s="73"/>
      <c r="L58" s="2558"/>
      <c r="M58" s="1867"/>
      <c r="N58" s="1867"/>
      <c r="O58" s="201"/>
      <c r="P58" s="1867"/>
    </row>
    <row r="59" spans="1:16" ht="12.75" hidden="1" customHeight="1">
      <c r="A59" s="72"/>
      <c r="B59" s="69"/>
      <c r="C59" s="69"/>
      <c r="D59" s="73"/>
      <c r="E59" s="750"/>
      <c r="F59" s="73"/>
      <c r="G59" s="73"/>
      <c r="H59" s="73"/>
      <c r="I59" s="750"/>
      <c r="J59" s="73"/>
      <c r="K59" s="184"/>
      <c r="L59" s="2558"/>
      <c r="M59" s="1867"/>
      <c r="O59" s="201"/>
    </row>
    <row r="60" spans="1:16" s="184" customFormat="1" ht="20.25" hidden="1" customHeight="1">
      <c r="A60" s="757" t="s">
        <v>3734</v>
      </c>
      <c r="B60" s="757"/>
      <c r="C60" s="757"/>
      <c r="D60" s="757"/>
      <c r="E60" s="757"/>
      <c r="F60" s="757"/>
      <c r="G60" s="757"/>
      <c r="H60" s="757"/>
      <c r="I60" s="757"/>
      <c r="J60" s="757"/>
      <c r="K60" s="757"/>
      <c r="L60" s="757"/>
      <c r="M60" s="757"/>
      <c r="N60" s="757"/>
      <c r="O60" s="757"/>
      <c r="P60" s="757"/>
    </row>
    <row r="61" spans="1:16" s="748" customFormat="1" ht="6" hidden="1" customHeight="1">
      <c r="A61" s="2556"/>
      <c r="B61" s="2556"/>
      <c r="C61" s="2556"/>
      <c r="D61" s="2556"/>
      <c r="E61" s="2556"/>
      <c r="F61" s="2556"/>
      <c r="G61" s="2556"/>
      <c r="H61" s="2556"/>
      <c r="I61" s="2556"/>
      <c r="J61" s="2556"/>
      <c r="L61" s="2558"/>
      <c r="M61" s="1867"/>
      <c r="N61" s="1867"/>
      <c r="O61" s="201"/>
      <c r="P61" s="1867"/>
    </row>
    <row r="62" spans="1:16" s="748" customFormat="1" ht="15.75" hidden="1" customHeight="1">
      <c r="A62" s="758" t="s">
        <v>3735</v>
      </c>
      <c r="B62" s="758"/>
      <c r="C62" s="758"/>
      <c r="D62" s="758"/>
      <c r="E62" s="758"/>
      <c r="F62" s="758"/>
      <c r="G62" s="758"/>
      <c r="H62" s="758"/>
      <c r="I62" s="758"/>
      <c r="J62" s="758"/>
      <c r="K62" s="758"/>
      <c r="L62" s="758"/>
      <c r="M62" s="758"/>
      <c r="N62" s="758"/>
      <c r="O62" s="758"/>
      <c r="P62" s="758"/>
    </row>
    <row r="63" spans="1:16" s="2558" customFormat="1" ht="15" hidden="1" customHeight="1">
      <c r="B63" s="743"/>
      <c r="C63" s="743"/>
      <c r="D63" s="743"/>
      <c r="E63" s="743"/>
      <c r="F63" s="743"/>
      <c r="G63" s="743"/>
      <c r="H63" s="743"/>
      <c r="I63" s="743"/>
      <c r="J63" s="743"/>
      <c r="L63" s="752"/>
      <c r="M63" s="748"/>
      <c r="N63" s="748"/>
      <c r="O63" s="749"/>
      <c r="P63" s="748"/>
    </row>
    <row r="64" spans="1:16" s="2557" customFormat="1" ht="27" hidden="1" customHeight="1">
      <c r="B64" s="762"/>
      <c r="C64" s="762"/>
      <c r="D64" s="2771" t="s">
        <v>3736</v>
      </c>
      <c r="E64" s="2771"/>
      <c r="F64" s="2771"/>
      <c r="H64" s="2232" t="s">
        <v>3737</v>
      </c>
      <c r="I64" s="2232"/>
      <c r="J64" s="2232"/>
      <c r="L64" s="2232" t="s">
        <v>3738</v>
      </c>
      <c r="M64" s="2232"/>
      <c r="N64" s="2232"/>
      <c r="O64" s="764"/>
      <c r="P64" s="763"/>
    </row>
    <row r="65" spans="1:16" s="781" customFormat="1" ht="12.75" hidden="1" customHeight="1">
      <c r="A65" s="898"/>
      <c r="B65" s="899"/>
      <c r="C65" s="899"/>
      <c r="D65" s="3438" t="s">
        <v>2303</v>
      </c>
      <c r="E65" s="3439"/>
      <c r="F65" s="3438" t="s">
        <v>2314</v>
      </c>
      <c r="H65" s="3438" t="s">
        <v>2303</v>
      </c>
      <c r="I65" s="2555"/>
      <c r="J65" s="3440" t="s">
        <v>2314</v>
      </c>
      <c r="L65" s="3438" t="s">
        <v>2303</v>
      </c>
      <c r="N65" s="3440" t="s">
        <v>2314</v>
      </c>
      <c r="O65" s="782"/>
      <c r="P65" s="782"/>
    </row>
    <row r="66" spans="1:16" s="2557" customFormat="1" ht="12.75" hidden="1" customHeight="1">
      <c r="A66" s="900" t="s">
        <v>3719</v>
      </c>
      <c r="B66" s="901"/>
      <c r="C66" s="901"/>
      <c r="D66" s="755"/>
      <c r="E66" s="753"/>
      <c r="F66" s="755"/>
      <c r="G66" s="753"/>
      <c r="H66" s="755"/>
      <c r="I66" s="755"/>
      <c r="J66" s="753"/>
      <c r="L66" s="753"/>
      <c r="N66" s="753"/>
    </row>
    <row r="67" spans="1:16" s="2558" customFormat="1" ht="12.75" hidden="1" customHeight="1">
      <c r="A67" s="902" t="s">
        <v>3739</v>
      </c>
      <c r="B67" s="665"/>
      <c r="C67" s="665"/>
      <c r="D67" s="755">
        <f>F20</f>
        <v>0</v>
      </c>
      <c r="E67" s="753"/>
      <c r="F67" s="755">
        <f>J20</f>
        <v>0</v>
      </c>
      <c r="G67" s="753"/>
      <c r="H67" s="755">
        <f>ROUND(SNP!$M$25/1000,0)</f>
        <v>0</v>
      </c>
      <c r="I67" s="755"/>
      <c r="J67" s="755">
        <f>ROUND(SNP!$O$25/1000,0)</f>
        <v>0</v>
      </c>
      <c r="L67" s="754">
        <f>D67-H67</f>
        <v>0</v>
      </c>
      <c r="N67" s="754">
        <f>F67-J67</f>
        <v>0</v>
      </c>
      <c r="O67" s="760" t="s">
        <v>3740</v>
      </c>
      <c r="P67" s="740"/>
    </row>
    <row r="68" spans="1:16" s="2558" customFormat="1" ht="12.75" hidden="1" customHeight="1">
      <c r="A68" s="902" t="s">
        <v>369</v>
      </c>
      <c r="B68" s="665"/>
      <c r="C68" s="665"/>
      <c r="D68" s="755">
        <f t="shared" ref="D68:D74" si="0">F21</f>
        <v>0</v>
      </c>
      <c r="E68" s="753"/>
      <c r="F68" s="755">
        <f t="shared" ref="F68:F74" si="1">J21</f>
        <v>0</v>
      </c>
      <c r="G68" s="753"/>
      <c r="H68" s="755">
        <f>ROUND(SNP!$M$33/1000,0)+ROUND(SNP!$M$34/1000,0)</f>
        <v>0</v>
      </c>
      <c r="I68" s="755"/>
      <c r="J68" s="755">
        <f>ROUND(SNP!$O$33/1000,0)+ROUND(SNP!$O$34/1000,0)</f>
        <v>0</v>
      </c>
      <c r="L68" s="754">
        <f>D68-H68</f>
        <v>0</v>
      </c>
      <c r="N68" s="754">
        <f>F68-J68</f>
        <v>0</v>
      </c>
      <c r="O68" s="760" t="s">
        <v>3740</v>
      </c>
    </row>
    <row r="69" spans="1:16" s="2558" customFormat="1" ht="12.75" hidden="1" customHeight="1">
      <c r="A69" s="902" t="s">
        <v>371</v>
      </c>
      <c r="B69" s="665"/>
      <c r="C69" s="665"/>
      <c r="D69" s="755">
        <f t="shared" si="0"/>
        <v>0</v>
      </c>
      <c r="E69" s="753"/>
      <c r="F69" s="755">
        <f t="shared" si="1"/>
        <v>0</v>
      </c>
      <c r="G69" s="753"/>
      <c r="H69" s="756">
        <f>ROUND(SNP!$M$28/1000,0)+ROUND(SNP!$M$29/1000,0)+ROUND(SNP!$M$30/1000,0)+ROUND(SNP!$M$32/1000,0)+ROUND(SNP!$M$35/1000,0)</f>
        <v>0</v>
      </c>
      <c r="I69" s="755"/>
      <c r="J69" s="756">
        <f>ROUND(SNP!$O$28/1000,0)+ROUND(SNP!$O$29/1000,0)+ROUND(SNP!$O$30/1000,0)+ROUND(SNP!$O$32/1000,0)+ROUND(SNP!$O$35/1000,0)</f>
        <v>0</v>
      </c>
      <c r="L69" s="759">
        <f>D69-H69</f>
        <v>0</v>
      </c>
      <c r="N69" s="759">
        <f>F69-J69</f>
        <v>0</v>
      </c>
      <c r="O69" s="760" t="s">
        <v>3740</v>
      </c>
    </row>
    <row r="70" spans="1:16" s="2557" customFormat="1" ht="12.75" hidden="1" customHeight="1">
      <c r="A70" s="902" t="s">
        <v>373</v>
      </c>
      <c r="B70" s="903"/>
      <c r="C70" s="903"/>
      <c r="D70" s="755">
        <f t="shared" si="0"/>
        <v>0</v>
      </c>
      <c r="E70" s="753"/>
      <c r="F70" s="755">
        <f t="shared" si="1"/>
        <v>0</v>
      </c>
      <c r="G70" s="753"/>
      <c r="H70" s="755">
        <f>ROUND(SNP!$M$39/1000,0)</f>
        <v>0</v>
      </c>
      <c r="I70" s="755"/>
      <c r="J70" s="755">
        <f>ROUND(SNP!$O$39/1000,0)</f>
        <v>0</v>
      </c>
      <c r="L70" s="755">
        <f>D70-H70</f>
        <v>0</v>
      </c>
      <c r="N70" s="755">
        <f>F70-J70</f>
        <v>0</v>
      </c>
      <c r="O70" s="897" t="s">
        <v>3741</v>
      </c>
    </row>
    <row r="71" spans="1:16" s="2557" customFormat="1" ht="12.75" hidden="1" customHeight="1">
      <c r="A71" s="902" t="s">
        <v>375</v>
      </c>
      <c r="B71" s="904"/>
      <c r="C71" s="905"/>
      <c r="D71" s="755">
        <f t="shared" si="0"/>
        <v>0</v>
      </c>
      <c r="E71" s="753"/>
      <c r="F71" s="755">
        <f t="shared" si="1"/>
        <v>0</v>
      </c>
      <c r="G71" s="753"/>
      <c r="H71" s="755"/>
      <c r="I71" s="755"/>
      <c r="J71" s="755"/>
      <c r="L71" s="754"/>
      <c r="N71" s="754"/>
    </row>
    <row r="72" spans="1:16" s="2557" customFormat="1" ht="12.75" hidden="1" customHeight="1">
      <c r="B72" s="903"/>
      <c r="C72" s="903"/>
      <c r="D72" s="755"/>
      <c r="E72" s="753"/>
      <c r="F72" s="755"/>
      <c r="G72" s="753"/>
      <c r="H72" s="756">
        <f>H67+H68+H69</f>
        <v>0</v>
      </c>
      <c r="I72" s="755"/>
      <c r="J72" s="756">
        <f>J67+J68+J69</f>
        <v>0</v>
      </c>
      <c r="L72" s="754"/>
      <c r="N72" s="754"/>
    </row>
    <row r="73" spans="1:16" s="2557" customFormat="1" ht="12.75" hidden="1" customHeight="1">
      <c r="A73" s="902" t="s">
        <v>3742</v>
      </c>
      <c r="B73" s="903"/>
      <c r="C73" s="903"/>
      <c r="D73" s="755">
        <f t="shared" si="0"/>
        <v>0</v>
      </c>
      <c r="E73" s="753"/>
      <c r="F73" s="755">
        <f t="shared" si="1"/>
        <v>0</v>
      </c>
      <c r="G73" s="753"/>
      <c r="H73" s="755">
        <f>H70-H72</f>
        <v>0</v>
      </c>
      <c r="I73" s="755"/>
      <c r="J73" s="755">
        <f>J70-J72</f>
        <v>0</v>
      </c>
      <c r="L73" s="754"/>
      <c r="N73" s="754"/>
    </row>
    <row r="74" spans="1:16" s="2557" customFormat="1" ht="12.75" hidden="1" customHeight="1">
      <c r="A74" s="902" t="s">
        <v>379</v>
      </c>
      <c r="B74" s="904"/>
      <c r="C74" s="905"/>
      <c r="D74" s="755">
        <f t="shared" si="0"/>
        <v>0</v>
      </c>
      <c r="E74" s="753"/>
      <c r="F74" s="755">
        <f t="shared" si="1"/>
        <v>0</v>
      </c>
      <c r="G74" s="753"/>
      <c r="H74" s="755"/>
      <c r="I74" s="755"/>
      <c r="J74" s="755"/>
      <c r="L74" s="754"/>
      <c r="N74" s="754"/>
    </row>
    <row r="75" spans="1:16" s="2557" customFormat="1" ht="12.75" hidden="1" customHeight="1">
      <c r="A75" s="902"/>
      <c r="B75" s="901"/>
      <c r="C75" s="901"/>
      <c r="D75" s="755"/>
      <c r="E75" s="753"/>
      <c r="F75" s="753"/>
      <c r="G75" s="753"/>
      <c r="H75" s="755"/>
      <c r="I75" s="755"/>
      <c r="J75" s="753"/>
      <c r="L75" s="754"/>
      <c r="N75" s="754"/>
    </row>
    <row r="76" spans="1:16" s="2558" customFormat="1" ht="12.75" hidden="1" customHeight="1">
      <c r="A76" s="900" t="s">
        <v>383</v>
      </c>
      <c r="B76" s="665"/>
      <c r="C76" s="665"/>
      <c r="D76" s="755">
        <f>D41</f>
        <v>0</v>
      </c>
      <c r="E76" s="753"/>
      <c r="F76" s="755" t="e">
        <f>H41</f>
        <v>#N/A</v>
      </c>
      <c r="G76" s="753"/>
      <c r="H76" s="755">
        <f>ROUND(SNP!$M$77/1000,0)</f>
        <v>0</v>
      </c>
      <c r="I76" s="755"/>
      <c r="J76" s="755">
        <f>ROUND(SNP!$O$77/1000,0)</f>
        <v>0</v>
      </c>
      <c r="L76" s="754">
        <f>D76-H76</f>
        <v>0</v>
      </c>
      <c r="N76" s="754" t="e">
        <f>F76-J76</f>
        <v>#N/A</v>
      </c>
      <c r="O76" s="760" t="s">
        <v>3740</v>
      </c>
    </row>
    <row r="77" spans="1:16" s="2558" customFormat="1" ht="12.75" hidden="1" customHeight="1">
      <c r="A77" s="902" t="s">
        <v>3722</v>
      </c>
      <c r="B77" s="665"/>
      <c r="C77" s="665"/>
      <c r="D77" s="756">
        <f>D42</f>
        <v>0</v>
      </c>
      <c r="E77" s="753"/>
      <c r="F77" s="756" t="e">
        <f>H42</f>
        <v>#N/A</v>
      </c>
      <c r="G77" s="753"/>
      <c r="H77" s="756">
        <f>ROUND(SNP!$M$99/1000,0)</f>
        <v>0</v>
      </c>
      <c r="I77" s="755"/>
      <c r="J77" s="756">
        <f>ROUND(SNP!$O$99/1000,0)</f>
        <v>0</v>
      </c>
      <c r="L77" s="759">
        <f>D77-H77</f>
        <v>0</v>
      </c>
      <c r="N77" s="759" t="e">
        <f>F77-J77</f>
        <v>#N/A</v>
      </c>
      <c r="O77" s="760" t="s">
        <v>3740</v>
      </c>
    </row>
    <row r="78" spans="1:16" s="2557" customFormat="1" ht="12.75" hidden="1" customHeight="1">
      <c r="A78" s="900"/>
      <c r="B78" s="903"/>
      <c r="C78" s="903"/>
      <c r="D78" s="755">
        <f>D44</f>
        <v>0</v>
      </c>
      <c r="E78" s="753"/>
      <c r="F78" s="755" t="e">
        <f>H44</f>
        <v>#N/A</v>
      </c>
      <c r="G78" s="753"/>
      <c r="H78" s="755">
        <f>ROUND(SNP!$M$101/1000,0)</f>
        <v>0</v>
      </c>
      <c r="I78" s="755"/>
      <c r="J78" s="755">
        <f>ROUND(SNP!$O$101/1000,0)</f>
        <v>0</v>
      </c>
      <c r="L78" s="754">
        <f>D78-H78</f>
        <v>0</v>
      </c>
      <c r="N78" s="754" t="e">
        <f>F78-J78</f>
        <v>#N/A</v>
      </c>
      <c r="O78" s="895" t="s">
        <v>3740</v>
      </c>
    </row>
    <row r="79" spans="1:16" s="2557" customFormat="1" ht="12.75" hidden="1" customHeight="1">
      <c r="A79" s="900" t="s">
        <v>3723</v>
      </c>
      <c r="B79" s="904"/>
      <c r="C79" s="905"/>
      <c r="D79" s="755"/>
      <c r="E79" s="753"/>
      <c r="F79" s="755"/>
      <c r="G79" s="753"/>
      <c r="H79" s="755"/>
      <c r="I79" s="755"/>
      <c r="J79" s="755"/>
      <c r="L79" s="754"/>
      <c r="N79" s="754"/>
      <c r="O79" s="774"/>
    </row>
    <row r="80" spans="1:16" s="2557" customFormat="1" ht="12.75" hidden="1" customHeight="1">
      <c r="A80" s="902"/>
      <c r="B80" s="903"/>
      <c r="C80" s="903"/>
      <c r="D80" s="756">
        <f>D75+D76+D77</f>
        <v>0</v>
      </c>
      <c r="E80" s="753"/>
      <c r="F80" s="756" t="e">
        <f>F75+F76+F77</f>
        <v>#N/A</v>
      </c>
      <c r="G80" s="753"/>
      <c r="H80" s="756">
        <f>H75+H76+H77</f>
        <v>0</v>
      </c>
      <c r="I80" s="755"/>
      <c r="J80" s="756">
        <f>J75+J76+J77</f>
        <v>0</v>
      </c>
      <c r="L80" s="754"/>
      <c r="N80" s="754"/>
      <c r="O80" s="774"/>
    </row>
    <row r="81" spans="1:16" s="2557" customFormat="1" ht="13.5" hidden="1" customHeight="1" thickBot="1">
      <c r="A81" s="900" t="s">
        <v>3724</v>
      </c>
      <c r="B81" s="903"/>
      <c r="C81" s="903"/>
      <c r="D81" s="776">
        <f>D78-D80</f>
        <v>0</v>
      </c>
      <c r="E81" s="753"/>
      <c r="F81" s="776" t="e">
        <f>F78-F80</f>
        <v>#N/A</v>
      </c>
      <c r="G81" s="753"/>
      <c r="H81" s="776">
        <f>H78-H80</f>
        <v>0</v>
      </c>
      <c r="I81" s="755"/>
      <c r="J81" s="776">
        <f>J78-J80</f>
        <v>0</v>
      </c>
      <c r="L81" s="754"/>
      <c r="N81" s="754"/>
      <c r="O81" s="774"/>
    </row>
    <row r="82" spans="1:16" s="2557" customFormat="1" ht="13.5" hidden="1" customHeight="1" thickTop="1">
      <c r="A82" s="902" t="s">
        <v>403</v>
      </c>
      <c r="B82" s="906"/>
      <c r="C82" s="906"/>
      <c r="D82" s="753"/>
      <c r="E82" s="753"/>
      <c r="F82" s="753"/>
      <c r="G82" s="753"/>
      <c r="H82" s="753"/>
      <c r="I82" s="777"/>
      <c r="J82" s="777"/>
      <c r="L82" s="754"/>
      <c r="N82" s="754"/>
      <c r="O82" s="774"/>
    </row>
    <row r="83" spans="1:16" s="2557" customFormat="1" ht="12.75" hidden="1" customHeight="1">
      <c r="A83" s="902" t="s">
        <v>3725</v>
      </c>
      <c r="B83" s="901"/>
      <c r="C83" s="901"/>
      <c r="D83" s="753"/>
      <c r="E83" s="753"/>
      <c r="F83" s="753"/>
      <c r="G83" s="753"/>
      <c r="H83" s="753"/>
      <c r="I83" s="777"/>
      <c r="J83" s="777"/>
      <c r="L83" s="754"/>
      <c r="N83" s="754"/>
      <c r="O83" s="774"/>
    </row>
    <row r="84" spans="1:16" s="2557" customFormat="1" ht="12.75" hidden="1" customHeight="1">
      <c r="A84" s="902"/>
      <c r="B84" s="903"/>
      <c r="C84" s="903"/>
      <c r="D84" s="755">
        <f>D49</f>
        <v>0</v>
      </c>
      <c r="E84" s="753"/>
      <c r="F84" s="755" t="e">
        <f>H49</f>
        <v>#N/A</v>
      </c>
      <c r="G84" s="753"/>
      <c r="H84" s="753">
        <f>ROUND(SNP!$M$116/1000,0)</f>
        <v>0</v>
      </c>
      <c r="I84" s="777"/>
      <c r="J84" s="753">
        <f>ROUND(SNP!$O$116/1000,0)</f>
        <v>0</v>
      </c>
      <c r="L84" s="754">
        <f>D84-H84</f>
        <v>0</v>
      </c>
      <c r="N84" s="754" t="e">
        <f>F84-J84</f>
        <v>#N/A</v>
      </c>
      <c r="O84" s="895" t="s">
        <v>3740</v>
      </c>
    </row>
    <row r="85" spans="1:16" s="774" customFormat="1" ht="12.75" hidden="1" customHeight="1">
      <c r="A85" s="900" t="s">
        <v>3726</v>
      </c>
      <c r="B85" s="665"/>
      <c r="C85" s="665"/>
      <c r="D85" s="755">
        <f>D50</f>
        <v>0</v>
      </c>
      <c r="E85" s="773"/>
      <c r="F85" s="755" t="e">
        <f>H50</f>
        <v>#N/A</v>
      </c>
      <c r="G85" s="773"/>
      <c r="H85" s="747">
        <f>ROUND(SNP!$M$119/1000,0)+ROUND(SNP!$M$121/1000,0)+ROUND(SNP!$M$122/1000,0)+ROUND(SNP!$M$123/1000,0)+ROUND(SNP!$M$124/1000,0)+ROUND(SNP!$M$125/1000,0)+ROUND(SNP!$M$126/1000,0)</f>
        <v>0</v>
      </c>
      <c r="I85" s="747"/>
      <c r="J85" s="747">
        <f>ROUND(SNP!$O$119/1000,0)+ROUND(SNP!$O$121/1000,0)+ROUND(SNP!$O$122/1000,0)+ROUND(SNP!$O$123/1000,0)+ROUND(SNP!$O$124/1000,0)+ROUND(SNP!$O$125/1000,0)+ROUND(SNP!$O$126/1000,0)</f>
        <v>0</v>
      </c>
      <c r="L85" s="754">
        <f>D85-H85</f>
        <v>0</v>
      </c>
      <c r="N85" s="754" t="e">
        <f>F85-J85</f>
        <v>#N/A</v>
      </c>
      <c r="O85" s="895" t="s">
        <v>3740</v>
      </c>
      <c r="P85" s="2558"/>
    </row>
    <row r="86" spans="1:16" s="774" customFormat="1" ht="12.75" hidden="1" customHeight="1">
      <c r="A86" s="902"/>
      <c r="B86" s="665"/>
      <c r="C86" s="665"/>
      <c r="D86" s="756">
        <f>D51</f>
        <v>0</v>
      </c>
      <c r="E86" s="773"/>
      <c r="F86" s="756">
        <f>H51</f>
        <v>0</v>
      </c>
      <c r="G86" s="773"/>
      <c r="H86" s="775">
        <f>ROUND(SNP!$K$127/1000,0)</f>
        <v>0</v>
      </c>
      <c r="I86" s="747"/>
      <c r="J86" s="775">
        <f>ROUND(SNP!$O$127/1000,0)</f>
        <v>0</v>
      </c>
      <c r="L86" s="759">
        <f>D86-H86</f>
        <v>0</v>
      </c>
      <c r="N86" s="759">
        <f>F86-J86</f>
        <v>0</v>
      </c>
      <c r="O86" s="895" t="s">
        <v>3740</v>
      </c>
      <c r="P86" s="2558"/>
    </row>
    <row r="87" spans="1:16" s="770" customFormat="1" ht="12.75" hidden="1" customHeight="1">
      <c r="A87" s="900" t="s">
        <v>3727</v>
      </c>
      <c r="B87" s="903"/>
      <c r="C87" s="903"/>
      <c r="D87" s="755">
        <f>D53</f>
        <v>0</v>
      </c>
      <c r="E87" s="773"/>
      <c r="F87" s="755">
        <f>H53</f>
        <v>0</v>
      </c>
      <c r="G87" s="773"/>
      <c r="H87" s="747">
        <f>ROUND(SNP!$M$129/1000,0)</f>
        <v>0</v>
      </c>
      <c r="I87" s="747"/>
      <c r="J87" s="747">
        <f>ROUND(SNP!$O$129/1000,0)</f>
        <v>0</v>
      </c>
      <c r="L87" s="755">
        <f>D87-H87</f>
        <v>0</v>
      </c>
      <c r="N87" s="755">
        <f>F87-J87</f>
        <v>0</v>
      </c>
      <c r="O87" s="896" t="s">
        <v>3741</v>
      </c>
    </row>
    <row r="88" spans="1:16" s="2557" customFormat="1" ht="12.75" hidden="1" customHeight="1">
      <c r="A88" s="900" t="s">
        <v>3728</v>
      </c>
      <c r="B88" s="904"/>
      <c r="C88" s="905"/>
      <c r="D88" s="755"/>
      <c r="E88" s="753"/>
      <c r="F88" s="755"/>
      <c r="G88" s="753"/>
      <c r="H88" s="755"/>
      <c r="I88" s="755"/>
      <c r="J88" s="755"/>
      <c r="L88" s="754"/>
      <c r="N88" s="754"/>
      <c r="O88" s="774"/>
      <c r="P88" s="770"/>
    </row>
    <row r="89" spans="1:16" s="2557" customFormat="1" ht="12.75" hidden="1" customHeight="1">
      <c r="A89" s="902" t="s">
        <v>425</v>
      </c>
      <c r="B89" s="903"/>
      <c r="C89" s="903"/>
      <c r="D89" s="756">
        <f>D84+D85+D86</f>
        <v>0</v>
      </c>
      <c r="E89" s="753"/>
      <c r="F89" s="756" t="e">
        <f>F84+F85+F86</f>
        <v>#N/A</v>
      </c>
      <c r="G89" s="753"/>
      <c r="H89" s="756">
        <f>H84+H85+H86</f>
        <v>0</v>
      </c>
      <c r="I89" s="755"/>
      <c r="J89" s="756">
        <f>J84+J85+J86</f>
        <v>0</v>
      </c>
      <c r="L89" s="754"/>
      <c r="N89" s="754"/>
      <c r="O89" s="774"/>
      <c r="P89" s="770"/>
    </row>
    <row r="90" spans="1:16" s="2557" customFormat="1" ht="13.5" hidden="1" customHeight="1" thickBot="1">
      <c r="A90" s="902" t="s">
        <v>427</v>
      </c>
      <c r="B90" s="903"/>
      <c r="C90" s="903"/>
      <c r="D90" s="776">
        <f>D87-D89</f>
        <v>0</v>
      </c>
      <c r="E90" s="753"/>
      <c r="F90" s="776" t="e">
        <f>F87-F89</f>
        <v>#N/A</v>
      </c>
      <c r="G90" s="753"/>
      <c r="H90" s="776">
        <f>H87-H89</f>
        <v>0</v>
      </c>
      <c r="I90" s="755"/>
      <c r="J90" s="776">
        <f>J87-J89</f>
        <v>0</v>
      </c>
      <c r="L90" s="754"/>
      <c r="N90" s="754"/>
      <c r="O90" s="774"/>
    </row>
    <row r="91" spans="1:16" s="770" customFormat="1" ht="13.5" hidden="1" customHeight="1" thickTop="1">
      <c r="A91" s="902" t="s">
        <v>3729</v>
      </c>
      <c r="B91" s="907"/>
      <c r="C91" s="908"/>
      <c r="D91" s="747"/>
      <c r="E91" s="773"/>
      <c r="F91" s="747"/>
      <c r="G91" s="773"/>
      <c r="H91" s="754"/>
      <c r="I91" s="761"/>
      <c r="J91" s="761"/>
      <c r="L91" s="753"/>
      <c r="N91" s="753"/>
      <c r="O91" s="774"/>
      <c r="P91" s="2557"/>
    </row>
    <row r="92" spans="1:16" s="2557" customFormat="1" ht="12.75" hidden="1" customHeight="1">
      <c r="A92" s="909"/>
      <c r="B92" s="901"/>
      <c r="C92" s="901"/>
      <c r="D92" s="753"/>
      <c r="E92" s="753"/>
      <c r="F92" s="753"/>
      <c r="G92" s="753"/>
      <c r="H92" s="753"/>
      <c r="I92" s="777"/>
      <c r="J92" s="777"/>
      <c r="L92" s="754"/>
      <c r="N92" s="754"/>
      <c r="O92" s="774"/>
    </row>
    <row r="93" spans="1:16" s="2557" customFormat="1" ht="12.75" hidden="1" customHeight="1">
      <c r="A93" s="900" t="s">
        <v>3743</v>
      </c>
      <c r="B93" s="903"/>
      <c r="C93" s="903"/>
      <c r="D93" s="755">
        <f>D38</f>
        <v>0</v>
      </c>
      <c r="E93" s="753"/>
      <c r="F93" s="755" t="e">
        <f>H38</f>
        <v>#N/A</v>
      </c>
      <c r="G93" s="753"/>
      <c r="H93" s="755">
        <f>ROUND(SNP!$M$39/1000,0)</f>
        <v>0</v>
      </c>
      <c r="I93" s="755"/>
      <c r="J93" s="755">
        <f>ROUND(SNP!$O$39/1000,0)</f>
        <v>0</v>
      </c>
      <c r="L93" s="754">
        <f>D93-H93</f>
        <v>0</v>
      </c>
      <c r="N93" s="754" t="e">
        <f>F93-J93</f>
        <v>#N/A</v>
      </c>
      <c r="O93" s="895" t="s">
        <v>3740</v>
      </c>
    </row>
    <row r="94" spans="1:16" s="770" customFormat="1" ht="12.75" hidden="1" customHeight="1">
      <c r="A94" s="900"/>
      <c r="B94" s="903"/>
      <c r="C94" s="903"/>
      <c r="D94" s="756">
        <f>D44</f>
        <v>0</v>
      </c>
      <c r="E94" s="773"/>
      <c r="F94" s="756" t="e">
        <f>H44</f>
        <v>#N/A</v>
      </c>
      <c r="G94" s="773"/>
      <c r="H94" s="756">
        <f>ROUND(SNP!$M$101/1000,0)</f>
        <v>0</v>
      </c>
      <c r="I94" s="755"/>
      <c r="J94" s="756">
        <f>ROUND(SNP!$O$101/1000,0)</f>
        <v>0</v>
      </c>
      <c r="L94" s="759">
        <f>D94-H94</f>
        <v>0</v>
      </c>
      <c r="N94" s="759" t="e">
        <f>F94-J94</f>
        <v>#N/A</v>
      </c>
      <c r="O94" s="895" t="s">
        <v>3740</v>
      </c>
      <c r="P94" s="2557"/>
    </row>
    <row r="95" spans="1:16" s="774" customFormat="1" ht="12.75" hidden="1" customHeight="1">
      <c r="A95" s="902" t="s">
        <v>436</v>
      </c>
      <c r="B95" s="665"/>
      <c r="C95" s="665"/>
      <c r="D95" s="755">
        <f>D93-D94</f>
        <v>0</v>
      </c>
      <c r="E95" s="773"/>
      <c r="F95" s="755" t="e">
        <f>F93-F94</f>
        <v>#N/A</v>
      </c>
      <c r="G95" s="773"/>
      <c r="H95" s="747">
        <f>H93-H94</f>
        <v>0</v>
      </c>
      <c r="I95" s="747"/>
      <c r="J95" s="747">
        <f>J93-J94</f>
        <v>0</v>
      </c>
      <c r="L95" s="761">
        <f>D95-H95</f>
        <v>0</v>
      </c>
      <c r="N95" s="761" t="e">
        <f>F95-J95</f>
        <v>#N/A</v>
      </c>
      <c r="O95" s="895" t="s">
        <v>3740</v>
      </c>
      <c r="P95" s="2558"/>
    </row>
    <row r="96" spans="1:16" s="770" customFormat="1" ht="12.75" hidden="1" customHeight="1">
      <c r="A96" s="902" t="s">
        <v>3744</v>
      </c>
      <c r="B96" s="903"/>
      <c r="C96" s="903"/>
      <c r="D96" s="755">
        <f>D53</f>
        <v>0</v>
      </c>
      <c r="E96" s="773"/>
      <c r="F96" s="755">
        <f>H53</f>
        <v>0</v>
      </c>
      <c r="G96" s="773"/>
      <c r="H96" s="747">
        <f>ROUND(SNP!$M$129/1000,0)</f>
        <v>0</v>
      </c>
      <c r="I96" s="747"/>
      <c r="J96" s="747">
        <f>ROUND(SNP!$O$129/1000,0)</f>
        <v>0</v>
      </c>
      <c r="L96" s="755">
        <f>D96-H96</f>
        <v>0</v>
      </c>
      <c r="N96" s="755">
        <f>F96-J96</f>
        <v>0</v>
      </c>
      <c r="O96" s="896" t="s">
        <v>3741</v>
      </c>
    </row>
    <row r="97" spans="1:16" s="2557" customFormat="1" ht="12.75" hidden="1" customHeight="1">
      <c r="A97" s="902"/>
      <c r="B97" s="904"/>
      <c r="C97" s="905"/>
      <c r="D97" s="755"/>
      <c r="E97" s="753"/>
      <c r="F97" s="755"/>
      <c r="G97" s="753"/>
      <c r="H97" s="755"/>
      <c r="I97" s="755"/>
      <c r="J97" s="755"/>
      <c r="L97" s="754"/>
      <c r="N97" s="754"/>
      <c r="O97" s="774"/>
      <c r="P97" s="770"/>
    </row>
    <row r="98" spans="1:16" s="2557" customFormat="1" ht="13.5" hidden="1" customHeight="1" thickBot="1">
      <c r="A98" s="900" t="s">
        <v>3745</v>
      </c>
      <c r="B98" s="904"/>
      <c r="C98" s="905"/>
      <c r="D98" s="776">
        <f>D95-D96</f>
        <v>0</v>
      </c>
      <c r="E98" s="753"/>
      <c r="F98" s="776" t="e">
        <f>F95-F96</f>
        <v>#N/A</v>
      </c>
      <c r="G98" s="753"/>
      <c r="H98" s="776">
        <f>H95-H96</f>
        <v>0</v>
      </c>
      <c r="I98" s="755"/>
      <c r="J98" s="776">
        <f>J95-J96</f>
        <v>0</v>
      </c>
      <c r="L98" s="754"/>
      <c r="N98" s="754"/>
      <c r="O98" s="774"/>
      <c r="P98" s="770"/>
    </row>
    <row r="99" spans="1:16" s="2557" customFormat="1" ht="13.5" hidden="1" customHeight="1" thickTop="1">
      <c r="A99" s="902"/>
      <c r="B99" s="904"/>
      <c r="C99" s="905"/>
      <c r="D99" s="753"/>
      <c r="E99" s="753"/>
      <c r="F99" s="753"/>
      <c r="G99" s="753"/>
      <c r="H99" s="755"/>
      <c r="I99" s="755"/>
      <c r="J99" s="753"/>
      <c r="K99" s="753"/>
      <c r="L99" s="754"/>
      <c r="M99" s="766"/>
      <c r="O99" s="774"/>
    </row>
    <row r="100" spans="1:16" s="770" customFormat="1" ht="12.75" hidden="1" customHeight="1">
      <c r="A100" s="900" t="s">
        <v>3746</v>
      </c>
      <c r="B100" s="907"/>
      <c r="C100" s="908"/>
      <c r="D100" s="778"/>
      <c r="E100" s="747"/>
      <c r="F100" s="747"/>
      <c r="G100" s="773"/>
      <c r="H100" s="761"/>
      <c r="I100" s="761"/>
      <c r="J100" s="754"/>
      <c r="K100" s="761"/>
      <c r="L100" s="753"/>
      <c r="M100" s="765"/>
      <c r="N100" s="2557"/>
      <c r="O100" s="2557"/>
      <c r="P100" s="2557"/>
    </row>
    <row r="101" spans="1:16" ht="12.75">
      <c r="A101" s="1867"/>
      <c r="B101" s="1867"/>
      <c r="C101" s="1867"/>
      <c r="D101" s="1867"/>
      <c r="E101" s="1867"/>
      <c r="F101" s="80"/>
      <c r="G101" s="81"/>
      <c r="H101" s="80"/>
      <c r="I101" s="894"/>
      <c r="J101" s="82"/>
      <c r="K101" s="80"/>
      <c r="L101" s="82"/>
      <c r="M101" s="80"/>
      <c r="N101" s="184"/>
    </row>
    <row r="102" spans="1:16" ht="12.75">
      <c r="A102" s="77"/>
      <c r="B102" s="77"/>
      <c r="C102" s="77"/>
      <c r="D102" s="2883"/>
      <c r="E102" s="2772"/>
      <c r="F102" s="2884">
        <v>44377</v>
      </c>
      <c r="G102" s="2772"/>
      <c r="H102" s="2772"/>
      <c r="I102" s="77"/>
      <c r="J102" s="77"/>
      <c r="K102" s="1867"/>
      <c r="L102" s="1867"/>
    </row>
    <row r="103" spans="1:16" ht="25.5">
      <c r="A103" s="83" t="s">
        <v>3747</v>
      </c>
      <c r="B103" s="83"/>
      <c r="C103" s="182"/>
      <c r="D103" s="566" t="s">
        <v>3748</v>
      </c>
      <c r="E103" s="77"/>
      <c r="F103" s="566" t="s">
        <v>3749</v>
      </c>
      <c r="G103" s="77"/>
      <c r="H103" s="695" t="s">
        <v>367</v>
      </c>
      <c r="I103" s="77"/>
      <c r="J103" s="77"/>
      <c r="K103" s="1867"/>
      <c r="L103" s="1867"/>
    </row>
    <row r="104" spans="1:16" ht="12.75">
      <c r="A104" s="77"/>
      <c r="B104" s="77"/>
      <c r="C104" s="84" t="s">
        <v>3719</v>
      </c>
      <c r="D104" s="87">
        <f>'MD&amp;A Fincl Hghlts'!D30</f>
        <v>0</v>
      </c>
      <c r="E104" s="77"/>
      <c r="F104" s="77">
        <f>ROUND(F29/1000,1)</f>
        <v>0</v>
      </c>
      <c r="G104" s="77"/>
      <c r="H104" s="77">
        <f>ROUND(SRECNP!L20/1000000,1)</f>
        <v>0</v>
      </c>
      <c r="I104" s="77"/>
      <c r="J104" s="77"/>
      <c r="K104" s="1867"/>
      <c r="L104" s="1867"/>
    </row>
    <row r="105" spans="1:16" ht="12.75">
      <c r="A105" s="77"/>
      <c r="B105" s="77"/>
      <c r="C105" s="84" t="s">
        <v>3750</v>
      </c>
      <c r="D105" s="87">
        <f>'MD&amp;A Fincl Hghlts'!D31</f>
        <v>0</v>
      </c>
      <c r="E105" s="77"/>
      <c r="F105" s="77">
        <f>ROUND(F30/1000,1)</f>
        <v>0</v>
      </c>
      <c r="G105" s="77"/>
      <c r="H105" s="77">
        <f>ROUND(SRECNP!L32/1000000,1)</f>
        <v>0</v>
      </c>
      <c r="I105" s="77"/>
      <c r="J105" s="77"/>
      <c r="K105" s="1867"/>
      <c r="L105" s="1867"/>
    </row>
    <row r="106" spans="1:16" ht="12.75">
      <c r="A106" s="77"/>
      <c r="B106" s="77"/>
      <c r="C106" s="84" t="s">
        <v>3751</v>
      </c>
      <c r="D106" s="87">
        <f>'MD&amp;A Fincl Hghlts'!D29</f>
        <v>0</v>
      </c>
      <c r="E106" s="77"/>
      <c r="F106" s="87" t="e">
        <f>ROUND(F54/1000,1)</f>
        <v>#N/A</v>
      </c>
      <c r="G106" s="77"/>
      <c r="H106" s="77" t="e">
        <f>ROUND(SRECNP!L66/1000000,1)</f>
        <v>#N/A</v>
      </c>
      <c r="I106" s="77"/>
      <c r="J106" s="77"/>
      <c r="K106" s="1867"/>
      <c r="L106" s="1867"/>
    </row>
    <row r="107" spans="1:16" ht="12.75">
      <c r="A107" s="77"/>
      <c r="B107" s="77"/>
      <c r="C107" s="77"/>
      <c r="D107" s="2884"/>
      <c r="E107" s="2772"/>
      <c r="F107" s="2884">
        <v>44012</v>
      </c>
      <c r="G107" s="77"/>
      <c r="H107" s="77"/>
      <c r="I107" s="77"/>
      <c r="J107" s="77"/>
      <c r="K107" s="1867"/>
      <c r="L107" s="1867"/>
    </row>
    <row r="108" spans="1:16" ht="25.5">
      <c r="A108" s="77"/>
      <c r="B108" s="77"/>
      <c r="C108" s="77"/>
      <c r="D108" s="566" t="s">
        <v>3748</v>
      </c>
      <c r="E108" s="77"/>
      <c r="F108" s="566" t="s">
        <v>3749</v>
      </c>
      <c r="G108" s="77"/>
      <c r="H108" s="77"/>
      <c r="I108" s="77"/>
      <c r="J108" s="77"/>
      <c r="K108" s="1867"/>
      <c r="L108" s="1867"/>
    </row>
    <row r="109" spans="1:16" ht="12.75">
      <c r="A109" s="77"/>
      <c r="B109" s="77"/>
      <c r="C109" s="84" t="s">
        <v>3719</v>
      </c>
      <c r="D109" s="77" t="e">
        <f>'MD&amp;A Fincl Hghlts'!E30</f>
        <v>#N/A</v>
      </c>
      <c r="E109" s="77"/>
      <c r="F109" s="77" t="e">
        <f>ROUND(H29/1000,1)</f>
        <v>#N/A</v>
      </c>
      <c r="G109" s="77"/>
      <c r="H109" s="77"/>
      <c r="I109" s="77"/>
      <c r="J109" s="77"/>
      <c r="K109" s="1867"/>
      <c r="L109" s="1867"/>
    </row>
    <row r="110" spans="1:16" ht="12.75">
      <c r="A110" s="77"/>
      <c r="B110" s="77"/>
      <c r="C110" s="84" t="s">
        <v>3750</v>
      </c>
      <c r="D110" s="77" t="e">
        <f>'MD&amp;A Fincl Hghlts'!E31</f>
        <v>#N/A</v>
      </c>
      <c r="E110" s="77"/>
      <c r="F110" s="77" t="e">
        <f>ROUND(H30/1000,1)</f>
        <v>#N/A</v>
      </c>
      <c r="G110" s="77"/>
      <c r="H110" s="77"/>
      <c r="I110" s="77"/>
      <c r="J110" s="77"/>
      <c r="K110" s="1867"/>
      <c r="L110" s="1867"/>
    </row>
    <row r="111" spans="1:16" ht="12.75">
      <c r="A111" s="77"/>
      <c r="B111" s="77"/>
      <c r="C111" s="84" t="s">
        <v>3751</v>
      </c>
      <c r="D111" s="87" t="e">
        <f>'MD&amp;A Fincl Hghlts'!E29</f>
        <v>#N/A</v>
      </c>
      <c r="E111" s="77"/>
      <c r="F111" s="87" t="e">
        <f>ROUND(H54/1000,1)</f>
        <v>#N/A</v>
      </c>
      <c r="G111" s="77"/>
      <c r="H111" s="77"/>
      <c r="I111" s="77"/>
      <c r="J111" s="77"/>
      <c r="K111" s="1867"/>
      <c r="L111" s="1867"/>
    </row>
  </sheetData>
  <sheetProtection formatColumns="0" formatRows="0"/>
  <conditionalFormatting sqref="F104:F106">
    <cfRule type="cellIs" dxfId="83" priority="5" operator="notEqual">
      <formula>$H104</formula>
    </cfRule>
    <cfRule type="cellIs" dxfId="82" priority="10" operator="notEqual">
      <formula>$D104</formula>
    </cfRule>
    <cfRule type="cellIs" dxfId="81" priority="11" operator="equal">
      <formula>$H104</formula>
    </cfRule>
    <cfRule type="cellIs" dxfId="80" priority="12" operator="equal">
      <formula>$D104</formula>
    </cfRule>
  </conditionalFormatting>
  <conditionalFormatting sqref="H104:H106">
    <cfRule type="cellIs" dxfId="79" priority="9" operator="notEqual">
      <formula>$H104</formula>
    </cfRule>
  </conditionalFormatting>
  <conditionalFormatting sqref="F109:F111">
    <cfRule type="cellIs" dxfId="78" priority="6" operator="notEqual">
      <formula>$D109</formula>
    </cfRule>
    <cfRule type="cellIs" dxfId="77" priority="8" operator="equal">
      <formula>$D109</formula>
    </cfRule>
  </conditionalFormatting>
  <conditionalFormatting sqref="L96 L70 L87 D98 F98 D81 F81 D90 F90 J98 H98 N96 N70 N87 J73 J81 J90 H90 H81 H73">
    <cfRule type="cellIs" dxfId="76" priority="4" operator="equal">
      <formula>0</formula>
    </cfRule>
  </conditionalFormatting>
  <conditionalFormatting sqref="L96 L70 L87 D98 F98 D81 F81 D90 F90 J98 H98 N96 N70 N87 J73 J81 J90 H90 H81 H73">
    <cfRule type="cellIs" dxfId="75" priority="3" operator="notEqual">
      <formula>0</formula>
    </cfRule>
  </conditionalFormatting>
  <conditionalFormatting sqref="L84:L86 L76:L78 L67:L69 L93:L95 N84:N86 N76:N78 N67:N69 N93:N95">
    <cfRule type="cellIs" dxfId="74" priority="1" operator="notEqual">
      <formula>0</formula>
    </cfRule>
    <cfRule type="cellIs" dxfId="73" priority="2" operator="equal">
      <formula>0</formula>
    </cfRule>
  </conditionalFormatting>
  <pageMargins left="0.7" right="0.7" top="0.75" bottom="0.75" header="0.3" footer="0.3"/>
  <pageSetup scale="82" orientation="portrait" r:id="rId1"/>
  <headerFooter>
    <oddHeader>&amp;L&amp;"Arial,Regular"&amp;8&amp;F&amp;R&amp;"Arial,Regular"&amp;8&amp;A</oddHeader>
    <oddFooter>&amp;L&amp;D&amp;R&amp;"Arial,Regular"&amp;8&amp;P of &amp;N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G94"/>
  <sheetViews>
    <sheetView workbookViewId="0">
      <selection activeCell="H24" sqref="H24"/>
    </sheetView>
  </sheetViews>
  <sheetFormatPr defaultColWidth="9.140625" defaultRowHeight="15"/>
  <cols>
    <col min="1" max="1" width="17.42578125" style="1088" customWidth="1"/>
    <col min="2" max="2" width="31.42578125" style="1088" customWidth="1"/>
    <col min="3" max="3" width="75.85546875" style="1088" customWidth="1"/>
    <col min="4" max="4" width="9.140625" style="1088"/>
    <col min="5" max="5" width="0" style="1088" hidden="1" customWidth="1"/>
    <col min="6" max="16384" width="9.140625" style="1088"/>
  </cols>
  <sheetData>
    <row r="1" spans="1:7" s="1085" customFormat="1" ht="23.25">
      <c r="A1" s="3882" t="s">
        <v>732</v>
      </c>
      <c r="B1" s="2568"/>
      <c r="C1" s="2568"/>
      <c r="D1" s="1084"/>
      <c r="E1" s="1084"/>
      <c r="F1" s="1084"/>
      <c r="G1" s="1084"/>
    </row>
    <row r="2" spans="1:7" s="1086" customFormat="1" ht="6" customHeight="1">
      <c r="A2" s="1465"/>
      <c r="B2" s="1465"/>
      <c r="C2" s="1096"/>
      <c r="D2" s="1097"/>
      <c r="E2" s="1097"/>
      <c r="F2" s="1097"/>
      <c r="G2" s="1097"/>
    </row>
    <row r="3" spans="1:7" s="1086" customFormat="1" ht="15.75">
      <c r="B3" s="1465" t="s">
        <v>733</v>
      </c>
      <c r="C3" s="2954" t="s">
        <v>4051</v>
      </c>
      <c r="D3" s="1097"/>
      <c r="E3" s="1097"/>
      <c r="F3" s="1097"/>
      <c r="G3" s="1097"/>
    </row>
    <row r="4" spans="1:7" s="1086" customFormat="1" ht="6" customHeight="1">
      <c r="B4" s="2987"/>
    </row>
    <row r="5" spans="1:7" s="1086" customFormat="1" ht="15.75">
      <c r="B5" s="1465" t="s">
        <v>734</v>
      </c>
      <c r="C5" s="3283" t="s">
        <v>227</v>
      </c>
    </row>
    <row r="6" spans="1:7" s="1091" customFormat="1" ht="12.75">
      <c r="B6" s="1093"/>
      <c r="C6" s="1094"/>
    </row>
    <row r="7" spans="1:7" s="1091" customFormat="1" ht="6" customHeight="1">
      <c r="B7" s="1093"/>
      <c r="C7" s="1094"/>
    </row>
    <row r="8" spans="1:7" s="1091" customFormat="1" ht="12.75">
      <c r="B8" s="2988" t="s">
        <v>735</v>
      </c>
      <c r="C8" s="1092"/>
    </row>
    <row r="9" spans="1:7" s="1091" customFormat="1" ht="12.75">
      <c r="B9" s="2988" t="s">
        <v>736</v>
      </c>
      <c r="C9" s="3284"/>
    </row>
    <row r="10" spans="1:7" s="1091" customFormat="1" ht="12.75">
      <c r="B10" s="2988" t="s">
        <v>737</v>
      </c>
      <c r="C10" s="3284"/>
    </row>
    <row r="11" spans="1:7" s="1091" customFormat="1" ht="12.75">
      <c r="B11" s="2988" t="s">
        <v>738</v>
      </c>
      <c r="C11" s="3713"/>
    </row>
    <row r="12" spans="1:7" s="1091" customFormat="1" ht="12.75">
      <c r="B12" s="2988" t="s">
        <v>739</v>
      </c>
      <c r="C12" s="3713"/>
    </row>
    <row r="13" spans="1:7" s="1091" customFormat="1" ht="12.75">
      <c r="C13" s="1677"/>
    </row>
    <row r="14" spans="1:7" s="1090" customFormat="1" ht="6" customHeight="1">
      <c r="A14" s="1089"/>
      <c r="B14" s="1089"/>
      <c r="C14" s="1089"/>
    </row>
    <row r="15" spans="1:7" s="1087" customFormat="1" ht="19.5" thickBot="1">
      <c r="A15" s="2569" t="s">
        <v>740</v>
      </c>
      <c r="B15" s="2569"/>
      <c r="C15" s="2569"/>
    </row>
    <row r="16" spans="1:7" ht="9" customHeight="1">
      <c r="A16" s="1095"/>
      <c r="B16" s="1095"/>
      <c r="C16" s="1095"/>
    </row>
    <row r="17" spans="1:3" s="1091" customFormat="1" ht="12.75">
      <c r="A17" s="2565" t="s">
        <v>741</v>
      </c>
      <c r="B17" s="2565"/>
      <c r="C17" s="2565"/>
    </row>
    <row r="18" spans="1:3" s="1091" customFormat="1" ht="12.75">
      <c r="A18" s="2564" t="s">
        <v>742</v>
      </c>
      <c r="B18" s="2564"/>
      <c r="C18" s="2564"/>
    </row>
    <row r="19" spans="1:3" s="1091" customFormat="1" ht="12.75">
      <c r="A19" s="2564" t="s">
        <v>743</v>
      </c>
      <c r="B19" s="2564"/>
      <c r="C19" s="2564"/>
    </row>
    <row r="20" spans="1:3" s="1091" customFormat="1" ht="4.5" customHeight="1"/>
    <row r="21" spans="1:3" s="1091" customFormat="1" ht="12.75">
      <c r="A21" s="2565" t="s">
        <v>744</v>
      </c>
      <c r="B21" s="2565"/>
      <c r="C21" s="2565"/>
    </row>
    <row r="22" spans="1:3" s="1091" customFormat="1" ht="12.75">
      <c r="A22" s="2564" t="s">
        <v>745</v>
      </c>
      <c r="B22" s="2564"/>
      <c r="C22" s="2564"/>
    </row>
    <row r="23" spans="1:3" s="1091" customFormat="1" ht="4.5" customHeight="1"/>
    <row r="24" spans="1:3" s="1091" customFormat="1" ht="12.75">
      <c r="A24" s="2565" t="s">
        <v>746</v>
      </c>
      <c r="B24" s="2565"/>
      <c r="C24" s="2565"/>
    </row>
    <row r="25" spans="1:3" s="1091" customFormat="1" ht="12.75">
      <c r="A25" s="2565" t="s">
        <v>747</v>
      </c>
      <c r="B25" s="2565"/>
      <c r="C25" s="2565"/>
    </row>
    <row r="26" spans="1:3" s="1091" customFormat="1" ht="12.75">
      <c r="A26" s="2564" t="s">
        <v>748</v>
      </c>
      <c r="B26" s="2564"/>
      <c r="C26" s="2564"/>
    </row>
    <row r="27" spans="1:3" s="1091" customFormat="1" ht="4.5" customHeight="1"/>
    <row r="28" spans="1:3" s="1091" customFormat="1" ht="12.75" customHeight="1">
      <c r="A28" s="2565" t="s">
        <v>749</v>
      </c>
      <c r="B28" s="2565"/>
      <c r="C28" s="2565"/>
    </row>
    <row r="29" spans="1:3" s="1091" customFormat="1" ht="12.75">
      <c r="A29" s="2565" t="s">
        <v>750</v>
      </c>
      <c r="B29" s="2565"/>
      <c r="C29" s="2565"/>
    </row>
    <row r="30" spans="1:3" s="1091" customFormat="1" ht="12.75">
      <c r="A30" s="2565" t="s">
        <v>751</v>
      </c>
      <c r="B30" s="2565"/>
      <c r="C30" s="2565"/>
    </row>
    <row r="31" spans="1:3" s="1091" customFormat="1" ht="12.75">
      <c r="A31" s="2566" t="s">
        <v>752</v>
      </c>
      <c r="B31" s="2566"/>
      <c r="C31" s="2566"/>
    </row>
    <row r="32" spans="1:3" s="1098" customFormat="1" ht="4.5" customHeight="1">
      <c r="A32" s="2567"/>
      <c r="B32" s="2567"/>
      <c r="C32" s="2567"/>
    </row>
    <row r="33" spans="1:5" s="1091" customFormat="1" ht="12.75" customHeight="1">
      <c r="A33" s="2565" t="s">
        <v>753</v>
      </c>
      <c r="B33" s="2565"/>
      <c r="C33" s="2565"/>
    </row>
    <row r="34" spans="1:5" s="1091" customFormat="1" ht="12.75" customHeight="1">
      <c r="A34" s="2565" t="s">
        <v>754</v>
      </c>
      <c r="B34" s="2565"/>
      <c r="C34" s="2565"/>
    </row>
    <row r="35" spans="1:5" s="1091" customFormat="1" ht="12.75">
      <c r="A35" s="2565" t="s">
        <v>755</v>
      </c>
      <c r="B35" s="2565"/>
      <c r="C35" s="2565"/>
    </row>
    <row r="36" spans="1:5" s="1091" customFormat="1" ht="12.75">
      <c r="A36" s="2565" t="s">
        <v>756</v>
      </c>
      <c r="B36" s="2565"/>
      <c r="C36" s="2565"/>
    </row>
    <row r="37" spans="1:5" s="1091" customFormat="1" ht="12.75">
      <c r="A37" s="2565" t="s">
        <v>757</v>
      </c>
      <c r="B37" s="2565"/>
      <c r="C37" s="2565"/>
    </row>
    <row r="38" spans="1:5" s="1098" customFormat="1" ht="4.5" customHeight="1">
      <c r="A38" s="2567"/>
      <c r="B38" s="2567"/>
      <c r="C38" s="2567"/>
    </row>
    <row r="39" spans="1:5" s="1091" customFormat="1" ht="12.75" customHeight="1">
      <c r="A39" s="2565" t="s">
        <v>758</v>
      </c>
      <c r="B39" s="2565"/>
      <c r="C39" s="2565"/>
    </row>
    <row r="40" spans="1:5" s="1091" customFormat="1" ht="12.75">
      <c r="A40" s="2565" t="s">
        <v>759</v>
      </c>
      <c r="B40" s="2565"/>
      <c r="C40" s="2565"/>
    </row>
    <row r="41" spans="1:5" s="1098" customFormat="1" ht="4.5" customHeight="1">
      <c r="A41" s="2567"/>
      <c r="B41" s="2567"/>
      <c r="C41" s="2567"/>
    </row>
    <row r="42" spans="1:5" s="1091" customFormat="1" ht="12.75">
      <c r="A42" s="1099"/>
      <c r="B42" s="1099"/>
      <c r="C42" s="1099"/>
    </row>
    <row r="43" spans="1:5" s="1091" customFormat="1" ht="12.75">
      <c r="A43" s="3285" t="s">
        <v>760</v>
      </c>
      <c r="B43" s="3714"/>
      <c r="C43" s="3286" t="s">
        <v>761</v>
      </c>
      <c r="E43" s="1091" t="s">
        <v>762</v>
      </c>
    </row>
    <row r="44" spans="1:5" s="1101" customFormat="1" ht="3" customHeight="1">
      <c r="A44" s="1104" t="s">
        <v>227</v>
      </c>
      <c r="B44" s="1103"/>
      <c r="C44" s="1102"/>
    </row>
    <row r="45" spans="1:5" s="1091" customFormat="1">
      <c r="A45" s="3287" t="s">
        <v>120</v>
      </c>
      <c r="B45" s="3715"/>
      <c r="C45" s="3284"/>
      <c r="E45" s="3716" t="s">
        <v>128</v>
      </c>
    </row>
    <row r="46" spans="1:5" s="1091" customFormat="1">
      <c r="A46" s="3287" t="s">
        <v>122</v>
      </c>
      <c r="B46" s="3715"/>
      <c r="C46" s="3284"/>
      <c r="E46" s="3716" t="s">
        <v>120</v>
      </c>
    </row>
    <row r="47" spans="1:5" s="1091" customFormat="1">
      <c r="A47" s="3287" t="s">
        <v>124</v>
      </c>
      <c r="B47" s="3715"/>
      <c r="C47" s="3284"/>
      <c r="E47" s="3716" t="s">
        <v>122</v>
      </c>
    </row>
    <row r="48" spans="1:5" s="1091" customFormat="1">
      <c r="A48" s="3287" t="s">
        <v>126</v>
      </c>
      <c r="B48" s="3715"/>
      <c r="C48" s="3284"/>
      <c r="E48" s="3716" t="s">
        <v>124</v>
      </c>
    </row>
    <row r="49" spans="1:5" s="1091" customFormat="1">
      <c r="A49" s="3287" t="s">
        <v>128</v>
      </c>
      <c r="B49" s="3715"/>
      <c r="C49" s="3284"/>
      <c r="E49" s="3716" t="s">
        <v>126</v>
      </c>
    </row>
    <row r="50" spans="1:5" s="1091" customFormat="1">
      <c r="A50" s="3287" t="s">
        <v>132</v>
      </c>
      <c r="B50" s="3715"/>
      <c r="C50" s="3284"/>
      <c r="E50" s="3716" t="s">
        <v>132</v>
      </c>
    </row>
    <row r="51" spans="1:5" s="1091" customFormat="1">
      <c r="A51" s="3287" t="s">
        <v>763</v>
      </c>
      <c r="B51" s="3717"/>
      <c r="C51" s="3284"/>
      <c r="E51" s="3716" t="s">
        <v>134</v>
      </c>
    </row>
    <row r="52" spans="1:5" s="1091" customFormat="1">
      <c r="A52" s="3287" t="s">
        <v>130</v>
      </c>
      <c r="B52" s="3715"/>
      <c r="C52" s="3284"/>
      <c r="E52" s="3716"/>
    </row>
    <row r="53" spans="1:5" s="1091" customFormat="1">
      <c r="A53" s="3287" t="s">
        <v>136</v>
      </c>
      <c r="B53" s="3715"/>
      <c r="C53" s="3284"/>
      <c r="E53" s="3716" t="s">
        <v>136</v>
      </c>
    </row>
    <row r="54" spans="1:5" s="1091" customFormat="1">
      <c r="A54" s="3287" t="s">
        <v>138</v>
      </c>
      <c r="B54" s="3715"/>
      <c r="C54" s="3284"/>
      <c r="E54" s="3716" t="s">
        <v>138</v>
      </c>
    </row>
    <row r="55" spans="1:5" s="1091" customFormat="1">
      <c r="A55" s="3287" t="s">
        <v>140</v>
      </c>
      <c r="B55" s="3715"/>
      <c r="C55" s="3284"/>
      <c r="E55" s="3716" t="s">
        <v>140</v>
      </c>
    </row>
    <row r="56" spans="1:5" s="1091" customFormat="1">
      <c r="A56" s="3287" t="s">
        <v>142</v>
      </c>
      <c r="B56" s="3715"/>
      <c r="C56" s="3284"/>
      <c r="E56" s="3716" t="s">
        <v>142</v>
      </c>
    </row>
    <row r="57" spans="1:5" s="1091" customFormat="1">
      <c r="A57" s="3287" t="s">
        <v>144</v>
      </c>
      <c r="B57" s="3715"/>
      <c r="C57" s="3284"/>
      <c r="E57" s="3716" t="s">
        <v>144</v>
      </c>
    </row>
    <row r="58" spans="1:5" s="1091" customFormat="1">
      <c r="A58" s="3287" t="s">
        <v>146</v>
      </c>
      <c r="B58" s="3715"/>
      <c r="C58" s="3284"/>
      <c r="E58" s="3716" t="s">
        <v>146</v>
      </c>
    </row>
    <row r="59" spans="1:5" s="1091" customFormat="1">
      <c r="A59" s="3287" t="s">
        <v>764</v>
      </c>
      <c r="B59" s="3715"/>
      <c r="C59" s="3284"/>
      <c r="E59" s="3716" t="s">
        <v>148</v>
      </c>
    </row>
    <row r="60" spans="1:5" s="1091" customFormat="1">
      <c r="A60" s="3287" t="s">
        <v>150</v>
      </c>
      <c r="B60" s="3715"/>
      <c r="C60" s="3284"/>
      <c r="E60" s="3716" t="s">
        <v>150</v>
      </c>
    </row>
    <row r="61" spans="1:5" s="1091" customFormat="1">
      <c r="A61" s="3287" t="s">
        <v>152</v>
      </c>
      <c r="B61" s="3715"/>
      <c r="C61" s="3284"/>
      <c r="E61" s="3716" t="s">
        <v>152</v>
      </c>
    </row>
    <row r="62" spans="1:5" s="1091" customFormat="1">
      <c r="A62" s="3287" t="s">
        <v>154</v>
      </c>
      <c r="B62" s="3715"/>
      <c r="C62" s="3284"/>
      <c r="E62" s="3716" t="s">
        <v>765</v>
      </c>
    </row>
    <row r="63" spans="1:5" s="1091" customFormat="1">
      <c r="A63" s="3287" t="s">
        <v>156</v>
      </c>
      <c r="B63" s="3715"/>
      <c r="C63" s="3284"/>
      <c r="E63" s="3716" t="s">
        <v>156</v>
      </c>
    </row>
    <row r="64" spans="1:5" s="1091" customFormat="1">
      <c r="A64" s="3287" t="s">
        <v>158</v>
      </c>
      <c r="B64" s="3715"/>
      <c r="C64" s="3284"/>
      <c r="E64" s="3716" t="s">
        <v>158</v>
      </c>
    </row>
    <row r="65" spans="1:5" s="1091" customFormat="1">
      <c r="A65" s="3287" t="s">
        <v>160</v>
      </c>
      <c r="B65" s="3715"/>
      <c r="C65" s="3284"/>
      <c r="E65" s="3716" t="s">
        <v>160</v>
      </c>
    </row>
    <row r="66" spans="1:5" s="1091" customFormat="1">
      <c r="A66" s="3287" t="s">
        <v>162</v>
      </c>
      <c r="B66" s="3715"/>
      <c r="C66" s="3284"/>
      <c r="E66" s="3716" t="s">
        <v>162</v>
      </c>
    </row>
    <row r="67" spans="1:5" s="1091" customFormat="1">
      <c r="A67" s="3287" t="s">
        <v>164</v>
      </c>
      <c r="B67" s="3715"/>
      <c r="C67" s="3284"/>
      <c r="E67" s="3716" t="s">
        <v>164</v>
      </c>
    </row>
    <row r="68" spans="1:5" s="1091" customFormat="1">
      <c r="A68" s="3287" t="s">
        <v>166</v>
      </c>
      <c r="B68" s="3715"/>
      <c r="C68" s="3284"/>
      <c r="E68" s="3716" t="s">
        <v>166</v>
      </c>
    </row>
    <row r="69" spans="1:5" s="1091" customFormat="1">
      <c r="A69" s="3287" t="s">
        <v>168</v>
      </c>
      <c r="B69" s="3715"/>
      <c r="C69" s="3284"/>
      <c r="E69" s="3716" t="s">
        <v>168</v>
      </c>
    </row>
    <row r="70" spans="1:5" s="1091" customFormat="1">
      <c r="A70" s="3287" t="s">
        <v>170</v>
      </c>
      <c r="B70" s="3715"/>
      <c r="C70" s="3284"/>
      <c r="E70" s="3716" t="s">
        <v>170</v>
      </c>
    </row>
    <row r="71" spans="1:5" s="1091" customFormat="1">
      <c r="A71" s="3287" t="s">
        <v>172</v>
      </c>
      <c r="B71" s="3715"/>
      <c r="C71" s="3284"/>
      <c r="E71" s="3716" t="s">
        <v>172</v>
      </c>
    </row>
    <row r="72" spans="1:5" s="1091" customFormat="1">
      <c r="A72" s="3287" t="s">
        <v>174</v>
      </c>
      <c r="B72" s="3715"/>
      <c r="C72" s="3718"/>
      <c r="E72" s="3716" t="s">
        <v>174</v>
      </c>
    </row>
    <row r="73" spans="1:5" s="1091" customFormat="1" ht="12.75"/>
    <row r="74" spans="1:5" s="1091" customFormat="1" ht="12.75"/>
    <row r="75" spans="1:5" s="1091" customFormat="1" ht="12.75"/>
    <row r="76" spans="1:5" s="1091" customFormat="1" ht="12.75"/>
    <row r="77" spans="1:5" s="1091" customFormat="1" ht="12.75"/>
    <row r="78" spans="1:5" s="1091" customFormat="1" ht="12.75"/>
    <row r="79" spans="1:5" s="1091" customFormat="1" ht="12.75"/>
    <row r="80" spans="1:5" s="1091" customFormat="1" ht="12.75"/>
    <row r="81" s="1091" customFormat="1" ht="12.75"/>
    <row r="82" s="1091" customFormat="1" ht="12.75"/>
    <row r="83" s="1091" customFormat="1" ht="12.75"/>
    <row r="84" s="1091" customFormat="1" ht="12.75"/>
    <row r="85" s="1091" customFormat="1" ht="12.75"/>
    <row r="86" s="1091" customFormat="1" ht="12.75"/>
    <row r="87" s="1091" customFormat="1" ht="12.75"/>
    <row r="88" s="1091" customFormat="1" ht="12.75"/>
    <row r="89" s="1091" customFormat="1" ht="12.75"/>
    <row r="90" s="1091" customFormat="1" ht="12.75"/>
    <row r="91" s="1091" customFormat="1" ht="12.75"/>
    <row r="92" s="1091" customFormat="1" ht="12.75"/>
    <row r="93" s="1091" customFormat="1" ht="12.75"/>
    <row r="94" s="1091" customFormat="1" ht="12.75"/>
  </sheetData>
  <sheetProtection algorithmName="SHA-512" hashValue="rV4VPgfhHwEtltJlA6ry6pkrxFPEzUkMuRGKi3Oe2FC1LJ8pl5iT7C+7XfjVtS1wt1UnB199E8C8VkGiWs6Cqg==" saltValue="GIt8vq5nyAvVWhjOPP/KzA==" spinCount="100000" sheet="1" formatColumns="0" formatRows="0"/>
  <sortState ref="A45:A72">
    <sortCondition ref="A45"/>
  </sortState>
  <dataValidations count="1">
    <dataValidation type="list" showInputMessage="1" showErrorMessage="1" sqref="C5">
      <formula1>$A$44:$A$72</formula1>
    </dataValidation>
  </dataValidations>
  <printOptions horizontalCentered="1"/>
  <pageMargins left="0.7" right="0.7" top="1" bottom="1" header="0.5" footer="0.5"/>
  <pageSetup scale="72" orientation="portrait" r:id="rId1"/>
  <headerFooter>
    <oddHeader>&amp;L&amp;"Arial,Regular"&amp;8&amp;F&amp;R&amp;"Arial,Regular"&amp;8&amp;A</oddHeader>
    <oddFooter>&amp;L&amp;"Arial,Regular"&amp;8&amp;D&amp;R&amp;"Arial,Regular"&amp;8&amp;P of &amp;N</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FF"/>
    <pageSetUpPr fitToPage="1"/>
  </sheetPr>
  <dimension ref="A1:R160"/>
  <sheetViews>
    <sheetView zoomScale="80" zoomScaleNormal="80" workbookViewId="0"/>
  </sheetViews>
  <sheetFormatPr defaultColWidth="9.140625" defaultRowHeight="12.75"/>
  <cols>
    <col min="1" max="1" width="11.7109375" style="1867" customWidth="1"/>
    <col min="2" max="2" width="12.42578125" style="1867" customWidth="1"/>
    <col min="3" max="3" width="14.140625" style="1867" customWidth="1"/>
    <col min="4" max="4" width="17.85546875" style="1867" customWidth="1"/>
    <col min="5" max="5" width="15.42578125" style="1867" customWidth="1"/>
    <col min="6" max="6" width="21.5703125" style="1867" customWidth="1"/>
    <col min="7" max="7" width="12.5703125" style="1867" customWidth="1"/>
    <col min="8" max="8" width="15" style="1867" customWidth="1"/>
    <col min="9" max="9" width="16.42578125" style="1867" customWidth="1"/>
    <col min="10" max="10" width="21.140625" style="1867" customWidth="1"/>
    <col min="11" max="11" width="9" style="184" bestFit="1" customWidth="1"/>
    <col min="12" max="12" width="7.28515625" style="2558" customWidth="1"/>
    <col min="13" max="13" width="15" style="1867" customWidth="1"/>
    <col min="14" max="14" width="21.28515625" style="1867" hidden="1" customWidth="1"/>
    <col min="15" max="15" width="18.42578125" style="201" customWidth="1"/>
    <col min="16" max="16" width="11.5703125" style="1867" customWidth="1"/>
    <col min="17" max="16384" width="9.140625" style="1867"/>
  </cols>
  <sheetData>
    <row r="1" spans="1:18" ht="15" customHeight="1">
      <c r="A1" s="2881" t="s">
        <v>3752</v>
      </c>
      <c r="B1" s="2764"/>
      <c r="C1" s="2764"/>
      <c r="D1" s="2764"/>
      <c r="E1" s="2764"/>
      <c r="F1" s="2764"/>
      <c r="G1" s="2764"/>
      <c r="H1" s="2764"/>
      <c r="I1" s="2764"/>
      <c r="J1" s="2764"/>
    </row>
    <row r="2" spans="1:18">
      <c r="A2" s="2763"/>
      <c r="B2" s="2764"/>
      <c r="C2" s="2764"/>
      <c r="D2" s="2764"/>
      <c r="E2" s="2764"/>
      <c r="F2" s="2764"/>
      <c r="G2" s="2764"/>
      <c r="H2" s="2764"/>
      <c r="I2" s="2764"/>
      <c r="J2" s="2764"/>
      <c r="M2" s="184"/>
    </row>
    <row r="3" spans="1:18" ht="6" customHeight="1"/>
    <row r="4" spans="1:18">
      <c r="B4" s="2674"/>
      <c r="C4" s="2674"/>
      <c r="D4" s="2674"/>
      <c r="E4" s="2674"/>
      <c r="F4" s="3020" t="str">
        <f>'Contact Information'!C5</f>
        <v>SAMPLE STATE COLLEGE</v>
      </c>
      <c r="G4" s="2674"/>
      <c r="H4" s="2674"/>
      <c r="I4" s="2674"/>
      <c r="J4" s="2674"/>
      <c r="K4" s="1" t="s">
        <v>3</v>
      </c>
    </row>
    <row r="5" spans="1:18">
      <c r="B5" s="2773"/>
      <c r="C5" s="2773"/>
      <c r="D5" s="2773"/>
      <c r="E5" s="2773"/>
      <c r="F5" s="3059" t="s">
        <v>3714</v>
      </c>
      <c r="G5" s="2773"/>
      <c r="H5" s="2773"/>
      <c r="I5" s="2773"/>
      <c r="J5" s="2773"/>
      <c r="K5" s="1" t="str">
        <f>'Contact Information'!$C$3</f>
        <v>2021.v01</v>
      </c>
    </row>
    <row r="6" spans="1:18">
      <c r="B6" s="2675"/>
      <c r="C6" s="2675"/>
      <c r="D6" s="2675"/>
      <c r="E6" s="2675"/>
      <c r="F6" s="3021" t="s">
        <v>3753</v>
      </c>
      <c r="G6" s="2675"/>
      <c r="H6" s="2675"/>
      <c r="I6" s="2675"/>
      <c r="J6" s="2675"/>
      <c r="K6" s="183"/>
      <c r="L6" s="751"/>
    </row>
    <row r="7" spans="1:18" ht="5.25" customHeight="1">
      <c r="A7" s="1875"/>
      <c r="B7" s="1875"/>
      <c r="C7" s="1875"/>
      <c r="D7" s="1875"/>
      <c r="E7" s="1875"/>
      <c r="F7" s="1875"/>
      <c r="G7" s="1875"/>
      <c r="H7" s="1875"/>
      <c r="I7" s="1875"/>
      <c r="J7" s="1875"/>
    </row>
    <row r="8" spans="1:18" s="1080" customFormat="1" ht="15.75">
      <c r="A8" s="3062"/>
      <c r="B8" s="2767"/>
      <c r="C8" s="2767"/>
      <c r="D8" s="2767"/>
      <c r="E8" s="2767"/>
      <c r="F8" s="3060" t="s">
        <v>3679</v>
      </c>
      <c r="G8" s="2767"/>
      <c r="H8" s="2767"/>
      <c r="I8" s="2767"/>
      <c r="J8" s="2767"/>
      <c r="K8" s="1081"/>
      <c r="L8" s="1081"/>
      <c r="M8" s="1081"/>
      <c r="N8" s="1081"/>
      <c r="R8" s="1082"/>
    </row>
    <row r="9" spans="1:18" ht="15">
      <c r="A9" s="138"/>
      <c r="B9" s="1875"/>
      <c r="C9" s="1875"/>
      <c r="D9" s="1875"/>
      <c r="E9" s="1875"/>
      <c r="F9" s="1875"/>
      <c r="G9" s="1875"/>
      <c r="H9" s="1875"/>
      <c r="I9" s="1875"/>
      <c r="J9" s="1875"/>
      <c r="L9" s="3823"/>
      <c r="M9" s="3824"/>
      <c r="N9" s="3824"/>
      <c r="O9" s="3825" t="s">
        <v>3754</v>
      </c>
      <c r="P9" s="3826"/>
    </row>
    <row r="10" spans="1:18">
      <c r="A10" s="2774" t="s">
        <v>3755</v>
      </c>
      <c r="B10" s="2774"/>
      <c r="C10" s="2774"/>
      <c r="D10" s="2774"/>
      <c r="E10" s="2774"/>
      <c r="F10" s="2774"/>
      <c r="G10" s="2774"/>
      <c r="H10" s="2774"/>
      <c r="I10" s="2774"/>
      <c r="J10" s="2774"/>
      <c r="L10" s="2374"/>
      <c r="M10" s="2375"/>
      <c r="N10" s="2376"/>
      <c r="O10" s="2377">
        <f>D17</f>
        <v>44377</v>
      </c>
      <c r="P10" s="2378">
        <f>H17</f>
        <v>44377</v>
      </c>
    </row>
    <row r="11" spans="1:18">
      <c r="A11" s="461" t="s">
        <v>4075</v>
      </c>
      <c r="B11" s="461"/>
      <c r="C11" s="461"/>
      <c r="D11" s="461"/>
      <c r="E11" s="461"/>
      <c r="F11" s="461"/>
      <c r="G11" s="461"/>
      <c r="H11" s="461"/>
      <c r="I11" s="461"/>
      <c r="J11" s="461"/>
      <c r="L11" s="2374"/>
      <c r="M11" s="2375"/>
      <c r="N11" s="2379" t="str">
        <f>IF(H17=D17," as of"," at the")</f>
        <v xml:space="preserve"> as of</v>
      </c>
      <c r="O11" s="2380" t="s">
        <v>2303</v>
      </c>
      <c r="P11" s="2381" t="s">
        <v>2314</v>
      </c>
    </row>
    <row r="12" spans="1:18">
      <c r="A12" s="1875"/>
      <c r="B12" s="1875"/>
      <c r="C12" s="1875"/>
      <c r="D12" s="1875"/>
      <c r="E12" s="1875"/>
      <c r="F12" s="1875"/>
      <c r="G12" s="1875"/>
      <c r="H12" s="1875"/>
      <c r="I12" s="1875"/>
      <c r="J12" s="1875"/>
      <c r="L12" s="2374"/>
      <c r="M12" s="2382" t="s">
        <v>2289</v>
      </c>
      <c r="N12" s="2383"/>
      <c r="O12" s="2383">
        <f>D24</f>
        <v>0</v>
      </c>
      <c r="P12" s="2384">
        <f>H24</f>
        <v>0</v>
      </c>
    </row>
    <row r="13" spans="1:18" ht="15.75">
      <c r="B13" s="2775"/>
      <c r="C13" s="2775"/>
      <c r="D13" s="2775"/>
      <c r="E13" s="2775"/>
      <c r="F13" s="3058" t="s">
        <v>3756</v>
      </c>
      <c r="G13" s="2775"/>
      <c r="H13" s="2775"/>
      <c r="I13" s="2775"/>
      <c r="J13" s="2775"/>
      <c r="L13" s="2374"/>
      <c r="M13" s="2382" t="s">
        <v>2290</v>
      </c>
      <c r="N13" s="2383"/>
      <c r="O13" s="2383">
        <f>D32</f>
        <v>0</v>
      </c>
      <c r="P13" s="2384">
        <f>H32</f>
        <v>0</v>
      </c>
    </row>
    <row r="14" spans="1:18">
      <c r="B14" s="559"/>
      <c r="C14" s="559"/>
      <c r="D14" s="559"/>
      <c r="E14" s="559"/>
      <c r="F14" s="3055" t="s">
        <v>3718</v>
      </c>
      <c r="G14" s="559"/>
      <c r="H14" s="559"/>
      <c r="I14" s="559"/>
      <c r="J14" s="559"/>
      <c r="L14" s="2374"/>
      <c r="M14" s="2382" t="s">
        <v>2345</v>
      </c>
      <c r="N14" s="2385"/>
      <c r="O14" s="2385">
        <f>D42</f>
        <v>0</v>
      </c>
      <c r="P14" s="2386">
        <f>H42</f>
        <v>0</v>
      </c>
    </row>
    <row r="15" spans="1:18">
      <c r="A15" s="1875"/>
      <c r="B15" s="1875"/>
      <c r="C15" s="1875"/>
      <c r="D15" s="1875"/>
      <c r="E15" s="1875"/>
      <c r="F15" s="1875"/>
      <c r="G15" s="1875"/>
      <c r="H15" s="1875"/>
      <c r="I15" s="1875"/>
      <c r="J15" s="1875"/>
      <c r="L15" s="880"/>
      <c r="M15" s="882" t="s">
        <v>3757</v>
      </c>
      <c r="N15" s="881"/>
      <c r="O15" s="886">
        <f>O12-O13</f>
        <v>0</v>
      </c>
      <c r="P15" s="884">
        <f>P12-P13</f>
        <v>0</v>
      </c>
    </row>
    <row r="16" spans="1:18" ht="13.5" customHeight="1" thickBot="1">
      <c r="A16" s="1868"/>
      <c r="B16" s="1868"/>
      <c r="C16" s="1868"/>
      <c r="D16" s="2525" t="s">
        <v>2303</v>
      </c>
      <c r="E16" s="2671"/>
      <c r="F16" s="2671"/>
      <c r="G16" s="1868"/>
      <c r="H16" s="3148" t="str">
        <f>CONCATENATE(SNP!O8," ",SNP!O9)</f>
        <v>Component Unit</v>
      </c>
      <c r="I16" s="2671"/>
      <c r="J16" s="2671"/>
      <c r="L16" s="880"/>
      <c r="M16" s="882" t="s">
        <v>224</v>
      </c>
      <c r="N16" s="881"/>
      <c r="O16" s="887">
        <f>O14-O15</f>
        <v>0</v>
      </c>
      <c r="P16" s="888">
        <f>P14-P15</f>
        <v>0</v>
      </c>
    </row>
    <row r="17" spans="1:16" ht="12" customHeight="1" thickTop="1">
      <c r="A17" s="1868"/>
      <c r="B17" s="1868"/>
      <c r="C17" s="1868"/>
      <c r="D17" s="3441">
        <v>44377</v>
      </c>
      <c r="E17" s="436"/>
      <c r="F17" s="3441">
        <v>44012</v>
      </c>
      <c r="G17" s="436"/>
      <c r="H17" s="3437">
        <f>D17</f>
        <v>44377</v>
      </c>
      <c r="I17" s="436"/>
      <c r="J17" s="3437">
        <f>F17</f>
        <v>44012</v>
      </c>
      <c r="L17" s="880"/>
      <c r="M17" s="881"/>
      <c r="N17" s="881"/>
      <c r="O17" s="883"/>
      <c r="P17" s="889"/>
    </row>
    <row r="18" spans="1:16" ht="20.25" customHeight="1">
      <c r="A18" s="1868"/>
      <c r="B18" s="1868"/>
      <c r="C18" s="1868"/>
      <c r="D18" s="667"/>
      <c r="E18" s="1868"/>
      <c r="F18" s="667"/>
      <c r="G18" s="1868"/>
      <c r="H18" s="667"/>
      <c r="I18" s="1868"/>
      <c r="J18" s="667"/>
      <c r="L18" s="880"/>
      <c r="M18" s="881"/>
      <c r="N18" s="881"/>
      <c r="O18" s="883"/>
      <c r="P18" s="889"/>
    </row>
    <row r="19" spans="1:16">
      <c r="A19" s="414" t="s">
        <v>3758</v>
      </c>
      <c r="B19" s="1868"/>
      <c r="C19" s="1868"/>
      <c r="D19" s="1868"/>
      <c r="E19" s="1868"/>
      <c r="F19" s="1868"/>
      <c r="G19" s="1868"/>
      <c r="H19" s="1868"/>
      <c r="I19" s="1868"/>
      <c r="J19" s="1868"/>
      <c r="L19" s="890" t="s">
        <v>3759</v>
      </c>
      <c r="M19" s="881"/>
      <c r="N19" s="881"/>
      <c r="O19" s="883"/>
      <c r="P19" s="889"/>
    </row>
    <row r="20" spans="1:16">
      <c r="A20" s="1868" t="s">
        <v>3760</v>
      </c>
      <c r="B20" s="1868"/>
      <c r="C20" s="1868"/>
      <c r="D20" s="437">
        <f>ROUND(SNP!M25/1000,0)</f>
        <v>0</v>
      </c>
      <c r="E20" s="438"/>
      <c r="F20" s="1705" t="e">
        <f>(VLOOKUP($F$4,VLOOKUP!A403:FD430,14,FALSE))/1000</f>
        <v>#N/A</v>
      </c>
      <c r="G20" s="438"/>
      <c r="H20" s="439">
        <f>ROUND(SNP!O25/1000,0)</f>
        <v>0</v>
      </c>
      <c r="I20" s="438"/>
      <c r="J20" s="1708" t="e">
        <f>VLOOKUP($F$4,VLOOKUP!A403:FD430,94,FALSE)/1000</f>
        <v>#N/A</v>
      </c>
      <c r="L20" s="890" t="s">
        <v>3761</v>
      </c>
      <c r="M20" s="881"/>
      <c r="N20" s="881"/>
      <c r="O20" s="883"/>
      <c r="P20" s="889"/>
    </row>
    <row r="21" spans="1:16">
      <c r="A21" s="1868" t="s">
        <v>3762</v>
      </c>
      <c r="B21" s="1868"/>
      <c r="C21" s="1868"/>
      <c r="D21" s="204">
        <f>ROUND(SUM(SNP!M33:M34)/1000,0)</f>
        <v>0</v>
      </c>
      <c r="E21" s="440"/>
      <c r="F21" s="1706" t="e">
        <f>(VLOOKUP($F$4,VLOOKUP!A403:FD430,19,FALSE)+VLOOKUP($F$4,VLOOKUP!A403:FD430,20,FALSE))/1000</f>
        <v>#N/A</v>
      </c>
      <c r="G21" s="440"/>
      <c r="H21" s="204">
        <f>ROUND(SUM(SNP!O33:O34)/1000,0)</f>
        <v>0</v>
      </c>
      <c r="I21" s="440"/>
      <c r="J21" s="1706" t="e">
        <f>(VLOOKUP($F$4,VLOOKUP!A403:FD430,99,FALSE)+VLOOKUP($F$4,VLOOKUP!A403:FD430,100,FALSE))/1000</f>
        <v>#N/A</v>
      </c>
      <c r="L21" s="890" t="s">
        <v>3763</v>
      </c>
      <c r="M21" s="881"/>
      <c r="N21" s="881"/>
      <c r="O21" s="883"/>
      <c r="P21" s="889"/>
    </row>
    <row r="22" spans="1:16">
      <c r="A22" s="1868" t="s">
        <v>55</v>
      </c>
      <c r="B22" s="1868"/>
      <c r="C22" s="1868"/>
      <c r="D22" s="204">
        <f>ROUND(SUM(SNP!M28:M32)/1000,0)+ROUND((SNP!M35)/1000,0)</f>
        <v>0</v>
      </c>
      <c r="E22" s="440"/>
      <c r="F22" s="1706" t="e">
        <f>(VLOOKUP($F$4,VLOOKUP!A403:FD430,22,FALSE)-VLOOKUP($F$4,VLOOKUP!A403:FD430,19,FALSE/1000)-VLOOKUP($F$4,VLOOKUP!A403:FD430,20,FALSE))/1000</f>
        <v>#N/A</v>
      </c>
      <c r="G22" s="440"/>
      <c r="H22" s="204">
        <f>ROUND(SUM(SNP!O28:O32)/1000,0)+ROUND((SNP!O35)/1000,0)</f>
        <v>0</v>
      </c>
      <c r="I22" s="440"/>
      <c r="J22" s="1706" t="e">
        <f>(VLOOKUP($F$4,VLOOKUP!A403:FD430,102,FALSE)-VLOOKUP($F$4,VLOOKUP!A403:FD430,99,FALSE)-VLOOKUP($F$4,VLOOKUP!A403:FD430,100,FALSE))/1000</f>
        <v>#N/A</v>
      </c>
      <c r="L22" s="891" t="s">
        <v>3764</v>
      </c>
      <c r="M22" s="892"/>
      <c r="N22" s="892"/>
      <c r="O22" s="885"/>
      <c r="P22" s="893"/>
    </row>
    <row r="23" spans="1:16" ht="15" customHeight="1">
      <c r="A23" s="1868"/>
      <c r="B23" s="1868"/>
      <c r="C23" s="1868"/>
      <c r="D23" s="3827"/>
      <c r="E23" s="440"/>
      <c r="F23" s="3827"/>
      <c r="G23" s="440"/>
      <c r="H23" s="3827"/>
      <c r="I23" s="440"/>
      <c r="J23" s="3827"/>
    </row>
    <row r="24" spans="1:16">
      <c r="A24" s="414" t="s">
        <v>2289</v>
      </c>
      <c r="B24" s="1868"/>
      <c r="C24" s="1868"/>
      <c r="D24" s="441">
        <f>SUM(D20:D22)</f>
        <v>0</v>
      </c>
      <c r="E24" s="440"/>
      <c r="F24" s="441" t="e">
        <f>SUM(F20:F22)</f>
        <v>#N/A</v>
      </c>
      <c r="G24" s="440"/>
      <c r="H24" s="441">
        <f>SUM(H20:H22)</f>
        <v>0</v>
      </c>
      <c r="I24" s="440"/>
      <c r="J24" s="441" t="e">
        <f>SUM(J20:J22)</f>
        <v>#N/A</v>
      </c>
    </row>
    <row r="25" spans="1:16" ht="15.75" customHeight="1">
      <c r="A25" s="1868"/>
      <c r="B25" s="1868"/>
      <c r="C25" s="1868"/>
      <c r="D25" s="440"/>
      <c r="E25" s="440"/>
      <c r="F25" s="440"/>
      <c r="G25" s="440"/>
      <c r="H25" s="440"/>
      <c r="I25" s="440"/>
      <c r="J25" s="440"/>
    </row>
    <row r="26" spans="1:16">
      <c r="A26" s="414" t="s">
        <v>2545</v>
      </c>
      <c r="B26" s="1868"/>
      <c r="C26" s="1868"/>
      <c r="D26" s="441">
        <f>ROUND(SNP!M50/1000,0)</f>
        <v>0</v>
      </c>
      <c r="E26" s="440"/>
      <c r="F26" s="3164" t="e">
        <f>VLOOKUP($F$4,VLOOKUP!A403:FD427,23,FALSE)/1000+VLOOKUP($F$4,VLOOKUP!A403:FD427,24,FALSE)/1000+VLOOKUP($F$4,VLOOKUP!A403:FD427,25,FALSE)/1000+VLOOKUP($F$4,VLOOKUP!A403:FD427,26,FALSE)/1000+VLOOKUP($F$4,VLOOKUP!A403:FD427,27,FALSE)/1000+VLOOKUP($F$4,VLOOKUP!A403:FD427,28,FALSE)/1000+VLOOKUP($F$4,VLOOKUP!A403:FD427,29,FALSE)/1000</f>
        <v>#N/A</v>
      </c>
      <c r="G26" s="440"/>
      <c r="H26" s="440"/>
      <c r="I26" s="440"/>
      <c r="J26" s="3164" t="e">
        <f>VLOOKUP($F$4,VLOOKUP!E403:FH427,103,FALSE)/1000+VLOOKUP($F$4,VLOOKUP!E403:FH427,104,FALSE)/1000+VLOOKUP($F$4,VLOOKUP!E403:FH427,105,FALSE)/1000+VLOOKUP($F$4,VLOOKUP!E403:FH427,106,FALSE)/1000+VLOOKUP($F$4,VLOOKUP!E403:FH427,107,FALSE)/1000+VLOOKUP($F$4,VLOOKUP!E403:FH427,108,FALSE)/1000+VLOOKUP($F$4,VLOOKUP!E403:FH427,109,FALSE)/1000</f>
        <v>#N/A</v>
      </c>
    </row>
    <row r="27" spans="1:16" ht="9" customHeight="1">
      <c r="A27" s="1868"/>
      <c r="B27" s="1868"/>
      <c r="C27" s="1868"/>
      <c r="D27" s="440"/>
      <c r="E27" s="440"/>
      <c r="F27" s="440"/>
      <c r="G27" s="440"/>
      <c r="H27" s="440"/>
      <c r="I27" s="440"/>
      <c r="J27" s="440"/>
    </row>
    <row r="28" spans="1:16">
      <c r="A28" s="414" t="s">
        <v>2755</v>
      </c>
      <c r="B28" s="1868"/>
      <c r="C28" s="1868"/>
      <c r="D28" s="440"/>
      <c r="E28" s="440"/>
      <c r="F28" s="440"/>
      <c r="G28" s="440"/>
      <c r="H28" s="440"/>
      <c r="I28" s="440"/>
      <c r="J28" s="1707"/>
    </row>
    <row r="29" spans="1:16">
      <c r="A29" s="1868" t="s">
        <v>3765</v>
      </c>
      <c r="B29" s="1868"/>
      <c r="C29" s="1868"/>
      <c r="D29" s="204">
        <f>(ROUND(SNP!M77/1000,0))</f>
        <v>0</v>
      </c>
      <c r="E29" s="440"/>
      <c r="F29" s="1706" t="e">
        <f>VLOOKUP($F$4,VLOOKUP!A403:FD430,51,FALSE)/1000</f>
        <v>#N/A</v>
      </c>
      <c r="G29" s="440"/>
      <c r="H29" s="204">
        <f>(ROUND(SNP!O77/1000,0))</f>
        <v>0</v>
      </c>
      <c r="I29" s="440"/>
      <c r="J29" s="1706" t="e">
        <f>(VLOOKUP($F$4,VLOOKUP!A403:FD430,131,FALSE))/1000</f>
        <v>#N/A</v>
      </c>
    </row>
    <row r="30" spans="1:16">
      <c r="A30" s="1873" t="s">
        <v>3766</v>
      </c>
      <c r="B30" s="1868"/>
      <c r="C30" s="1868"/>
      <c r="D30" s="204">
        <f>ROUND(SNP!M99/1000,0)</f>
        <v>0</v>
      </c>
      <c r="E30" s="440"/>
      <c r="F30" s="1706" t="e">
        <f>VLOOKUP($F$4,VLOOKUP!A403:FD430,63,FALSE)/1000</f>
        <v>#N/A</v>
      </c>
      <c r="G30" s="440"/>
      <c r="H30" s="204">
        <f>ROUND(SNP!O99/1000,0)</f>
        <v>0</v>
      </c>
      <c r="I30" s="440"/>
      <c r="J30" s="1706" t="e">
        <f>(VLOOKUP($F$4,VLOOKUP!A403:FD430,143,FALSE))/1000</f>
        <v>#N/A</v>
      </c>
    </row>
    <row r="31" spans="1:16" ht="12.75" customHeight="1">
      <c r="A31" s="1868"/>
      <c r="B31" s="1868"/>
      <c r="C31" s="1868"/>
      <c r="D31" s="3827"/>
      <c r="E31" s="440"/>
      <c r="F31" s="3827"/>
      <c r="G31" s="440"/>
      <c r="H31" s="3827"/>
      <c r="I31" s="440"/>
      <c r="J31" s="3827"/>
    </row>
    <row r="32" spans="1:16">
      <c r="A32" s="414" t="s">
        <v>2290</v>
      </c>
      <c r="B32" s="1868"/>
      <c r="C32" s="1868"/>
      <c r="D32" s="441">
        <f>SUM(D29:D30)</f>
        <v>0</v>
      </c>
      <c r="E32" s="440"/>
      <c r="F32" s="441" t="e">
        <f>SUM(F29:F30)</f>
        <v>#N/A</v>
      </c>
      <c r="G32" s="440"/>
      <c r="H32" s="441">
        <f>SUM(H29:H30)</f>
        <v>0</v>
      </c>
      <c r="I32" s="440"/>
      <c r="J32" s="441" t="e">
        <f>SUM(J29:J30)</f>
        <v>#N/A</v>
      </c>
    </row>
    <row r="33" spans="1:16" ht="9" customHeight="1">
      <c r="A33" s="1868"/>
      <c r="B33" s="1868"/>
      <c r="C33" s="1868"/>
      <c r="D33" s="440"/>
      <c r="E33" s="440"/>
      <c r="F33" s="440"/>
      <c r="G33" s="440"/>
      <c r="H33" s="440"/>
      <c r="I33" s="440"/>
      <c r="J33" s="440"/>
    </row>
    <row r="34" spans="1:16">
      <c r="A34" s="414" t="s">
        <v>2582</v>
      </c>
      <c r="B34" s="1868"/>
      <c r="C34" s="1868"/>
      <c r="D34" s="441">
        <f>ROUND(SNP!M112/1000,0)</f>
        <v>0</v>
      </c>
      <c r="E34" s="440"/>
      <c r="F34" s="3164" t="e">
        <f>VLOOKUP($F$4,VLOOKUP!A403:FD427,75,FALSE)/1000+VLOOKUP($F$4,VLOOKUP!A403:FD427,76,FALSE)/1000+VLOOKUP($F$4,VLOOKUP!A403:FD427,77,FALSE)/1000+VLOOKUP($F$4,VLOOKUP!A403:FD427,78,FALSE)/1000+VLOOKUP($F$4,VLOOKUP!A403:FD427,79,FALSE)/1000+VLOOKUP($F$4,VLOOKUP!A403:FD427,80,FALSE)/1000</f>
        <v>#N/A</v>
      </c>
      <c r="G34" s="440"/>
      <c r="H34" s="440"/>
      <c r="I34" s="440"/>
      <c r="J34" s="3164" t="e">
        <f>VLOOKUP($F$4,VLOOKUP!E403:FH427,144,FALSE)/1000+VLOOKUP($F$4,VLOOKUP!E403:FH427,145,FALSE)/1000+VLOOKUP($F$4,VLOOKUP!E403:FH427,146,FALSE)/1000+VLOOKUP($F$4,VLOOKUP!E403:FH427,147,FALSE)/1000+VLOOKUP($F$4,VLOOKUP!E403:FH427,148,FALSE)/1000+VLOOKUP($F$4,VLOOKUP!E403:FH427,149,FALSE)/1000</f>
        <v>#N/A</v>
      </c>
    </row>
    <row r="35" spans="1:16" ht="9" customHeight="1">
      <c r="A35" s="1868"/>
      <c r="B35" s="1868"/>
      <c r="C35" s="1868"/>
      <c r="D35" s="440"/>
      <c r="E35" s="440"/>
      <c r="F35" s="440"/>
      <c r="G35" s="440"/>
      <c r="H35" s="440"/>
      <c r="I35" s="440"/>
      <c r="J35" s="440"/>
    </row>
    <row r="36" spans="1:16">
      <c r="A36" s="414" t="s">
        <v>3751</v>
      </c>
      <c r="B36" s="1868"/>
      <c r="C36" s="1868"/>
      <c r="D36" s="440"/>
      <c r="E36" s="440"/>
      <c r="F36" s="440"/>
      <c r="G36" s="440"/>
      <c r="H36" s="440"/>
      <c r="I36" s="440"/>
      <c r="J36" s="440"/>
    </row>
    <row r="37" spans="1:16">
      <c r="A37" s="1868" t="s">
        <v>3767</v>
      </c>
      <c r="B37" s="1868"/>
      <c r="C37" s="1868"/>
      <c r="D37" s="1875"/>
      <c r="E37" s="440"/>
      <c r="F37" s="440"/>
      <c r="G37" s="440"/>
      <c r="H37" s="1875"/>
      <c r="I37" s="440"/>
      <c r="J37" s="440"/>
    </row>
    <row r="38" spans="1:16">
      <c r="A38" s="1873" t="s">
        <v>3768</v>
      </c>
      <c r="B38" s="1868"/>
      <c r="C38" s="1868"/>
      <c r="D38" s="204">
        <f>ROUND(SNP!M116/1000,0)</f>
        <v>0</v>
      </c>
      <c r="E38" s="440"/>
      <c r="F38" s="1706" t="e">
        <f>VLOOKUP($F$4,VLOOKUP!A403:FD430,65,FALSE)/1000</f>
        <v>#N/A</v>
      </c>
      <c r="G38" s="440"/>
      <c r="H38" s="204">
        <f>ROUND(SNP!O116/1000,0)</f>
        <v>0</v>
      </c>
      <c r="I38" s="440"/>
      <c r="J38" s="1706" t="e">
        <f>(VLOOKUP($F$4,VLOOKUP!A403:FD430,151,FALSE))/1000</f>
        <v>#N/A</v>
      </c>
    </row>
    <row r="39" spans="1:16">
      <c r="A39" s="1868" t="s">
        <v>3769</v>
      </c>
      <c r="B39" s="1868"/>
      <c r="C39" s="1868"/>
      <c r="D39" s="204">
        <f>SUM(SNP!M121:M126)/1000</f>
        <v>0</v>
      </c>
      <c r="E39" s="440"/>
      <c r="F39" s="1706" t="e">
        <f>(VLOOKUP($F$4,VLOOKUP!A403:FD430,66,FALSE)+VLOOKUP($F$4,VLOOKUP!A403:FD430,67,FALSE)+VLOOKUP($F$4,VLOOKUP!A403:FD430,68,FALSE)+VLOOKUP($F$4,VLOOKUP!A403:FD430,69,FALSE)+VLOOKUP($F$4,VLOOKUP!A403:FD430,70,FALSE)+VLOOKUP($F$4,VLOOKUP!A403:FD430,71,FALSE)+VLOOKUP($F$4,VLOOKUP!A403:FD430,72,FALSE))/1000</f>
        <v>#N/A</v>
      </c>
      <c r="G39" s="440"/>
      <c r="H39" s="204">
        <f>SUM(SNP!O119:O126)/1000</f>
        <v>0</v>
      </c>
      <c r="I39" s="440"/>
      <c r="J39" s="1706" t="e">
        <f>(VLOOKUP($F$4,VLOOKUP!A403:FD430,152,FALSE)+VLOOKUP($F$4,VLOOKUP!A403:FD430,153,FALSE)+VLOOKUP($F$4,VLOOKUP!A403:FD430,154,FALSE)+VLOOKUP($F$4,VLOOKUP!A403:FD430,155,FALSE)+VLOOKUP($F$4,VLOOKUP!A403:FD430,156,FALSE)+VLOOKUP($F$4,VLOOKUP!A403:FD430,157,FALSE)+VLOOKUP($F$4,VLOOKUP!A403:FD430,158,FALSE))/1000</f>
        <v>#N/A</v>
      </c>
    </row>
    <row r="40" spans="1:16">
      <c r="A40" s="1873" t="s">
        <v>347</v>
      </c>
      <c r="B40" s="1868"/>
      <c r="C40" s="1868"/>
      <c r="D40" s="204">
        <f>ROUND(SNP!K127/1000,0)</f>
        <v>0</v>
      </c>
      <c r="E40" s="440"/>
      <c r="F40" s="1706" t="e">
        <f>VLOOKUP($F$4,VLOOKUP!A403:FD430,73,FALSE)/1000</f>
        <v>#N/A</v>
      </c>
      <c r="G40" s="440"/>
      <c r="H40" s="204">
        <f>ROUND(SNP!O127/1000,0)</f>
        <v>0</v>
      </c>
      <c r="I40" s="440"/>
      <c r="J40" s="1706" t="e">
        <f>(VLOOKUP($F$4,VLOOKUP!A403:FD430,159,FALSE))/1000</f>
        <v>#N/A</v>
      </c>
    </row>
    <row r="41" spans="1:16" ht="16.5" customHeight="1">
      <c r="A41" s="1868"/>
      <c r="B41" s="1868"/>
      <c r="C41" s="1868"/>
      <c r="D41" s="3827"/>
      <c r="E41" s="440"/>
      <c r="F41" s="3827"/>
      <c r="G41" s="440"/>
      <c r="H41" s="3827"/>
      <c r="I41" s="440"/>
      <c r="J41" s="3827"/>
    </row>
    <row r="42" spans="1:16" ht="13.5" thickBot="1">
      <c r="A42" s="414" t="s">
        <v>3770</v>
      </c>
      <c r="B42" s="1868"/>
      <c r="C42" s="1868"/>
      <c r="D42" s="442">
        <f>SUM(D38:D40)</f>
        <v>0</v>
      </c>
      <c r="E42" s="438"/>
      <c r="F42" s="442" t="e">
        <f>SUM(F38:F40)</f>
        <v>#N/A</v>
      </c>
      <c r="G42" s="438"/>
      <c r="H42" s="443">
        <f>SUM(H38:H40)</f>
        <v>0</v>
      </c>
      <c r="I42" s="438"/>
      <c r="J42" s="443" t="e">
        <f>SUM(J38:J40)</f>
        <v>#N/A</v>
      </c>
    </row>
    <row r="43" spans="1:16" ht="9" customHeight="1" thickTop="1">
      <c r="A43" s="1868"/>
      <c r="B43" s="1868"/>
      <c r="C43" s="1868"/>
      <c r="D43" s="438"/>
      <c r="E43" s="438"/>
      <c r="F43" s="438"/>
      <c r="G43" s="438"/>
      <c r="H43" s="438"/>
      <c r="I43" s="438"/>
      <c r="J43" s="438"/>
    </row>
    <row r="44" spans="1:16" ht="13.5" thickBot="1">
      <c r="A44" s="414" t="e">
        <f>IF(D44&lt;0,IF(H44&gt;0,"Increase (Decrease) in Net Assets","Decrease in Net Assets"),IF(D44&gt;0,IF(H44&gt;=0,"Increase in Net Assets","Increase (Decrease) in Net Assets"),IF(H44&lt;0,"Decrease in Net Assets",IF(H44&gt;0,"Increase in Net Assets","Increase (Decrease) in Net Assets"))))</f>
        <v>#N/A</v>
      </c>
      <c r="B44" s="1868"/>
      <c r="C44" s="1868"/>
      <c r="D44" s="443" t="e">
        <f>D42-F42</f>
        <v>#N/A</v>
      </c>
      <c r="E44" s="444" t="e">
        <f>D44/F42</f>
        <v>#N/A</v>
      </c>
      <c r="F44" s="438"/>
      <c r="G44" s="438"/>
      <c r="H44" s="443" t="e">
        <f>H42-J42</f>
        <v>#N/A</v>
      </c>
      <c r="I44" s="444" t="e">
        <f>H44/J42</f>
        <v>#N/A</v>
      </c>
      <c r="J44" s="438"/>
    </row>
    <row r="45" spans="1:16" ht="9" customHeight="1" thickTop="1">
      <c r="A45" s="414"/>
      <c r="B45" s="1868"/>
      <c r="C45" s="1868"/>
      <c r="D45" s="438"/>
      <c r="E45" s="445"/>
      <c r="F45" s="438"/>
      <c r="G45" s="438"/>
      <c r="H45" s="438"/>
      <c r="I45" s="445"/>
      <c r="J45" s="438"/>
    </row>
    <row r="46" spans="1:16">
      <c r="A46" s="414"/>
      <c r="B46" s="1868"/>
      <c r="C46" s="1868"/>
      <c r="D46" s="438"/>
      <c r="E46" s="445"/>
      <c r="F46" s="438"/>
      <c r="G46" s="438"/>
      <c r="H46" s="438"/>
      <c r="I46" s="445"/>
      <c r="J46" s="438"/>
    </row>
    <row r="47" spans="1:16" s="184" customFormat="1">
      <c r="A47" s="72"/>
      <c r="B47" s="69"/>
      <c r="C47" s="69"/>
      <c r="D47" s="73"/>
      <c r="E47" s="750"/>
      <c r="F47" s="73"/>
      <c r="G47" s="73"/>
      <c r="H47" s="73"/>
      <c r="I47" s="750"/>
      <c r="J47" s="73"/>
      <c r="L47" s="2558"/>
      <c r="M47" s="1867"/>
      <c r="N47" s="1867"/>
      <c r="O47" s="201"/>
      <c r="P47" s="1867"/>
    </row>
    <row r="48" spans="1:16">
      <c r="A48" s="72"/>
      <c r="B48" s="69"/>
      <c r="C48" s="69"/>
      <c r="D48" s="73"/>
      <c r="E48" s="750"/>
      <c r="F48" s="73"/>
      <c r="G48" s="73"/>
      <c r="H48" s="73"/>
      <c r="I48" s="750"/>
      <c r="J48" s="73"/>
    </row>
    <row r="49" spans="1:16" s="184" customFormat="1" ht="20.25">
      <c r="B49" s="757"/>
      <c r="C49" s="757"/>
      <c r="D49" s="757"/>
      <c r="E49" s="757"/>
      <c r="F49" s="3057" t="s">
        <v>3734</v>
      </c>
      <c r="G49" s="757"/>
      <c r="H49" s="757"/>
      <c r="I49" s="757"/>
      <c r="J49" s="757"/>
      <c r="K49" s="757"/>
      <c r="L49" s="757"/>
      <c r="M49" s="757"/>
      <c r="N49" s="757"/>
      <c r="O49" s="757"/>
      <c r="P49" s="757"/>
    </row>
    <row r="50" spans="1:16" s="748" customFormat="1" ht="6" customHeight="1">
      <c r="B50" s="2556"/>
      <c r="C50" s="2556"/>
      <c r="D50" s="2556"/>
      <c r="E50" s="2556"/>
      <c r="F50" s="2556"/>
      <c r="G50" s="2556"/>
      <c r="H50" s="2556"/>
      <c r="I50" s="2556"/>
      <c r="J50" s="2556"/>
      <c r="L50" s="2558"/>
      <c r="M50" s="1867"/>
      <c r="N50" s="1867"/>
      <c r="O50" s="201"/>
      <c r="P50" s="1867"/>
    </row>
    <row r="51" spans="1:16" s="748" customFormat="1" ht="15.75">
      <c r="B51" s="758"/>
      <c r="C51" s="758"/>
      <c r="D51" s="758"/>
      <c r="E51" s="758"/>
      <c r="F51" s="2556" t="s">
        <v>3771</v>
      </c>
      <c r="G51" s="758"/>
      <c r="H51" s="758"/>
      <c r="I51" s="758"/>
      <c r="J51" s="758"/>
      <c r="K51" s="758"/>
      <c r="L51" s="758"/>
      <c r="M51" s="758"/>
      <c r="N51" s="758"/>
      <c r="O51" s="758"/>
      <c r="P51" s="758"/>
    </row>
    <row r="52" spans="1:16" s="2558" customFormat="1" ht="15">
      <c r="B52" s="743"/>
      <c r="C52" s="743"/>
      <c r="D52" s="743"/>
      <c r="E52" s="743"/>
      <c r="F52" s="743"/>
      <c r="G52" s="743"/>
      <c r="H52" s="743"/>
      <c r="I52" s="743"/>
      <c r="K52" s="752"/>
      <c r="L52" s="748"/>
      <c r="M52" s="748"/>
      <c r="N52" s="749"/>
      <c r="O52" s="748"/>
    </row>
    <row r="53" spans="1:16" s="2557" customFormat="1" ht="27" customHeight="1">
      <c r="B53" s="762"/>
      <c r="C53" s="762"/>
      <c r="D53" s="3219" t="s">
        <v>3736</v>
      </c>
      <c r="E53" s="2771"/>
      <c r="F53" s="2771"/>
      <c r="H53" s="3219" t="s">
        <v>3772</v>
      </c>
      <c r="I53" s="2771"/>
      <c r="J53" s="2771" t="s">
        <v>3738</v>
      </c>
      <c r="K53" s="2771"/>
      <c r="M53" s="763"/>
      <c r="N53" s="764"/>
      <c r="O53" s="763"/>
    </row>
    <row r="54" spans="1:16" s="781" customFormat="1">
      <c r="B54" s="2555"/>
      <c r="C54" s="2555"/>
      <c r="D54" s="3438" t="s">
        <v>2303</v>
      </c>
      <c r="E54" s="3439"/>
      <c r="F54" s="3438" t="s">
        <v>2314</v>
      </c>
      <c r="H54" s="3438" t="s">
        <v>2303</v>
      </c>
      <c r="I54" s="3440" t="s">
        <v>2314</v>
      </c>
      <c r="J54" s="3438" t="s">
        <v>2303</v>
      </c>
      <c r="K54" s="3440" t="s">
        <v>2314</v>
      </c>
      <c r="M54" s="782"/>
      <c r="N54" s="782"/>
      <c r="O54" s="782"/>
    </row>
    <row r="55" spans="1:16" s="2557" customFormat="1">
      <c r="A55" s="2776" t="s">
        <v>3758</v>
      </c>
      <c r="B55" s="2776"/>
      <c r="C55" s="2776"/>
      <c r="D55" s="755"/>
      <c r="E55" s="753"/>
      <c r="F55" s="755"/>
      <c r="G55" s="753"/>
      <c r="H55" s="755"/>
      <c r="I55" s="753"/>
      <c r="J55" s="753"/>
      <c r="K55" s="753"/>
    </row>
    <row r="56" spans="1:16" s="2558" customFormat="1">
      <c r="A56" s="774" t="s">
        <v>3760</v>
      </c>
      <c r="B56" s="774"/>
      <c r="C56" s="774"/>
      <c r="D56" s="755">
        <f>D20</f>
        <v>0</v>
      </c>
      <c r="E56" s="753"/>
      <c r="F56" s="755">
        <f>H20</f>
        <v>0</v>
      </c>
      <c r="G56" s="753"/>
      <c r="H56" s="755">
        <f>ROUND(SNP!$M$25/1000,0)</f>
        <v>0</v>
      </c>
      <c r="I56" s="755">
        <f>ROUND(SNP!$O$25/1000,0)</f>
        <v>0</v>
      </c>
      <c r="J56" s="754">
        <f>D56-H56</f>
        <v>0</v>
      </c>
      <c r="K56" s="754">
        <f>F56-I56</f>
        <v>0</v>
      </c>
      <c r="L56" s="760" t="s">
        <v>3740</v>
      </c>
      <c r="M56" s="740"/>
      <c r="O56" s="740"/>
    </row>
    <row r="57" spans="1:16" s="2558" customFormat="1">
      <c r="A57" s="774" t="s">
        <v>3762</v>
      </c>
      <c r="B57" s="774"/>
      <c r="C57" s="774"/>
      <c r="D57" s="755">
        <f>D21</f>
        <v>0</v>
      </c>
      <c r="E57" s="753"/>
      <c r="F57" s="755">
        <f>H21</f>
        <v>0</v>
      </c>
      <c r="G57" s="753"/>
      <c r="H57" s="755">
        <f>ROUND(SNP!$M$33/1000,0)+ROUND(SNP!$M$34/1000,0)</f>
        <v>0</v>
      </c>
      <c r="I57" s="755">
        <f>ROUND(SNP!$O$33/1000,0)+ROUND(SNP!$O$34/1000,0)</f>
        <v>0</v>
      </c>
      <c r="J57" s="754">
        <f>D57-H57</f>
        <v>0</v>
      </c>
      <c r="K57" s="754">
        <f>F57-I57</f>
        <v>0</v>
      </c>
      <c r="L57" s="760" t="s">
        <v>3740</v>
      </c>
    </row>
    <row r="58" spans="1:16" s="2558" customFormat="1">
      <c r="A58" s="774" t="s">
        <v>55</v>
      </c>
      <c r="B58" s="774"/>
      <c r="C58" s="774"/>
      <c r="D58" s="756">
        <f>D22</f>
        <v>0</v>
      </c>
      <c r="E58" s="753"/>
      <c r="F58" s="756">
        <f>H22</f>
        <v>0</v>
      </c>
      <c r="G58" s="753"/>
      <c r="H58" s="756">
        <f>ROUND(SNP!$M$28/1000,0)+ROUND(SNP!$M$29/1000,0)+ROUND(SNP!$M$30/1000,0)+ROUND(SNP!$M$31/1000,0)+ROUND(SNP!$M$32/1000,0)+ROUND(SNP!$M$35/1000,0)</f>
        <v>0</v>
      </c>
      <c r="I58" s="756">
        <f>ROUND(SNP!$O$28/1000,0)+ROUND(SNP!$O$29/1000,0)+ROUND(SNP!$O$30/1000,0)+ROUND(SNP!$O$31/1000,0)+ROUND(SNP!$O$32/1000,0)+ROUND(SNP!$O$35/1000,0)</f>
        <v>0</v>
      </c>
      <c r="J58" s="759">
        <f>D58-H58</f>
        <v>0</v>
      </c>
      <c r="K58" s="759">
        <f>F58-I58</f>
        <v>0</v>
      </c>
      <c r="L58" s="760" t="s">
        <v>3740</v>
      </c>
    </row>
    <row r="59" spans="1:16" s="2557" customFormat="1" ht="12.75" customHeight="1">
      <c r="A59" s="770" t="s">
        <v>3773</v>
      </c>
      <c r="B59" s="770"/>
      <c r="C59" s="770"/>
      <c r="D59" s="755">
        <f>D24</f>
        <v>0</v>
      </c>
      <c r="E59" s="753"/>
      <c r="F59" s="755">
        <f>H24</f>
        <v>0</v>
      </c>
      <c r="G59" s="753"/>
      <c r="H59" s="755">
        <f>ROUND(SNP!$M$39/1000,0)</f>
        <v>0</v>
      </c>
      <c r="I59" s="755">
        <f>ROUND(SNP!$O$39/1000,0)</f>
        <v>0</v>
      </c>
      <c r="J59" s="755">
        <f>D59-H59</f>
        <v>0</v>
      </c>
      <c r="K59" s="755">
        <f>F59-I59</f>
        <v>0</v>
      </c>
      <c r="L59" s="897" t="s">
        <v>3741</v>
      </c>
    </row>
    <row r="60" spans="1:16" s="2557" customFormat="1" ht="6" customHeight="1">
      <c r="B60" s="762"/>
      <c r="D60" s="755"/>
      <c r="E60" s="753"/>
      <c r="F60" s="755"/>
      <c r="G60" s="753"/>
      <c r="H60" s="755"/>
      <c r="I60" s="755"/>
      <c r="J60" s="754"/>
      <c r="K60" s="754"/>
      <c r="L60" s="2558"/>
    </row>
    <row r="61" spans="1:16" s="2557" customFormat="1" ht="12.75" customHeight="1">
      <c r="A61" s="770" t="s">
        <v>3774</v>
      </c>
      <c r="B61" s="770"/>
      <c r="C61" s="770"/>
      <c r="D61" s="756">
        <f>D56+D57+D58</f>
        <v>0</v>
      </c>
      <c r="E61" s="753"/>
      <c r="F61" s="756">
        <f>F56+F57+F58</f>
        <v>0</v>
      </c>
      <c r="G61" s="753"/>
      <c r="H61" s="756">
        <f>H56+H57+H58</f>
        <v>0</v>
      </c>
      <c r="I61" s="756">
        <f>I56+I57+I58</f>
        <v>0</v>
      </c>
      <c r="J61" s="754"/>
      <c r="K61" s="754"/>
      <c r="L61" s="2558"/>
    </row>
    <row r="62" spans="1:16" s="2557" customFormat="1" ht="12.75" customHeight="1">
      <c r="A62" s="770" t="s">
        <v>3775</v>
      </c>
      <c r="B62" s="770"/>
      <c r="C62" s="770"/>
      <c r="D62" s="755">
        <f>D59-D61</f>
        <v>0</v>
      </c>
      <c r="E62" s="753"/>
      <c r="F62" s="755">
        <f>F59-F61</f>
        <v>0</v>
      </c>
      <c r="G62" s="753"/>
      <c r="H62" s="755">
        <f>H59-H61</f>
        <v>0</v>
      </c>
      <c r="I62" s="755">
        <f>I59-I61</f>
        <v>0</v>
      </c>
      <c r="J62" s="754"/>
      <c r="K62" s="754"/>
      <c r="L62" s="2558"/>
    </row>
    <row r="63" spans="1:16" s="2557" customFormat="1" ht="6.75" customHeight="1">
      <c r="B63" s="762"/>
      <c r="D63" s="755"/>
      <c r="E63" s="753"/>
      <c r="F63" s="755"/>
      <c r="G63" s="753"/>
      <c r="H63" s="755"/>
      <c r="I63" s="755"/>
      <c r="J63" s="754"/>
      <c r="K63" s="754"/>
      <c r="L63" s="2558"/>
    </row>
    <row r="64" spans="1:16" s="2557" customFormat="1">
      <c r="A64" s="2776" t="s">
        <v>2755</v>
      </c>
      <c r="B64" s="2776"/>
      <c r="C64" s="2776"/>
      <c r="D64" s="755"/>
      <c r="E64" s="753"/>
      <c r="F64" s="753"/>
      <c r="G64" s="753"/>
      <c r="H64" s="755"/>
      <c r="I64" s="753"/>
      <c r="J64" s="754"/>
      <c r="K64" s="754"/>
      <c r="L64" s="2558"/>
    </row>
    <row r="65" spans="1:15" s="2558" customFormat="1">
      <c r="A65" s="774" t="s">
        <v>3765</v>
      </c>
      <c r="B65" s="774"/>
      <c r="C65" s="774"/>
      <c r="D65" s="755">
        <f>D29</f>
        <v>0</v>
      </c>
      <c r="E65" s="753"/>
      <c r="F65" s="755">
        <f>H29</f>
        <v>0</v>
      </c>
      <c r="G65" s="753"/>
      <c r="H65" s="755">
        <f>ROUND(SNP!$M$77/1000,0)</f>
        <v>0</v>
      </c>
      <c r="I65" s="755">
        <f>ROUND(SNP!$O$77/1000,0)</f>
        <v>0</v>
      </c>
      <c r="J65" s="754">
        <f>D65-H65</f>
        <v>0</v>
      </c>
      <c r="K65" s="754">
        <f>F65-I65</f>
        <v>0</v>
      </c>
      <c r="L65" s="760" t="s">
        <v>3740</v>
      </c>
    </row>
    <row r="66" spans="1:15" s="2558" customFormat="1">
      <c r="A66" s="774" t="s">
        <v>3766</v>
      </c>
      <c r="B66" s="774"/>
      <c r="C66" s="774"/>
      <c r="D66" s="756">
        <f>D30</f>
        <v>0</v>
      </c>
      <c r="E66" s="753"/>
      <c r="F66" s="756">
        <f>H30</f>
        <v>0</v>
      </c>
      <c r="G66" s="753"/>
      <c r="H66" s="756">
        <f>ROUND(SNP!$M$99/1000,0)</f>
        <v>0</v>
      </c>
      <c r="I66" s="756">
        <f>ROUND(SNP!$O$99/1000,0)</f>
        <v>0</v>
      </c>
      <c r="J66" s="759">
        <f>D66-H66</f>
        <v>0</v>
      </c>
      <c r="K66" s="759">
        <f>F66-I66</f>
        <v>0</v>
      </c>
      <c r="L66" s="760" t="s">
        <v>3740</v>
      </c>
    </row>
    <row r="67" spans="1:15" s="2557" customFormat="1" ht="12.75" customHeight="1">
      <c r="A67" s="770" t="s">
        <v>3776</v>
      </c>
      <c r="B67" s="770"/>
      <c r="C67" s="770"/>
      <c r="D67" s="755">
        <f>D32</f>
        <v>0</v>
      </c>
      <c r="E67" s="753"/>
      <c r="F67" s="755">
        <f>H32</f>
        <v>0</v>
      </c>
      <c r="G67" s="753"/>
      <c r="H67" s="755">
        <f>ROUND(SNP!$M$101/1000,0)</f>
        <v>0</v>
      </c>
      <c r="I67" s="755">
        <f>ROUND(SNP!$O$101/1000,0)</f>
        <v>0</v>
      </c>
      <c r="J67" s="754">
        <f>D67-H67</f>
        <v>0</v>
      </c>
      <c r="K67" s="754">
        <f>F67-I67</f>
        <v>0</v>
      </c>
      <c r="L67" s="760" t="s">
        <v>3740</v>
      </c>
    </row>
    <row r="68" spans="1:15" s="2557" customFormat="1" ht="6.75" customHeight="1">
      <c r="B68" s="762"/>
      <c r="D68" s="755"/>
      <c r="E68" s="753"/>
      <c r="F68" s="755"/>
      <c r="G68" s="753"/>
      <c r="H68" s="755"/>
      <c r="I68" s="755"/>
      <c r="J68" s="754"/>
      <c r="K68" s="754"/>
      <c r="L68" s="2558"/>
    </row>
    <row r="69" spans="1:15" s="2557" customFormat="1" ht="12.75" customHeight="1">
      <c r="A69" s="770" t="s">
        <v>3774</v>
      </c>
      <c r="B69" s="770"/>
      <c r="C69" s="770"/>
      <c r="D69" s="756">
        <f>D64+D65+D66</f>
        <v>0</v>
      </c>
      <c r="E69" s="753"/>
      <c r="F69" s="756">
        <f>F64+F65+F66</f>
        <v>0</v>
      </c>
      <c r="G69" s="753"/>
      <c r="H69" s="756">
        <f>H64+H65+H66</f>
        <v>0</v>
      </c>
      <c r="I69" s="756">
        <f>I64+I65+I66</f>
        <v>0</v>
      </c>
      <c r="J69" s="754"/>
      <c r="K69" s="754"/>
      <c r="L69" s="2558"/>
    </row>
    <row r="70" spans="1:15" s="2557" customFormat="1" ht="13.5" customHeight="1" thickBot="1">
      <c r="A70" s="770" t="s">
        <v>3775</v>
      </c>
      <c r="B70" s="770"/>
      <c r="C70" s="770"/>
      <c r="D70" s="776">
        <f>D67-D69</f>
        <v>0</v>
      </c>
      <c r="E70" s="753"/>
      <c r="F70" s="776">
        <f>F67-F69</f>
        <v>0</v>
      </c>
      <c r="G70" s="753"/>
      <c r="H70" s="776">
        <f>H67-H69</f>
        <v>0</v>
      </c>
      <c r="I70" s="776">
        <f>I67-I69</f>
        <v>0</v>
      </c>
      <c r="J70" s="754"/>
      <c r="K70" s="754"/>
      <c r="L70" s="2558"/>
    </row>
    <row r="71" spans="1:15" s="2557" customFormat="1" ht="6.75" customHeight="1" thickTop="1">
      <c r="B71" s="767"/>
      <c r="C71" s="767"/>
      <c r="D71" s="753"/>
      <c r="E71" s="753"/>
      <c r="F71" s="753"/>
      <c r="G71" s="753"/>
      <c r="H71" s="753"/>
      <c r="I71" s="777"/>
      <c r="J71" s="754"/>
      <c r="K71" s="754"/>
      <c r="L71" s="2558"/>
    </row>
    <row r="72" spans="1:15" s="2557" customFormat="1" ht="15" customHeight="1">
      <c r="A72" s="2776" t="s">
        <v>3751</v>
      </c>
      <c r="B72" s="2776"/>
      <c r="C72" s="2776"/>
      <c r="D72" s="753"/>
      <c r="E72" s="753"/>
      <c r="F72" s="753"/>
      <c r="G72" s="753"/>
      <c r="H72" s="753"/>
      <c r="I72" s="777"/>
      <c r="J72" s="754"/>
      <c r="K72" s="754"/>
      <c r="L72" s="2558"/>
    </row>
    <row r="73" spans="1:15" s="2557" customFormat="1" ht="12.75" customHeight="1">
      <c r="A73" s="770" t="s">
        <v>3777</v>
      </c>
      <c r="B73" s="770"/>
      <c r="C73" s="770"/>
      <c r="D73" s="755">
        <f>D38</f>
        <v>0</v>
      </c>
      <c r="E73" s="753"/>
      <c r="F73" s="755">
        <f>H38</f>
        <v>0</v>
      </c>
      <c r="G73" s="753"/>
      <c r="H73" s="753">
        <f>ROUND(SNP!$M$116/1000,0)</f>
        <v>0</v>
      </c>
      <c r="I73" s="753">
        <f>ROUND(SNP!$O$116/1000,0)</f>
        <v>0</v>
      </c>
      <c r="J73" s="754">
        <f>D73-H73</f>
        <v>0</v>
      </c>
      <c r="K73" s="754">
        <f>F73-I73</f>
        <v>0</v>
      </c>
      <c r="L73" s="760" t="s">
        <v>3740</v>
      </c>
    </row>
    <row r="74" spans="1:15" s="774" customFormat="1">
      <c r="A74" s="774" t="s">
        <v>3769</v>
      </c>
      <c r="D74" s="755">
        <f>D39</f>
        <v>0</v>
      </c>
      <c r="E74" s="773"/>
      <c r="F74" s="755">
        <f>H39</f>
        <v>0</v>
      </c>
      <c r="G74" s="773"/>
      <c r="H74" s="747">
        <f>ROUND(SNP!$M$119/1000,0)+ROUND(SNP!$M$121/1000,0)+ROUND(SNP!$M$122/1000,0)+ROUND(SNP!$M$123/1000,0)+ROUND(SNP!$M$124/1000,0)+ROUND(SNP!$M$125/1000,0)+ROUND(SNP!$M$126/1000,0)</f>
        <v>0</v>
      </c>
      <c r="I74" s="747">
        <f>ROUND(SNP!$O$119/1000,0)+ROUND(SNP!$O$121/1000,0)+ROUND(SNP!$O$122/1000,0)+ROUND(SNP!$O$123/1000,0)+ROUND(SNP!$O$124/1000,0)+ROUND(SNP!$O$125/1000,0)+ROUND(SNP!$O$126/1000,0)</f>
        <v>0</v>
      </c>
      <c r="J74" s="754">
        <f>D74-H74</f>
        <v>0</v>
      </c>
      <c r="K74" s="754">
        <f>F74-I74</f>
        <v>0</v>
      </c>
      <c r="L74" s="760" t="s">
        <v>3740</v>
      </c>
      <c r="M74" s="2558"/>
      <c r="O74" s="2558"/>
    </row>
    <row r="75" spans="1:15" s="774" customFormat="1">
      <c r="A75" s="774" t="s">
        <v>347</v>
      </c>
      <c r="D75" s="756">
        <f>D40</f>
        <v>0</v>
      </c>
      <c r="E75" s="773"/>
      <c r="F75" s="756">
        <f>H40</f>
        <v>0</v>
      </c>
      <c r="G75" s="773"/>
      <c r="H75" s="775">
        <f>ROUND(SNP!$K$127/1000,0)</f>
        <v>0</v>
      </c>
      <c r="I75" s="775">
        <f>ROUND(SNP!$O$127/1000,0)</f>
        <v>0</v>
      </c>
      <c r="J75" s="759">
        <f>D75-H75</f>
        <v>0</v>
      </c>
      <c r="K75" s="759">
        <f>F75-I75</f>
        <v>0</v>
      </c>
      <c r="L75" s="760" t="s">
        <v>3740</v>
      </c>
      <c r="M75" s="2558"/>
      <c r="O75" s="2558"/>
    </row>
    <row r="76" spans="1:15" s="770" customFormat="1" ht="26.25" customHeight="1">
      <c r="A76" s="770" t="s">
        <v>3778</v>
      </c>
      <c r="D76" s="755">
        <f>D42</f>
        <v>0</v>
      </c>
      <c r="E76" s="773"/>
      <c r="F76" s="755">
        <f>H42</f>
        <v>0</v>
      </c>
      <c r="G76" s="773"/>
      <c r="H76" s="747">
        <f>ROUND(SNP!$M$129/1000,0)</f>
        <v>0</v>
      </c>
      <c r="I76" s="747">
        <f>ROUND(SNP!$O$129/1000,0)</f>
        <v>0</v>
      </c>
      <c r="J76" s="755">
        <f>D76-H76</f>
        <v>0</v>
      </c>
      <c r="K76" s="755">
        <f>F76-I76</f>
        <v>0</v>
      </c>
      <c r="L76" s="896" t="s">
        <v>3741</v>
      </c>
    </row>
    <row r="77" spans="1:15" s="2557" customFormat="1" ht="6.75" customHeight="1">
      <c r="B77" s="762"/>
      <c r="D77" s="755"/>
      <c r="E77" s="753"/>
      <c r="F77" s="755"/>
      <c r="G77" s="753"/>
      <c r="H77" s="755"/>
      <c r="I77" s="755"/>
      <c r="J77" s="754"/>
      <c r="K77" s="754"/>
      <c r="L77" s="774"/>
      <c r="M77" s="770"/>
      <c r="O77" s="770"/>
    </row>
    <row r="78" spans="1:15" s="2557" customFormat="1" ht="15" customHeight="1">
      <c r="A78" s="770" t="s">
        <v>3774</v>
      </c>
      <c r="B78" s="770"/>
      <c r="C78" s="770"/>
      <c r="D78" s="756">
        <f>D73+D74+D75</f>
        <v>0</v>
      </c>
      <c r="E78" s="753"/>
      <c r="F78" s="756">
        <f>F73+F74+F75</f>
        <v>0</v>
      </c>
      <c r="G78" s="753"/>
      <c r="H78" s="756">
        <f>H73+H74+H75</f>
        <v>0</v>
      </c>
      <c r="I78" s="756">
        <f>I73+I74+I75</f>
        <v>0</v>
      </c>
      <c r="J78" s="754"/>
      <c r="K78" s="754"/>
      <c r="L78" s="774"/>
      <c r="M78" s="770"/>
      <c r="O78" s="770"/>
    </row>
    <row r="79" spans="1:15" s="2557" customFormat="1" ht="15.75" customHeight="1" thickBot="1">
      <c r="A79" s="770" t="s">
        <v>3775</v>
      </c>
      <c r="B79" s="770"/>
      <c r="C79" s="770"/>
      <c r="D79" s="776">
        <f>D76-D78</f>
        <v>0</v>
      </c>
      <c r="E79" s="753"/>
      <c r="F79" s="776">
        <f>F76-F78</f>
        <v>0</v>
      </c>
      <c r="G79" s="753"/>
      <c r="H79" s="776">
        <f>H76-H78</f>
        <v>0</v>
      </c>
      <c r="I79" s="776">
        <f>I76-I78</f>
        <v>0</v>
      </c>
      <c r="J79" s="754"/>
      <c r="K79" s="754"/>
      <c r="L79" s="2558"/>
    </row>
    <row r="80" spans="1:15" s="770" customFormat="1" ht="6.75" customHeight="1" thickTop="1">
      <c r="A80" s="769"/>
      <c r="B80" s="142"/>
      <c r="C80" s="771"/>
      <c r="D80" s="747"/>
      <c r="E80" s="773"/>
      <c r="F80" s="747"/>
      <c r="G80" s="773"/>
      <c r="H80" s="754"/>
      <c r="I80" s="761"/>
      <c r="J80" s="753"/>
      <c r="K80" s="753"/>
      <c r="L80" s="2558"/>
      <c r="M80" s="2557"/>
      <c r="O80" s="2557"/>
    </row>
    <row r="81" spans="1:16" s="2557" customFormat="1" ht="12.75" customHeight="1">
      <c r="A81" s="2776" t="s">
        <v>3779</v>
      </c>
      <c r="B81" s="2776"/>
      <c r="C81" s="2776"/>
      <c r="D81" s="753"/>
      <c r="E81" s="753"/>
      <c r="F81" s="753"/>
      <c r="G81" s="753"/>
      <c r="H81" s="753"/>
      <c r="I81" s="777"/>
      <c r="J81" s="754"/>
      <c r="K81" s="754"/>
      <c r="L81" s="2558"/>
    </row>
    <row r="82" spans="1:16" s="2557" customFormat="1" ht="12.75" customHeight="1">
      <c r="A82" s="770" t="s">
        <v>3780</v>
      </c>
      <c r="B82" s="770"/>
      <c r="C82" s="770"/>
      <c r="D82" s="755">
        <f>D26+D24</f>
        <v>0</v>
      </c>
      <c r="E82" s="753"/>
      <c r="F82" s="755">
        <f>H24</f>
        <v>0</v>
      </c>
      <c r="G82" s="753"/>
      <c r="H82" s="755">
        <f>ROUND(SNP!$M$51/1000,0)</f>
        <v>0</v>
      </c>
      <c r="I82" s="755">
        <f>ROUND(SNP!$O$51/1000,0)</f>
        <v>0</v>
      </c>
      <c r="J82" s="754">
        <f>D82-H82</f>
        <v>0</v>
      </c>
      <c r="K82" s="754">
        <f>F82-I82</f>
        <v>0</v>
      </c>
      <c r="L82" s="760" t="s">
        <v>3740</v>
      </c>
    </row>
    <row r="83" spans="1:16" s="770" customFormat="1" ht="12.75" customHeight="1">
      <c r="A83" s="770" t="s">
        <v>3781</v>
      </c>
      <c r="D83" s="756">
        <f>D34+D32</f>
        <v>0</v>
      </c>
      <c r="E83" s="773"/>
      <c r="F83" s="756">
        <f>H32</f>
        <v>0</v>
      </c>
      <c r="G83" s="773"/>
      <c r="H83" s="756">
        <f>ROUND(SNP!$M$113/1000,0)</f>
        <v>0</v>
      </c>
      <c r="I83" s="756">
        <f>ROUND(SNP!$O$113/1000,0)</f>
        <v>0</v>
      </c>
      <c r="J83" s="759">
        <f>D83-H83</f>
        <v>0</v>
      </c>
      <c r="K83" s="759">
        <f>F83-I83</f>
        <v>0</v>
      </c>
      <c r="L83" s="760" t="s">
        <v>3740</v>
      </c>
      <c r="M83" s="2557"/>
      <c r="O83" s="2557"/>
    </row>
    <row r="84" spans="1:16" s="774" customFormat="1">
      <c r="A84" s="774" t="s">
        <v>3782</v>
      </c>
      <c r="D84" s="755">
        <f>D82-D83</f>
        <v>0</v>
      </c>
      <c r="E84" s="773"/>
      <c r="F84" s="755">
        <f>F82-F83</f>
        <v>0</v>
      </c>
      <c r="G84" s="773"/>
      <c r="H84" s="747">
        <f>H82-H83</f>
        <v>0</v>
      </c>
      <c r="I84" s="747">
        <f>I82-I83</f>
        <v>0</v>
      </c>
      <c r="J84" s="761">
        <f>D84-H84</f>
        <v>0</v>
      </c>
      <c r="K84" s="761">
        <f>F84-I84</f>
        <v>0</v>
      </c>
      <c r="L84" s="760" t="s">
        <v>3740</v>
      </c>
      <c r="M84" s="2558"/>
      <c r="O84" s="2558"/>
    </row>
    <row r="85" spans="1:16" s="770" customFormat="1" ht="12.75" customHeight="1">
      <c r="A85" s="770" t="s">
        <v>3778</v>
      </c>
      <c r="D85" s="755">
        <f>D42</f>
        <v>0</v>
      </c>
      <c r="E85" s="773"/>
      <c r="F85" s="755">
        <f>H42</f>
        <v>0</v>
      </c>
      <c r="G85" s="773"/>
      <c r="H85" s="747">
        <f>ROUND(SNP!$M$129/1000,0)</f>
        <v>0</v>
      </c>
      <c r="I85" s="747">
        <f>ROUND(SNP!$O$129/1000,0)</f>
        <v>0</v>
      </c>
      <c r="J85" s="755">
        <f>D85-H85</f>
        <v>0</v>
      </c>
      <c r="K85" s="755">
        <f>F85-I85</f>
        <v>0</v>
      </c>
      <c r="L85" s="896" t="s">
        <v>3741</v>
      </c>
    </row>
    <row r="86" spans="1:16" s="2557" customFormat="1" ht="6.75" customHeight="1">
      <c r="B86" s="762"/>
      <c r="D86" s="755"/>
      <c r="E86" s="753"/>
      <c r="F86" s="755"/>
      <c r="G86" s="753"/>
      <c r="H86" s="755"/>
      <c r="I86" s="755"/>
      <c r="J86" s="754"/>
      <c r="K86" s="754"/>
      <c r="M86" s="770"/>
      <c r="N86" s="770"/>
      <c r="O86" s="770"/>
    </row>
    <row r="87" spans="1:16" s="2557" customFormat="1" ht="13.5" thickBot="1">
      <c r="B87" s="762"/>
      <c r="C87" s="2557" t="s">
        <v>3775</v>
      </c>
      <c r="D87" s="776">
        <f>D84-D85</f>
        <v>0</v>
      </c>
      <c r="E87" s="753"/>
      <c r="F87" s="776">
        <f>F84-F85</f>
        <v>0</v>
      </c>
      <c r="G87" s="753"/>
      <c r="H87" s="776">
        <f>H84-H85</f>
        <v>0</v>
      </c>
      <c r="I87" s="776">
        <f>I84-I85</f>
        <v>0</v>
      </c>
      <c r="J87" s="754"/>
      <c r="K87" s="754"/>
      <c r="M87" s="770"/>
      <c r="N87" s="770"/>
      <c r="O87" s="770"/>
    </row>
    <row r="88" spans="1:16" s="2557" customFormat="1" ht="13.5" thickTop="1">
      <c r="B88" s="762"/>
      <c r="D88" s="753"/>
      <c r="E88" s="753"/>
      <c r="F88" s="753"/>
      <c r="G88" s="753"/>
      <c r="H88" s="755"/>
      <c r="I88" s="753"/>
      <c r="J88" s="753"/>
      <c r="K88" s="754"/>
      <c r="L88" s="766"/>
    </row>
    <row r="89" spans="1:16" s="770" customFormat="1">
      <c r="A89" s="769"/>
      <c r="B89" s="142"/>
      <c r="C89" s="771"/>
      <c r="D89" s="778"/>
      <c r="E89" s="747"/>
      <c r="F89" s="747"/>
      <c r="G89" s="773"/>
      <c r="H89" s="761"/>
      <c r="I89" s="754"/>
      <c r="J89" s="761"/>
      <c r="K89" s="753"/>
      <c r="L89" s="765"/>
      <c r="M89" s="2557"/>
      <c r="N89" s="2557"/>
      <c r="O89" s="2557"/>
    </row>
    <row r="90" spans="1:16" s="770" customFormat="1">
      <c r="B90" s="768"/>
      <c r="C90" s="772"/>
      <c r="D90" s="747"/>
      <c r="E90" s="747"/>
      <c r="F90" s="747"/>
      <c r="G90" s="745"/>
      <c r="H90" s="745"/>
      <c r="I90" s="779"/>
      <c r="J90" s="773"/>
      <c r="K90" s="773"/>
    </row>
    <row r="91" spans="1:16" s="770" customFormat="1">
      <c r="B91" s="768"/>
      <c r="C91" s="772"/>
      <c r="D91" s="747"/>
      <c r="E91" s="747"/>
      <c r="F91" s="747"/>
      <c r="G91" s="745"/>
      <c r="H91" s="745"/>
      <c r="I91" s="745"/>
      <c r="J91" s="746"/>
      <c r="K91" s="774"/>
    </row>
    <row r="92" spans="1:16" s="184" customFormat="1">
      <c r="B92" s="638"/>
      <c r="C92" s="747"/>
      <c r="D92" s="747"/>
      <c r="E92" s="747"/>
      <c r="F92" s="747"/>
      <c r="G92" s="745"/>
      <c r="H92" s="745"/>
      <c r="I92" s="745"/>
      <c r="J92" s="746"/>
      <c r="K92" s="638"/>
      <c r="L92" s="741"/>
    </row>
    <row r="93" spans="1:16" s="184" customFormat="1">
      <c r="C93" s="638"/>
      <c r="D93" s="747"/>
      <c r="E93" s="747"/>
      <c r="F93" s="747"/>
      <c r="G93" s="747"/>
      <c r="H93" s="745"/>
      <c r="I93" s="745"/>
      <c r="J93" s="745"/>
      <c r="K93" s="746"/>
      <c r="L93" s="638"/>
      <c r="M93" s="741"/>
    </row>
    <row r="94" spans="1:16" s="184" customFormat="1">
      <c r="A94" s="742"/>
      <c r="B94" s="742"/>
      <c r="C94" s="742"/>
      <c r="D94" s="2521"/>
      <c r="E94" s="2521"/>
      <c r="F94" s="2521"/>
      <c r="G94" s="2521"/>
      <c r="H94" s="2521"/>
      <c r="I94" s="2521"/>
      <c r="J94" s="2521"/>
      <c r="K94" s="774"/>
      <c r="L94" s="638"/>
      <c r="M94" s="746"/>
      <c r="N94" s="69"/>
      <c r="O94" s="741"/>
    </row>
    <row r="95" spans="1:16">
      <c r="A95" s="184"/>
      <c r="B95" s="184"/>
      <c r="C95" s="184"/>
      <c r="D95" s="780"/>
      <c r="E95" s="780"/>
      <c r="F95" s="780"/>
      <c r="G95" s="774"/>
      <c r="H95" s="774"/>
      <c r="I95" s="774"/>
      <c r="J95" s="774"/>
      <c r="K95" s="774"/>
      <c r="L95" s="638"/>
      <c r="M95" s="746"/>
      <c r="N95" s="69"/>
      <c r="O95" s="741"/>
      <c r="P95" s="184"/>
    </row>
    <row r="96" spans="1:16">
      <c r="A96" s="184"/>
      <c r="B96" s="184"/>
      <c r="C96" s="184"/>
      <c r="D96" s="774"/>
      <c r="E96" s="774"/>
      <c r="F96" s="774"/>
      <c r="G96" s="774"/>
      <c r="H96" s="774"/>
      <c r="I96" s="774"/>
      <c r="J96" s="774"/>
      <c r="K96" s="774"/>
      <c r="M96" s="184"/>
      <c r="N96" s="184"/>
      <c r="O96" s="741"/>
      <c r="P96" s="184"/>
    </row>
    <row r="97" spans="1:11">
      <c r="D97" s="2520"/>
      <c r="E97" s="2520"/>
      <c r="F97" s="2520"/>
      <c r="G97" s="2520"/>
      <c r="H97" s="2520"/>
      <c r="I97" s="2520"/>
      <c r="J97" s="774"/>
      <c r="K97" s="774"/>
    </row>
    <row r="98" spans="1:11">
      <c r="D98" s="2520"/>
      <c r="E98" s="2520"/>
      <c r="F98" s="2520"/>
      <c r="G98" s="2520"/>
      <c r="H98" s="2520"/>
      <c r="I98" s="2520"/>
      <c r="J98" s="2520"/>
      <c r="K98" s="774"/>
    </row>
    <row r="99" spans="1:11">
      <c r="D99" s="2520"/>
      <c r="E99" s="2520"/>
      <c r="F99" s="2520"/>
      <c r="G99" s="2520"/>
      <c r="H99" s="2520"/>
      <c r="I99" s="2520"/>
      <c r="J99" s="2520"/>
      <c r="K99" s="774"/>
    </row>
    <row r="100" spans="1:11">
      <c r="D100" s="2520"/>
      <c r="E100" s="2520"/>
      <c r="F100" s="2520"/>
      <c r="G100" s="2520"/>
      <c r="H100" s="2520"/>
      <c r="I100" s="2520"/>
      <c r="J100" s="2520"/>
      <c r="K100" s="774"/>
    </row>
    <row r="101" spans="1:11">
      <c r="D101" s="2520"/>
      <c r="E101" s="2520"/>
      <c r="F101" s="2520"/>
      <c r="G101" s="2520"/>
      <c r="H101" s="2520"/>
      <c r="I101" s="2520"/>
      <c r="J101" s="2520"/>
      <c r="K101" s="774"/>
    </row>
    <row r="102" spans="1:11">
      <c r="D102" s="2520"/>
      <c r="E102" s="2520"/>
      <c r="F102" s="2520"/>
      <c r="G102" s="2520"/>
      <c r="H102" s="2520"/>
      <c r="I102" s="2520"/>
      <c r="J102" s="2520"/>
      <c r="K102" s="774"/>
    </row>
    <row r="103" spans="1:11">
      <c r="A103" s="142"/>
      <c r="D103" s="2520"/>
      <c r="E103" s="2520"/>
      <c r="F103" s="2520"/>
      <c r="G103" s="2520"/>
      <c r="H103" s="2520"/>
      <c r="I103" s="2520"/>
      <c r="J103" s="2520"/>
      <c r="K103" s="774"/>
    </row>
    <row r="104" spans="1:11">
      <c r="B104" s="142"/>
      <c r="C104" s="142"/>
      <c r="D104" s="744"/>
      <c r="E104" s="744"/>
      <c r="F104" s="744"/>
      <c r="G104" s="744"/>
      <c r="H104" s="744"/>
      <c r="I104" s="744"/>
      <c r="J104" s="744"/>
      <c r="K104" s="774"/>
    </row>
    <row r="105" spans="1:11">
      <c r="D105" s="2520"/>
      <c r="E105" s="2520"/>
      <c r="F105" s="2520"/>
      <c r="G105" s="2520"/>
      <c r="H105" s="2520"/>
      <c r="I105" s="2520"/>
      <c r="J105" s="2520"/>
      <c r="K105" s="774"/>
    </row>
    <row r="106" spans="1:11">
      <c r="D106" s="2520"/>
      <c r="E106" s="2520"/>
      <c r="F106" s="2520"/>
      <c r="G106" s="2520"/>
      <c r="H106" s="2520"/>
      <c r="I106" s="2520"/>
      <c r="J106" s="2520"/>
      <c r="K106" s="774"/>
    </row>
    <row r="107" spans="1:11">
      <c r="D107" s="2520"/>
      <c r="E107" s="2520"/>
      <c r="F107" s="2520"/>
      <c r="G107" s="2520"/>
      <c r="H107" s="2520"/>
      <c r="I107" s="2520"/>
      <c r="J107" s="2520"/>
      <c r="K107" s="774"/>
    </row>
    <row r="108" spans="1:11">
      <c r="D108" s="2520"/>
      <c r="E108" s="2520"/>
      <c r="F108" s="2520"/>
      <c r="G108" s="2520"/>
      <c r="H108" s="2520"/>
      <c r="I108" s="2520"/>
      <c r="J108" s="2520"/>
      <c r="K108" s="774"/>
    </row>
    <row r="160" spans="6:10">
      <c r="F160" s="80"/>
      <c r="G160" s="81"/>
      <c r="H160" s="80"/>
      <c r="I160" s="82"/>
      <c r="J160" s="80"/>
    </row>
  </sheetData>
  <sheetProtection formatColumns="0" formatRows="0"/>
  <conditionalFormatting sqref="D87 F87 D70 F70 D79 F79 D62 F62 H87:I87 H62:I62 J85:K85 H70:I70 H79:I79 J59:K59 J76:K76">
    <cfRule type="cellIs" dxfId="72" priority="19" operator="equal">
      <formula>0</formula>
    </cfRule>
  </conditionalFormatting>
  <conditionalFormatting sqref="D87 F87 D70 F70 D79 F79 D62 F62 H87:I87 H62:I62 J85:K85 H70:I70 H79:I79 J59:K59 J76:K76">
    <cfRule type="cellIs" dxfId="71" priority="18" operator="notEqual">
      <formula>0</formula>
    </cfRule>
  </conditionalFormatting>
  <conditionalFormatting sqref="J73:K75 J65:K67 J56:K58 J82:K84">
    <cfRule type="cellIs" dxfId="70" priority="7" operator="notEqual">
      <formula>0</formula>
    </cfRule>
    <cfRule type="cellIs" dxfId="69" priority="9" operator="equal">
      <formula>0</formula>
    </cfRule>
  </conditionalFormatting>
  <printOptions horizontalCentered="1"/>
  <pageMargins left="0.25" right="0.25" top="0.75" bottom="0.75" header="0.3" footer="0.3"/>
  <pageSetup scale="77" orientation="landscape" r:id="rId1"/>
  <headerFooter>
    <oddHeader>&amp;L&amp;"Arial,Regular"&amp;8&amp;F&amp;R&amp;"Arial,Regular"&amp;8&amp;A</oddHeader>
    <oddFooter>&amp;L&amp;"Arial,Regular"&amp;8&amp;D&amp;R&amp;"Arial,Regular"&amp;8&amp;P of &amp;N</oddFooter>
  </headerFooter>
  <ignoredErrors>
    <ignoredError sqref="H21 D21" formulaRange="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00FF"/>
  </sheetPr>
  <dimension ref="A1:N105"/>
  <sheetViews>
    <sheetView workbookViewId="0"/>
  </sheetViews>
  <sheetFormatPr defaultColWidth="9.140625" defaultRowHeight="12.75"/>
  <cols>
    <col min="1" max="1" width="5.28515625" style="1867" customWidth="1"/>
    <col min="2" max="2" width="2" style="1867" customWidth="1"/>
    <col min="3" max="3" width="9.140625" style="1867"/>
    <col min="4" max="4" width="9.42578125" style="1867" bestFit="1" customWidth="1"/>
    <col min="5" max="5" width="9.5703125" style="1867" customWidth="1"/>
    <col min="6" max="6" width="9.140625" style="1867"/>
    <col min="7" max="7" width="14.42578125" style="1867" customWidth="1"/>
    <col min="8" max="8" width="12.7109375" style="1867" customWidth="1"/>
    <col min="9" max="9" width="0.85546875" style="1867" customWidth="1"/>
    <col min="10" max="10" width="12.140625" style="1867" customWidth="1"/>
    <col min="11" max="11" width="2" style="1867" customWidth="1"/>
    <col min="12" max="12" width="13.28515625" style="1867" customWidth="1"/>
    <col min="13" max="16384" width="9.140625" style="1867"/>
  </cols>
  <sheetData>
    <row r="1" spans="1:14" ht="12.75" customHeight="1">
      <c r="A1" s="2881" t="s">
        <v>3783</v>
      </c>
      <c r="B1" s="2764"/>
      <c r="C1" s="2764"/>
      <c r="D1" s="2764"/>
      <c r="E1" s="2764"/>
      <c r="F1" s="2764"/>
      <c r="G1" s="2764"/>
      <c r="H1" s="2764"/>
      <c r="I1" s="2764"/>
      <c r="J1" s="2764"/>
      <c r="K1" s="2764"/>
      <c r="L1" s="2764"/>
    </row>
    <row r="2" spans="1:14">
      <c r="A2" s="2881" t="s">
        <v>3784</v>
      </c>
      <c r="B2" s="2764"/>
      <c r="C2" s="2764"/>
      <c r="D2" s="2764"/>
      <c r="E2" s="2764"/>
      <c r="F2" s="2764"/>
      <c r="G2" s="2764"/>
      <c r="H2" s="2764"/>
      <c r="I2" s="2764"/>
      <c r="J2" s="2764"/>
      <c r="K2" s="2764"/>
      <c r="L2" s="2764"/>
    </row>
    <row r="3" spans="1:14" ht="15">
      <c r="A3" s="88"/>
      <c r="B3" s="88"/>
      <c r="C3" s="88"/>
      <c r="D3" s="88"/>
      <c r="E3" s="88"/>
      <c r="F3" s="88"/>
      <c r="G3" s="88"/>
      <c r="H3" s="88"/>
      <c r="I3" s="88"/>
      <c r="J3" s="88"/>
    </row>
    <row r="4" spans="1:14">
      <c r="B4" s="2777"/>
      <c r="C4" s="2777"/>
      <c r="D4" s="2777"/>
      <c r="E4" s="2777"/>
      <c r="F4" s="2777"/>
      <c r="G4" s="3063" t="str">
        <f>'Contact Information'!$C$5</f>
        <v>SAMPLE STATE COLLEGE</v>
      </c>
      <c r="H4" s="2777"/>
      <c r="I4" s="2777"/>
      <c r="J4" s="2777"/>
      <c r="K4" s="2777"/>
      <c r="L4" s="2777"/>
    </row>
    <row r="5" spans="1:14">
      <c r="B5" s="2777"/>
      <c r="C5" s="2777"/>
      <c r="D5" s="2777"/>
      <c r="E5" s="2777"/>
      <c r="F5" s="2777"/>
      <c r="G5" s="3063" t="s">
        <v>3714</v>
      </c>
      <c r="H5" s="2777"/>
      <c r="I5" s="2777"/>
      <c r="J5" s="2777"/>
      <c r="K5" s="2777"/>
      <c r="L5" s="2777"/>
    </row>
    <row r="6" spans="1:14">
      <c r="B6" s="2778"/>
      <c r="C6" s="2778"/>
      <c r="D6" s="2778"/>
      <c r="E6" s="2778"/>
      <c r="F6" s="2778"/>
      <c r="G6" s="3064" t="s">
        <v>3785</v>
      </c>
      <c r="H6" s="2778"/>
      <c r="I6" s="2778"/>
      <c r="J6" s="2778"/>
      <c r="K6" s="2778"/>
      <c r="L6" s="2778"/>
    </row>
    <row r="7" spans="1:14">
      <c r="B7" s="2779"/>
      <c r="C7" s="2779"/>
      <c r="D7" s="2779"/>
      <c r="E7" s="2779"/>
      <c r="F7" s="2779"/>
      <c r="G7" s="2559" t="str">
        <f>'FS Variance Analysis Tool'!E3</f>
        <v>For the Fiscal Year Ended June 30, 2021</v>
      </c>
      <c r="H7" s="2779"/>
      <c r="I7" s="2779"/>
      <c r="J7" s="2779"/>
      <c r="K7" s="2779"/>
      <c r="L7" s="2779"/>
    </row>
    <row r="8" spans="1:14" s="1080" customFormat="1" ht="15">
      <c r="B8" s="2767"/>
      <c r="C8" s="2767"/>
      <c r="D8" s="2767"/>
      <c r="E8" s="2767"/>
      <c r="F8" s="2767"/>
      <c r="G8" s="3060" t="s">
        <v>3679</v>
      </c>
      <c r="H8" s="2767"/>
      <c r="I8" s="2767"/>
      <c r="J8" s="2767"/>
      <c r="K8" s="2767"/>
      <c r="L8" s="2767"/>
      <c r="M8" s="1081"/>
      <c r="N8" s="1083"/>
    </row>
    <row r="9" spans="1:14">
      <c r="A9" s="575"/>
      <c r="B9" s="575"/>
      <c r="C9" s="575"/>
      <c r="D9" s="575"/>
      <c r="E9" s="575"/>
      <c r="F9" s="575"/>
      <c r="G9" s="575"/>
      <c r="H9" s="575"/>
      <c r="I9" s="575"/>
      <c r="J9" s="575"/>
      <c r="K9" s="576"/>
      <c r="L9" s="1875"/>
    </row>
    <row r="10" spans="1:14" ht="15">
      <c r="A10" s="2387" t="s">
        <v>3786</v>
      </c>
      <c r="B10" s="2559"/>
      <c r="C10" s="2559"/>
      <c r="D10" s="2559"/>
      <c r="E10" s="2559"/>
      <c r="F10" s="2559"/>
      <c r="G10" s="2559"/>
      <c r="H10" s="2559"/>
      <c r="I10" s="2559"/>
      <c r="J10" s="2559"/>
      <c r="K10" s="2388"/>
      <c r="L10" s="1875"/>
    </row>
    <row r="11" spans="1:14" ht="10.5" customHeight="1">
      <c r="A11" s="2387"/>
      <c r="B11" s="2559"/>
      <c r="C11" s="2559"/>
      <c r="D11" s="2559"/>
      <c r="E11" s="2559"/>
      <c r="F11" s="2559"/>
      <c r="G11" s="2559"/>
      <c r="H11" s="2559"/>
      <c r="I11" s="2559"/>
      <c r="J11" s="2559"/>
      <c r="K11" s="2388"/>
      <c r="L11" s="1875"/>
    </row>
    <row r="12" spans="1:14">
      <c r="A12" s="2780" t="s">
        <v>3787</v>
      </c>
      <c r="B12" s="2780"/>
      <c r="C12" s="2780"/>
      <c r="D12" s="2780"/>
      <c r="E12" s="2780"/>
      <c r="F12" s="2780"/>
      <c r="G12" s="2780"/>
      <c r="H12" s="2780"/>
      <c r="I12" s="2780"/>
      <c r="J12" s="2780"/>
      <c r="K12" s="2780"/>
      <c r="L12" s="2780"/>
    </row>
    <row r="13" spans="1:14">
      <c r="A13" s="2780" t="s">
        <v>3788</v>
      </c>
      <c r="B13" s="2780"/>
      <c r="C13" s="2780"/>
      <c r="D13" s="2780"/>
      <c r="E13" s="2780"/>
      <c r="F13" s="2780"/>
      <c r="G13" s="2780"/>
      <c r="H13" s="2780"/>
      <c r="I13" s="2780"/>
      <c r="J13" s="2780"/>
      <c r="K13" s="2780"/>
      <c r="L13" s="2780"/>
    </row>
    <row r="14" spans="1:14">
      <c r="A14" s="2780" t="s">
        <v>3789</v>
      </c>
      <c r="B14" s="2780"/>
      <c r="C14" s="2780"/>
      <c r="D14" s="2780"/>
      <c r="E14" s="2780"/>
      <c r="F14" s="2780"/>
      <c r="G14" s="2780"/>
      <c r="H14" s="2780"/>
      <c r="I14" s="2780"/>
      <c r="J14" s="2780"/>
      <c r="K14" s="2780"/>
      <c r="L14" s="2780"/>
    </row>
    <row r="15" spans="1:14" ht="10.5" customHeight="1">
      <c r="A15" s="574"/>
      <c r="B15" s="575"/>
      <c r="C15" s="575"/>
      <c r="D15" s="575"/>
      <c r="E15" s="575"/>
      <c r="F15" s="575"/>
      <c r="G15" s="575"/>
      <c r="H15" s="575"/>
      <c r="I15" s="575"/>
      <c r="J15" s="575"/>
      <c r="K15" s="576"/>
      <c r="L15" s="1875"/>
    </row>
    <row r="16" spans="1:14" ht="14.25">
      <c r="A16" s="1875"/>
      <c r="B16" s="577" t="s">
        <v>3790</v>
      </c>
      <c r="C16" s="575"/>
      <c r="D16" s="575"/>
      <c r="E16" s="575"/>
      <c r="F16" s="575"/>
      <c r="G16" s="575"/>
      <c r="H16" s="575"/>
      <c r="I16" s="575"/>
      <c r="J16" s="575"/>
      <c r="K16" s="576"/>
      <c r="L16" s="1875"/>
    </row>
    <row r="17" spans="1:12" ht="10.5" customHeight="1">
      <c r="A17" s="574"/>
      <c r="B17" s="575"/>
      <c r="C17" s="575"/>
      <c r="D17" s="575"/>
      <c r="E17" s="575"/>
      <c r="F17" s="575"/>
      <c r="G17" s="575"/>
      <c r="H17" s="575"/>
      <c r="I17" s="575"/>
      <c r="J17" s="575"/>
      <c r="K17" s="576"/>
      <c r="L17" s="1875"/>
    </row>
    <row r="18" spans="1:12" ht="14.25">
      <c r="A18" s="1875"/>
      <c r="B18" s="577" t="s">
        <v>3791</v>
      </c>
      <c r="C18" s="575"/>
      <c r="D18" s="575"/>
      <c r="E18" s="575"/>
      <c r="F18" s="575"/>
      <c r="G18" s="575"/>
      <c r="H18" s="575"/>
      <c r="I18" s="575"/>
      <c r="J18" s="575"/>
      <c r="K18" s="576"/>
      <c r="L18" s="1875"/>
    </row>
    <row r="19" spans="1:12" ht="10.5" customHeight="1">
      <c r="A19" s="574"/>
      <c r="B19" s="575"/>
      <c r="C19" s="575"/>
      <c r="D19" s="575"/>
      <c r="E19" s="575"/>
      <c r="F19" s="575"/>
      <c r="G19" s="575"/>
      <c r="H19" s="575"/>
      <c r="I19" s="575"/>
      <c r="J19" s="575"/>
      <c r="K19" s="576"/>
      <c r="L19" s="1875"/>
    </row>
    <row r="20" spans="1:12" ht="14.25">
      <c r="A20" s="1875"/>
      <c r="B20" s="577" t="s">
        <v>3792</v>
      </c>
      <c r="C20" s="575"/>
      <c r="D20" s="575"/>
      <c r="E20" s="575"/>
      <c r="F20" s="575"/>
      <c r="G20" s="575"/>
      <c r="H20" s="575"/>
      <c r="I20" s="575"/>
      <c r="J20" s="575"/>
      <c r="K20" s="576"/>
      <c r="L20" s="1875"/>
    </row>
    <row r="21" spans="1:12" ht="10.5" customHeight="1">
      <c r="A21" s="574"/>
      <c r="B21" s="575"/>
      <c r="C21" s="575"/>
      <c r="D21" s="575"/>
      <c r="E21" s="575"/>
      <c r="F21" s="3065"/>
      <c r="G21" s="3065"/>
      <c r="H21" s="575"/>
      <c r="I21" s="575"/>
      <c r="J21" s="575"/>
      <c r="K21" s="576"/>
      <c r="L21" s="1875"/>
    </row>
    <row r="22" spans="1:12">
      <c r="A22" s="3066" t="s">
        <v>3793</v>
      </c>
      <c r="B22" s="2780"/>
      <c r="C22" s="2780"/>
      <c r="D22" s="2780"/>
      <c r="E22" s="2780"/>
      <c r="F22" s="3066"/>
      <c r="G22" s="3066"/>
      <c r="H22" s="2780"/>
      <c r="I22" s="2780"/>
      <c r="J22" s="2780"/>
      <c r="K22" s="2780"/>
      <c r="L22" s="2780"/>
    </row>
    <row r="23" spans="1:12" ht="10.5" customHeight="1">
      <c r="A23" s="2387"/>
      <c r="B23" s="2559"/>
      <c r="C23" s="2559"/>
      <c r="D23" s="2559"/>
      <c r="E23" s="2559"/>
      <c r="F23" s="2559"/>
      <c r="G23" s="2559"/>
      <c r="H23" s="2559"/>
      <c r="I23" s="2559"/>
      <c r="J23" s="2559"/>
      <c r="K23" s="2388"/>
      <c r="L23" s="1875"/>
    </row>
    <row r="24" spans="1:12" s="573" customFormat="1" ht="15">
      <c r="A24" s="2389"/>
      <c r="B24" s="2781" t="s">
        <v>3794</v>
      </c>
      <c r="C24" s="2781"/>
      <c r="D24" s="2781"/>
      <c r="E24" s="2781"/>
      <c r="F24" s="2781"/>
      <c r="G24" s="2781"/>
      <c r="H24" s="2781"/>
      <c r="I24" s="2781"/>
      <c r="J24" s="2781"/>
      <c r="K24" s="2781"/>
      <c r="L24" s="2389"/>
    </row>
    <row r="25" spans="1:12" s="573" customFormat="1" ht="15">
      <c r="A25" s="2389"/>
      <c r="B25" s="2781" t="s">
        <v>3718</v>
      </c>
      <c r="C25" s="2781"/>
      <c r="D25" s="2781"/>
      <c r="E25" s="2781"/>
      <c r="F25" s="2781"/>
      <c r="G25" s="2781"/>
      <c r="H25" s="2781"/>
      <c r="I25" s="2781"/>
      <c r="J25" s="2781"/>
      <c r="K25" s="2781"/>
      <c r="L25" s="2389"/>
    </row>
    <row r="26" spans="1:12" ht="10.5" customHeight="1">
      <c r="A26" s="574"/>
      <c r="B26" s="575"/>
      <c r="C26" s="575"/>
      <c r="D26" s="575"/>
      <c r="E26" s="575"/>
      <c r="F26" s="575"/>
      <c r="G26" s="575"/>
      <c r="H26" s="575"/>
      <c r="I26" s="575"/>
      <c r="J26" s="575"/>
      <c r="K26" s="576"/>
      <c r="L26" s="1875"/>
    </row>
    <row r="27" spans="1:12">
      <c r="A27" s="1875"/>
      <c r="B27" s="1868"/>
      <c r="C27" s="1868"/>
      <c r="D27" s="1868"/>
      <c r="E27" s="1868"/>
      <c r="F27" s="1868"/>
      <c r="G27" s="1868"/>
      <c r="H27" s="2525" t="s">
        <v>4058</v>
      </c>
      <c r="I27" s="1868"/>
      <c r="J27" s="2525" t="s">
        <v>2693</v>
      </c>
      <c r="K27" s="1875"/>
      <c r="L27" s="1875"/>
    </row>
    <row r="28" spans="1:12" ht="9" customHeight="1">
      <c r="A28" s="1875"/>
      <c r="B28" s="1868"/>
      <c r="C28" s="1868"/>
      <c r="D28" s="1868"/>
      <c r="E28" s="1868"/>
      <c r="F28" s="1868"/>
      <c r="G28" s="1868"/>
      <c r="H28" s="450"/>
      <c r="I28" s="414"/>
      <c r="J28" s="450"/>
      <c r="K28" s="1875"/>
      <c r="L28" s="1875"/>
    </row>
    <row r="29" spans="1:12">
      <c r="A29" s="1875"/>
      <c r="B29" s="1868" t="s">
        <v>3795</v>
      </c>
      <c r="C29" s="1868"/>
      <c r="D29" s="1868"/>
      <c r="E29" s="1868"/>
      <c r="F29" s="1868"/>
      <c r="G29" s="1868"/>
      <c r="H29" s="1868"/>
      <c r="I29" s="1868"/>
      <c r="J29" s="1868"/>
      <c r="K29" s="1875"/>
      <c r="L29" s="1875"/>
    </row>
    <row r="30" spans="1:12">
      <c r="A30" s="1875"/>
      <c r="B30" s="1868"/>
      <c r="C30" s="1868" t="s">
        <v>3796</v>
      </c>
      <c r="D30" s="1868"/>
      <c r="E30" s="1868"/>
      <c r="F30" s="1868"/>
      <c r="G30" s="451"/>
      <c r="H30" s="452">
        <f>ROUND(SCF!M22/1000,0)</f>
        <v>0</v>
      </c>
      <c r="I30" s="440"/>
      <c r="J30" s="1709" t="e">
        <f>(VLOOKUP($G$4,VLOOKUP!A475:H502,2,FALSE))/1000</f>
        <v>#N/A</v>
      </c>
      <c r="K30" s="1875"/>
      <c r="L30" s="1875"/>
    </row>
    <row r="31" spans="1:12">
      <c r="A31" s="1875"/>
      <c r="B31" s="1868"/>
      <c r="C31" s="1868" t="s">
        <v>3797</v>
      </c>
      <c r="D31" s="1868"/>
      <c r="E31" s="1868"/>
      <c r="F31" s="1868"/>
      <c r="G31" s="451"/>
      <c r="H31" s="568">
        <f>ROUND(SCF!M33/1000,0)</f>
        <v>0</v>
      </c>
      <c r="I31" s="578"/>
      <c r="J31" s="1710" t="e">
        <f>(VLOOKUP($G$4,VLOOKUP!A475:H502,3,FALSE))/1000</f>
        <v>#N/A</v>
      </c>
      <c r="K31" s="1875"/>
      <c r="L31" s="1875"/>
    </row>
    <row r="32" spans="1:12">
      <c r="A32" s="1875"/>
      <c r="B32" s="1868"/>
      <c r="C32" s="1868" t="s">
        <v>3798</v>
      </c>
      <c r="D32" s="1868"/>
      <c r="E32" s="1868"/>
      <c r="F32" s="1868"/>
      <c r="G32" s="451"/>
      <c r="H32" s="568">
        <f>ROUND(SCF!M46/1000,0)</f>
        <v>0</v>
      </c>
      <c r="I32" s="578"/>
      <c r="J32" s="1710" t="e">
        <f>(VLOOKUP($G$4,VLOOKUP!A475:H502,4,FALSE))/1000</f>
        <v>#N/A</v>
      </c>
      <c r="K32" s="1875"/>
      <c r="L32" s="1875"/>
    </row>
    <row r="33" spans="1:12">
      <c r="A33" s="1875"/>
      <c r="B33" s="1868"/>
      <c r="C33" s="1868" t="s">
        <v>3799</v>
      </c>
      <c r="D33" s="1868"/>
      <c r="E33" s="1868"/>
      <c r="F33" s="1868"/>
      <c r="G33" s="451"/>
      <c r="H33" s="579">
        <f>ROUND(SCF!M53/1000,0)</f>
        <v>0</v>
      </c>
      <c r="I33" s="578"/>
      <c r="J33" s="1711" t="e">
        <f>(VLOOKUP($G$4,VLOOKUP!A475:H502,5,FALSE))/1000</f>
        <v>#N/A</v>
      </c>
      <c r="K33" s="1875"/>
      <c r="L33" s="1875"/>
    </row>
    <row r="34" spans="1:12" ht="9" customHeight="1">
      <c r="A34" s="1875"/>
      <c r="B34" s="1868"/>
      <c r="C34" s="1868"/>
      <c r="D34" s="1868"/>
      <c r="E34" s="1868"/>
      <c r="F34" s="1868"/>
      <c r="G34" s="451"/>
      <c r="H34" s="1874"/>
      <c r="I34" s="440"/>
      <c r="J34" s="440"/>
      <c r="K34" s="1875"/>
      <c r="L34" s="1875"/>
    </row>
    <row r="35" spans="1:12">
      <c r="A35" s="1875"/>
      <c r="B35" s="1868"/>
      <c r="C35" s="414" t="e">
        <f>IF(H35&lt;0,IF(J35&lt;=0,"Net Decrease in Cash and Cash Equivalents","Net Increase (Decrease) in Cash and Cash Equivalents"),IF(H35&gt;0,IF(J35&gt;=0,"Net Increase in Cash and Cash Equivalents","Net Increase (Decrease) in Cash and Cash Equivalents"),IF(J35&gt;0,"Net Increase in Cash and Cash Equivalents",IF(J35&lt;0,"Net Decrease in Cash and Cash Equivalents","Net Increase (Decrease) in Cash and Cash Equivalents"))))</f>
        <v>#N/A</v>
      </c>
      <c r="D35" s="1868"/>
      <c r="E35" s="1868"/>
      <c r="F35" s="1868"/>
      <c r="G35" s="451"/>
      <c r="H35" s="568">
        <f>SUM(H30:H33)</f>
        <v>0</v>
      </c>
      <c r="I35" s="578"/>
      <c r="J35" s="1712" t="e">
        <f>SUM(J30:J33)</f>
        <v>#N/A</v>
      </c>
      <c r="K35" s="1875"/>
      <c r="L35" s="1875"/>
    </row>
    <row r="36" spans="1:12">
      <c r="A36" s="1875"/>
      <c r="B36" s="1868" t="s">
        <v>2448</v>
      </c>
      <c r="C36" s="1868"/>
      <c r="D36" s="1868"/>
      <c r="E36" s="1868"/>
      <c r="F36" s="1868"/>
      <c r="G36" s="451"/>
      <c r="H36" s="579" t="e">
        <f>ROUND(SCF!M56/1000,0)</f>
        <v>#N/A</v>
      </c>
      <c r="I36" s="578"/>
      <c r="J36" s="1711" t="e">
        <f>(VLOOKUP($G$4,VLOOKUP!A475:H502,7,FALSE))/1000</f>
        <v>#N/A</v>
      </c>
      <c r="K36" s="1875"/>
      <c r="L36" s="1875"/>
    </row>
    <row r="37" spans="1:12" ht="9" customHeight="1">
      <c r="A37" s="1875"/>
      <c r="B37" s="1868"/>
      <c r="C37" s="1868"/>
      <c r="D37" s="1868"/>
      <c r="E37" s="1868"/>
      <c r="F37" s="1868"/>
      <c r="G37" s="451"/>
      <c r="H37" s="1874"/>
      <c r="I37" s="440"/>
      <c r="J37" s="440"/>
      <c r="K37" s="1875"/>
      <c r="L37" s="1875"/>
    </row>
    <row r="38" spans="1:12" ht="13.5" thickBot="1">
      <c r="A38" s="1875"/>
      <c r="B38" s="414" t="s">
        <v>2449</v>
      </c>
      <c r="C38" s="1868"/>
      <c r="D38" s="1868"/>
      <c r="E38" s="1868"/>
      <c r="F38" s="1868"/>
      <c r="G38" s="451"/>
      <c r="H38" s="405" t="e">
        <f>SUM(H35:H36)</f>
        <v>#N/A</v>
      </c>
      <c r="I38" s="440"/>
      <c r="J38" s="443" t="e">
        <f>SUM(J35:J36)</f>
        <v>#N/A</v>
      </c>
      <c r="K38" s="1875"/>
      <c r="L38" s="1875"/>
    </row>
    <row r="39" spans="1:12" ht="66.75" customHeight="1" thickTop="1">
      <c r="A39" s="1875"/>
      <c r="B39" s="1875"/>
      <c r="C39" s="1875"/>
      <c r="D39" s="1875"/>
      <c r="E39" s="1875"/>
      <c r="F39" s="1875"/>
      <c r="G39" s="1875"/>
      <c r="H39" s="1875"/>
      <c r="I39" s="1875"/>
      <c r="J39" s="1875"/>
      <c r="K39" s="1875"/>
      <c r="L39" s="1875"/>
    </row>
    <row r="40" spans="1:12">
      <c r="A40" s="1875"/>
      <c r="B40" s="1875"/>
      <c r="C40" s="1875"/>
      <c r="D40" s="1875"/>
      <c r="E40" s="1875"/>
      <c r="F40" s="1875"/>
      <c r="G40" s="1875"/>
      <c r="H40" s="1875"/>
      <c r="I40" s="1875"/>
      <c r="J40" s="1875"/>
      <c r="K40" s="1875"/>
      <c r="L40" s="1875"/>
    </row>
    <row r="41" spans="1:12">
      <c r="A41" s="1875"/>
      <c r="B41" s="1875"/>
      <c r="C41" s="1875"/>
      <c r="D41" s="1875"/>
      <c r="E41" s="1875"/>
      <c r="F41" s="1875"/>
      <c r="G41" s="1875"/>
      <c r="H41" s="1875"/>
      <c r="I41" s="1875"/>
      <c r="J41" s="1875"/>
      <c r="K41" s="1875"/>
      <c r="L41" s="1875"/>
    </row>
    <row r="42" spans="1:12" ht="15" customHeight="1">
      <c r="A42" s="2782" t="s">
        <v>3800</v>
      </c>
      <c r="B42" s="2782"/>
      <c r="C42" s="2782"/>
      <c r="D42" s="2782"/>
      <c r="E42" s="2782"/>
      <c r="F42" s="2782"/>
      <c r="G42" s="2782"/>
      <c r="H42" s="2782"/>
      <c r="I42" s="2782"/>
      <c r="J42" s="2782"/>
      <c r="K42" s="2782"/>
      <c r="L42" s="2782"/>
    </row>
    <row r="43" spans="1:12" ht="15" customHeight="1">
      <c r="A43" s="2520" t="s">
        <v>3801</v>
      </c>
      <c r="B43" s="2520"/>
      <c r="C43" s="2520"/>
      <c r="D43" s="2520"/>
      <c r="E43" s="2520"/>
      <c r="F43" s="2520"/>
      <c r="G43" s="2520"/>
      <c r="H43" s="2520"/>
      <c r="I43" s="2520"/>
      <c r="J43" s="2520"/>
      <c r="K43" s="2520"/>
      <c r="L43" s="2520"/>
    </row>
    <row r="44" spans="1:12">
      <c r="A44" s="561"/>
    </row>
    <row r="45" spans="1:12">
      <c r="A45" s="1867" t="s">
        <v>3802</v>
      </c>
    </row>
    <row r="46" spans="1:12">
      <c r="A46" s="561"/>
    </row>
    <row r="47" spans="1:12">
      <c r="A47" s="674"/>
      <c r="B47" s="1868"/>
      <c r="C47" s="2783" t="s">
        <v>3803</v>
      </c>
      <c r="D47" s="2783"/>
      <c r="E47" s="2783"/>
      <c r="F47" s="2783"/>
      <c r="G47" s="2783"/>
      <c r="H47" s="2783"/>
      <c r="I47" s="2783"/>
      <c r="J47" s="2783"/>
      <c r="K47" s="2783"/>
      <c r="L47" s="2783"/>
    </row>
    <row r="48" spans="1:12">
      <c r="A48" s="674"/>
      <c r="B48" s="1868"/>
      <c r="C48" s="1868"/>
      <c r="D48" s="1868"/>
      <c r="E48" s="1868"/>
      <c r="F48" s="1868"/>
      <c r="G48" s="1868"/>
      <c r="H48" s="1868"/>
      <c r="I48" s="1868"/>
      <c r="J48" s="1868"/>
      <c r="K48" s="1868"/>
      <c r="L48" s="1868"/>
    </row>
    <row r="49" spans="1:12">
      <c r="A49" s="674">
        <v>1</v>
      </c>
      <c r="B49" s="1868"/>
      <c r="C49" s="3442">
        <f>VLOOKUP(A49,$A$67:$L$101,5,FALSE)</f>
        <v>0</v>
      </c>
      <c r="D49" s="3828" t="s">
        <v>3804</v>
      </c>
      <c r="E49" s="3443" t="str">
        <f>VLOOKUP(A49,$A$67:$L$101,6,FALSE)</f>
        <v>net student tuition and fees</v>
      </c>
      <c r="F49" s="3444"/>
      <c r="G49" s="3444"/>
      <c r="H49" s="3444"/>
      <c r="I49" s="3444"/>
      <c r="J49" s="3444"/>
      <c r="K49" s="3828"/>
    </row>
    <row r="50" spans="1:12">
      <c r="A50" s="674">
        <v>2</v>
      </c>
      <c r="B50" s="1868"/>
      <c r="C50" s="3442" t="e">
        <f>VLOOKUP(A50,$A$67:$L$101,5,FALSE)</f>
        <v>#N/A</v>
      </c>
      <c r="D50" s="3828" t="s">
        <v>3804</v>
      </c>
      <c r="E50" s="3443" t="e">
        <f>VLOOKUP(A50,$A$67:$L$101,6,FALSE)</f>
        <v>#N/A</v>
      </c>
      <c r="F50" s="3444"/>
      <c r="G50" s="3444"/>
      <c r="H50" s="3444"/>
      <c r="I50" s="3444"/>
      <c r="J50" s="3444"/>
      <c r="K50" s="3828"/>
    </row>
    <row r="51" spans="1:12">
      <c r="A51" s="674">
        <v>3</v>
      </c>
      <c r="B51" s="1868"/>
      <c r="C51" s="3442" t="e">
        <f>VLOOKUP(A51,$A$67:$L$101,5,FALSE)</f>
        <v>#N/A</v>
      </c>
      <c r="D51" s="3828" t="s">
        <v>3804</v>
      </c>
      <c r="E51" s="3443" t="e">
        <f>VLOOKUP(A51,$A$67:$L$101,6,FALSE)</f>
        <v>#N/A</v>
      </c>
      <c r="F51" s="3444"/>
      <c r="G51" s="3444"/>
      <c r="H51" s="3444"/>
      <c r="I51" s="3444"/>
      <c r="J51" s="3444"/>
      <c r="K51" s="3828"/>
    </row>
    <row r="52" spans="1:12">
      <c r="A52" s="674">
        <v>4</v>
      </c>
      <c r="B52" s="1868"/>
      <c r="C52" s="3442" t="e">
        <f>VLOOKUP(A52,$A$67:$L$101,5,FALSE)</f>
        <v>#N/A</v>
      </c>
      <c r="D52" s="3828" t="s">
        <v>3804</v>
      </c>
      <c r="E52" s="3443" t="e">
        <f>VLOOKUP(A52,$A$67:$L$101,6,FALSE)</f>
        <v>#N/A</v>
      </c>
      <c r="F52" s="3444"/>
      <c r="G52" s="3444"/>
      <c r="H52" s="3444"/>
      <c r="I52" s="3444"/>
      <c r="J52" s="3444"/>
      <c r="K52" s="3828"/>
    </row>
    <row r="53" spans="1:12">
      <c r="A53" s="674">
        <v>5</v>
      </c>
      <c r="B53" s="1868"/>
      <c r="C53" s="3442" t="e">
        <f>VLOOKUP(A53,$A$67:$L$101,5,FALSE)</f>
        <v>#N/A</v>
      </c>
      <c r="D53" s="3828" t="s">
        <v>3804</v>
      </c>
      <c r="E53" s="3443" t="e">
        <f>VLOOKUP(A53,$A$67:$L$101,6,FALSE)</f>
        <v>#N/A</v>
      </c>
      <c r="F53" s="3444"/>
      <c r="G53" s="3444"/>
      <c r="H53" s="3444"/>
      <c r="I53" s="3444"/>
      <c r="J53" s="3444"/>
      <c r="K53" s="3828"/>
    </row>
    <row r="54" spans="1:12">
      <c r="A54" s="674"/>
      <c r="B54" s="1868"/>
      <c r="C54" s="673"/>
      <c r="D54" s="1868"/>
      <c r="E54" s="1868"/>
      <c r="F54" s="1868"/>
      <c r="G54" s="1868"/>
      <c r="H54" s="1868"/>
      <c r="I54" s="1868"/>
      <c r="J54" s="1868"/>
      <c r="K54" s="1868"/>
    </row>
    <row r="55" spans="1:12">
      <c r="A55" s="674"/>
      <c r="B55" s="1868"/>
      <c r="C55" s="2783" t="s">
        <v>3805</v>
      </c>
      <c r="D55" s="2783"/>
      <c r="E55" s="2783"/>
      <c r="F55" s="2783"/>
      <c r="G55" s="2783"/>
      <c r="H55" s="2783"/>
      <c r="I55" s="2783"/>
      <c r="J55" s="2783"/>
      <c r="K55" s="2783"/>
      <c r="L55" s="2783"/>
    </row>
    <row r="56" spans="1:12">
      <c r="A56" s="674"/>
      <c r="B56" s="1868"/>
      <c r="C56" s="673"/>
      <c r="D56" s="1868"/>
      <c r="E56" s="1868"/>
      <c r="F56" s="1868"/>
      <c r="G56" s="1868"/>
      <c r="H56" s="1868"/>
      <c r="I56" s="1868"/>
      <c r="J56" s="1868"/>
      <c r="K56" s="1868"/>
    </row>
    <row r="57" spans="1:12">
      <c r="A57" s="674">
        <v>29</v>
      </c>
      <c r="B57" s="1868"/>
      <c r="C57" s="3442" t="e">
        <f>-VLOOKUP(A57,$A$67:$L$101,5,FALSE)</f>
        <v>#N/A</v>
      </c>
      <c r="D57" s="3828" t="s">
        <v>3804</v>
      </c>
      <c r="E57" s="3443" t="e">
        <f>VLOOKUP(A57,$A$67:$L$101,6,FALSE)</f>
        <v>#N/A</v>
      </c>
      <c r="F57" s="3444"/>
      <c r="G57" s="3444"/>
      <c r="H57" s="3444"/>
      <c r="I57" s="3444"/>
      <c r="J57" s="3444"/>
      <c r="K57" s="3828"/>
    </row>
    <row r="58" spans="1:12">
      <c r="A58" s="674">
        <v>28</v>
      </c>
      <c r="B58" s="1868"/>
      <c r="C58" s="3442" t="e">
        <f>-VLOOKUP(A58,$A$67:$L$101,5,FALSE)</f>
        <v>#N/A</v>
      </c>
      <c r="D58" s="3828" t="s">
        <v>3804</v>
      </c>
      <c r="E58" s="3443" t="e">
        <f>VLOOKUP(A58,$A$67:$L$101,6,FALSE)</f>
        <v>#N/A</v>
      </c>
      <c r="F58" s="3444"/>
      <c r="G58" s="3444"/>
      <c r="H58" s="3444"/>
      <c r="I58" s="3444"/>
      <c r="J58" s="3444"/>
      <c r="K58" s="3828"/>
    </row>
    <row r="59" spans="1:12">
      <c r="A59" s="674">
        <v>27</v>
      </c>
      <c r="B59" s="1868"/>
      <c r="C59" s="3442" t="e">
        <f>-VLOOKUP(A59,$A$67:$L$101,5,FALSE)</f>
        <v>#N/A</v>
      </c>
      <c r="D59" s="3828" t="s">
        <v>3804</v>
      </c>
      <c r="E59" s="3443" t="e">
        <f>VLOOKUP(A59,$A$67:$L$101,6,FALSE)</f>
        <v>#N/A</v>
      </c>
      <c r="F59" s="3444"/>
      <c r="G59" s="3444"/>
      <c r="H59" s="3444"/>
      <c r="I59" s="3444"/>
      <c r="J59" s="3444"/>
      <c r="K59" s="3828"/>
    </row>
    <row r="60" spans="1:12">
      <c r="A60" s="674">
        <v>26</v>
      </c>
      <c r="B60" s="1868"/>
      <c r="C60" s="3442" t="e">
        <f>-VLOOKUP(A60,$A$67:$L$101,5,FALSE)</f>
        <v>#N/A</v>
      </c>
      <c r="D60" s="3828" t="s">
        <v>3804</v>
      </c>
      <c r="E60" s="3443" t="e">
        <f>VLOOKUP(A60,$A$67:$L$101,6,FALSE)</f>
        <v>#N/A</v>
      </c>
      <c r="F60" s="3444"/>
      <c r="G60" s="3444"/>
      <c r="H60" s="3444"/>
      <c r="I60" s="3444"/>
      <c r="J60" s="3444"/>
      <c r="K60" s="3828"/>
    </row>
    <row r="61" spans="1:12">
      <c r="A61" s="674"/>
      <c r="B61" s="1868"/>
      <c r="C61" s="1868"/>
      <c r="D61" s="1868"/>
      <c r="E61" s="1868"/>
      <c r="F61" s="1868"/>
      <c r="G61" s="1868"/>
      <c r="H61" s="1868"/>
      <c r="I61" s="1868"/>
      <c r="J61" s="1868"/>
      <c r="K61" s="3829"/>
      <c r="L61" s="683"/>
    </row>
    <row r="62" spans="1:12" ht="12.75" customHeight="1">
      <c r="A62" s="2784" t="s">
        <v>3806</v>
      </c>
      <c r="B62" s="2784"/>
      <c r="C62" s="2784"/>
      <c r="D62" s="2784"/>
      <c r="E62" s="2784"/>
      <c r="F62" s="2784"/>
      <c r="G62" s="2784"/>
      <c r="H62" s="2784"/>
      <c r="I62" s="2784"/>
      <c r="J62" s="2784"/>
      <c r="K62" s="2784"/>
      <c r="L62" s="2784"/>
    </row>
    <row r="63" spans="1:12">
      <c r="A63" s="2784"/>
      <c r="B63" s="2784"/>
      <c r="C63" s="2784"/>
      <c r="D63" s="2784"/>
      <c r="E63" s="2784"/>
      <c r="F63" s="2784"/>
      <c r="G63" s="2784"/>
      <c r="H63" s="2784"/>
      <c r="I63" s="2784"/>
      <c r="J63" s="2784"/>
      <c r="K63" s="2784"/>
      <c r="L63" s="2784"/>
    </row>
    <row r="64" spans="1:12" ht="15" customHeight="1">
      <c r="A64" s="674"/>
      <c r="B64" s="676"/>
      <c r="C64" s="2785" t="s">
        <v>3796</v>
      </c>
      <c r="D64" s="2785"/>
      <c r="E64" s="2785"/>
      <c r="F64" s="2785"/>
      <c r="G64" s="2785"/>
      <c r="H64" s="2785"/>
      <c r="I64" s="2785"/>
      <c r="J64" s="2785"/>
      <c r="K64" s="2785"/>
      <c r="L64" s="2785"/>
    </row>
    <row r="65" spans="1:12" ht="15" customHeight="1">
      <c r="A65" s="674"/>
      <c r="B65" s="676"/>
      <c r="C65" s="2560"/>
      <c r="D65" s="2560"/>
      <c r="E65" s="684" t="s">
        <v>3807</v>
      </c>
      <c r="F65" s="2560"/>
      <c r="G65" s="2560"/>
      <c r="H65" s="2560"/>
      <c r="I65" s="2560"/>
      <c r="J65" s="2560"/>
      <c r="K65" s="2560"/>
      <c r="L65" s="2560"/>
    </row>
    <row r="66" spans="1:12" s="692" customFormat="1">
      <c r="A66" s="688"/>
      <c r="B66" s="689"/>
      <c r="C66" s="689"/>
      <c r="D66" s="690" t="s">
        <v>3808</v>
      </c>
      <c r="E66" s="690" t="s">
        <v>2776</v>
      </c>
      <c r="F66" s="691" t="s">
        <v>3809</v>
      </c>
      <c r="G66" s="689"/>
      <c r="H66" s="689"/>
      <c r="I66" s="689"/>
      <c r="J66" s="689"/>
      <c r="K66" s="689"/>
      <c r="L66" s="689"/>
    </row>
    <row r="67" spans="1:12">
      <c r="A67" s="674">
        <f t="shared" ref="A67:A77" si="0">RANK(E67,E$67:E$101)</f>
        <v>1</v>
      </c>
      <c r="B67" s="1868"/>
      <c r="C67" s="3830"/>
      <c r="D67" s="3831">
        <f t="shared" ref="D67:D77" si="1">RANK(E67,$E$67:$E$77,0)</f>
        <v>1</v>
      </c>
      <c r="E67" s="3832">
        <f>ROUND(SCF!M9/1000000,1)</f>
        <v>0</v>
      </c>
      <c r="F67" s="3833" t="s">
        <v>3810</v>
      </c>
      <c r="G67" s="3829"/>
      <c r="H67" s="3829"/>
      <c r="I67" s="3829"/>
      <c r="J67" s="3829"/>
      <c r="K67" s="3829"/>
      <c r="L67" s="3834"/>
    </row>
    <row r="68" spans="1:12">
      <c r="A68" s="674">
        <f t="shared" si="0"/>
        <v>1</v>
      </c>
      <c r="B68" s="1868"/>
      <c r="C68" s="678"/>
      <c r="D68" s="667">
        <f t="shared" si="1"/>
        <v>1</v>
      </c>
      <c r="E68" s="685">
        <f>ROUND(SCF!M10/1000000,1)</f>
        <v>0</v>
      </c>
      <c r="F68" s="677" t="s">
        <v>3811</v>
      </c>
      <c r="G68" s="1868"/>
      <c r="H68" s="1868"/>
      <c r="I68" s="1868"/>
      <c r="J68" s="1868"/>
      <c r="K68" s="1868"/>
      <c r="L68" s="679"/>
    </row>
    <row r="69" spans="1:12">
      <c r="A69" s="674">
        <f t="shared" si="0"/>
        <v>1</v>
      </c>
      <c r="B69" s="1868"/>
      <c r="C69" s="678"/>
      <c r="D69" s="667">
        <f t="shared" si="1"/>
        <v>1</v>
      </c>
      <c r="E69" s="685">
        <f>ROUND(SCF!M11/1000000,1)</f>
        <v>0</v>
      </c>
      <c r="F69" s="677" t="s">
        <v>3812</v>
      </c>
      <c r="G69" s="1868"/>
      <c r="H69" s="1868"/>
      <c r="I69" s="1868"/>
      <c r="J69" s="1868"/>
      <c r="K69" s="1868"/>
      <c r="L69" s="679"/>
    </row>
    <row r="70" spans="1:12">
      <c r="A70" s="674">
        <f t="shared" si="0"/>
        <v>1</v>
      </c>
      <c r="B70" s="1868"/>
      <c r="C70" s="678"/>
      <c r="D70" s="667">
        <f t="shared" si="1"/>
        <v>1</v>
      </c>
      <c r="E70" s="685">
        <f>ROUND(SCF!M12/1000000,1)</f>
        <v>0</v>
      </c>
      <c r="F70" s="677" t="s">
        <v>3813</v>
      </c>
      <c r="G70" s="1868"/>
      <c r="H70" s="1868"/>
      <c r="I70" s="1868"/>
      <c r="J70" s="1868"/>
      <c r="K70" s="1868"/>
      <c r="L70" s="679"/>
    </row>
    <row r="71" spans="1:12">
      <c r="A71" s="674">
        <f t="shared" si="0"/>
        <v>1</v>
      </c>
      <c r="B71" s="1868"/>
      <c r="C71" s="678"/>
      <c r="D71" s="667">
        <f t="shared" si="1"/>
        <v>1</v>
      </c>
      <c r="E71" s="685">
        <f>ROUND(SCF!M13/1000000,1)+ROUND(SCF!M14/1000000,1)</f>
        <v>0</v>
      </c>
      <c r="F71" s="677" t="s">
        <v>3814</v>
      </c>
      <c r="G71" s="1868"/>
      <c r="H71" s="1868"/>
      <c r="I71" s="1868"/>
      <c r="J71" s="1868"/>
      <c r="K71" s="1868"/>
      <c r="L71" s="679"/>
    </row>
    <row r="72" spans="1:12">
      <c r="A72" s="674">
        <f t="shared" si="0"/>
        <v>1</v>
      </c>
      <c r="B72" s="1868"/>
      <c r="C72" s="678"/>
      <c r="D72" s="667">
        <f t="shared" si="1"/>
        <v>1</v>
      </c>
      <c r="E72" s="685">
        <f>ROUND(SCF!M15/1000000,1)</f>
        <v>0</v>
      </c>
      <c r="F72" s="677" t="s">
        <v>3815</v>
      </c>
      <c r="G72" s="1868"/>
      <c r="H72" s="1868"/>
      <c r="I72" s="1868"/>
      <c r="J72" s="1868"/>
      <c r="K72" s="1868"/>
      <c r="L72" s="679"/>
    </row>
    <row r="73" spans="1:12">
      <c r="A73" s="674">
        <f t="shared" si="0"/>
        <v>1</v>
      </c>
      <c r="B73" s="1868"/>
      <c r="C73" s="678"/>
      <c r="D73" s="667">
        <f t="shared" si="1"/>
        <v>1</v>
      </c>
      <c r="E73" s="685">
        <f>ROUND(SCF!M16/1000000,1)</f>
        <v>0</v>
      </c>
      <c r="F73" s="677" t="s">
        <v>3816</v>
      </c>
      <c r="G73" s="1868"/>
      <c r="H73" s="1868"/>
      <c r="I73" s="1868"/>
      <c r="J73" s="1868"/>
      <c r="K73" s="1868"/>
      <c r="L73" s="679"/>
    </row>
    <row r="74" spans="1:12">
      <c r="A74" s="674">
        <f t="shared" si="0"/>
        <v>1</v>
      </c>
      <c r="B74" s="1868"/>
      <c r="C74" s="678"/>
      <c r="D74" s="667">
        <f t="shared" si="1"/>
        <v>1</v>
      </c>
      <c r="E74" s="685">
        <f>ROUND(SCF!M17/1000000,1)</f>
        <v>0</v>
      </c>
      <c r="F74" s="677" t="s">
        <v>3817</v>
      </c>
      <c r="G74" s="1868"/>
      <c r="H74" s="1868"/>
      <c r="I74" s="1868"/>
      <c r="J74" s="1868"/>
      <c r="K74" s="1868"/>
      <c r="L74" s="679"/>
    </row>
    <row r="75" spans="1:12">
      <c r="A75" s="674">
        <f t="shared" si="0"/>
        <v>1</v>
      </c>
      <c r="B75" s="1868"/>
      <c r="C75" s="678"/>
      <c r="D75" s="667">
        <f t="shared" si="1"/>
        <v>1</v>
      </c>
      <c r="E75" s="685">
        <f>ROUND(SCF!M18/1000000,1)</f>
        <v>0</v>
      </c>
      <c r="F75" s="677" t="s">
        <v>3818</v>
      </c>
      <c r="G75" s="1868"/>
      <c r="H75" s="1868"/>
      <c r="I75" s="1868"/>
      <c r="J75" s="1868"/>
      <c r="K75" s="1868"/>
      <c r="L75" s="679"/>
    </row>
    <row r="76" spans="1:12">
      <c r="A76" s="674">
        <f t="shared" si="0"/>
        <v>1</v>
      </c>
      <c r="B76" s="1868"/>
      <c r="C76" s="678"/>
      <c r="D76" s="667">
        <f t="shared" si="1"/>
        <v>1</v>
      </c>
      <c r="E76" s="685">
        <f>ROUND(SCF!M19/1000000,1)</f>
        <v>0</v>
      </c>
      <c r="F76" s="677" t="s">
        <v>3819</v>
      </c>
      <c r="G76" s="1868"/>
      <c r="H76" s="1868"/>
      <c r="I76" s="1868"/>
      <c r="J76" s="1868"/>
      <c r="K76" s="1868"/>
      <c r="L76" s="679"/>
    </row>
    <row r="77" spans="1:12">
      <c r="A77" s="674">
        <f t="shared" si="0"/>
        <v>1</v>
      </c>
      <c r="B77" s="1868"/>
      <c r="C77" s="680"/>
      <c r="D77" s="2525">
        <f t="shared" si="1"/>
        <v>1</v>
      </c>
      <c r="E77" s="693">
        <f>ROUND(SCF!M20/1000000,1)</f>
        <v>0</v>
      </c>
      <c r="F77" s="681" t="s">
        <v>3820</v>
      </c>
      <c r="G77" s="476"/>
      <c r="H77" s="476"/>
      <c r="I77" s="476"/>
      <c r="J77" s="476"/>
      <c r="K77" s="476"/>
      <c r="L77" s="682"/>
    </row>
    <row r="78" spans="1:12" ht="5.25" customHeight="1">
      <c r="A78" s="675"/>
      <c r="B78" s="143"/>
      <c r="C78" s="143"/>
      <c r="D78" s="143"/>
      <c r="E78" s="686"/>
      <c r="F78" s="672"/>
      <c r="G78" s="143"/>
      <c r="H78" s="143"/>
      <c r="I78" s="143"/>
      <c r="J78" s="143"/>
      <c r="K78" s="143"/>
      <c r="L78" s="143"/>
    </row>
    <row r="79" spans="1:12">
      <c r="A79" s="674"/>
      <c r="B79" s="1868"/>
      <c r="C79" s="2785" t="s">
        <v>3821</v>
      </c>
      <c r="D79" s="2785"/>
      <c r="E79" s="2785"/>
      <c r="F79" s="2785"/>
      <c r="G79" s="2785"/>
      <c r="H79" s="2785"/>
      <c r="I79" s="2785"/>
      <c r="J79" s="2785"/>
      <c r="K79" s="2785"/>
      <c r="L79" s="2785"/>
    </row>
    <row r="80" spans="1:12">
      <c r="A80" s="674">
        <f t="shared" ref="A80:A85" si="2">RANK(E80,E$67:E$101)</f>
        <v>1</v>
      </c>
      <c r="B80" s="1868"/>
      <c r="C80" s="3830"/>
      <c r="D80" s="3831">
        <f t="shared" ref="D80:D85" si="3">RANK(E80,$E$80:$E$85,0)</f>
        <v>1</v>
      </c>
      <c r="E80" s="3832">
        <f>ROUND(SCF!M25/1000000,1)</f>
        <v>0</v>
      </c>
      <c r="F80" s="3833" t="s">
        <v>3822</v>
      </c>
      <c r="G80" s="3829"/>
      <c r="H80" s="3829"/>
      <c r="I80" s="3829"/>
      <c r="J80" s="3829"/>
      <c r="K80" s="3829"/>
      <c r="L80" s="3834"/>
    </row>
    <row r="81" spans="1:12">
      <c r="A81" s="674">
        <f t="shared" si="2"/>
        <v>1</v>
      </c>
      <c r="B81" s="1868"/>
      <c r="C81" s="678"/>
      <c r="D81" s="667">
        <f t="shared" si="3"/>
        <v>1</v>
      </c>
      <c r="E81" s="685">
        <f>ROUND(SCF!M26/1000000,1)</f>
        <v>0</v>
      </c>
      <c r="F81" s="677" t="s">
        <v>3823</v>
      </c>
      <c r="G81" s="1868"/>
      <c r="H81" s="1868"/>
      <c r="I81" s="1868"/>
      <c r="J81" s="1868"/>
      <c r="K81" s="1868"/>
      <c r="L81" s="679"/>
    </row>
    <row r="82" spans="1:12">
      <c r="A82" s="674">
        <f t="shared" si="2"/>
        <v>1</v>
      </c>
      <c r="B82" s="1868"/>
      <c r="C82" s="678"/>
      <c r="D82" s="667">
        <f t="shared" si="3"/>
        <v>1</v>
      </c>
      <c r="E82" s="685">
        <f>ROUND(SCF!M27/1000000,1)+ROUND(SCF!M28/1000000,1)</f>
        <v>0</v>
      </c>
      <c r="F82" s="677" t="s">
        <v>3824</v>
      </c>
      <c r="G82" s="1868"/>
      <c r="H82" s="1868"/>
      <c r="I82" s="1868"/>
      <c r="J82" s="1868"/>
      <c r="K82" s="1868"/>
      <c r="L82" s="679"/>
    </row>
    <row r="83" spans="1:12">
      <c r="A83" s="674">
        <f t="shared" si="2"/>
        <v>1</v>
      </c>
      <c r="B83" s="1868"/>
      <c r="C83" s="678"/>
      <c r="D83" s="667">
        <f t="shared" si="3"/>
        <v>1</v>
      </c>
      <c r="E83" s="685">
        <f>ROUND(SCF!M29/1000000,1)</f>
        <v>0</v>
      </c>
      <c r="F83" s="677" t="s">
        <v>3825</v>
      </c>
      <c r="G83" s="1868"/>
      <c r="H83" s="1868"/>
      <c r="I83" s="1868"/>
      <c r="J83" s="1868"/>
      <c r="K83" s="1868"/>
      <c r="L83" s="679"/>
    </row>
    <row r="84" spans="1:12">
      <c r="A84" s="674">
        <f t="shared" si="2"/>
        <v>1</v>
      </c>
      <c r="B84" s="1868"/>
      <c r="C84" s="678"/>
      <c r="D84" s="667">
        <f t="shared" si="3"/>
        <v>1</v>
      </c>
      <c r="E84" s="685">
        <f>ROUND(SCF!M30/1000000,1)</f>
        <v>0</v>
      </c>
      <c r="F84" s="677" t="s">
        <v>3826</v>
      </c>
      <c r="G84" s="1868"/>
      <c r="H84" s="1868"/>
      <c r="I84" s="1868"/>
      <c r="J84" s="1868"/>
      <c r="K84" s="1868"/>
      <c r="L84" s="679"/>
    </row>
    <row r="85" spans="1:12">
      <c r="A85" s="674">
        <f t="shared" si="2"/>
        <v>1</v>
      </c>
      <c r="B85" s="1868"/>
      <c r="C85" s="680"/>
      <c r="D85" s="2525">
        <f t="shared" si="3"/>
        <v>1</v>
      </c>
      <c r="E85" s="693">
        <f>ROUND(SCF!M31/1000000,1)</f>
        <v>0</v>
      </c>
      <c r="F85" s="681" t="s">
        <v>3827</v>
      </c>
      <c r="G85" s="476"/>
      <c r="H85" s="476"/>
      <c r="I85" s="476"/>
      <c r="J85" s="476"/>
      <c r="K85" s="476"/>
      <c r="L85" s="682"/>
    </row>
    <row r="86" spans="1:12" ht="5.25" customHeight="1">
      <c r="A86" s="675"/>
      <c r="B86" s="143"/>
      <c r="C86" s="143"/>
      <c r="D86" s="143"/>
      <c r="E86" s="686"/>
      <c r="F86" s="672" t="s">
        <v>813</v>
      </c>
      <c r="G86" s="143"/>
      <c r="H86" s="143"/>
      <c r="I86" s="143"/>
      <c r="J86" s="143"/>
      <c r="K86" s="143"/>
      <c r="L86" s="143"/>
    </row>
    <row r="87" spans="1:12">
      <c r="A87" s="674"/>
      <c r="B87" s="1868"/>
      <c r="C87" s="2785" t="s">
        <v>3798</v>
      </c>
      <c r="D87" s="2785"/>
      <c r="E87" s="2785"/>
      <c r="F87" s="2785"/>
      <c r="G87" s="2785"/>
      <c r="H87" s="2785"/>
      <c r="I87" s="2785"/>
      <c r="J87" s="2785"/>
      <c r="K87" s="2785"/>
      <c r="L87" s="2785"/>
    </row>
    <row r="88" spans="1:12">
      <c r="A88" s="674">
        <f t="shared" ref="A88:A96" si="4">RANK(E88,E$67:E$101)</f>
        <v>1</v>
      </c>
      <c r="B88" s="1868"/>
      <c r="C88" s="3830"/>
      <c r="D88" s="3831">
        <f>RANK(E88,$E$88:$E$96,0)</f>
        <v>1</v>
      </c>
      <c r="E88" s="3835">
        <f>ROUND(SCF!M36/1000000,1)</f>
        <v>0</v>
      </c>
      <c r="F88" s="3833" t="s">
        <v>3828</v>
      </c>
      <c r="G88" s="3829"/>
      <c r="H88" s="3829"/>
      <c r="I88" s="3829"/>
      <c r="J88" s="3829"/>
      <c r="K88" s="3829"/>
      <c r="L88" s="3834"/>
    </row>
    <row r="89" spans="1:12">
      <c r="A89" s="674">
        <f t="shared" si="4"/>
        <v>1</v>
      </c>
      <c r="B89" s="1868"/>
      <c r="C89" s="678"/>
      <c r="D89" s="667">
        <f t="shared" ref="D89:D96" si="5">RANK(E89,$E$88:$E$96,0)</f>
        <v>1</v>
      </c>
      <c r="E89" s="687">
        <f>ROUND(SCF!M37/1000000,1)</f>
        <v>0</v>
      </c>
      <c r="F89" s="677" t="s">
        <v>3829</v>
      </c>
      <c r="G89" s="1868"/>
      <c r="H89" s="1868"/>
      <c r="I89" s="1868"/>
      <c r="J89" s="1868"/>
      <c r="K89" s="1868"/>
      <c r="L89" s="679"/>
    </row>
    <row r="90" spans="1:12">
      <c r="A90" s="674">
        <f t="shared" si="4"/>
        <v>1</v>
      </c>
      <c r="B90" s="1868"/>
      <c r="C90" s="678"/>
      <c r="D90" s="667">
        <f t="shared" si="5"/>
        <v>1</v>
      </c>
      <c r="E90" s="687">
        <f>ROUND(SCF!M38/1000000,1)</f>
        <v>0</v>
      </c>
      <c r="F90" s="677" t="s">
        <v>3830</v>
      </c>
      <c r="G90" s="1868"/>
      <c r="H90" s="1868"/>
      <c r="I90" s="1868"/>
      <c r="J90" s="1868"/>
      <c r="K90" s="1868"/>
      <c r="L90" s="679"/>
    </row>
    <row r="91" spans="1:12">
      <c r="A91" s="674">
        <f t="shared" si="4"/>
        <v>1</v>
      </c>
      <c r="B91" s="1868"/>
      <c r="C91" s="678"/>
      <c r="D91" s="667">
        <f t="shared" si="5"/>
        <v>1</v>
      </c>
      <c r="E91" s="687">
        <f>ROUND(SCF!M39/1000000,1)</f>
        <v>0</v>
      </c>
      <c r="F91" s="677" t="s">
        <v>3831</v>
      </c>
      <c r="G91" s="1868"/>
      <c r="H91" s="1868"/>
      <c r="I91" s="1868"/>
      <c r="J91" s="1868"/>
      <c r="K91" s="1868"/>
      <c r="L91" s="679"/>
    </row>
    <row r="92" spans="1:12">
      <c r="A92" s="674">
        <f t="shared" si="4"/>
        <v>1</v>
      </c>
      <c r="B92" s="1868"/>
      <c r="C92" s="678"/>
      <c r="D92" s="667">
        <f t="shared" si="5"/>
        <v>1</v>
      </c>
      <c r="E92" s="687">
        <f>ROUND(SCF!M40/1000000,1)</f>
        <v>0</v>
      </c>
      <c r="F92" s="677" t="s">
        <v>3832</v>
      </c>
      <c r="G92" s="1868"/>
      <c r="H92" s="1868"/>
      <c r="I92" s="1868"/>
      <c r="J92" s="1868"/>
      <c r="K92" s="1868"/>
      <c r="L92" s="679"/>
    </row>
    <row r="93" spans="1:12">
      <c r="A93" s="674">
        <f t="shared" si="4"/>
        <v>1</v>
      </c>
      <c r="B93" s="1868"/>
      <c r="C93" s="678"/>
      <c r="D93" s="667">
        <f t="shared" si="5"/>
        <v>1</v>
      </c>
      <c r="E93" s="687">
        <f>ROUND(SCF!M41/1000000,1)</f>
        <v>0</v>
      </c>
      <c r="F93" s="677" t="s">
        <v>3833</v>
      </c>
      <c r="G93" s="1868"/>
      <c r="H93" s="1868"/>
      <c r="I93" s="1868"/>
      <c r="J93" s="1868"/>
      <c r="K93" s="1868"/>
      <c r="L93" s="679"/>
    </row>
    <row r="94" spans="1:12">
      <c r="A94" s="674">
        <f t="shared" si="4"/>
        <v>1</v>
      </c>
      <c r="B94" s="1868"/>
      <c r="C94" s="678"/>
      <c r="D94" s="667">
        <f t="shared" si="5"/>
        <v>1</v>
      </c>
      <c r="E94" s="687">
        <f>ROUND(SCF!M42/1000000,1)</f>
        <v>0</v>
      </c>
      <c r="F94" s="677" t="s">
        <v>3834</v>
      </c>
      <c r="G94" s="1868"/>
      <c r="H94" s="1868"/>
      <c r="I94" s="1868"/>
      <c r="J94" s="1868"/>
      <c r="K94" s="1868"/>
      <c r="L94" s="679"/>
    </row>
    <row r="95" spans="1:12">
      <c r="A95" s="674">
        <f t="shared" si="4"/>
        <v>1</v>
      </c>
      <c r="B95" s="1868"/>
      <c r="C95" s="678"/>
      <c r="D95" s="667">
        <f t="shared" si="5"/>
        <v>1</v>
      </c>
      <c r="E95" s="687">
        <f>ROUND(SCF!M43/1000000,1)</f>
        <v>0</v>
      </c>
      <c r="F95" s="677" t="s">
        <v>3835</v>
      </c>
      <c r="G95" s="1868"/>
      <c r="H95" s="1868"/>
      <c r="I95" s="1868"/>
      <c r="J95" s="1868"/>
      <c r="K95" s="1868"/>
      <c r="L95" s="679"/>
    </row>
    <row r="96" spans="1:12">
      <c r="A96" s="674">
        <f t="shared" si="4"/>
        <v>1</v>
      </c>
      <c r="B96" s="1868"/>
      <c r="C96" s="680"/>
      <c r="D96" s="2525">
        <f t="shared" si="5"/>
        <v>1</v>
      </c>
      <c r="E96" s="694">
        <f>ROUND(SCF!M44/1000000,1)</f>
        <v>0</v>
      </c>
      <c r="F96" s="681" t="s">
        <v>3836</v>
      </c>
      <c r="G96" s="476"/>
      <c r="H96" s="476"/>
      <c r="I96" s="476"/>
      <c r="J96" s="476"/>
      <c r="K96" s="476"/>
      <c r="L96" s="682"/>
    </row>
    <row r="97" spans="1:12" ht="5.25" customHeight="1">
      <c r="A97" s="675"/>
      <c r="B97" s="143"/>
      <c r="C97" s="143"/>
      <c r="D97" s="143"/>
      <c r="E97" s="671"/>
      <c r="F97" s="143" t="s">
        <v>813</v>
      </c>
      <c r="G97" s="143"/>
      <c r="H97" s="143"/>
      <c r="I97" s="143"/>
      <c r="J97" s="143"/>
      <c r="K97" s="143"/>
      <c r="L97" s="143"/>
    </row>
    <row r="98" spans="1:12">
      <c r="A98" s="674"/>
      <c r="B98" s="1868"/>
      <c r="C98" s="3836" t="s">
        <v>3799</v>
      </c>
      <c r="D98" s="3837"/>
      <c r="E98" s="3837"/>
      <c r="F98" s="3837"/>
      <c r="G98" s="3837"/>
      <c r="H98" s="3837"/>
      <c r="I98" s="3837"/>
      <c r="J98" s="3837"/>
      <c r="K98" s="3837"/>
      <c r="L98" s="3838"/>
    </row>
    <row r="99" spans="1:12">
      <c r="A99" s="674">
        <f>RANK(E99,E$67:E$101)</f>
        <v>1</v>
      </c>
      <c r="B99" s="1868"/>
      <c r="C99" s="678"/>
      <c r="D99" s="667">
        <f>RANK(E99,$E$99:$E$101,0)</f>
        <v>1</v>
      </c>
      <c r="E99" s="687">
        <f>ROUND(SCF!M49/1000000,1)</f>
        <v>0</v>
      </c>
      <c r="F99" s="677" t="s">
        <v>3837</v>
      </c>
      <c r="G99" s="1868"/>
      <c r="H99" s="1868"/>
      <c r="I99" s="1868"/>
      <c r="J99" s="1868"/>
      <c r="K99" s="1868"/>
      <c r="L99" s="679"/>
    </row>
    <row r="100" spans="1:12">
      <c r="A100" s="674">
        <f>RANK(E100,E$67:E$101)</f>
        <v>1</v>
      </c>
      <c r="B100" s="1868"/>
      <c r="C100" s="678"/>
      <c r="D100" s="667">
        <f>RANK(E100,$E$99:$E$101,0)</f>
        <v>1</v>
      </c>
      <c r="E100" s="687">
        <f>ROUND(SCF!M50/1000000,1)</f>
        <v>0</v>
      </c>
      <c r="F100" s="677" t="s">
        <v>3838</v>
      </c>
      <c r="G100" s="1868"/>
      <c r="H100" s="1868"/>
      <c r="I100" s="1868"/>
      <c r="J100" s="1868"/>
      <c r="K100" s="1868"/>
      <c r="L100" s="679"/>
    </row>
    <row r="101" spans="1:12">
      <c r="A101" s="674">
        <f>RANK(E101,E$67:E$101)</f>
        <v>1</v>
      </c>
      <c r="B101" s="1868"/>
      <c r="C101" s="680"/>
      <c r="D101" s="2525">
        <f>RANK(E101,$E$99:$E$101,0)</f>
        <v>1</v>
      </c>
      <c r="E101" s="694">
        <f>ROUND(SCF!M51/1000000,1)</f>
        <v>0</v>
      </c>
      <c r="F101" s="681" t="s">
        <v>3839</v>
      </c>
      <c r="G101" s="476"/>
      <c r="H101" s="476"/>
      <c r="I101" s="476"/>
      <c r="J101" s="476"/>
      <c r="K101" s="476"/>
      <c r="L101" s="682"/>
    </row>
    <row r="102" spans="1:12">
      <c r="G102" s="670"/>
      <c r="I102" s="143"/>
    </row>
    <row r="103" spans="1:12">
      <c r="I103" s="143"/>
    </row>
    <row r="104" spans="1:12">
      <c r="I104" s="143"/>
    </row>
    <row r="105" spans="1:12">
      <c r="J105" s="143"/>
    </row>
  </sheetData>
  <sheetProtection formatColumns="0"/>
  <conditionalFormatting sqref="C67:L77">
    <cfRule type="expression" dxfId="68" priority="7">
      <formula>$D67&gt;=10</formula>
    </cfRule>
    <cfRule type="expression" dxfId="67" priority="8">
      <formula>$D67&lt;=2</formula>
    </cfRule>
  </conditionalFormatting>
  <conditionalFormatting sqref="C80:L85">
    <cfRule type="expression" dxfId="66" priority="5">
      <formula>$D80&gt;=6</formula>
    </cfRule>
    <cfRule type="expression" dxfId="65" priority="6">
      <formula>$D80&lt;=2</formula>
    </cfRule>
  </conditionalFormatting>
  <conditionalFormatting sqref="C88:L96">
    <cfRule type="expression" dxfId="64" priority="3">
      <formula>$D88&gt;=9</formula>
    </cfRule>
    <cfRule type="expression" dxfId="63" priority="4">
      <formula>$D88&lt;=2</formula>
    </cfRule>
  </conditionalFormatting>
  <conditionalFormatting sqref="C99:L101">
    <cfRule type="expression" dxfId="62" priority="1">
      <formula>$D99=3</formula>
    </cfRule>
    <cfRule type="expression" dxfId="61" priority="2">
      <formula>$D99=1</formula>
    </cfRule>
  </conditionalFormatting>
  <pageMargins left="0.7" right="0.7" top="0.75" bottom="0.75" header="0.3" footer="0.3"/>
  <pageSetup scale="90" fitToHeight="6" orientation="portrait" r:id="rId1"/>
  <headerFooter>
    <oddHeader>&amp;L&amp;F&amp;R&amp;A</oddHeader>
    <oddFooter>&amp;L&amp;"Arial,Regular"&amp;8&amp;D&amp;R&amp;"Arial,Regular"&amp;8&amp;P of &amp;N</oddFooter>
  </headerFooter>
  <rowBreaks count="1" manualBreakCount="1">
    <brk id="41" max="11"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00FF"/>
    <pageSetUpPr fitToPage="1"/>
  </sheetPr>
  <dimension ref="A1:P100"/>
  <sheetViews>
    <sheetView workbookViewId="0"/>
  </sheetViews>
  <sheetFormatPr defaultColWidth="9.140625" defaultRowHeight="15"/>
  <cols>
    <col min="1" max="1" width="9.140625" style="132" customWidth="1"/>
    <col min="2" max="2" width="24.85546875" style="132" customWidth="1"/>
    <col min="3" max="3" width="9.5703125" style="132" customWidth="1"/>
    <col min="4" max="4" width="11" style="132" customWidth="1"/>
    <col min="5" max="5" width="11.7109375" style="132" customWidth="1"/>
    <col min="6" max="6" width="14" style="132" customWidth="1"/>
    <col min="7" max="7" width="13.7109375" style="132" customWidth="1"/>
    <col min="8" max="8" width="12.140625" style="132" customWidth="1"/>
    <col min="9" max="9" width="15.42578125" style="132" customWidth="1"/>
    <col min="10" max="10" width="8.5703125" style="132" customWidth="1"/>
    <col min="11" max="11" width="5.5703125" style="132" customWidth="1"/>
    <col min="12" max="12" width="21.140625" style="132" customWidth="1"/>
    <col min="13" max="16384" width="9.140625" style="132"/>
  </cols>
  <sheetData>
    <row r="1" spans="1:16" s="54" customFormat="1">
      <c r="B1" s="58"/>
      <c r="C1" s="58"/>
      <c r="D1" s="58"/>
      <c r="E1" s="3069" t="str">
        <f>'Contact Information'!C5</f>
        <v>SAMPLE STATE COLLEGE</v>
      </c>
      <c r="F1" s="58"/>
      <c r="G1" s="58"/>
      <c r="H1" s="58"/>
      <c r="I1" s="58"/>
      <c r="J1" s="2345"/>
      <c r="K1" s="58"/>
    </row>
    <row r="2" spans="1:16" s="54" customFormat="1">
      <c r="B2" s="57"/>
      <c r="C2" s="57"/>
      <c r="D2" s="57"/>
      <c r="E2" s="3070" t="s">
        <v>3840</v>
      </c>
      <c r="F2" s="57"/>
      <c r="G2" s="57"/>
      <c r="H2" s="57"/>
      <c r="I2" s="56" t="s">
        <v>3</v>
      </c>
      <c r="J2" s="57"/>
      <c r="K2" s="57"/>
    </row>
    <row r="3" spans="1:16" s="54" customFormat="1">
      <c r="B3" s="59"/>
      <c r="C3" s="59"/>
      <c r="D3" s="59"/>
      <c r="E3" s="3071" t="str">
        <f>'FS Variance Analysis Tool'!E3</f>
        <v>For the Fiscal Year Ended June 30, 2021</v>
      </c>
      <c r="F3" s="59"/>
      <c r="G3" s="59"/>
      <c r="H3" s="59"/>
      <c r="I3" s="3595" t="str">
        <f>'Contact Information'!C3</f>
        <v>2021.v01</v>
      </c>
      <c r="K3" s="59"/>
    </row>
    <row r="4" spans="1:16" ht="5.25" customHeight="1"/>
    <row r="5" spans="1:16" s="1080" customFormat="1" ht="15.75">
      <c r="A5" s="2885" t="s">
        <v>3679</v>
      </c>
      <c r="B5" s="2885"/>
      <c r="C5" s="2885"/>
      <c r="D5" s="2885"/>
      <c r="E5" s="2885"/>
      <c r="F5" s="2885"/>
      <c r="G5" s="2885"/>
      <c r="H5" s="2885"/>
      <c r="I5" s="2885"/>
      <c r="J5" s="132"/>
      <c r="K5" s="1081"/>
      <c r="L5" s="1083"/>
      <c r="P5" s="1082"/>
    </row>
    <row r="6" spans="1:16" ht="15" customHeight="1">
      <c r="A6" s="3839" t="s">
        <v>3841</v>
      </c>
      <c r="B6" s="3840"/>
      <c r="C6" s="3840"/>
      <c r="D6" s="3840"/>
      <c r="E6" s="3840"/>
      <c r="F6" s="3840"/>
      <c r="G6" s="3840"/>
      <c r="H6" s="3840"/>
      <c r="I6" s="3840"/>
    </row>
    <row r="7" spans="1:16">
      <c r="A7" s="2886" t="s">
        <v>4076</v>
      </c>
      <c r="B7" s="2790"/>
      <c r="C7" s="2790"/>
      <c r="D7" s="2790"/>
      <c r="E7" s="2790"/>
      <c r="F7" s="2790"/>
      <c r="G7" s="2790"/>
      <c r="H7" s="2790"/>
      <c r="I7" s="2790"/>
    </row>
    <row r="8" spans="1:16" s="134" customFormat="1" ht="6.75" customHeight="1">
      <c r="A8" s="88"/>
      <c r="B8" s="88"/>
      <c r="C8" s="88"/>
      <c r="D8" s="88"/>
      <c r="E8" s="88"/>
      <c r="F8" s="88"/>
      <c r="G8" s="88"/>
      <c r="H8" s="88"/>
      <c r="I8" s="88"/>
    </row>
    <row r="9" spans="1:16">
      <c r="A9" s="3841" t="s">
        <v>3842</v>
      </c>
      <c r="B9" s="3842"/>
      <c r="C9" s="3842"/>
      <c r="D9" s="3842"/>
      <c r="E9" s="3842"/>
      <c r="F9" s="3842"/>
      <c r="G9" s="3842"/>
      <c r="H9" s="3842"/>
      <c r="I9" s="3842"/>
    </row>
    <row r="10" spans="1:16" ht="15" customHeight="1">
      <c r="A10" s="2887" t="s">
        <v>4077</v>
      </c>
      <c r="B10" s="2888"/>
      <c r="C10" s="2888"/>
      <c r="D10" s="2888"/>
      <c r="E10" s="2888"/>
      <c r="F10" s="2888"/>
      <c r="G10" s="2888"/>
      <c r="H10" s="2888"/>
      <c r="I10" s="2888"/>
    </row>
    <row r="11" spans="1:16">
      <c r="A11" s="2887" t="s">
        <v>4078</v>
      </c>
      <c r="B11" s="2888"/>
      <c r="C11" s="2888"/>
      <c r="D11" s="2888"/>
      <c r="E11" s="2888"/>
      <c r="F11" s="2888"/>
      <c r="G11" s="2888"/>
      <c r="H11" s="2888"/>
      <c r="I11" s="2888"/>
    </row>
    <row r="12" spans="1:16">
      <c r="A12" s="2887" t="s">
        <v>3843</v>
      </c>
      <c r="B12" s="2888"/>
      <c r="C12" s="2888"/>
      <c r="D12" s="2888"/>
      <c r="E12" s="2888"/>
      <c r="F12" s="2888"/>
      <c r="G12" s="2888"/>
      <c r="H12" s="2888"/>
      <c r="I12" s="2888"/>
    </row>
    <row r="13" spans="1:16">
      <c r="A13" s="2887" t="s">
        <v>4079</v>
      </c>
      <c r="B13" s="2888"/>
      <c r="C13" s="2888"/>
      <c r="D13" s="2888"/>
      <c r="E13" s="2888"/>
      <c r="F13" s="2888"/>
      <c r="G13" s="2888"/>
      <c r="H13" s="2888"/>
      <c r="I13" s="2888"/>
    </row>
    <row r="14" spans="1:16">
      <c r="A14" s="2887" t="s">
        <v>3844</v>
      </c>
      <c r="B14" s="2888"/>
      <c r="C14" s="2888"/>
      <c r="D14" s="2888"/>
      <c r="E14" s="2888"/>
      <c r="F14" s="2888"/>
      <c r="G14" s="2888"/>
      <c r="H14" s="2888"/>
      <c r="I14" s="2888"/>
    </row>
    <row r="15" spans="1:16" s="60" customFormat="1">
      <c r="A15" s="2887" t="s">
        <v>3845</v>
      </c>
      <c r="B15" s="2888"/>
      <c r="C15" s="2888"/>
      <c r="D15" s="2888"/>
      <c r="E15" s="2888"/>
      <c r="F15" s="2888"/>
      <c r="G15" s="2888"/>
      <c r="H15" s="2888"/>
      <c r="I15" s="2888"/>
    </row>
    <row r="16" spans="1:16" s="60" customFormat="1" ht="12.75" customHeight="1"/>
    <row r="17" spans="1:15" s="60" customFormat="1">
      <c r="A17" s="2887" t="s">
        <v>4080</v>
      </c>
      <c r="B17" s="2888"/>
      <c r="C17" s="2888"/>
      <c r="D17" s="2888"/>
      <c r="E17" s="2888"/>
      <c r="F17" s="2888"/>
      <c r="G17" s="2888"/>
      <c r="H17" s="2888"/>
      <c r="I17" s="2888"/>
    </row>
    <row r="18" spans="1:15" s="60" customFormat="1">
      <c r="A18" s="2889" t="s">
        <v>4081</v>
      </c>
      <c r="B18" s="2890"/>
      <c r="C18" s="2890"/>
      <c r="D18" s="2890"/>
      <c r="E18" s="2890"/>
      <c r="F18" s="2890"/>
      <c r="G18" s="2890"/>
      <c r="H18" s="2890"/>
      <c r="I18" s="2890"/>
    </row>
    <row r="19" spans="1:15" s="60" customFormat="1">
      <c r="A19" s="2889" t="s">
        <v>4082</v>
      </c>
      <c r="B19" s="2890"/>
      <c r="C19" s="2890"/>
      <c r="D19" s="2890"/>
      <c r="E19" s="2890"/>
      <c r="F19" s="2890"/>
      <c r="G19" s="2890"/>
      <c r="H19" s="2890"/>
      <c r="I19" s="2890"/>
    </row>
    <row r="20" spans="1:15" s="60" customFormat="1">
      <c r="A20" s="2889" t="s">
        <v>3846</v>
      </c>
      <c r="B20" s="2890"/>
      <c r="C20" s="2890"/>
      <c r="D20" s="2890"/>
      <c r="E20" s="2890"/>
      <c r="F20" s="2890"/>
      <c r="G20" s="2890"/>
      <c r="H20" s="2890"/>
      <c r="I20" s="2890"/>
    </row>
    <row r="21" spans="1:15" s="60" customFormat="1" ht="8.25" customHeight="1">
      <c r="A21" s="2787"/>
      <c r="B21" s="2788"/>
      <c r="C21" s="2788"/>
      <c r="D21" s="2788"/>
      <c r="E21" s="2788"/>
      <c r="F21" s="2788"/>
      <c r="G21" s="2788"/>
      <c r="H21" s="2788"/>
      <c r="I21" s="2788"/>
    </row>
    <row r="22" spans="1:15" ht="9" customHeight="1" thickBot="1">
      <c r="D22" s="61"/>
    </row>
    <row r="23" spans="1:15" ht="15" customHeight="1">
      <c r="A23" s="3149" t="s">
        <v>3847</v>
      </c>
      <c r="B23" s="2789"/>
      <c r="C23" s="2789"/>
      <c r="D23" s="2789"/>
      <c r="E23" s="2789"/>
      <c r="F23" s="2789"/>
      <c r="G23" s="2789"/>
      <c r="H23" s="2789"/>
      <c r="I23" s="2789"/>
    </row>
    <row r="24" spans="1:15" ht="15.75" customHeight="1">
      <c r="A24" s="3150" t="s">
        <v>3848</v>
      </c>
      <c r="B24" s="2790"/>
      <c r="C24" s="2790"/>
      <c r="D24" s="2790"/>
      <c r="E24" s="2790"/>
      <c r="F24" s="2790"/>
      <c r="G24" s="2790"/>
      <c r="H24" s="2790"/>
      <c r="I24" s="2790"/>
    </row>
    <row r="25" spans="1:15" ht="15" customHeight="1">
      <c r="A25" s="3593"/>
      <c r="B25" s="3843"/>
      <c r="C25" s="3844"/>
      <c r="D25" s="3845" t="s">
        <v>3849</v>
      </c>
      <c r="E25" s="3845" t="s">
        <v>3850</v>
      </c>
      <c r="F25" s="3846" t="s">
        <v>3851</v>
      </c>
      <c r="G25" s="3843" t="s">
        <v>3852</v>
      </c>
      <c r="H25" s="3846" t="s">
        <v>3853</v>
      </c>
      <c r="I25" s="3846" t="s">
        <v>3854</v>
      </c>
    </row>
    <row r="26" spans="1:15">
      <c r="A26" s="2791"/>
      <c r="B26" s="2792"/>
      <c r="C26" s="63"/>
      <c r="D26" s="3152">
        <v>44377</v>
      </c>
      <c r="E26" s="3152" t="s">
        <v>4083</v>
      </c>
      <c r="F26" s="3153" t="s">
        <v>3855</v>
      </c>
      <c r="G26" s="3151" t="s">
        <v>3856</v>
      </c>
      <c r="H26" s="3153" t="s">
        <v>3855</v>
      </c>
      <c r="I26" s="3153" t="s">
        <v>3857</v>
      </c>
    </row>
    <row r="27" spans="1:15">
      <c r="A27" s="2791" t="s">
        <v>2289</v>
      </c>
      <c r="B27" s="2792"/>
      <c r="C27" s="2793"/>
      <c r="D27" s="3847">
        <f>ROUND('MD&amp;A Tool CondSNP'!D24/1000,1)</f>
        <v>0</v>
      </c>
      <c r="E27" s="3848" t="e">
        <f>ROUND('MD&amp;A Tool CondSNP'!F24/1000,1)</f>
        <v>#N/A</v>
      </c>
      <c r="F27" s="191" t="e">
        <f>ROUND(ABS(D27-E27),1)</f>
        <v>#N/A</v>
      </c>
      <c r="G27" s="192" t="e">
        <f>IF(D27&gt;E27,"increase","decrease")</f>
        <v>#N/A</v>
      </c>
      <c r="H27" s="193" t="e">
        <f>ROUND(((F27/E27)*100),1)</f>
        <v>#N/A</v>
      </c>
      <c r="I27" s="192" t="e">
        <f>IF(D27&gt;E27,"grew","declined")</f>
        <v>#N/A</v>
      </c>
    </row>
    <row r="28" spans="1:15">
      <c r="A28" s="2791" t="s">
        <v>2290</v>
      </c>
      <c r="B28" s="2792"/>
      <c r="C28" s="2793"/>
      <c r="D28" s="194">
        <f>ROUND('MD&amp;A Tool CondSNP'!D32/1000,1)</f>
        <v>0</v>
      </c>
      <c r="E28" s="193" t="e">
        <f>ROUND('MD&amp;A Tool CondSNP'!F32/1000,1)</f>
        <v>#N/A</v>
      </c>
      <c r="F28" s="193" t="e">
        <f>ROUND(ABS(D28-E28),1)</f>
        <v>#N/A</v>
      </c>
      <c r="G28" s="192" t="e">
        <f>IF(D28&gt;E28,"increase","decrease")</f>
        <v>#N/A</v>
      </c>
      <c r="H28" s="193" t="e">
        <f>ROUND(((F28/E28)*100),1)</f>
        <v>#N/A</v>
      </c>
      <c r="I28" s="192" t="e">
        <f>IF(F27&gt;F28,"lesser",IF(F27&lt;F28,"greater","similar"))</f>
        <v>#N/A</v>
      </c>
    </row>
    <row r="29" spans="1:15">
      <c r="A29" s="2791" t="s">
        <v>3751</v>
      </c>
      <c r="B29" s="2792"/>
      <c r="C29" s="2793"/>
      <c r="D29" s="194">
        <f>ROUND('MD&amp;A Tool CondSNP'!D42/1000,1)</f>
        <v>0</v>
      </c>
      <c r="E29" s="193" t="e">
        <f>ROUND('MD&amp;A Tool CondSNP'!F42/1000,1)</f>
        <v>#N/A</v>
      </c>
      <c r="F29" s="193" t="e">
        <f>ROUND(ABS(D29-E29),1)</f>
        <v>#N/A</v>
      </c>
      <c r="G29" s="192" t="e">
        <f>IF(D29&gt;E29,"increase","decrease")</f>
        <v>#N/A</v>
      </c>
      <c r="H29" s="193" t="e">
        <f>ROUND(((F29/E29)*100),1)</f>
        <v>#N/A</v>
      </c>
      <c r="I29" s="195"/>
    </row>
    <row r="30" spans="1:15">
      <c r="A30" s="2791" t="s">
        <v>3719</v>
      </c>
      <c r="B30" s="2792"/>
      <c r="C30" s="2793"/>
      <c r="D30" s="194">
        <f>ROUND('MD&amp;A Tool CondSRECNP'!F29/1000,1)</f>
        <v>0</v>
      </c>
      <c r="E30" s="193" t="e">
        <f>ROUND('MD&amp;A Tool CondSRECNP'!H29/1000,1)</f>
        <v>#N/A</v>
      </c>
      <c r="F30" s="193" t="e">
        <f>ROUND(ABS(D30-E30),1)</f>
        <v>#N/A</v>
      </c>
      <c r="G30" s="192" t="e">
        <f>IF(D30&gt;E30,"increase","decrease")</f>
        <v>#N/A</v>
      </c>
      <c r="H30" s="193" t="e">
        <f>ROUND(((F30/E30)*100),1)</f>
        <v>#N/A</v>
      </c>
      <c r="I30" s="195"/>
    </row>
    <row r="31" spans="1:15">
      <c r="A31" s="2791" t="s">
        <v>3750</v>
      </c>
      <c r="B31" s="2792"/>
      <c r="C31" s="2793"/>
      <c r="D31" s="194">
        <f>ROUND('MD&amp;A Tool CondSRECNP'!F30/1000,1)</f>
        <v>0</v>
      </c>
      <c r="E31" s="193" t="e">
        <f>ROUND('MD&amp;A Tool CondSRECNP'!H30/1000,1)</f>
        <v>#N/A</v>
      </c>
      <c r="F31" s="193" t="e">
        <f>ROUND(ABS(D31-E31),1)</f>
        <v>#N/A</v>
      </c>
      <c r="G31" s="192" t="e">
        <f>IF(D31&gt;E31,"n increase"," decrease")</f>
        <v>#N/A</v>
      </c>
      <c r="H31" s="193" t="e">
        <f>ROUND(((F31/E31)*100),1)</f>
        <v>#N/A</v>
      </c>
      <c r="I31" s="192" t="e">
        <f>IF(D31&gt;E31,"over","from")</f>
        <v>#N/A</v>
      </c>
    </row>
    <row r="32" spans="1:15">
      <c r="A32" s="2791"/>
      <c r="B32" s="2792"/>
      <c r="C32" s="2793"/>
      <c r="D32" s="2794" t="s">
        <v>3858</v>
      </c>
      <c r="E32" s="2795"/>
      <c r="F32" s="2795"/>
      <c r="G32" s="2795"/>
      <c r="H32" s="2795"/>
      <c r="I32" s="2795"/>
      <c r="K32" s="60"/>
      <c r="L32" s="60"/>
      <c r="M32" s="60"/>
      <c r="N32" s="60"/>
      <c r="O32" s="60"/>
    </row>
    <row r="33" spans="1:9">
      <c r="A33" s="2791" t="s">
        <v>3859</v>
      </c>
      <c r="B33" s="2792"/>
      <c r="C33" s="2793"/>
      <c r="D33" s="138"/>
      <c r="E33" s="138"/>
      <c r="F33" s="64"/>
      <c r="G33" s="64"/>
      <c r="H33" s="64"/>
      <c r="I33" s="64"/>
    </row>
    <row r="34" spans="1:9">
      <c r="A34" s="2791" t="s">
        <v>3860</v>
      </c>
      <c r="B34" s="2792"/>
      <c r="C34" s="2793"/>
      <c r="D34" s="136">
        <f t="array" ref="D34">SUM(ROUND(D27-D28,1))</f>
        <v>0</v>
      </c>
      <c r="E34" s="133" t="e">
        <f t="array" ref="E34">SUM(ROUND(E27-E28,1))</f>
        <v>#N/A</v>
      </c>
      <c r="F34" s="64"/>
      <c r="G34" s="64"/>
      <c r="H34" s="64"/>
      <c r="I34" s="64"/>
    </row>
    <row r="35" spans="1:9" ht="7.5" customHeight="1" thickBot="1">
      <c r="A35" s="65"/>
      <c r="B35" s="135"/>
      <c r="C35" s="135"/>
      <c r="D35" s="137"/>
      <c r="E35" s="66"/>
      <c r="F35" s="66"/>
      <c r="G35" s="66"/>
      <c r="H35" s="66"/>
      <c r="I35" s="66"/>
    </row>
    <row r="36" spans="1:9" ht="8.25" customHeight="1" thickBot="1">
      <c r="A36" s="62"/>
      <c r="B36" s="134"/>
      <c r="C36" s="134"/>
      <c r="D36" s="134"/>
      <c r="E36" s="134"/>
      <c r="F36" s="134"/>
      <c r="G36" s="134"/>
      <c r="H36" s="134"/>
      <c r="I36" s="134"/>
    </row>
    <row r="37" spans="1:9">
      <c r="A37" s="3067" t="s">
        <v>4085</v>
      </c>
      <c r="B37" s="2796"/>
      <c r="C37" s="2796"/>
      <c r="D37" s="2796"/>
      <c r="E37" s="2796"/>
      <c r="F37" s="2796"/>
      <c r="G37" s="2796"/>
      <c r="H37" s="2796"/>
      <c r="I37" s="2796"/>
    </row>
    <row r="38" spans="1:9">
      <c r="A38" s="3068" t="s">
        <v>4084</v>
      </c>
      <c r="B38" s="2798"/>
      <c r="C38" s="2798"/>
      <c r="D38" s="2798"/>
      <c r="E38" s="2798"/>
      <c r="F38" s="2798"/>
      <c r="G38" s="2798"/>
      <c r="H38" s="2798"/>
      <c r="I38" s="2798"/>
    </row>
    <row r="39" spans="1:9">
      <c r="A39" s="3068" t="s">
        <v>4086</v>
      </c>
      <c r="B39" s="2798"/>
      <c r="C39" s="2798"/>
      <c r="D39" s="2798"/>
      <c r="E39" s="2798"/>
      <c r="F39" s="2798"/>
      <c r="G39" s="2798"/>
      <c r="H39" s="2798"/>
      <c r="I39" s="2798"/>
    </row>
    <row r="40" spans="1:9">
      <c r="A40" s="3068" t="s">
        <v>3861</v>
      </c>
      <c r="B40" s="2798"/>
      <c r="C40" s="2798"/>
      <c r="D40" s="2798"/>
      <c r="E40" s="2798"/>
      <c r="F40" s="2798"/>
      <c r="G40" s="2798"/>
      <c r="H40" s="2798"/>
      <c r="I40" s="2798"/>
    </row>
    <row r="41" spans="1:9">
      <c r="A41" s="2797"/>
      <c r="B41" s="2798"/>
      <c r="C41" s="2798"/>
      <c r="D41" s="2798"/>
      <c r="E41" s="2798"/>
      <c r="F41" s="2798"/>
      <c r="G41" s="2798"/>
      <c r="H41" s="2798"/>
      <c r="I41" s="2798"/>
    </row>
    <row r="42" spans="1:9">
      <c r="A42" s="2797"/>
      <c r="B42" s="2798"/>
      <c r="C42" s="2798"/>
      <c r="D42" s="2798"/>
      <c r="E42" s="2798"/>
      <c r="F42" s="2798"/>
      <c r="G42" s="2798"/>
      <c r="H42" s="2798"/>
      <c r="I42" s="2798"/>
    </row>
    <row r="43" spans="1:9" ht="7.5" customHeight="1">
      <c r="A43" s="2797"/>
      <c r="B43" s="2798"/>
      <c r="C43" s="2798"/>
      <c r="D43" s="2798"/>
      <c r="E43" s="2798"/>
      <c r="F43" s="2798"/>
      <c r="G43" s="2798"/>
      <c r="H43" s="2798"/>
      <c r="I43" s="2798"/>
    </row>
    <row r="44" spans="1:9" ht="17.25" customHeight="1">
      <c r="A44" s="3068" t="s">
        <v>4087</v>
      </c>
      <c r="B44" s="2798"/>
      <c r="C44" s="2798"/>
      <c r="D44" s="2798"/>
      <c r="E44" s="2798"/>
      <c r="F44" s="2798"/>
      <c r="G44" s="2798"/>
      <c r="H44" s="2798"/>
      <c r="I44" s="2798"/>
    </row>
    <row r="45" spans="1:9">
      <c r="A45" s="3068" t="s">
        <v>4088</v>
      </c>
      <c r="B45" s="2798"/>
      <c r="C45" s="2798"/>
      <c r="D45" s="2798"/>
      <c r="E45" s="2798"/>
      <c r="F45" s="2798"/>
      <c r="G45" s="2798"/>
      <c r="H45" s="2798"/>
      <c r="I45" s="2798"/>
    </row>
    <row r="46" spans="1:9">
      <c r="A46" s="3068" t="s">
        <v>4089</v>
      </c>
      <c r="B46" s="2798"/>
      <c r="C46" s="2798"/>
      <c r="D46" s="2798"/>
      <c r="E46" s="2798"/>
      <c r="F46" s="2798"/>
      <c r="G46" s="2798"/>
      <c r="H46" s="2798"/>
      <c r="I46" s="2798"/>
    </row>
    <row r="47" spans="1:9">
      <c r="A47" s="3068" t="s">
        <v>3862</v>
      </c>
      <c r="B47" s="2798"/>
      <c r="C47" s="2798"/>
      <c r="D47" s="2798"/>
      <c r="E47" s="2798"/>
      <c r="F47" s="2798"/>
      <c r="G47" s="2798"/>
      <c r="H47" s="2798"/>
      <c r="I47" s="2798"/>
    </row>
    <row r="48" spans="1:9">
      <c r="A48" s="2797"/>
      <c r="B48" s="2798"/>
      <c r="C48" s="2798"/>
      <c r="D48" s="2798"/>
      <c r="E48" s="2798"/>
      <c r="F48" s="2798"/>
      <c r="G48" s="2798"/>
      <c r="H48" s="2798"/>
      <c r="I48" s="2798"/>
    </row>
    <row r="49" spans="1:11" ht="15.75" thickBot="1">
      <c r="A49" s="2799"/>
      <c r="B49" s="2800"/>
      <c r="C49" s="2800"/>
      <c r="D49" s="2800"/>
      <c r="E49" s="2800"/>
      <c r="F49" s="2800"/>
      <c r="G49" s="2800"/>
      <c r="H49" s="2800"/>
      <c r="I49" s="2800"/>
    </row>
    <row r="50" spans="1:11" ht="6" customHeight="1">
      <c r="B50" s="60"/>
      <c r="C50" s="60"/>
      <c r="D50" s="60"/>
      <c r="E50" s="60"/>
      <c r="F50" s="60"/>
    </row>
    <row r="51" spans="1:11" ht="6" customHeight="1">
      <c r="B51" s="60"/>
      <c r="C51" s="60"/>
      <c r="D51" s="60"/>
      <c r="E51" s="60"/>
      <c r="F51" s="60"/>
    </row>
    <row r="52" spans="1:11" s="54" customFormat="1" ht="12.75">
      <c r="A52" s="58" t="str">
        <f>'Contact Information'!$C$5</f>
        <v>SAMPLE STATE COLLEGE</v>
      </c>
      <c r="B52" s="58"/>
      <c r="C52" s="58"/>
      <c r="D52" s="58"/>
      <c r="E52" s="58"/>
      <c r="F52" s="58"/>
      <c r="G52" s="58"/>
      <c r="H52" s="58"/>
      <c r="I52" s="58"/>
      <c r="J52" s="58"/>
      <c r="K52" s="58"/>
    </row>
    <row r="53" spans="1:11" s="54" customFormat="1" ht="12.75">
      <c r="A53" s="57" t="s">
        <v>3863</v>
      </c>
      <c r="B53" s="57"/>
      <c r="C53" s="57"/>
      <c r="D53" s="57"/>
      <c r="E53" s="57"/>
      <c r="F53" s="57"/>
      <c r="G53" s="57"/>
      <c r="H53" s="57"/>
      <c r="I53" s="57"/>
      <c r="J53" s="57"/>
      <c r="K53" s="57"/>
    </row>
    <row r="54" spans="1:11" ht="5.25" customHeight="1">
      <c r="B54" s="60"/>
      <c r="C54" s="60"/>
      <c r="D54" s="60"/>
      <c r="E54" s="60"/>
      <c r="F54" s="60"/>
    </row>
    <row r="55" spans="1:11">
      <c r="A55" s="2801" t="s">
        <v>3864</v>
      </c>
      <c r="B55" s="2801"/>
      <c r="C55" s="2801"/>
      <c r="D55" s="2801"/>
      <c r="E55" s="2801"/>
      <c r="F55" s="2801"/>
      <c r="G55" s="2801"/>
      <c r="H55" s="2801"/>
      <c r="I55" s="2801"/>
    </row>
    <row r="56" spans="1:11" ht="15.75" thickBot="1"/>
    <row r="57" spans="1:11" ht="15.75" thickBot="1">
      <c r="B57" s="2802" t="s">
        <v>3865</v>
      </c>
      <c r="C57" s="2803"/>
      <c r="D57" s="2803"/>
      <c r="E57" s="2803"/>
      <c r="F57" s="3596"/>
      <c r="G57" s="3600"/>
    </row>
    <row r="58" spans="1:11">
      <c r="B58" s="2804"/>
      <c r="C58" s="2805"/>
      <c r="D58" s="2805"/>
      <c r="E58" s="2806"/>
      <c r="F58" s="3597">
        <v>2021</v>
      </c>
      <c r="G58" s="198">
        <v>2020</v>
      </c>
    </row>
    <row r="59" spans="1:11" ht="15" customHeight="1">
      <c r="B59" s="2807" t="s">
        <v>332</v>
      </c>
      <c r="C59" s="3445"/>
      <c r="D59" s="3445"/>
      <c r="E59" s="2808"/>
      <c r="F59" s="3598">
        <f>'MD&amp;A Tool CondSNP'!D38</f>
        <v>0</v>
      </c>
      <c r="G59" s="196" t="e">
        <f>'MD&amp;A Tool CondSNP'!F38</f>
        <v>#N/A</v>
      </c>
    </row>
    <row r="60" spans="1:11">
      <c r="B60" s="2807" t="s">
        <v>3769</v>
      </c>
      <c r="C60" s="3445"/>
      <c r="D60" s="3445"/>
      <c r="E60" s="2808"/>
      <c r="F60" s="3598">
        <f>'MD&amp;A Tool CondSNP'!D39</f>
        <v>0</v>
      </c>
      <c r="G60" s="196" t="e">
        <f>'MD&amp;A Tool CondSNP'!F39</f>
        <v>#N/A</v>
      </c>
    </row>
    <row r="61" spans="1:11" ht="15.75" thickBot="1">
      <c r="B61" s="2809" t="s">
        <v>347</v>
      </c>
      <c r="C61" s="2810"/>
      <c r="D61" s="2810"/>
      <c r="E61" s="2811"/>
      <c r="F61" s="3599">
        <f>'MD&amp;A Tool CondSNP'!D40</f>
        <v>0</v>
      </c>
      <c r="G61" s="197" t="e">
        <f>'MD&amp;A Tool CondSNP'!F40</f>
        <v>#N/A</v>
      </c>
    </row>
    <row r="62" spans="1:11" ht="6.75" customHeight="1"/>
    <row r="63" spans="1:11" ht="10.5" customHeight="1"/>
    <row r="75" spans="1:9" ht="18.75" customHeight="1"/>
    <row r="80" spans="1:9" ht="6.75" customHeight="1" thickBot="1">
      <c r="A80" s="190"/>
      <c r="B80" s="190"/>
      <c r="C80" s="190"/>
      <c r="D80" s="190"/>
      <c r="E80" s="190"/>
      <c r="F80" s="190"/>
      <c r="G80" s="190"/>
      <c r="H80" s="190"/>
      <c r="I80" s="190"/>
    </row>
    <row r="81" spans="2:6" ht="15.75" thickBot="1">
      <c r="B81" s="2812" t="s">
        <v>3866</v>
      </c>
      <c r="C81" s="2813"/>
      <c r="D81" s="2813"/>
      <c r="E81" s="2813"/>
      <c r="F81" s="2814"/>
    </row>
    <row r="82" spans="2:6">
      <c r="B82" s="2815"/>
      <c r="C82" s="2816"/>
      <c r="D82" s="2816"/>
      <c r="E82" s="2817"/>
      <c r="F82" s="198">
        <v>2021</v>
      </c>
    </row>
    <row r="83" spans="2:6">
      <c r="B83" s="2818" t="s">
        <v>3719</v>
      </c>
      <c r="C83" s="3446"/>
      <c r="D83" s="3446"/>
      <c r="E83" s="3447"/>
      <c r="F83" s="196">
        <f>'MD&amp;A Tool CondSRECNP'!F29</f>
        <v>0</v>
      </c>
    </row>
    <row r="84" spans="2:6">
      <c r="B84" s="2818" t="s">
        <v>3724</v>
      </c>
      <c r="C84" s="3446"/>
      <c r="D84" s="3446"/>
      <c r="E84" s="3447"/>
      <c r="F84" s="196">
        <f>'MD&amp;A Tool CondSRECNP'!F38</f>
        <v>0</v>
      </c>
    </row>
    <row r="85" spans="2:6" ht="15.75" thickBot="1">
      <c r="B85" s="2819" t="s">
        <v>3867</v>
      </c>
      <c r="C85" s="2820"/>
      <c r="D85" s="2820"/>
      <c r="E85" s="2821"/>
      <c r="F85" s="197">
        <f>'MD&amp;A Tool CondSRECNP'!F42+'MD&amp;A Tool CondSRECNP'!F43+'MD&amp;A Tool CondSRECNP'!F44</f>
        <v>0</v>
      </c>
    </row>
    <row r="86" spans="2:6" ht="20.25" customHeight="1"/>
    <row r="100" ht="31.5" customHeight="1"/>
  </sheetData>
  <sheetProtection formatColumns="0" formatRows="0"/>
  <conditionalFormatting sqref="D34">
    <cfRule type="cellIs" dxfId="60" priority="2" operator="equal">
      <formula>$D$29</formula>
    </cfRule>
  </conditionalFormatting>
  <conditionalFormatting sqref="E34">
    <cfRule type="cellIs" dxfId="59" priority="1" operator="equal">
      <formula>$E$29</formula>
    </cfRule>
  </conditionalFormatting>
  <printOptions horizontalCentered="1"/>
  <pageMargins left="0.7" right="0.7" top="0.75" bottom="0.75" header="0.3" footer="0.3"/>
  <pageSetup scale="74" fitToHeight="0" orientation="portrait" r:id="rId1"/>
  <headerFooter>
    <oddHeader>&amp;L&amp;"Arial,Regular"&amp;8&amp;F&amp;R&amp;"Arial,Regular"&amp;8&amp;A</oddHeader>
    <oddFooter>&amp;L&amp;"Arial,Regular"&amp;8&amp;D&amp;R&amp;"Arial,Regular"&amp;8&amp;P of &amp;N</oddFooter>
  </headerFooter>
  <rowBreaks count="1" manualBreakCount="1">
    <brk id="50" max="8"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FF"/>
    <pageSetUpPr fitToPage="1"/>
  </sheetPr>
  <dimension ref="A1:R98"/>
  <sheetViews>
    <sheetView workbookViewId="0"/>
  </sheetViews>
  <sheetFormatPr defaultColWidth="9.140625" defaultRowHeight="12.75"/>
  <cols>
    <col min="1" max="2" width="6.140625" style="1867" customWidth="1"/>
    <col min="3" max="3" width="6.85546875" style="1867" customWidth="1"/>
    <col min="4" max="4" width="10" style="1867" customWidth="1"/>
    <col min="5" max="5" width="15.140625" style="1867" customWidth="1"/>
    <col min="6" max="6" width="0.85546875" style="1867" customWidth="1"/>
    <col min="7" max="7" width="14.140625" style="1867" customWidth="1"/>
    <col min="8" max="8" width="0.85546875" style="1867" customWidth="1"/>
    <col min="9" max="9" width="14.28515625" style="1867" customWidth="1"/>
    <col min="10" max="10" width="0.85546875" style="1867" customWidth="1"/>
    <col min="11" max="11" width="9.42578125" style="1867" bestFit="1" customWidth="1"/>
    <col min="12" max="12" width="1" style="143" customWidth="1"/>
    <col min="13" max="13" width="11.28515625" style="1867" bestFit="1" customWidth="1"/>
    <col min="14" max="16384" width="9.140625" style="1867"/>
  </cols>
  <sheetData>
    <row r="1" spans="1:18">
      <c r="B1" s="2822"/>
      <c r="C1" s="2822"/>
      <c r="D1" s="2822"/>
      <c r="E1" s="2822"/>
      <c r="F1" s="2822"/>
      <c r="G1" s="3072" t="str">
        <f>'Contact Information'!C5</f>
        <v>SAMPLE STATE COLLEGE</v>
      </c>
      <c r="H1" s="2822"/>
      <c r="I1" s="2822"/>
      <c r="J1" s="2822"/>
      <c r="K1" s="2822"/>
      <c r="L1" s="2822"/>
      <c r="M1" s="2822"/>
    </row>
    <row r="2" spans="1:18">
      <c r="B2" s="2111"/>
      <c r="C2" s="2111"/>
      <c r="D2" s="2111"/>
      <c r="E2" s="2111"/>
      <c r="F2" s="2111"/>
      <c r="G2" s="3073" t="s">
        <v>2298</v>
      </c>
      <c r="H2" s="2111"/>
      <c r="I2" s="2111"/>
      <c r="J2" s="2111"/>
      <c r="K2" s="2111"/>
      <c r="L2" s="2111"/>
      <c r="M2" s="2111"/>
    </row>
    <row r="3" spans="1:18">
      <c r="B3" s="2823"/>
      <c r="C3" s="2823"/>
      <c r="D3" s="2823"/>
      <c r="E3" s="2823"/>
      <c r="F3" s="2823"/>
      <c r="G3" s="3074" t="s">
        <v>3868</v>
      </c>
      <c r="H3" s="2823"/>
      <c r="I3" s="2823"/>
      <c r="J3" s="2823"/>
      <c r="K3" s="2823"/>
      <c r="L3" s="2823"/>
      <c r="M3" s="2823"/>
    </row>
    <row r="4" spans="1:18">
      <c r="B4" s="2824"/>
      <c r="C4" s="2824"/>
      <c r="D4" s="2824"/>
      <c r="E4" s="2824"/>
      <c r="F4" s="2824"/>
      <c r="G4" s="2563" t="str">
        <f>'FS Variance Analysis Tool'!E3</f>
        <v>For the Fiscal Year Ended June 30, 2021</v>
      </c>
      <c r="H4" s="2824"/>
      <c r="I4" s="2824"/>
      <c r="J4" s="2824"/>
      <c r="K4" s="2824"/>
      <c r="L4" s="2824"/>
      <c r="M4" s="2824"/>
    </row>
    <row r="5" spans="1:18">
      <c r="A5" s="2563"/>
      <c r="B5" s="2563"/>
      <c r="C5" s="2563"/>
      <c r="D5" s="2563"/>
      <c r="E5" s="2563"/>
      <c r="F5" s="2563"/>
      <c r="G5" s="2563"/>
      <c r="H5" s="2563"/>
      <c r="I5" s="2563"/>
      <c r="J5" s="2563"/>
      <c r="K5" s="139" t="s">
        <v>3</v>
      </c>
      <c r="L5" s="1"/>
      <c r="M5" s="140" t="str">
        <f>'Contact Information'!C3</f>
        <v>2021.v01</v>
      </c>
    </row>
    <row r="6" spans="1:18" s="1080" customFormat="1" ht="15.75">
      <c r="A6" s="2786" t="s">
        <v>3679</v>
      </c>
      <c r="B6" s="2786"/>
      <c r="C6" s="2786"/>
      <c r="D6" s="2786"/>
      <c r="E6" s="2786"/>
      <c r="F6" s="2786"/>
      <c r="G6" s="2786"/>
      <c r="H6" s="2786"/>
      <c r="I6" s="2786"/>
      <c r="J6" s="2786"/>
      <c r="K6" s="2786"/>
      <c r="L6" s="2786"/>
      <c r="M6" s="2786"/>
      <c r="N6" s="1083"/>
      <c r="R6" s="1082"/>
    </row>
    <row r="7" spans="1:18" s="54" customFormat="1">
      <c r="A7" s="3849" t="s">
        <v>3869</v>
      </c>
      <c r="B7" s="3850"/>
      <c r="C7" s="3850"/>
      <c r="D7" s="3850"/>
      <c r="E7" s="3850"/>
      <c r="F7" s="3850"/>
      <c r="G7" s="3850"/>
      <c r="H7" s="3850"/>
      <c r="I7" s="3850"/>
      <c r="J7" s="3850"/>
      <c r="K7" s="3850"/>
      <c r="L7" s="3850"/>
      <c r="M7" s="3851"/>
      <c r="N7" s="55"/>
    </row>
    <row r="8" spans="1:18" s="54" customFormat="1">
      <c r="A8" s="2825" t="s">
        <v>3718</v>
      </c>
      <c r="B8" s="213"/>
      <c r="C8" s="213"/>
      <c r="D8" s="213"/>
      <c r="E8" s="213"/>
      <c r="F8" s="213"/>
      <c r="G8" s="213"/>
      <c r="H8" s="213"/>
      <c r="I8" s="213"/>
      <c r="J8" s="213"/>
      <c r="K8" s="213"/>
      <c r="L8" s="213"/>
      <c r="M8" s="2826"/>
      <c r="N8" s="55"/>
    </row>
    <row r="9" spans="1:18" s="54" customFormat="1">
      <c r="A9" s="2827" t="s">
        <v>3870</v>
      </c>
      <c r="B9" s="2828"/>
      <c r="C9" s="2828"/>
      <c r="D9" s="2828"/>
      <c r="E9" s="2828"/>
      <c r="F9" s="2828"/>
      <c r="G9" s="2828"/>
      <c r="H9" s="2828"/>
      <c r="I9" s="2828"/>
      <c r="J9" s="2828"/>
      <c r="K9" s="2828"/>
      <c r="L9" s="2828"/>
      <c r="M9" s="2829"/>
      <c r="N9" s="55"/>
    </row>
    <row r="10" spans="1:18" s="54" customFormat="1">
      <c r="A10" s="144"/>
      <c r="B10" s="2561"/>
      <c r="C10" s="2561"/>
      <c r="D10" s="2561"/>
      <c r="E10" s="2561"/>
      <c r="F10" s="2561"/>
      <c r="G10" s="2561"/>
      <c r="H10" s="2561"/>
      <c r="I10" s="2561"/>
      <c r="J10" s="2561"/>
      <c r="K10" s="2561"/>
      <c r="L10" s="2561"/>
      <c r="M10" s="2562"/>
      <c r="N10" s="55"/>
    </row>
    <row r="11" spans="1:18" s="54" customFormat="1">
      <c r="A11" s="144"/>
      <c r="B11" s="2561"/>
      <c r="C11" s="2561"/>
      <c r="D11" s="2561"/>
      <c r="E11" s="2561"/>
      <c r="F11" s="2561"/>
      <c r="G11" s="3852" t="s">
        <v>4058</v>
      </c>
      <c r="H11" s="70"/>
      <c r="I11" s="3852" t="s">
        <v>2693</v>
      </c>
      <c r="J11" s="2561"/>
      <c r="K11" s="3853" t="s">
        <v>2512</v>
      </c>
      <c r="L11" s="2561"/>
      <c r="M11" s="3854" t="s">
        <v>2512</v>
      </c>
      <c r="N11" s="55"/>
    </row>
    <row r="12" spans="1:18" s="132" customFormat="1" ht="15" customHeight="1">
      <c r="A12" s="144"/>
      <c r="B12" s="2561"/>
      <c r="C12" s="2561"/>
      <c r="D12" s="2561"/>
      <c r="E12" s="2561"/>
      <c r="F12" s="2561"/>
      <c r="G12" s="145"/>
      <c r="H12" s="70"/>
      <c r="I12" s="145"/>
      <c r="J12" s="2561"/>
      <c r="K12" s="146" t="s">
        <v>3871</v>
      </c>
      <c r="L12" s="2561"/>
      <c r="M12" s="147" t="s">
        <v>3872</v>
      </c>
    </row>
    <row r="13" spans="1:18" s="132" customFormat="1" ht="15">
      <c r="A13" s="144"/>
      <c r="B13" s="143"/>
      <c r="C13" s="143"/>
      <c r="D13" s="143"/>
      <c r="E13" s="143"/>
      <c r="F13" s="143"/>
      <c r="G13" s="143"/>
      <c r="H13" s="143"/>
      <c r="I13" s="143"/>
      <c r="J13" s="143"/>
      <c r="K13" s="143"/>
      <c r="L13" s="143"/>
      <c r="M13" s="148"/>
    </row>
    <row r="14" spans="1:18" s="62" customFormat="1" ht="15">
      <c r="A14" s="143" t="s">
        <v>3739</v>
      </c>
      <c r="B14" s="1867"/>
      <c r="C14" s="143"/>
      <c r="D14" s="143"/>
      <c r="E14" s="143"/>
      <c r="F14" s="143"/>
      <c r="G14" s="149">
        <f>'MD&amp;A Tool CondSRECNP'!F20</f>
        <v>0</v>
      </c>
      <c r="H14" s="143"/>
      <c r="I14" s="1713" t="e">
        <f>'MD&amp;A Tool CondSRECNP'!H20</f>
        <v>#N/A</v>
      </c>
      <c r="J14" s="143"/>
      <c r="K14" s="150" t="e">
        <f>ABS(ROUND((G14-I14)/1000,1))</f>
        <v>#N/A</v>
      </c>
      <c r="L14" s="151"/>
      <c r="M14" s="152" t="e">
        <f>(G14-I14)/I14</f>
        <v>#N/A</v>
      </c>
    </row>
    <row r="15" spans="1:18">
      <c r="A15" s="143" t="s">
        <v>369</v>
      </c>
      <c r="C15" s="143"/>
      <c r="D15" s="143"/>
      <c r="E15" s="143"/>
      <c r="F15" s="143"/>
      <c r="G15" s="153">
        <f>'MD&amp;A Tool CondSRECNP'!F21</f>
        <v>0</v>
      </c>
      <c r="H15" s="154"/>
      <c r="I15" s="1714" t="e">
        <f>'MD&amp;A Tool CondSRECNP'!H21</f>
        <v>#N/A</v>
      </c>
      <c r="J15" s="143"/>
      <c r="K15" s="150" t="e">
        <f>ABS(ROUND((G15-I15)/1000,1))</f>
        <v>#N/A</v>
      </c>
      <c r="L15" s="155"/>
      <c r="M15" s="152" t="e">
        <f t="shared" ref="M15:M21" si="0">(G15-I15)/I15</f>
        <v>#N/A</v>
      </c>
    </row>
    <row r="16" spans="1:18">
      <c r="A16" s="143" t="s">
        <v>371</v>
      </c>
      <c r="C16" s="143"/>
      <c r="D16" s="143"/>
      <c r="E16" s="143"/>
      <c r="F16" s="143"/>
      <c r="G16" s="153">
        <f>'MD&amp;A Tool CondSRECNP'!F22</f>
        <v>0</v>
      </c>
      <c r="H16" s="154"/>
      <c r="I16" s="1714" t="e">
        <f>'MD&amp;A Tool CondSRECNP'!H22</f>
        <v>#N/A</v>
      </c>
      <c r="J16" s="143"/>
      <c r="K16" s="150" t="e">
        <f>ABS(ROUND((G16-I16)/1009,1))</f>
        <v>#N/A</v>
      </c>
      <c r="L16" s="155"/>
      <c r="M16" s="152" t="e">
        <f t="shared" si="0"/>
        <v>#N/A</v>
      </c>
    </row>
    <row r="17" spans="1:13">
      <c r="A17" s="143" t="s">
        <v>373</v>
      </c>
      <c r="C17" s="143"/>
      <c r="D17" s="143"/>
      <c r="E17" s="143"/>
      <c r="F17" s="143"/>
      <c r="G17" s="153">
        <f>'MD&amp;A Tool CondSRECNP'!F23</f>
        <v>0</v>
      </c>
      <c r="H17" s="154"/>
      <c r="I17" s="1714" t="e">
        <f>'MD&amp;A Tool CondSRECNP'!H23</f>
        <v>#N/A</v>
      </c>
      <c r="J17" s="143"/>
      <c r="K17" s="150" t="e">
        <f>ABS(ROUND((G17-I17)/1009,1))</f>
        <v>#N/A</v>
      </c>
      <c r="L17" s="155"/>
      <c r="M17" s="152" t="e">
        <f t="shared" si="0"/>
        <v>#N/A</v>
      </c>
    </row>
    <row r="18" spans="1:13">
      <c r="A18" s="143" t="s">
        <v>375</v>
      </c>
      <c r="C18" s="143"/>
      <c r="D18" s="143"/>
      <c r="E18" s="143"/>
      <c r="F18" s="143"/>
      <c r="G18" s="153">
        <f>'MD&amp;A Tool CondSRECNP'!F24</f>
        <v>0</v>
      </c>
      <c r="H18" s="154"/>
      <c r="I18" s="1714" t="e">
        <f>'MD&amp;A Tool CondSRECNP'!H24</f>
        <v>#N/A</v>
      </c>
      <c r="J18" s="143"/>
      <c r="K18" s="150" t="e">
        <f>ABS(ROUND((G18-I18)/1009,1))</f>
        <v>#N/A</v>
      </c>
      <c r="L18" s="155"/>
      <c r="M18" s="152" t="e">
        <f t="shared" si="0"/>
        <v>#N/A</v>
      </c>
    </row>
    <row r="19" spans="1:13">
      <c r="A19" s="143" t="s">
        <v>2404</v>
      </c>
      <c r="C19" s="143"/>
      <c r="D19" s="143"/>
      <c r="E19" s="143"/>
      <c r="F19" s="143"/>
      <c r="G19" s="153">
        <f>'MD&amp;A Tool CondSRECNP'!F26</f>
        <v>0</v>
      </c>
      <c r="H19" s="154"/>
      <c r="I19" s="1714" t="e">
        <f>'MD&amp;A Tool CondSRECNP'!H26</f>
        <v>#N/A</v>
      </c>
      <c r="J19" s="143"/>
      <c r="K19" s="150" t="e">
        <f>ABS(ROUND((G19-I19)/1009,1))</f>
        <v>#N/A</v>
      </c>
      <c r="L19" s="155"/>
      <c r="M19" s="152" t="e">
        <f t="shared" si="0"/>
        <v>#N/A</v>
      </c>
    </row>
    <row r="20" spans="1:13">
      <c r="A20" s="143" t="s">
        <v>345</v>
      </c>
      <c r="C20" s="143"/>
      <c r="D20" s="143"/>
      <c r="E20" s="143"/>
      <c r="F20" s="143"/>
      <c r="G20" s="458">
        <f>'MD&amp;A Tool CondSRECNP'!F27</f>
        <v>0</v>
      </c>
      <c r="H20" s="456"/>
      <c r="I20" s="1715" t="e">
        <f>'MD&amp;A Tool CondSRECNP'!H27</f>
        <v>#N/A</v>
      </c>
      <c r="J20" s="160"/>
      <c r="K20" s="459" t="e">
        <f>ABS(ROUND((G20-I20)/1000,1))</f>
        <v>#N/A</v>
      </c>
      <c r="L20" s="186"/>
      <c r="M20" s="187" t="e">
        <f t="shared" si="0"/>
        <v>#N/A</v>
      </c>
    </row>
    <row r="21" spans="1:13">
      <c r="A21" s="144"/>
      <c r="B21" s="143"/>
      <c r="C21" s="143"/>
      <c r="D21" s="143"/>
      <c r="E21" s="156" t="s">
        <v>2304</v>
      </c>
      <c r="F21" s="143"/>
      <c r="G21" s="157">
        <f t="array" ref="G21">SUM(ROUND(G14:G20,0))</f>
        <v>0</v>
      </c>
      <c r="H21" s="143"/>
      <c r="I21" s="157" t="e">
        <f t="array" ref="I21">SUM(ROUND(I14:I20,0))</f>
        <v>#N/A</v>
      </c>
      <c r="J21" s="143"/>
      <c r="K21" s="150" t="e">
        <f>ABS(ROUND((G21-I21)/1000,1))</f>
        <v>#N/A</v>
      </c>
      <c r="M21" s="152" t="e">
        <f t="shared" si="0"/>
        <v>#N/A</v>
      </c>
    </row>
    <row r="22" spans="1:13">
      <c r="A22" s="144"/>
      <c r="B22" s="143"/>
      <c r="C22" s="143"/>
      <c r="D22" s="143"/>
      <c r="F22" s="143"/>
      <c r="J22" s="143"/>
      <c r="K22" s="143"/>
      <c r="M22" s="148"/>
    </row>
    <row r="23" spans="1:13">
      <c r="A23" s="144"/>
      <c r="B23" s="158"/>
      <c r="C23" s="159"/>
      <c r="D23" s="160"/>
      <c r="E23" s="161" t="s">
        <v>3873</v>
      </c>
      <c r="F23" s="160"/>
      <c r="G23" s="162">
        <f>'MD&amp;A Tool CondSRECNP'!F29</f>
        <v>0</v>
      </c>
      <c r="H23" s="75"/>
      <c r="I23" s="162" t="e">
        <f>'MD&amp;A Tool CondSRECNP'!H29</f>
        <v>#N/A</v>
      </c>
      <c r="J23" s="75"/>
      <c r="K23" s="162"/>
      <c r="L23" s="75"/>
      <c r="M23" s="163"/>
    </row>
    <row r="24" spans="1:13">
      <c r="A24" s="3448"/>
      <c r="B24" s="160"/>
      <c r="C24" s="160"/>
      <c r="D24" s="160"/>
      <c r="E24" s="160"/>
      <c r="F24" s="160"/>
      <c r="G24" s="160"/>
      <c r="H24" s="160"/>
      <c r="I24" s="160"/>
      <c r="J24" s="160"/>
      <c r="K24" s="160"/>
      <c r="L24" s="160"/>
      <c r="M24" s="160"/>
    </row>
    <row r="25" spans="1:13">
      <c r="B25" s="3850"/>
      <c r="C25" s="3850"/>
      <c r="D25" s="3850"/>
      <c r="E25" s="3850"/>
      <c r="F25" s="3850"/>
      <c r="G25" s="3075" t="s">
        <v>3874</v>
      </c>
      <c r="H25" s="3850"/>
      <c r="I25" s="3850"/>
      <c r="J25" s="3850"/>
      <c r="K25" s="3850"/>
      <c r="L25" s="3850"/>
      <c r="M25" s="3851"/>
    </row>
    <row r="26" spans="1:13">
      <c r="B26" s="213"/>
      <c r="C26" s="213"/>
      <c r="D26" s="213"/>
      <c r="E26" s="213"/>
      <c r="F26" s="213"/>
      <c r="G26" s="3076" t="s">
        <v>3717</v>
      </c>
      <c r="H26" s="213"/>
      <c r="I26" s="213"/>
      <c r="J26" s="213"/>
      <c r="K26" s="213"/>
      <c r="L26" s="213"/>
      <c r="M26" s="2826"/>
    </row>
    <row r="27" spans="1:13">
      <c r="B27" s="213"/>
      <c r="C27" s="213"/>
      <c r="D27" s="213"/>
      <c r="E27" s="213"/>
      <c r="F27" s="213"/>
      <c r="G27" s="3076" t="s">
        <v>3718</v>
      </c>
      <c r="H27" s="213"/>
      <c r="I27" s="213"/>
      <c r="J27" s="213"/>
      <c r="K27" s="213"/>
      <c r="L27" s="213"/>
      <c r="M27" s="2826"/>
    </row>
    <row r="28" spans="1:13">
      <c r="A28" s="144"/>
      <c r="B28" s="2561"/>
      <c r="C28" s="2561"/>
      <c r="D28" s="2561"/>
      <c r="E28" s="2561"/>
      <c r="F28" s="2561"/>
      <c r="G28" s="2561"/>
      <c r="H28" s="2561"/>
      <c r="I28" s="2561"/>
      <c r="J28" s="2561"/>
      <c r="K28" s="2561"/>
      <c r="L28" s="2561"/>
      <c r="M28" s="2562"/>
    </row>
    <row r="29" spans="1:13">
      <c r="A29" s="144"/>
      <c r="B29" s="143"/>
      <c r="C29" s="143"/>
      <c r="D29" s="143"/>
      <c r="E29" s="143"/>
      <c r="F29" s="143"/>
      <c r="G29" s="143"/>
      <c r="H29" s="143"/>
      <c r="I29" s="143"/>
      <c r="J29" s="143"/>
      <c r="K29" s="143"/>
      <c r="M29" s="148"/>
    </row>
    <row r="30" spans="1:13">
      <c r="A30" s="144"/>
      <c r="B30" s="69"/>
      <c r="C30" s="69"/>
      <c r="D30" s="69"/>
      <c r="E30" s="2830" t="s">
        <v>2303</v>
      </c>
      <c r="F30" s="2830"/>
      <c r="G30" s="2830"/>
      <c r="H30" s="69"/>
      <c r="I30" s="2830" t="s">
        <v>3875</v>
      </c>
      <c r="J30" s="2830"/>
      <c r="K30" s="2830"/>
      <c r="L30" s="71"/>
      <c r="M30" s="148"/>
    </row>
    <row r="31" spans="1:13">
      <c r="A31" s="144"/>
      <c r="B31" s="69"/>
      <c r="C31" s="69"/>
      <c r="D31" s="69"/>
      <c r="E31" s="3449" t="s">
        <v>4090</v>
      </c>
      <c r="F31" s="70"/>
      <c r="G31" s="3449" t="s">
        <v>3876</v>
      </c>
      <c r="H31" s="70"/>
      <c r="I31" s="3450">
        <v>44377</v>
      </c>
      <c r="J31" s="70"/>
      <c r="K31" s="3450">
        <v>44012</v>
      </c>
      <c r="L31" s="164"/>
      <c r="M31" s="148"/>
    </row>
    <row r="32" spans="1:13">
      <c r="A32" s="144"/>
      <c r="B32" s="69"/>
      <c r="C32" s="69"/>
      <c r="D32" s="69"/>
      <c r="E32" s="164"/>
      <c r="F32" s="69"/>
      <c r="G32" s="164"/>
      <c r="H32" s="69"/>
      <c r="I32" s="164"/>
      <c r="J32" s="69"/>
      <c r="K32" s="164"/>
      <c r="L32" s="164"/>
      <c r="M32" s="148"/>
    </row>
    <row r="33" spans="1:13">
      <c r="A33" s="72" t="s">
        <v>3750</v>
      </c>
      <c r="C33" s="69"/>
      <c r="D33" s="69"/>
      <c r="E33" s="74"/>
      <c r="F33" s="69"/>
      <c r="G33" s="74"/>
      <c r="H33" s="69"/>
      <c r="I33" s="74"/>
      <c r="J33" s="69"/>
      <c r="K33" s="74"/>
      <c r="L33" s="74"/>
      <c r="M33" s="148"/>
    </row>
    <row r="34" spans="1:13">
      <c r="A34" s="69" t="s">
        <v>385</v>
      </c>
      <c r="C34" s="69"/>
      <c r="D34" s="69"/>
      <c r="E34" s="165">
        <f>ROUND(SRECNP!L24/1000,0)</f>
        <v>0</v>
      </c>
      <c r="F34" s="73"/>
      <c r="G34" s="1716" t="e">
        <f>(VLOOKUP($G$1,VLOOKUP!A437:BY464,10,FALSE))/1000</f>
        <v>#N/A</v>
      </c>
      <c r="H34" s="73"/>
      <c r="I34" s="165">
        <f>ROUND(SRECNP!N24/1000,0)</f>
        <v>0</v>
      </c>
      <c r="J34" s="73"/>
      <c r="K34" s="1716" t="e">
        <f>(VLOOKUP($G$1,VLOOKUP!A437:BY464,48,FALSE))/1000</f>
        <v>#N/A</v>
      </c>
      <c r="L34" s="73"/>
      <c r="M34" s="148"/>
    </row>
    <row r="35" spans="1:13">
      <c r="A35" s="69" t="s">
        <v>387</v>
      </c>
      <c r="C35" s="69"/>
      <c r="D35" s="69"/>
      <c r="E35" s="85">
        <f>E44-E34-E36-E37-E38-E39-E40</f>
        <v>0</v>
      </c>
      <c r="F35" s="78"/>
      <c r="G35" s="1717" t="e">
        <f>(VLOOKUP($G$1,VLOOKUP!A437:BY464,11,FALSE))/1000</f>
        <v>#N/A</v>
      </c>
      <c r="H35" s="78"/>
      <c r="I35" s="85">
        <f>I44-I34-I36-I37-I38-I39-I40</f>
        <v>0</v>
      </c>
      <c r="J35" s="78"/>
      <c r="K35" s="1717" t="e">
        <f>(VLOOKUP($G$1,VLOOKUP!A437:BY464,49,FALSE))/1000</f>
        <v>#N/A</v>
      </c>
      <c r="L35" s="74"/>
      <c r="M35" s="148"/>
    </row>
    <row r="36" spans="1:13">
      <c r="A36" s="69" t="s">
        <v>389</v>
      </c>
      <c r="C36" s="69"/>
      <c r="D36" s="69"/>
      <c r="E36" s="85">
        <f>ROUND(SRECNP!L26/1000,0)</f>
        <v>0</v>
      </c>
      <c r="F36" s="78"/>
      <c r="G36" s="1717" t="e">
        <f>(VLOOKUP($G$1,VLOOKUP!A437:BY464,12,FALSE))/1000</f>
        <v>#N/A</v>
      </c>
      <c r="H36" s="78"/>
      <c r="I36" s="78">
        <f>ROUND(SRECNP!N26/1000,0)</f>
        <v>0</v>
      </c>
      <c r="J36" s="78"/>
      <c r="K36" s="1717" t="e">
        <f>(VLOOKUP($G$1,VLOOKUP!A437:BY464,50,FALSE))/1000</f>
        <v>#N/A</v>
      </c>
      <c r="L36" s="74"/>
      <c r="M36" s="148"/>
    </row>
    <row r="37" spans="1:13">
      <c r="A37" s="69" t="s">
        <v>391</v>
      </c>
      <c r="C37" s="69"/>
      <c r="D37" s="69"/>
      <c r="E37" s="85">
        <f>ROUND(SRECNP!L27/1000,0)</f>
        <v>0</v>
      </c>
      <c r="F37" s="78"/>
      <c r="G37" s="1717" t="e">
        <f>(VLOOKUP($G$1,VLOOKUP!A437:BY464,13,FALSE))/1000</f>
        <v>#N/A</v>
      </c>
      <c r="H37" s="78"/>
      <c r="I37" s="78">
        <f>ROUND(SRECNP!N27/1000,0)</f>
        <v>0</v>
      </c>
      <c r="J37" s="78"/>
      <c r="K37" s="1717" t="e">
        <f>(VLOOKUP($G$1,VLOOKUP!A437:BY464,51,FALSE))/1000</f>
        <v>#N/A</v>
      </c>
      <c r="L37" s="74"/>
      <c r="M37" s="148"/>
    </row>
    <row r="38" spans="1:13">
      <c r="A38" s="68" t="s">
        <v>393</v>
      </c>
      <c r="C38" s="69"/>
      <c r="D38" s="69"/>
      <c r="E38" s="85">
        <f>ROUND(SRECNP!L28/1000,0)</f>
        <v>0</v>
      </c>
      <c r="F38" s="78"/>
      <c r="G38" s="1717" t="e">
        <f>(VLOOKUP($G$1,VLOOKUP!A437:BY464,14,FALSE))/1000</f>
        <v>#N/A</v>
      </c>
      <c r="H38" s="78"/>
      <c r="I38" s="78">
        <f>ROUND(SRECNP!N28/1000,0)</f>
        <v>0</v>
      </c>
      <c r="J38" s="78"/>
      <c r="K38" s="1717" t="e">
        <f>(VLOOKUP($G$1,VLOOKUP!A437:BY464,52,FALSE))/1000</f>
        <v>#N/A</v>
      </c>
      <c r="L38" s="74"/>
      <c r="M38" s="148"/>
    </row>
    <row r="39" spans="1:13">
      <c r="A39" s="69" t="s">
        <v>395</v>
      </c>
      <c r="C39" s="69"/>
      <c r="D39" s="69"/>
      <c r="E39" s="85">
        <f>ROUND(SRECNP!L29/1000,0)</f>
        <v>0</v>
      </c>
      <c r="F39" s="78"/>
      <c r="G39" s="1717" t="e">
        <f>(VLOOKUP($G$1,VLOOKUP!A437:BY464,15,FALSE))/1000</f>
        <v>#N/A</v>
      </c>
      <c r="H39" s="78"/>
      <c r="I39" s="78">
        <f>ROUND(SRECNP!N29/1000,0)</f>
        <v>0</v>
      </c>
      <c r="J39" s="78"/>
      <c r="K39" s="1717" t="e">
        <f>(VLOOKUP($G$1,VLOOKUP!A437:BY464,53,FALSE))/1000</f>
        <v>#N/A</v>
      </c>
      <c r="L39" s="74"/>
      <c r="M39" s="148"/>
    </row>
    <row r="40" spans="1:13">
      <c r="A40" s="68" t="s">
        <v>397</v>
      </c>
      <c r="C40" s="69"/>
      <c r="D40" s="69"/>
      <c r="E40" s="86">
        <f>ROUND(SRECNP!L30/1000,0)</f>
        <v>0</v>
      </c>
      <c r="F40" s="78"/>
      <c r="G40" s="1718" t="e">
        <f>(VLOOKUP($G$1,VLOOKUP!A437:BY464,16,FALSE))/1000</f>
        <v>#N/A</v>
      </c>
      <c r="H40" s="78"/>
      <c r="I40" s="79">
        <f>ROUND(SRECNP!N30/1000,0)</f>
        <v>0</v>
      </c>
      <c r="J40" s="78"/>
      <c r="K40" s="1718" t="e">
        <f>(VLOOKUP($G$1,VLOOKUP!A437:BY464,54,FALSE))/1000</f>
        <v>#N/A</v>
      </c>
      <c r="L40" s="74"/>
      <c r="M40" s="148"/>
    </row>
    <row r="41" spans="1:13">
      <c r="A41" s="69"/>
      <c r="C41" s="69"/>
      <c r="D41" s="69"/>
      <c r="E41" s="74"/>
      <c r="F41" s="74"/>
      <c r="G41" s="74"/>
      <c r="H41" s="74"/>
      <c r="I41" s="74"/>
      <c r="J41" s="74"/>
      <c r="K41" s="74"/>
      <c r="L41" s="74"/>
      <c r="M41" s="148"/>
    </row>
    <row r="42" spans="1:13" ht="13.5" thickBot="1">
      <c r="A42" s="72" t="s">
        <v>401</v>
      </c>
      <c r="C42" s="69"/>
      <c r="D42" s="69"/>
      <c r="E42" s="76">
        <f>SUM(E34:E40)</f>
        <v>0</v>
      </c>
      <c r="F42" s="74"/>
      <c r="G42" s="76" t="e">
        <f>SUM(G34:G41)</f>
        <v>#N/A</v>
      </c>
      <c r="H42" s="74"/>
      <c r="I42" s="76">
        <f>SUM(I34:I40)</f>
        <v>0</v>
      </c>
      <c r="J42" s="74"/>
      <c r="K42" s="76" t="e">
        <f>SUM(K34:K41)</f>
        <v>#N/A</v>
      </c>
      <c r="L42" s="73"/>
      <c r="M42" s="148"/>
    </row>
    <row r="43" spans="1:13" ht="13.5" thickTop="1">
      <c r="A43" s="144"/>
      <c r="B43" s="72"/>
      <c r="C43" s="69"/>
      <c r="D43" s="69"/>
      <c r="E43" s="73"/>
      <c r="F43" s="74"/>
      <c r="G43" s="73"/>
      <c r="H43" s="74"/>
      <c r="I43" s="73"/>
      <c r="J43" s="74"/>
      <c r="K43" s="73"/>
      <c r="L43" s="73"/>
      <c r="M43" s="148"/>
    </row>
    <row r="44" spans="1:13">
      <c r="A44" s="166"/>
      <c r="B44" s="158"/>
      <c r="C44" s="159"/>
      <c r="D44" s="161" t="s">
        <v>3873</v>
      </c>
      <c r="E44" s="162">
        <f>'MD&amp;A Tool CondSRECNP'!F30</f>
        <v>0</v>
      </c>
      <c r="F44" s="162"/>
      <c r="G44" s="162" t="e">
        <f>'MD&amp;A Tool CondSRECNP'!H30</f>
        <v>#N/A</v>
      </c>
      <c r="H44" s="160"/>
      <c r="I44" s="162">
        <f>'MD&amp;A Tool CondSRECNP'!J30</f>
        <v>0</v>
      </c>
      <c r="J44" s="162"/>
      <c r="K44" s="162" t="e">
        <f>'MD&amp;A Tool CondSRECNP'!L30</f>
        <v>#N/A</v>
      </c>
      <c r="L44" s="160"/>
      <c r="M44" s="167"/>
    </row>
    <row r="45" spans="1:13">
      <c r="A45" s="160"/>
      <c r="B45" s="160"/>
      <c r="C45" s="160"/>
      <c r="D45" s="160"/>
      <c r="E45" s="160"/>
      <c r="F45" s="160"/>
      <c r="G45" s="160"/>
      <c r="H45" s="160"/>
      <c r="I45" s="160"/>
      <c r="J45" s="160"/>
      <c r="K45" s="160"/>
      <c r="L45" s="160"/>
      <c r="M45" s="160"/>
    </row>
    <row r="46" spans="1:13">
      <c r="A46" s="3855"/>
      <c r="B46" s="3856"/>
      <c r="C46" s="3857"/>
      <c r="D46" s="3858"/>
      <c r="E46" s="3859"/>
      <c r="F46" s="3860"/>
      <c r="G46" s="3859"/>
      <c r="H46" s="3860"/>
      <c r="I46" s="3859"/>
      <c r="J46" s="3860"/>
      <c r="K46" s="3859"/>
      <c r="L46" s="3859"/>
      <c r="M46" s="3861"/>
    </row>
    <row r="47" spans="1:13">
      <c r="A47" s="144"/>
      <c r="C47" s="2831"/>
      <c r="D47" s="2831"/>
      <c r="E47" s="2831"/>
      <c r="F47" s="2831"/>
      <c r="G47" s="3077" t="s">
        <v>3874</v>
      </c>
      <c r="H47" s="2831"/>
      <c r="I47" s="2831"/>
      <c r="J47" s="2831"/>
      <c r="K47" s="2831"/>
      <c r="L47" s="2831"/>
      <c r="M47" s="2832"/>
    </row>
    <row r="48" spans="1:13">
      <c r="A48" s="144"/>
      <c r="C48" s="213"/>
      <c r="D48" s="213"/>
      <c r="E48" s="213"/>
      <c r="F48" s="213"/>
      <c r="G48" s="2561" t="s">
        <v>3718</v>
      </c>
      <c r="H48" s="213"/>
      <c r="I48" s="213"/>
      <c r="J48" s="213"/>
      <c r="K48" s="213"/>
      <c r="L48" s="213"/>
      <c r="M48" s="2826"/>
    </row>
    <row r="49" spans="1:13">
      <c r="A49" s="144"/>
      <c r="C49" s="2828"/>
      <c r="D49" s="2828"/>
      <c r="E49" s="2828"/>
      <c r="F49" s="2828"/>
      <c r="G49" s="3078" t="s">
        <v>3870</v>
      </c>
      <c r="H49" s="2828"/>
      <c r="I49" s="2828"/>
      <c r="J49" s="2828"/>
      <c r="K49" s="2828"/>
      <c r="L49" s="2828"/>
      <c r="M49" s="2829"/>
    </row>
    <row r="50" spans="1:13">
      <c r="A50" s="144"/>
      <c r="B50" s="2561"/>
      <c r="C50" s="2561"/>
      <c r="D50" s="2561"/>
      <c r="E50" s="2561"/>
      <c r="F50" s="2561"/>
      <c r="G50" s="2561"/>
      <c r="H50" s="2561"/>
      <c r="I50" s="2561"/>
      <c r="J50" s="2561"/>
      <c r="K50" s="2561"/>
      <c r="L50" s="2561"/>
      <c r="M50" s="2562"/>
    </row>
    <row r="51" spans="1:13">
      <c r="A51" s="144"/>
      <c r="B51" s="2561"/>
      <c r="C51" s="2561"/>
      <c r="D51" s="2561"/>
      <c r="E51" s="2561"/>
      <c r="F51" s="2561"/>
      <c r="G51" s="3852" t="str">
        <f>G11</f>
        <v>2020-21</v>
      </c>
      <c r="H51" s="70"/>
      <c r="I51" s="3852" t="str">
        <f>I11</f>
        <v>2019-20</v>
      </c>
      <c r="J51" s="2561"/>
      <c r="K51" s="3853" t="s">
        <v>2512</v>
      </c>
      <c r="L51" s="2561"/>
      <c r="M51" s="3854" t="s">
        <v>2512</v>
      </c>
    </row>
    <row r="52" spans="1:13">
      <c r="A52" s="144"/>
      <c r="B52" s="2561"/>
      <c r="C52" s="2561"/>
      <c r="D52" s="2561"/>
      <c r="E52" s="2561"/>
      <c r="F52" s="2561"/>
      <c r="G52" s="145"/>
      <c r="H52" s="70"/>
      <c r="I52" s="145"/>
      <c r="J52" s="2561"/>
      <c r="K52" s="146" t="s">
        <v>3871</v>
      </c>
      <c r="L52" s="2561"/>
      <c r="M52" s="147" t="s">
        <v>3872</v>
      </c>
    </row>
    <row r="53" spans="1:13">
      <c r="A53" s="144"/>
      <c r="B53" s="143"/>
      <c r="C53" s="143"/>
      <c r="D53" s="143"/>
      <c r="E53" s="143"/>
      <c r="F53" s="143"/>
      <c r="G53" s="143"/>
      <c r="H53" s="143"/>
      <c r="I53" s="143"/>
      <c r="J53" s="143"/>
      <c r="K53" s="143"/>
      <c r="M53" s="148"/>
    </row>
    <row r="54" spans="1:13">
      <c r="A54" s="144"/>
      <c r="B54" s="143"/>
      <c r="C54" s="143" t="s">
        <v>397</v>
      </c>
      <c r="D54" s="143"/>
      <c r="E54" s="143"/>
      <c r="F54" s="143"/>
      <c r="G54" s="165">
        <f>E40</f>
        <v>0</v>
      </c>
      <c r="H54" s="143"/>
      <c r="I54" s="1719" t="e">
        <f>G40</f>
        <v>#N/A</v>
      </c>
      <c r="J54" s="143"/>
      <c r="K54" s="188" t="e">
        <f>ABS(ROUND((G54-I54)/1000,1))</f>
        <v>#N/A</v>
      </c>
      <c r="L54" s="151"/>
      <c r="M54" s="152" t="e">
        <f>(G54-I54)/I54</f>
        <v>#N/A</v>
      </c>
    </row>
    <row r="55" spans="1:13">
      <c r="A55" s="144"/>
      <c r="B55" s="143"/>
      <c r="C55" s="143" t="s">
        <v>395</v>
      </c>
      <c r="D55" s="143"/>
      <c r="E55" s="143"/>
      <c r="F55" s="143"/>
      <c r="G55" s="85">
        <f>E39</f>
        <v>0</v>
      </c>
      <c r="H55" s="154"/>
      <c r="I55" s="1720" t="e">
        <f>G39</f>
        <v>#N/A</v>
      </c>
      <c r="J55" s="143"/>
      <c r="K55" s="189" t="e">
        <f>ABS(ROUND((G55-I55)/1000,1))</f>
        <v>#N/A</v>
      </c>
      <c r="L55" s="155"/>
      <c r="M55" s="152" t="e">
        <f t="shared" ref="M55:M60" si="1">(G55-I55)/I55</f>
        <v>#N/A</v>
      </c>
    </row>
    <row r="56" spans="1:13">
      <c r="A56" s="144"/>
      <c r="B56" s="143"/>
      <c r="C56" s="143" t="s">
        <v>393</v>
      </c>
      <c r="D56" s="143"/>
      <c r="E56" s="143"/>
      <c r="F56" s="143"/>
      <c r="G56" s="85">
        <f>E38</f>
        <v>0</v>
      </c>
      <c r="H56" s="154"/>
      <c r="I56" s="1720" t="e">
        <f>G38</f>
        <v>#N/A</v>
      </c>
      <c r="J56" s="143"/>
      <c r="K56" s="189" t="e">
        <f t="shared" ref="K56:K61" si="2">ABS(ROUND((G56-I56)/1000,1))</f>
        <v>#N/A</v>
      </c>
      <c r="L56" s="155"/>
      <c r="M56" s="152" t="e">
        <f t="shared" si="1"/>
        <v>#N/A</v>
      </c>
    </row>
    <row r="57" spans="1:13">
      <c r="A57" s="144"/>
      <c r="B57" s="143"/>
      <c r="C57" s="143" t="s">
        <v>391</v>
      </c>
      <c r="D57" s="143"/>
      <c r="E57" s="143"/>
      <c r="F57" s="143"/>
      <c r="G57" s="85">
        <f>E37</f>
        <v>0</v>
      </c>
      <c r="H57" s="154"/>
      <c r="I57" s="1720" t="e">
        <f>G37</f>
        <v>#N/A</v>
      </c>
      <c r="J57" s="143"/>
      <c r="K57" s="189" t="e">
        <f t="shared" si="2"/>
        <v>#N/A</v>
      </c>
      <c r="L57" s="155"/>
      <c r="M57" s="152" t="e">
        <f t="shared" si="1"/>
        <v>#N/A</v>
      </c>
    </row>
    <row r="58" spans="1:13">
      <c r="A58" s="144"/>
      <c r="B58" s="143"/>
      <c r="C58" s="143" t="s">
        <v>389</v>
      </c>
      <c r="D58" s="143"/>
      <c r="E58" s="143"/>
      <c r="F58" s="143"/>
      <c r="G58" s="85">
        <f>E36</f>
        <v>0</v>
      </c>
      <c r="H58" s="154"/>
      <c r="I58" s="1720" t="e">
        <f>G36</f>
        <v>#N/A</v>
      </c>
      <c r="J58" s="143"/>
      <c r="K58" s="189" t="e">
        <f t="shared" si="2"/>
        <v>#N/A</v>
      </c>
      <c r="L58" s="155"/>
      <c r="M58" s="152" t="e">
        <f t="shared" si="1"/>
        <v>#N/A</v>
      </c>
    </row>
    <row r="59" spans="1:13">
      <c r="A59" s="144"/>
      <c r="B59" s="143"/>
      <c r="C59" s="143" t="s">
        <v>387</v>
      </c>
      <c r="D59" s="143"/>
      <c r="E59" s="143"/>
      <c r="F59" s="143"/>
      <c r="G59" s="85">
        <f>E35</f>
        <v>0</v>
      </c>
      <c r="H59" s="154"/>
      <c r="I59" s="1720" t="e">
        <f>G35</f>
        <v>#N/A</v>
      </c>
      <c r="J59" s="143"/>
      <c r="K59" s="189" t="e">
        <f t="shared" si="2"/>
        <v>#N/A</v>
      </c>
      <c r="L59" s="155"/>
      <c r="M59" s="152" t="e">
        <f>(G59-I59)/I59</f>
        <v>#N/A</v>
      </c>
    </row>
    <row r="60" spans="1:13">
      <c r="A60" s="144"/>
      <c r="B60" s="143"/>
      <c r="C60" s="143" t="s">
        <v>385</v>
      </c>
      <c r="D60" s="143"/>
      <c r="E60" s="143"/>
      <c r="F60" s="143"/>
      <c r="G60" s="86">
        <f>E34</f>
        <v>0</v>
      </c>
      <c r="H60" s="456"/>
      <c r="I60" s="1721" t="e">
        <f>G34</f>
        <v>#N/A</v>
      </c>
      <c r="J60" s="160"/>
      <c r="K60" s="457" t="e">
        <f t="shared" si="2"/>
        <v>#N/A</v>
      </c>
      <c r="L60" s="186"/>
      <c r="M60" s="187" t="e">
        <f t="shared" si="1"/>
        <v>#N/A</v>
      </c>
    </row>
    <row r="61" spans="1:13">
      <c r="A61" s="166"/>
      <c r="B61" s="160"/>
      <c r="C61" s="160"/>
      <c r="D61" s="160"/>
      <c r="E61" s="160"/>
      <c r="F61" s="160"/>
      <c r="G61" s="3451">
        <f>SUM(G54:G60)</f>
        <v>0</v>
      </c>
      <c r="H61" s="160"/>
      <c r="I61" s="185" t="e">
        <f>SUM(I54:I60)</f>
        <v>#N/A</v>
      </c>
      <c r="J61" s="160"/>
      <c r="K61" s="460" t="e">
        <f t="shared" si="2"/>
        <v>#N/A</v>
      </c>
      <c r="L61" s="186"/>
      <c r="M61" s="187" t="e">
        <f>(G61-I61)/I61</f>
        <v>#N/A</v>
      </c>
    </row>
    <row r="63" spans="1:13">
      <c r="A63" s="3849"/>
      <c r="B63" s="3850"/>
      <c r="C63" s="3850"/>
      <c r="D63" s="3850"/>
      <c r="E63" s="3850"/>
      <c r="F63" s="3850"/>
      <c r="G63" s="3862" t="s">
        <v>3877</v>
      </c>
      <c r="H63" s="3850"/>
      <c r="I63" s="3850"/>
      <c r="J63" s="3850"/>
      <c r="K63" s="3850"/>
      <c r="L63" s="3850"/>
      <c r="M63" s="3851"/>
    </row>
    <row r="64" spans="1:13">
      <c r="A64" s="2825"/>
      <c r="B64" s="213"/>
      <c r="C64" s="213"/>
      <c r="D64" s="213"/>
      <c r="E64" s="213"/>
      <c r="F64" s="213"/>
      <c r="G64" s="3076" t="s">
        <v>3718</v>
      </c>
      <c r="H64" s="213"/>
      <c r="I64" s="213"/>
      <c r="J64" s="213"/>
      <c r="K64" s="213"/>
      <c r="L64" s="213"/>
      <c r="M64" s="2826"/>
    </row>
    <row r="65" spans="1:13">
      <c r="A65" s="144"/>
      <c r="B65" s="2561"/>
      <c r="C65" s="2561"/>
      <c r="D65" s="2561"/>
      <c r="E65" s="2561"/>
      <c r="F65" s="2561"/>
      <c r="G65" s="2561"/>
      <c r="H65" s="2561"/>
      <c r="I65" s="2561"/>
      <c r="J65" s="2561"/>
      <c r="K65" s="2561"/>
      <c r="L65" s="2561"/>
      <c r="M65" s="2562"/>
    </row>
    <row r="66" spans="1:13">
      <c r="A66" s="144"/>
      <c r="B66" s="143"/>
      <c r="C66" s="143"/>
      <c r="D66" s="143"/>
      <c r="E66" s="143"/>
      <c r="F66" s="143"/>
      <c r="G66" s="143"/>
      <c r="H66" s="143"/>
      <c r="I66" s="143"/>
      <c r="J66" s="143"/>
      <c r="K66" s="143"/>
      <c r="M66" s="148"/>
    </row>
    <row r="67" spans="1:13">
      <c r="A67" s="144"/>
      <c r="B67" s="168"/>
      <c r="C67" s="168"/>
      <c r="D67" s="168"/>
      <c r="E67" s="168"/>
      <c r="F67" s="168"/>
      <c r="G67" s="2424" t="str">
        <f>G51</f>
        <v>2020-21</v>
      </c>
      <c r="H67" s="169"/>
      <c r="I67" s="2424" t="str">
        <f>I51</f>
        <v>2019-20</v>
      </c>
      <c r="J67" s="143"/>
      <c r="K67" s="143"/>
      <c r="M67" s="148"/>
    </row>
    <row r="68" spans="1:13">
      <c r="A68" s="144"/>
      <c r="B68" s="168"/>
      <c r="C68" s="168"/>
      <c r="D68" s="168"/>
      <c r="E68" s="168"/>
      <c r="F68" s="168"/>
      <c r="G68" s="169"/>
      <c r="H68" s="169"/>
      <c r="I68" s="169"/>
      <c r="J68" s="143"/>
      <c r="K68" s="143"/>
      <c r="M68" s="148"/>
    </row>
    <row r="69" spans="1:13">
      <c r="A69" s="144"/>
      <c r="B69" s="1865" t="s">
        <v>403</v>
      </c>
      <c r="C69" s="168"/>
      <c r="D69" s="168"/>
      <c r="E69" s="168"/>
      <c r="F69" s="168"/>
      <c r="G69" s="1673">
        <f>ROUND(SRECNP!L37/1000,0)</f>
        <v>0</v>
      </c>
      <c r="H69" s="171"/>
      <c r="I69" s="1717" t="e">
        <f>(VLOOKUP($G$1,VLOOKUP!A437:BY464,19,FALSE))/1000</f>
        <v>#N/A</v>
      </c>
      <c r="J69" s="143"/>
      <c r="K69" s="143"/>
      <c r="M69" s="148"/>
    </row>
    <row r="70" spans="1:13">
      <c r="A70" s="144"/>
      <c r="B70" s="1865" t="s">
        <v>405</v>
      </c>
      <c r="C70" s="168"/>
      <c r="D70" s="168"/>
      <c r="E70" s="168"/>
      <c r="F70" s="168"/>
      <c r="G70" s="173">
        <f>ROUND(SRECNP!L38/1000,0)</f>
        <v>0</v>
      </c>
      <c r="H70" s="171"/>
      <c r="I70" s="1722" t="e">
        <f>(VLOOKUP($G$1,VLOOKUP!A437:BY464,20,FALSE))/1000</f>
        <v>#N/A</v>
      </c>
      <c r="J70" s="143"/>
      <c r="K70" s="143"/>
      <c r="M70" s="148"/>
    </row>
    <row r="71" spans="1:13">
      <c r="A71" s="144"/>
      <c r="B71" s="1865" t="s">
        <v>407</v>
      </c>
      <c r="C71" s="172"/>
      <c r="D71" s="168"/>
      <c r="E71" s="173"/>
      <c r="F71" s="168"/>
      <c r="G71" s="173">
        <f>ROUND(SRECNP!L39/1000,0)</f>
        <v>0</v>
      </c>
      <c r="H71" s="173"/>
      <c r="I71" s="1717" t="e">
        <f>(VLOOKUP($G$1,VLOOKUP!A437:BY464,21,FALSE))/1000</f>
        <v>#N/A</v>
      </c>
      <c r="J71" s="143"/>
      <c r="K71" s="143"/>
      <c r="M71" s="148"/>
    </row>
    <row r="72" spans="1:13">
      <c r="A72" s="144"/>
      <c r="B72" s="1865" t="s">
        <v>409</v>
      </c>
      <c r="C72" s="172"/>
      <c r="D72" s="168"/>
      <c r="E72" s="173"/>
      <c r="F72" s="168"/>
      <c r="G72" s="173">
        <f>ROUND(SRECNP!L40/1000,0)</f>
        <v>0</v>
      </c>
      <c r="H72" s="173"/>
      <c r="I72" s="1717" t="e">
        <f>(VLOOKUP($G$1,VLOOKUP!A437:BY464,22,FALSE))/1000</f>
        <v>#N/A</v>
      </c>
      <c r="J72" s="143"/>
      <c r="K72" s="143"/>
      <c r="M72" s="148"/>
    </row>
    <row r="73" spans="1:13">
      <c r="B73" s="1865" t="s">
        <v>411</v>
      </c>
      <c r="C73" s="172"/>
      <c r="D73" s="168"/>
      <c r="E73" s="173"/>
      <c r="F73" s="168"/>
      <c r="G73" s="173">
        <f>ROUND(SRECNP!L41/1000,0)</f>
        <v>0</v>
      </c>
      <c r="H73" s="173"/>
      <c r="I73" s="1722" t="e">
        <f>(VLOOKUP($G$1,VLOOKUP!A437:BY464,23,FALSE))/1000</f>
        <v>#N/A</v>
      </c>
      <c r="J73" s="143"/>
      <c r="K73" s="143"/>
      <c r="M73" s="148"/>
    </row>
    <row r="74" spans="1:13">
      <c r="A74" s="144"/>
      <c r="B74" s="1865" t="s">
        <v>413</v>
      </c>
      <c r="C74" s="172"/>
      <c r="D74" s="168"/>
      <c r="F74" s="168"/>
      <c r="G74" s="173">
        <f>ROUND(SRECNP!L42/1000,0)</f>
        <v>0</v>
      </c>
      <c r="H74" s="173"/>
      <c r="I74" s="1717" t="e">
        <f>(VLOOKUP($G$1,VLOOKUP!A437:BY464,24,FALSE))/1000</f>
        <v>#N/A</v>
      </c>
      <c r="J74" s="143"/>
      <c r="K74" s="143"/>
      <c r="M74" s="148"/>
    </row>
    <row r="75" spans="1:13">
      <c r="A75" s="144"/>
      <c r="B75" s="1865" t="s">
        <v>415</v>
      </c>
      <c r="C75" s="172"/>
      <c r="D75" s="168"/>
      <c r="E75" s="173"/>
      <c r="F75" s="168"/>
      <c r="G75" s="173">
        <f>ROUND(SRECNP!L43/1000,0)</f>
        <v>0</v>
      </c>
      <c r="H75" s="173"/>
      <c r="I75" s="1717" t="e">
        <f>(VLOOKUP($G$1,VLOOKUP!A437:BY464,25,FALSE))/1000</f>
        <v>#N/A</v>
      </c>
      <c r="J75" s="143"/>
      <c r="K75" s="143"/>
      <c r="M75" s="148"/>
    </row>
    <row r="76" spans="1:13">
      <c r="A76" s="144"/>
      <c r="B76" s="1865" t="s">
        <v>417</v>
      </c>
      <c r="C76" s="172"/>
      <c r="D76" s="168"/>
      <c r="E76" s="173"/>
      <c r="F76" s="168"/>
      <c r="G76" s="173">
        <f>ROUND(SRECNP!L44/1000,0)</f>
        <v>0</v>
      </c>
      <c r="H76" s="173"/>
      <c r="I76" s="1717" t="e">
        <f>(VLOOKUP($G$1,VLOOKUP!A437:BY464,26,FALSE))/1000</f>
        <v>#N/A</v>
      </c>
      <c r="J76" s="143"/>
      <c r="K76" s="143"/>
      <c r="M76" s="148"/>
    </row>
    <row r="77" spans="1:13">
      <c r="A77" s="144"/>
      <c r="B77" s="1865" t="s">
        <v>419</v>
      </c>
      <c r="C77" s="168"/>
      <c r="D77" s="168"/>
      <c r="E77" s="173"/>
      <c r="F77" s="168"/>
      <c r="G77" s="174">
        <f>ROUND(SRECNP!L45/1000,0)</f>
        <v>0</v>
      </c>
      <c r="I77" s="1718" t="e">
        <f>(VLOOKUP($G$1,VLOOKUP!A437:BY464,27,FALSE))/1000</f>
        <v>#N/A</v>
      </c>
      <c r="J77" s="143"/>
      <c r="K77" s="143"/>
      <c r="M77" s="148"/>
    </row>
    <row r="78" spans="1:13">
      <c r="A78" s="144"/>
      <c r="B78" s="168"/>
      <c r="C78" s="168"/>
      <c r="D78" s="168"/>
      <c r="E78" s="173"/>
      <c r="F78" s="168"/>
      <c r="G78" s="168"/>
      <c r="H78" s="168"/>
      <c r="I78" s="168"/>
      <c r="J78" s="143"/>
      <c r="K78" s="143"/>
      <c r="M78" s="148"/>
    </row>
    <row r="79" spans="1:13" ht="13.5" thickBot="1">
      <c r="A79" s="144"/>
      <c r="B79" s="175" t="s">
        <v>3726</v>
      </c>
      <c r="C79" s="175"/>
      <c r="D79" s="175"/>
      <c r="E79" s="175"/>
      <c r="F79" s="168"/>
      <c r="G79" s="176">
        <f>SUM(G69:G77)</f>
        <v>0</v>
      </c>
      <c r="H79" s="171"/>
      <c r="I79" s="176" t="e">
        <f>SUM(I69:I77)</f>
        <v>#N/A</v>
      </c>
      <c r="J79" s="143"/>
      <c r="K79" s="143"/>
      <c r="M79" s="148"/>
    </row>
    <row r="80" spans="1:13" ht="13.5" thickTop="1">
      <c r="A80" s="144"/>
      <c r="B80" s="175"/>
      <c r="C80" s="175"/>
      <c r="D80" s="175"/>
      <c r="E80" s="175"/>
      <c r="F80" s="168"/>
      <c r="G80" s="170"/>
      <c r="H80" s="171"/>
      <c r="I80" s="170"/>
      <c r="J80" s="143"/>
      <c r="K80" s="143"/>
      <c r="M80" s="148"/>
    </row>
    <row r="81" spans="1:13">
      <c r="A81" s="144"/>
      <c r="B81" s="175"/>
      <c r="C81" s="175"/>
      <c r="D81" s="175"/>
      <c r="E81" s="177" t="s">
        <v>3878</v>
      </c>
      <c r="F81" s="168"/>
      <c r="G81" s="170">
        <f>'MD&amp;A Tool CondSRECNP'!F38</f>
        <v>0</v>
      </c>
      <c r="H81" s="171"/>
      <c r="I81" s="170" t="e">
        <f>'MD&amp;A Tool CondSRECNP'!H38</f>
        <v>#N/A</v>
      </c>
      <c r="J81" s="143"/>
      <c r="K81" s="143"/>
      <c r="M81" s="148"/>
    </row>
    <row r="82" spans="1:13">
      <c r="A82" s="144"/>
      <c r="B82" s="175"/>
      <c r="C82" s="175"/>
      <c r="D82" s="175"/>
      <c r="E82" s="177" t="s">
        <v>3879</v>
      </c>
      <c r="F82" s="168"/>
      <c r="G82" s="170">
        <f>SUM(G69:G77)</f>
        <v>0</v>
      </c>
      <c r="H82" s="171"/>
      <c r="I82" s="170" t="e">
        <f>SUM(I69:I77)</f>
        <v>#N/A</v>
      </c>
      <c r="J82" s="143"/>
      <c r="K82" s="143"/>
      <c r="M82" s="148"/>
    </row>
    <row r="83" spans="1:13">
      <c r="A83" s="166"/>
      <c r="B83" s="178"/>
      <c r="C83" s="178"/>
      <c r="D83" s="178"/>
      <c r="E83" s="178"/>
      <c r="F83" s="179"/>
      <c r="G83" s="180"/>
      <c r="H83" s="181"/>
      <c r="I83" s="180"/>
      <c r="J83" s="160"/>
      <c r="K83" s="160"/>
      <c r="L83" s="160"/>
      <c r="M83" s="167"/>
    </row>
    <row r="84" spans="1:13">
      <c r="B84" s="175"/>
      <c r="C84" s="175"/>
      <c r="D84" s="175"/>
      <c r="E84" s="175"/>
      <c r="F84" s="168"/>
      <c r="G84" s="170"/>
      <c r="H84" s="171"/>
      <c r="I84" s="170"/>
    </row>
    <row r="85" spans="1:13">
      <c r="B85" s="3850"/>
      <c r="C85" s="3850"/>
      <c r="D85" s="3850"/>
      <c r="E85" s="3850"/>
      <c r="F85" s="3850"/>
      <c r="G85" s="3862" t="s">
        <v>3880</v>
      </c>
      <c r="H85" s="3850"/>
      <c r="I85" s="3850"/>
      <c r="J85" s="3850"/>
      <c r="K85" s="3850"/>
      <c r="L85" s="3850"/>
      <c r="M85" s="3851"/>
    </row>
    <row r="86" spans="1:13">
      <c r="B86" s="213"/>
      <c r="C86" s="213"/>
      <c r="D86" s="213"/>
      <c r="E86" s="213"/>
      <c r="F86" s="213"/>
      <c r="G86" s="3076" t="s">
        <v>3718</v>
      </c>
      <c r="H86" s="213"/>
      <c r="I86" s="213"/>
      <c r="J86" s="213"/>
      <c r="K86" s="213"/>
      <c r="L86" s="213"/>
      <c r="M86" s="2826"/>
    </row>
    <row r="87" spans="1:13">
      <c r="A87" s="144"/>
      <c r="B87" s="2561"/>
      <c r="C87" s="2561"/>
      <c r="D87" s="2561"/>
      <c r="E87" s="2561"/>
      <c r="F87" s="2561"/>
      <c r="G87" s="2561"/>
      <c r="H87" s="2561"/>
      <c r="I87" s="2561"/>
      <c r="J87" s="2561"/>
      <c r="K87" s="2561"/>
      <c r="L87" s="2561"/>
      <c r="M87" s="2562"/>
    </row>
    <row r="88" spans="1:13">
      <c r="A88" s="144"/>
      <c r="B88" s="143"/>
      <c r="C88" s="143"/>
      <c r="D88" s="143"/>
      <c r="E88" s="143"/>
      <c r="F88" s="143"/>
      <c r="G88" s="143"/>
      <c r="H88" s="143"/>
      <c r="I88" s="143"/>
      <c r="J88" s="143"/>
      <c r="K88" s="143"/>
      <c r="M88" s="148"/>
    </row>
    <row r="89" spans="1:13">
      <c r="A89" s="144"/>
      <c r="B89" s="69"/>
      <c r="C89" s="69"/>
      <c r="D89" s="69"/>
      <c r="E89" s="143"/>
      <c r="F89" s="143"/>
      <c r="G89" s="2425" t="str">
        <f>G67</f>
        <v>2020-21</v>
      </c>
      <c r="H89" s="2555"/>
      <c r="I89" s="2425" t="str">
        <f>I67</f>
        <v>2019-20</v>
      </c>
      <c r="J89" s="143"/>
      <c r="K89" s="143"/>
      <c r="M89" s="148"/>
    </row>
    <row r="90" spans="1:13">
      <c r="A90" s="144"/>
      <c r="B90" s="69"/>
      <c r="C90" s="69"/>
      <c r="D90" s="69"/>
      <c r="E90" s="143"/>
      <c r="F90" s="143"/>
      <c r="G90" s="2555"/>
      <c r="H90" s="2555"/>
      <c r="I90" s="2555"/>
      <c r="J90" s="143"/>
      <c r="K90" s="143"/>
      <c r="M90" s="148"/>
    </row>
    <row r="91" spans="1:13">
      <c r="A91" s="144"/>
      <c r="B91" s="68" t="s">
        <v>425</v>
      </c>
      <c r="C91" s="69"/>
      <c r="D91" s="69"/>
      <c r="E91" s="143"/>
      <c r="F91" s="143"/>
      <c r="G91" s="123">
        <f>'MD&amp;A Tool CondSRECNP'!F42</f>
        <v>0</v>
      </c>
      <c r="H91" s="124"/>
      <c r="I91" s="123" t="e">
        <f>'MD&amp;A Tool CondSRECNP'!H42</f>
        <v>#N/A</v>
      </c>
      <c r="J91" s="143"/>
      <c r="K91" s="143"/>
      <c r="M91" s="148"/>
    </row>
    <row r="92" spans="1:13">
      <c r="A92" s="144"/>
      <c r="B92" s="68" t="s">
        <v>427</v>
      </c>
      <c r="C92" s="69"/>
      <c r="D92" s="69"/>
      <c r="E92" s="143"/>
      <c r="F92" s="143"/>
      <c r="G92" s="173">
        <f>'MD&amp;A Tool CondSRECNP'!F43</f>
        <v>0</v>
      </c>
      <c r="H92" s="121"/>
      <c r="I92" s="173" t="e">
        <f>'MD&amp;A Tool CondSRECNP'!H43</f>
        <v>#N/A</v>
      </c>
      <c r="J92" s="143"/>
      <c r="K92" s="143"/>
      <c r="M92" s="148"/>
    </row>
    <row r="93" spans="1:13">
      <c r="A93" s="144"/>
      <c r="B93" s="68" t="s">
        <v>3729</v>
      </c>
      <c r="C93" s="69"/>
      <c r="D93" s="69"/>
      <c r="E93" s="143"/>
      <c r="F93" s="143"/>
      <c r="G93" s="174">
        <f>'MD&amp;A Tool CondSRECNP'!F44</f>
        <v>0</v>
      </c>
      <c r="H93" s="121"/>
      <c r="I93" s="174" t="e">
        <f>'MD&amp;A Tool CondSRECNP'!H44</f>
        <v>#N/A</v>
      </c>
      <c r="J93" s="143"/>
      <c r="K93" s="143"/>
      <c r="M93" s="148"/>
    </row>
    <row r="94" spans="1:13">
      <c r="A94" s="144"/>
      <c r="B94" s="69"/>
      <c r="C94" s="69"/>
      <c r="D94" s="69"/>
      <c r="E94" s="143"/>
      <c r="F94" s="143"/>
      <c r="G94" s="121"/>
      <c r="H94" s="121"/>
      <c r="I94" s="121"/>
      <c r="J94" s="143"/>
      <c r="K94" s="143"/>
      <c r="M94" s="148"/>
    </row>
    <row r="95" spans="1:13" ht="13.5" thickBot="1">
      <c r="A95" s="144"/>
      <c r="B95" s="72" t="s">
        <v>108</v>
      </c>
      <c r="C95" s="69"/>
      <c r="D95" s="69"/>
      <c r="E95" s="143"/>
      <c r="F95" s="143"/>
      <c r="G95" s="122">
        <f>SUM(G91:G94)</f>
        <v>0</v>
      </c>
      <c r="H95" s="124"/>
      <c r="I95" s="122" t="e">
        <f>SUM(I91:I94)</f>
        <v>#N/A</v>
      </c>
      <c r="J95" s="143"/>
      <c r="K95" s="143"/>
      <c r="M95" s="148"/>
    </row>
    <row r="96" spans="1:13" ht="13.5" thickTop="1">
      <c r="A96" s="144"/>
      <c r="B96" s="143"/>
      <c r="C96" s="143"/>
      <c r="D96" s="143"/>
      <c r="E96" s="143"/>
      <c r="F96" s="143"/>
      <c r="G96" s="143"/>
      <c r="H96" s="143"/>
      <c r="I96" s="143"/>
      <c r="J96" s="143"/>
      <c r="K96" s="143"/>
      <c r="M96" s="148"/>
    </row>
    <row r="97" spans="1:13">
      <c r="A97" s="144"/>
      <c r="B97" s="143"/>
      <c r="C97" s="143"/>
      <c r="D97" s="143"/>
      <c r="E97" s="143"/>
      <c r="F97" s="143"/>
      <c r="G97" s="143"/>
      <c r="H97" s="143"/>
      <c r="I97" s="143"/>
      <c r="J97" s="143"/>
      <c r="K97" s="143"/>
      <c r="M97" s="148"/>
    </row>
    <row r="98" spans="1:13">
      <c r="A98" s="166"/>
      <c r="B98" s="160"/>
      <c r="C98" s="160"/>
      <c r="D98" s="160"/>
      <c r="E98" s="160"/>
      <c r="F98" s="160"/>
      <c r="G98" s="160"/>
      <c r="H98" s="160"/>
      <c r="I98" s="160"/>
      <c r="J98" s="160"/>
      <c r="K98" s="160"/>
      <c r="L98" s="160"/>
      <c r="M98" s="167"/>
    </row>
  </sheetData>
  <sheetProtection formatColumns="0" formatRows="0"/>
  <conditionalFormatting sqref="E44">
    <cfRule type="cellIs" dxfId="58" priority="58" operator="notEqual">
      <formula>E42</formula>
    </cfRule>
    <cfRule type="cellIs" dxfId="57" priority="59" operator="equal">
      <formula>E$42</formula>
    </cfRule>
  </conditionalFormatting>
  <conditionalFormatting sqref="K44">
    <cfRule type="cellIs" dxfId="56" priority="57" operator="equal">
      <formula>K$42</formula>
    </cfRule>
  </conditionalFormatting>
  <conditionalFormatting sqref="I44">
    <cfRule type="cellIs" dxfId="55" priority="56" operator="equal">
      <formula>I$42</formula>
    </cfRule>
  </conditionalFormatting>
  <conditionalFormatting sqref="I44">
    <cfRule type="cellIs" dxfId="54" priority="55" operator="equal">
      <formula>I$42</formula>
    </cfRule>
  </conditionalFormatting>
  <conditionalFormatting sqref="I44">
    <cfRule type="cellIs" dxfId="53" priority="53" operator="notEqual">
      <formula>I42</formula>
    </cfRule>
    <cfRule type="cellIs" dxfId="52" priority="54" operator="equal">
      <formula>I$42</formula>
    </cfRule>
  </conditionalFormatting>
  <conditionalFormatting sqref="K44">
    <cfRule type="cellIs" dxfId="51" priority="52" operator="equal">
      <formula>K$42</formula>
    </cfRule>
  </conditionalFormatting>
  <conditionalFormatting sqref="K44">
    <cfRule type="cellIs" dxfId="50" priority="50" operator="notEqual">
      <formula>K42</formula>
    </cfRule>
    <cfRule type="cellIs" dxfId="49" priority="51" operator="equal">
      <formula>K$42</formula>
    </cfRule>
  </conditionalFormatting>
  <conditionalFormatting sqref="G82">
    <cfRule type="cellIs" dxfId="48" priority="48" operator="notEqual">
      <formula>G81</formula>
    </cfRule>
    <cfRule type="cellIs" dxfId="47" priority="49" operator="equal">
      <formula>G81</formula>
    </cfRule>
  </conditionalFormatting>
  <conditionalFormatting sqref="I82">
    <cfRule type="cellIs" dxfId="46" priority="47" operator="equal">
      <formula>I81</formula>
    </cfRule>
  </conditionalFormatting>
  <conditionalFormatting sqref="I82">
    <cfRule type="cellIs" dxfId="45" priority="45" operator="notEqual">
      <formula>I81</formula>
    </cfRule>
    <cfRule type="cellIs" dxfId="44" priority="46" operator="equal">
      <formula>I81</formula>
    </cfRule>
  </conditionalFormatting>
  <conditionalFormatting sqref="G44">
    <cfRule type="cellIs" dxfId="43" priority="43" operator="notEqual">
      <formula>G42</formula>
    </cfRule>
    <cfRule type="cellIs" dxfId="42" priority="44" operator="equal">
      <formula>G$42</formula>
    </cfRule>
  </conditionalFormatting>
  <conditionalFormatting sqref="G23 I23">
    <cfRule type="cellIs" dxfId="41" priority="41" operator="notEqual">
      <formula>G21</formula>
    </cfRule>
    <cfRule type="cellIs" dxfId="40" priority="42" operator="equal">
      <formula>G21</formula>
    </cfRule>
  </conditionalFormatting>
  <conditionalFormatting sqref="G44">
    <cfRule type="cellIs" dxfId="39" priority="39" operator="notEqual">
      <formula>G42</formula>
    </cfRule>
    <cfRule type="cellIs" dxfId="38" priority="40" operator="equal">
      <formula>G$42</formula>
    </cfRule>
  </conditionalFormatting>
  <conditionalFormatting sqref="I44">
    <cfRule type="cellIs" dxfId="37" priority="37" operator="notEqual">
      <formula>I42</formula>
    </cfRule>
    <cfRule type="cellIs" dxfId="36" priority="38" operator="equal">
      <formula>I$42</formula>
    </cfRule>
  </conditionalFormatting>
  <conditionalFormatting sqref="I44">
    <cfRule type="cellIs" dxfId="35" priority="35" operator="notEqual">
      <formula>I42</formula>
    </cfRule>
    <cfRule type="cellIs" dxfId="34" priority="36" operator="equal">
      <formula>I$42</formula>
    </cfRule>
  </conditionalFormatting>
  <conditionalFormatting sqref="K44">
    <cfRule type="cellIs" dxfId="33" priority="34" operator="equal">
      <formula>K$42</formula>
    </cfRule>
  </conditionalFormatting>
  <conditionalFormatting sqref="K44">
    <cfRule type="cellIs" dxfId="32" priority="33" operator="equal">
      <formula>K$42</formula>
    </cfRule>
  </conditionalFormatting>
  <conditionalFormatting sqref="K44">
    <cfRule type="cellIs" dxfId="31" priority="31" operator="notEqual">
      <formula>K42</formula>
    </cfRule>
    <cfRule type="cellIs" dxfId="30" priority="32" operator="equal">
      <formula>K$42</formula>
    </cfRule>
  </conditionalFormatting>
  <conditionalFormatting sqref="K44">
    <cfRule type="cellIs" dxfId="29" priority="29" operator="notEqual">
      <formula>K42</formula>
    </cfRule>
    <cfRule type="cellIs" dxfId="28" priority="30" operator="equal">
      <formula>K$42</formula>
    </cfRule>
  </conditionalFormatting>
  <conditionalFormatting sqref="K44">
    <cfRule type="cellIs" dxfId="27" priority="27" operator="notEqual">
      <formula>K42</formula>
    </cfRule>
    <cfRule type="cellIs" dxfId="26" priority="28" operator="equal">
      <formula>K$42</formula>
    </cfRule>
  </conditionalFormatting>
  <conditionalFormatting sqref="E44">
    <cfRule type="cellIs" dxfId="25" priority="25" operator="notEqual">
      <formula>E42</formula>
    </cfRule>
    <cfRule type="cellIs" dxfId="24" priority="26" operator="equal">
      <formula>E42</formula>
    </cfRule>
  </conditionalFormatting>
  <conditionalFormatting sqref="K44">
    <cfRule type="cellIs" dxfId="23" priority="3" operator="notEqual">
      <formula>K42</formula>
    </cfRule>
    <cfRule type="cellIs" dxfId="22" priority="4" operator="equal">
      <formula>K42</formula>
    </cfRule>
  </conditionalFormatting>
  <conditionalFormatting sqref="G44">
    <cfRule type="cellIs" dxfId="21" priority="23" operator="notEqual">
      <formula>G42</formula>
    </cfRule>
    <cfRule type="cellIs" dxfId="20" priority="24" operator="equal">
      <formula>G42</formula>
    </cfRule>
  </conditionalFormatting>
  <conditionalFormatting sqref="I44">
    <cfRule type="cellIs" dxfId="19" priority="21" operator="notEqual">
      <formula>I42</formula>
    </cfRule>
    <cfRule type="cellIs" dxfId="18" priority="22" operator="equal">
      <formula>I$42</formula>
    </cfRule>
  </conditionalFormatting>
  <conditionalFormatting sqref="I44">
    <cfRule type="cellIs" dxfId="17" priority="19" operator="notEqual">
      <formula>I42</formula>
    </cfRule>
    <cfRule type="cellIs" dxfId="16" priority="20" operator="equal">
      <formula>I$42</formula>
    </cfRule>
  </conditionalFormatting>
  <conditionalFormatting sqref="I44">
    <cfRule type="cellIs" dxfId="15" priority="17" operator="notEqual">
      <formula>I42</formula>
    </cfRule>
    <cfRule type="cellIs" dxfId="14" priority="18" operator="equal">
      <formula>I42</formula>
    </cfRule>
  </conditionalFormatting>
  <conditionalFormatting sqref="K44">
    <cfRule type="cellIs" dxfId="13" priority="16" operator="equal">
      <formula>K$42</formula>
    </cfRule>
  </conditionalFormatting>
  <conditionalFormatting sqref="K44">
    <cfRule type="cellIs" dxfId="12" priority="15" operator="equal">
      <formula>K$42</formula>
    </cfRule>
  </conditionalFormatting>
  <conditionalFormatting sqref="K44">
    <cfRule type="cellIs" dxfId="11" priority="13" operator="notEqual">
      <formula>K42</formula>
    </cfRule>
    <cfRule type="cellIs" dxfId="10" priority="14" operator="equal">
      <formula>K$42</formula>
    </cfRule>
  </conditionalFormatting>
  <conditionalFormatting sqref="K44">
    <cfRule type="cellIs" dxfId="9" priority="11" operator="notEqual">
      <formula>K42</formula>
    </cfRule>
    <cfRule type="cellIs" dxfId="8" priority="12" operator="equal">
      <formula>K$42</formula>
    </cfRule>
  </conditionalFormatting>
  <conditionalFormatting sqref="K44">
    <cfRule type="cellIs" dxfId="7" priority="9" operator="notEqual">
      <formula>K42</formula>
    </cfRule>
    <cfRule type="cellIs" dxfId="6" priority="10" operator="equal">
      <formula>K$42</formula>
    </cfRule>
  </conditionalFormatting>
  <conditionalFormatting sqref="K44">
    <cfRule type="cellIs" dxfId="5" priority="7" operator="notEqual">
      <formula>K42</formula>
    </cfRule>
    <cfRule type="cellIs" dxfId="4" priority="8" operator="equal">
      <formula>K$42</formula>
    </cfRule>
  </conditionalFormatting>
  <conditionalFormatting sqref="K44">
    <cfRule type="cellIs" dxfId="3" priority="5" operator="notEqual">
      <formula>K42</formula>
    </cfRule>
    <cfRule type="cellIs" dxfId="2" priority="6" operator="equal">
      <formula>K$42</formula>
    </cfRule>
  </conditionalFormatting>
  <conditionalFormatting sqref="I82">
    <cfRule type="cellIs" dxfId="1" priority="1" operator="notEqual">
      <formula>I81</formula>
    </cfRule>
    <cfRule type="cellIs" dxfId="0" priority="2" operator="equal">
      <formula>I81</formula>
    </cfRule>
  </conditionalFormatting>
  <printOptions horizontalCentered="1"/>
  <pageMargins left="0.7" right="0.7" top="0.75" bottom="0.75" header="0.3" footer="0.3"/>
  <pageSetup fitToHeight="4" orientation="landscape" r:id="rId1"/>
  <headerFooter>
    <oddHeader>&amp;L&amp;"Arial,Regular"&amp;8&amp;F&amp;R&amp;"Arial,Regular"&amp;8&amp;A</oddHeader>
    <oddFooter>&amp;L&amp;"Arial,Regular"&amp;8&amp;D&amp;R&amp;"Arial,Regular"&amp;8&amp;P of &amp;N</oddFooter>
  </headerFooter>
  <rowBreaks count="1" manualBreakCount="1">
    <brk id="45" max="12" man="1"/>
  </row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1" tint="0.499984740745262"/>
    <pageSetUpPr fitToPage="1"/>
  </sheetPr>
  <dimension ref="A2:FN626"/>
  <sheetViews>
    <sheetView topLeftCell="A257" zoomScale="115" zoomScaleNormal="115" zoomScaleSheetLayoutView="100" workbookViewId="0">
      <selection activeCell="D263" sqref="D263"/>
    </sheetView>
  </sheetViews>
  <sheetFormatPr defaultRowHeight="15"/>
  <cols>
    <col min="1" max="1" width="51.140625" customWidth="1"/>
    <col min="2" max="2" width="21.140625" customWidth="1"/>
    <col min="3" max="3" width="18.28515625" customWidth="1"/>
    <col min="4" max="4" width="20.5703125" customWidth="1"/>
    <col min="5" max="5" width="20.140625" customWidth="1"/>
    <col min="6" max="6" width="17.85546875" customWidth="1"/>
    <col min="7" max="7" width="18.5703125" customWidth="1"/>
    <col min="8" max="8" width="26.7109375" style="3124" customWidth="1"/>
    <col min="9" max="9" width="16.7109375" style="4248" customWidth="1"/>
    <col min="10" max="10" width="11.140625" customWidth="1"/>
    <col min="11" max="11" width="16.28515625" customWidth="1"/>
    <col min="12" max="12" width="27.42578125" customWidth="1"/>
    <col min="13" max="13" width="13.28515625" customWidth="1"/>
    <col min="14" max="14" width="17.140625" customWidth="1"/>
    <col min="15" max="15" width="18.42578125" customWidth="1"/>
    <col min="16" max="16" width="14.5703125" customWidth="1"/>
    <col min="17" max="17" width="18" customWidth="1"/>
    <col min="18" max="18" width="18.85546875" customWidth="1"/>
    <col min="19" max="19" width="15.28515625" customWidth="1"/>
    <col min="20" max="20" width="18" customWidth="1"/>
    <col min="21" max="21" width="12.5703125" customWidth="1"/>
    <col min="22" max="22" width="18.7109375" customWidth="1"/>
    <col min="23" max="23" width="15.5703125" customWidth="1"/>
    <col min="24" max="24" width="15.42578125" customWidth="1"/>
    <col min="25" max="25" width="13.42578125" customWidth="1"/>
    <col min="26" max="26" width="12.85546875" customWidth="1"/>
    <col min="27" max="27" width="16.85546875" customWidth="1"/>
    <col min="28" max="28" width="17.140625" customWidth="1"/>
    <col min="29" max="29" width="19.85546875" customWidth="1"/>
    <col min="30" max="30" width="17.85546875" customWidth="1"/>
    <col min="31" max="31" width="14.7109375" customWidth="1"/>
    <col min="32" max="32" width="12" customWidth="1"/>
    <col min="33" max="33" width="12.7109375" customWidth="1"/>
    <col min="34" max="34" width="16.5703125" customWidth="1"/>
    <col min="35" max="35" width="17.28515625" customWidth="1"/>
    <col min="36" max="36" width="18" customWidth="1"/>
    <col min="37" max="37" width="14.85546875" customWidth="1"/>
    <col min="38" max="38" width="17.5703125" customWidth="1"/>
    <col min="39" max="39" width="18" customWidth="1"/>
    <col min="40" max="40" width="13.42578125" customWidth="1"/>
    <col min="41" max="41" width="16.140625" customWidth="1"/>
    <col min="42" max="42" width="13" customWidth="1"/>
    <col min="43" max="43" width="16.140625" customWidth="1"/>
    <col min="44" max="44" width="13" customWidth="1"/>
    <col min="45" max="45" width="12.7109375" customWidth="1"/>
    <col min="46" max="46" width="16.28515625" customWidth="1"/>
    <col min="47" max="47" width="15.85546875" customWidth="1"/>
    <col min="48" max="48" width="15.28515625" bestFit="1" customWidth="1"/>
    <col min="49" max="49" width="13.7109375" customWidth="1"/>
    <col min="50" max="50" width="15" customWidth="1"/>
    <col min="51" max="51" width="15.85546875" customWidth="1"/>
    <col min="52" max="52" width="13.5703125" bestFit="1" customWidth="1"/>
    <col min="53" max="53" width="12.85546875" bestFit="1" customWidth="1"/>
    <col min="54" max="54" width="15.7109375" customWidth="1"/>
    <col min="55" max="55" width="19" bestFit="1" customWidth="1"/>
    <col min="56" max="56" width="18.7109375" bestFit="1" customWidth="1"/>
    <col min="57" max="57" width="15.28515625" bestFit="1" customWidth="1"/>
    <col min="58" max="58" width="15.85546875" customWidth="1"/>
    <col min="59" max="60" width="15.28515625" bestFit="1" customWidth="1"/>
    <col min="61" max="61" width="15.5703125" bestFit="1" customWidth="1"/>
    <col min="62" max="62" width="13.85546875" bestFit="1" customWidth="1"/>
    <col min="63" max="63" width="20.85546875" bestFit="1" customWidth="1"/>
    <col min="64" max="64" width="15.85546875" bestFit="1" customWidth="1"/>
    <col min="65" max="66" width="15.5703125" bestFit="1" customWidth="1"/>
    <col min="67" max="67" width="21.28515625" customWidth="1"/>
    <col min="68" max="68" width="14.85546875" customWidth="1"/>
    <col min="69" max="69" width="12" customWidth="1"/>
    <col min="70" max="70" width="14.28515625" bestFit="1" customWidth="1"/>
    <col min="71" max="71" width="13" bestFit="1" customWidth="1"/>
    <col min="72" max="72" width="14.28515625" customWidth="1"/>
    <col min="73" max="73" width="17.85546875" customWidth="1"/>
    <col min="74" max="74" width="20" customWidth="1"/>
    <col min="75" max="75" width="14.7109375" customWidth="1"/>
    <col min="76" max="76" width="16.85546875" bestFit="1" customWidth="1"/>
    <col min="77" max="77" width="20" customWidth="1"/>
    <col min="78" max="78" width="17.7109375" customWidth="1"/>
    <col min="79" max="79" width="13" bestFit="1" customWidth="1"/>
    <col min="80" max="80" width="12.85546875" customWidth="1"/>
    <col min="81" max="81" width="18.5703125" customWidth="1"/>
    <col min="82" max="83" width="12.5703125" customWidth="1"/>
    <col min="84" max="84" width="13.5703125" customWidth="1"/>
    <col min="85" max="85" width="14.5703125" customWidth="1"/>
    <col min="86" max="86" width="13" bestFit="1" customWidth="1"/>
    <col min="87" max="87" width="14.7109375" customWidth="1"/>
    <col min="88" max="88" width="13.5703125" customWidth="1"/>
    <col min="89" max="89" width="13.28515625" customWidth="1"/>
    <col min="90" max="90" width="14.28515625" bestFit="1" customWidth="1"/>
    <col min="91" max="91" width="11.42578125" bestFit="1" customWidth="1"/>
    <col min="92" max="92" width="12" bestFit="1" customWidth="1"/>
    <col min="93" max="93" width="12.5703125" bestFit="1" customWidth="1"/>
    <col min="94" max="95" width="16.140625" customWidth="1"/>
    <col min="96" max="96" width="13.7109375" customWidth="1"/>
    <col min="97" max="97" width="14.28515625" customWidth="1"/>
    <col min="98" max="98" width="15.28515625" bestFit="1" customWidth="1"/>
    <col min="99" max="99" width="14" customWidth="1"/>
    <col min="100" max="100" width="14.7109375" customWidth="1"/>
    <col min="101" max="101" width="16.5703125" customWidth="1"/>
    <col min="102" max="102" width="15.85546875" bestFit="1" customWidth="1"/>
    <col min="103" max="103" width="13.28515625" customWidth="1"/>
    <col min="104" max="104" width="14.7109375" bestFit="1" customWidth="1"/>
    <col min="105" max="105" width="10.7109375" customWidth="1"/>
    <col min="106" max="106" width="11" customWidth="1"/>
    <col min="107" max="107" width="12.42578125" customWidth="1"/>
    <col min="108" max="108" width="15" bestFit="1" customWidth="1"/>
    <col min="109" max="109" width="12.7109375" bestFit="1" customWidth="1"/>
    <col min="110" max="110" width="15.5703125" bestFit="1" customWidth="1"/>
    <col min="111" max="111" width="14.7109375" bestFit="1" customWidth="1"/>
    <col min="112" max="112" width="17.28515625" bestFit="1" customWidth="1"/>
    <col min="113" max="113" width="12.5703125" bestFit="1" customWidth="1"/>
    <col min="114" max="114" width="13.140625" bestFit="1" customWidth="1"/>
    <col min="115" max="117" width="12.7109375" bestFit="1" customWidth="1"/>
    <col min="118" max="118" width="11.7109375" bestFit="1" customWidth="1"/>
    <col min="119" max="119" width="14.7109375" bestFit="1" customWidth="1"/>
    <col min="120" max="120" width="13.7109375" customWidth="1"/>
    <col min="121" max="121" width="12.5703125" bestFit="1" customWidth="1"/>
    <col min="122" max="122" width="17" customWidth="1"/>
    <col min="123" max="123" width="13" bestFit="1" customWidth="1"/>
    <col min="124" max="124" width="14.28515625" bestFit="1" customWidth="1"/>
    <col min="125" max="125" width="12.7109375" bestFit="1" customWidth="1"/>
    <col min="126" max="126" width="12" bestFit="1" customWidth="1"/>
    <col min="127" max="127" width="11.7109375" bestFit="1" customWidth="1"/>
    <col min="128" max="128" width="12.42578125" bestFit="1" customWidth="1"/>
    <col min="129" max="129" width="11.85546875" customWidth="1"/>
    <col min="130" max="130" width="16.28515625" customWidth="1"/>
    <col min="131" max="131" width="14.85546875" customWidth="1"/>
    <col min="132" max="133" width="11.7109375" customWidth="1"/>
    <col min="134" max="134" width="13" customWidth="1"/>
    <col min="135" max="135" width="13.7109375" bestFit="1" customWidth="1"/>
    <col min="136" max="136" width="15.140625" customWidth="1"/>
    <col min="137" max="137" width="13.85546875" customWidth="1"/>
    <col min="138" max="138" width="13.28515625" customWidth="1"/>
    <col min="139" max="139" width="11.85546875" customWidth="1"/>
    <col min="140" max="140" width="13" customWidth="1"/>
    <col min="141" max="141" width="13.140625" customWidth="1"/>
    <col min="142" max="142" width="14.85546875" customWidth="1"/>
    <col min="143" max="143" width="14.7109375" customWidth="1"/>
    <col min="144" max="144" width="14.28515625" customWidth="1"/>
    <col min="145" max="145" width="12.28515625" customWidth="1"/>
    <col min="146" max="146" width="16.5703125" customWidth="1"/>
    <col min="147" max="147" width="11.42578125" bestFit="1" customWidth="1"/>
    <col min="148" max="148" width="14" customWidth="1"/>
    <col min="149" max="150" width="15" customWidth="1"/>
    <col min="151" max="151" width="13.7109375" bestFit="1" customWidth="1"/>
    <col min="152" max="152" width="16.85546875" bestFit="1" customWidth="1"/>
    <col min="153" max="153" width="13.42578125" customWidth="1"/>
    <col min="154" max="154" width="13.140625" customWidth="1"/>
    <col min="155" max="155" width="13.7109375" customWidth="1"/>
    <col min="156" max="156" width="10.5703125" bestFit="1" customWidth="1"/>
    <col min="157" max="157" width="9.85546875" bestFit="1" customWidth="1"/>
    <col min="158" max="159" width="12" bestFit="1" customWidth="1"/>
    <col min="160" max="160" width="18" customWidth="1"/>
  </cols>
  <sheetData>
    <row r="2" spans="1:12" s="1642" customFormat="1">
      <c r="A2" s="3452" t="s">
        <v>3881</v>
      </c>
      <c r="B2" s="4575"/>
      <c r="C2" s="4576"/>
      <c r="D2" s="4577"/>
      <c r="E2" s="4546"/>
      <c r="F2" s="1863"/>
      <c r="G2" s="1863"/>
      <c r="H2" s="3124"/>
      <c r="I2" s="4248"/>
      <c r="J2" s="1863"/>
      <c r="K2" s="1863"/>
      <c r="L2" s="1863"/>
    </row>
    <row r="3" spans="1:12">
      <c r="A3" s="3453" t="s">
        <v>3882</v>
      </c>
      <c r="B3" s="4578"/>
      <c r="C3" s="4579"/>
      <c r="D3" s="4580"/>
      <c r="E3" s="4547"/>
      <c r="F3" s="1863"/>
      <c r="G3" s="1863"/>
      <c r="J3" s="1863"/>
      <c r="K3" s="1863"/>
      <c r="L3" s="1863"/>
    </row>
    <row r="4" spans="1:12">
      <c r="A4" s="4582" t="s">
        <v>3883</v>
      </c>
      <c r="B4" s="3454" t="s">
        <v>3884</v>
      </c>
      <c r="C4" s="3455" t="s">
        <v>3884</v>
      </c>
      <c r="D4" s="3455" t="s">
        <v>3884</v>
      </c>
      <c r="E4" s="3455" t="s">
        <v>3885</v>
      </c>
      <c r="F4" s="701"/>
      <c r="G4" s="1863"/>
      <c r="J4" s="1863"/>
      <c r="K4" s="1863"/>
      <c r="L4" s="1863"/>
    </row>
    <row r="5" spans="1:12" ht="36.75" customHeight="1">
      <c r="A5" s="4582"/>
      <c r="B5" s="3456" t="s">
        <v>3886</v>
      </c>
      <c r="C5" s="3457" t="s">
        <v>3887</v>
      </c>
      <c r="D5" s="3457" t="s">
        <v>3888</v>
      </c>
      <c r="E5" s="3457" t="s">
        <v>3889</v>
      </c>
      <c r="F5" s="4551" t="s">
        <v>4092</v>
      </c>
      <c r="G5" s="4552"/>
      <c r="H5" s="4552"/>
      <c r="I5" s="4552"/>
      <c r="J5" s="4552"/>
      <c r="K5" s="4552"/>
      <c r="L5" s="4553"/>
    </row>
    <row r="6" spans="1:12" ht="15" customHeight="1">
      <c r="A6" s="3455" t="s">
        <v>3890</v>
      </c>
      <c r="B6" s="3458" t="s">
        <v>3891</v>
      </c>
      <c r="C6" s="3459" t="s">
        <v>3892</v>
      </c>
      <c r="D6" s="3459" t="s">
        <v>3893</v>
      </c>
      <c r="E6" s="3459" t="s">
        <v>3894</v>
      </c>
      <c r="F6" s="4554"/>
      <c r="G6" s="4555"/>
      <c r="H6" s="4555"/>
      <c r="I6" s="4555"/>
      <c r="J6" s="4555"/>
      <c r="K6" s="4555"/>
      <c r="L6" s="4556"/>
    </row>
    <row r="7" spans="1:12" ht="15" customHeight="1">
      <c r="A7" s="3460">
        <v>1</v>
      </c>
      <c r="B7" s="3460">
        <v>2</v>
      </c>
      <c r="C7" s="3460">
        <v>3</v>
      </c>
      <c r="D7" s="3460">
        <v>4</v>
      </c>
      <c r="E7" s="3460">
        <v>5</v>
      </c>
      <c r="F7" s="4557"/>
      <c r="G7" s="4558"/>
      <c r="H7" s="4558"/>
      <c r="I7" s="4558"/>
      <c r="J7" s="4558"/>
      <c r="K7" s="4558"/>
      <c r="L7" s="4559"/>
    </row>
    <row r="8" spans="1:12">
      <c r="A8" s="3461" t="s">
        <v>2303</v>
      </c>
      <c r="B8" s="3461" t="s">
        <v>3895</v>
      </c>
      <c r="C8" s="3461" t="str">
        <f>B8</f>
        <v>College2020</v>
      </c>
      <c r="D8" s="3461" t="str">
        <f>B8</f>
        <v>College2020</v>
      </c>
      <c r="E8" s="3461" t="s">
        <v>3896</v>
      </c>
      <c r="F8" s="701"/>
      <c r="G8" s="1863"/>
      <c r="J8" s="1863"/>
      <c r="K8" s="1863"/>
      <c r="L8" s="1863"/>
    </row>
    <row r="9" spans="1:12" s="1642" customFormat="1">
      <c r="A9" s="3462" t="s">
        <v>128</v>
      </c>
      <c r="B9" s="3463">
        <v>11324072</v>
      </c>
      <c r="C9" s="3463">
        <v>5324124</v>
      </c>
      <c r="D9" s="3463">
        <v>10199541</v>
      </c>
      <c r="E9" s="3464">
        <f t="shared" ref="E9:E14" si="0">SUM(B9:D9)</f>
        <v>26847737</v>
      </c>
      <c r="F9" s="3885"/>
      <c r="G9" s="1863"/>
      <c r="H9" s="3124"/>
      <c r="I9" s="4248"/>
      <c r="J9" s="1863"/>
      <c r="K9" s="1863"/>
      <c r="L9" s="1863"/>
    </row>
    <row r="10" spans="1:12" s="1642" customFormat="1">
      <c r="A10" s="3462" t="s">
        <v>120</v>
      </c>
      <c r="B10" s="3463">
        <v>5047994</v>
      </c>
      <c r="C10" s="3463">
        <v>387782</v>
      </c>
      <c r="D10" s="3463">
        <v>4560765</v>
      </c>
      <c r="E10" s="3464">
        <f t="shared" si="0"/>
        <v>9996541</v>
      </c>
      <c r="F10" s="3885"/>
      <c r="G10" s="1863"/>
      <c r="H10" s="3124"/>
      <c r="I10" s="4248"/>
      <c r="J10" s="1863"/>
      <c r="K10" s="1863"/>
      <c r="L10" s="1863"/>
    </row>
    <row r="11" spans="1:12" s="1642" customFormat="1">
      <c r="A11" s="3462" t="s">
        <v>124</v>
      </c>
      <c r="B11" s="3463">
        <v>7637922</v>
      </c>
      <c r="C11" s="3463">
        <v>2296667</v>
      </c>
      <c r="D11" s="3463">
        <v>8304199</v>
      </c>
      <c r="E11" s="3464">
        <f t="shared" si="0"/>
        <v>18238788</v>
      </c>
      <c r="F11" s="3885"/>
      <c r="G11" s="1863"/>
      <c r="H11" s="3124"/>
      <c r="I11" s="4248"/>
      <c r="J11" s="1863"/>
      <c r="K11" s="1863"/>
      <c r="L11" s="1863"/>
    </row>
    <row r="12" spans="1:12" s="1642" customFormat="1">
      <c r="A12" s="3462" t="s">
        <v>122</v>
      </c>
      <c r="B12" s="3463">
        <v>7889976</v>
      </c>
      <c r="C12" s="3463">
        <v>100000</v>
      </c>
      <c r="D12" s="3463">
        <v>1194981</v>
      </c>
      <c r="E12" s="3464">
        <f t="shared" si="0"/>
        <v>9184957</v>
      </c>
      <c r="F12" s="3885"/>
      <c r="G12" s="1863"/>
      <c r="H12" s="3124"/>
      <c r="I12" s="4248"/>
      <c r="J12" s="1863"/>
      <c r="K12" s="1863"/>
      <c r="L12" s="1863"/>
    </row>
    <row r="13" spans="1:12" s="1642" customFormat="1">
      <c r="A13" s="3462" t="s">
        <v>126</v>
      </c>
      <c r="B13" s="3463">
        <v>21657798</v>
      </c>
      <c r="C13" s="3463">
        <v>9919446</v>
      </c>
      <c r="D13" s="3463">
        <v>35710171</v>
      </c>
      <c r="E13" s="3464">
        <f t="shared" si="0"/>
        <v>67287415</v>
      </c>
      <c r="F13" s="3885"/>
      <c r="G13" s="1863"/>
      <c r="H13" s="3124"/>
      <c r="I13" s="4248"/>
      <c r="J13" s="1863"/>
      <c r="K13" s="1863"/>
      <c r="L13" s="1863"/>
    </row>
    <row r="14" spans="1:12" s="1642" customFormat="1">
      <c r="A14" s="3462" t="s">
        <v>130</v>
      </c>
      <c r="B14" s="3463">
        <v>4757849</v>
      </c>
      <c r="C14" s="3463">
        <v>5565336</v>
      </c>
      <c r="D14" s="3463">
        <v>8489970</v>
      </c>
      <c r="E14" s="3464">
        <f t="shared" si="0"/>
        <v>18813155</v>
      </c>
      <c r="F14" s="3885"/>
      <c r="G14" s="1863"/>
      <c r="H14" s="3124"/>
      <c r="I14" s="4248"/>
      <c r="J14" s="1863"/>
      <c r="K14" s="1863"/>
      <c r="L14" s="1863"/>
    </row>
    <row r="15" spans="1:12" s="1642" customFormat="1">
      <c r="A15" s="3462" t="s">
        <v>136</v>
      </c>
      <c r="B15" s="3463">
        <v>22226049</v>
      </c>
      <c r="C15" s="3463">
        <v>13157878</v>
      </c>
      <c r="D15" s="3463">
        <v>187920</v>
      </c>
      <c r="E15" s="3464">
        <f t="shared" ref="E15:E31" si="1">SUM(B15:D15)</f>
        <v>35571847</v>
      </c>
      <c r="F15" s="3885"/>
      <c r="G15" s="1863"/>
      <c r="H15" s="3124"/>
      <c r="I15" s="4248"/>
      <c r="J15" s="1863"/>
      <c r="K15" s="1863"/>
      <c r="L15" s="1863"/>
    </row>
    <row r="16" spans="1:12">
      <c r="A16" s="3462" t="s">
        <v>763</v>
      </c>
      <c r="B16" s="3463">
        <v>2937655</v>
      </c>
      <c r="C16" s="3463">
        <v>252487</v>
      </c>
      <c r="D16" s="3463">
        <v>3601476</v>
      </c>
      <c r="E16" s="3464">
        <f t="shared" si="1"/>
        <v>6791618</v>
      </c>
      <c r="F16" s="3885"/>
      <c r="G16" s="1863"/>
      <c r="J16" s="1863"/>
      <c r="K16" s="1863"/>
      <c r="L16" s="1863"/>
    </row>
    <row r="17" spans="1:6">
      <c r="A17" s="3462" t="s">
        <v>138</v>
      </c>
      <c r="B17" s="3463">
        <v>3154412</v>
      </c>
      <c r="C17" s="3463">
        <v>1772438</v>
      </c>
      <c r="D17" s="3463">
        <v>3451246</v>
      </c>
      <c r="E17" s="3464">
        <f t="shared" si="1"/>
        <v>8378096</v>
      </c>
      <c r="F17" s="3885"/>
    </row>
    <row r="18" spans="1:6">
      <c r="A18" s="3462" t="s">
        <v>140</v>
      </c>
      <c r="B18" s="3463">
        <v>24227878</v>
      </c>
      <c r="C18" s="3463">
        <v>5003681</v>
      </c>
      <c r="D18" s="3463">
        <v>27408574</v>
      </c>
      <c r="E18" s="3464">
        <f t="shared" si="1"/>
        <v>56640133</v>
      </c>
      <c r="F18" s="3885"/>
    </row>
    <row r="19" spans="1:6">
      <c r="A19" s="3462" t="s">
        <v>142</v>
      </c>
      <c r="B19" s="3463">
        <v>3230637</v>
      </c>
      <c r="C19" s="3463">
        <v>4391196</v>
      </c>
      <c r="D19" s="3463">
        <v>1956592</v>
      </c>
      <c r="E19" s="3464">
        <f t="shared" si="1"/>
        <v>9578425</v>
      </c>
      <c r="F19" s="3885"/>
    </row>
    <row r="20" spans="1:6">
      <c r="A20" s="3462" t="s">
        <v>132</v>
      </c>
      <c r="B20" s="3463">
        <v>7152196.5800000001</v>
      </c>
      <c r="C20" s="3463">
        <v>276892.71000000002</v>
      </c>
      <c r="D20" s="3463">
        <v>2335072.0699999998</v>
      </c>
      <c r="E20" s="3464">
        <f>SUM(B20:D20)</f>
        <v>9764161.3599999994</v>
      </c>
      <c r="F20" s="3885"/>
    </row>
    <row r="21" spans="1:6">
      <c r="A21" s="3462" t="s">
        <v>144</v>
      </c>
      <c r="B21" s="3463">
        <v>3383512</v>
      </c>
      <c r="C21" s="3463">
        <v>72526</v>
      </c>
      <c r="D21" s="3463">
        <v>4358709</v>
      </c>
      <c r="E21" s="3464">
        <f t="shared" si="1"/>
        <v>7814747</v>
      </c>
      <c r="F21" s="3885"/>
    </row>
    <row r="22" spans="1:6">
      <c r="A22" s="3462" t="s">
        <v>170</v>
      </c>
      <c r="B22" s="3463">
        <v>15498850</v>
      </c>
      <c r="C22" s="3463">
        <v>7749104</v>
      </c>
      <c r="D22" s="3463">
        <v>21196987</v>
      </c>
      <c r="E22" s="3464">
        <f t="shared" si="1"/>
        <v>44444941</v>
      </c>
      <c r="F22" s="3885"/>
    </row>
    <row r="23" spans="1:6">
      <c r="A23" s="3462" t="s">
        <v>146</v>
      </c>
      <c r="B23" s="3463">
        <v>63948884</v>
      </c>
      <c r="C23" s="3463">
        <v>47493147</v>
      </c>
      <c r="D23" s="3463">
        <v>244788142</v>
      </c>
      <c r="E23" s="3464">
        <f t="shared" si="1"/>
        <v>356230173</v>
      </c>
      <c r="F23" s="3885"/>
    </row>
    <row r="24" spans="1:6">
      <c r="A24" s="3462" t="s">
        <v>764</v>
      </c>
      <c r="B24" s="3463">
        <v>5526431</v>
      </c>
      <c r="C24" s="3463">
        <v>596994</v>
      </c>
      <c r="D24" s="3463">
        <v>2393422</v>
      </c>
      <c r="E24" s="3464">
        <f t="shared" si="1"/>
        <v>8516847</v>
      </c>
      <c r="F24" s="3885"/>
    </row>
    <row r="25" spans="1:6">
      <c r="A25" s="3462" t="s">
        <v>150</v>
      </c>
      <c r="B25" s="3463">
        <v>2347310</v>
      </c>
      <c r="C25" s="3463">
        <v>3547278</v>
      </c>
      <c r="D25" s="3463">
        <v>2324186</v>
      </c>
      <c r="E25" s="3464">
        <f t="shared" si="1"/>
        <v>8218774</v>
      </c>
      <c r="F25" s="3885"/>
    </row>
    <row r="26" spans="1:6">
      <c r="A26" s="3462" t="s">
        <v>152</v>
      </c>
      <c r="B26" s="3463">
        <v>7742999</v>
      </c>
      <c r="C26" s="3463">
        <v>0</v>
      </c>
      <c r="D26" s="3463">
        <v>24096054</v>
      </c>
      <c r="E26" s="3464">
        <f t="shared" si="1"/>
        <v>31839053</v>
      </c>
      <c r="F26" s="3885"/>
    </row>
    <row r="27" spans="1:6">
      <c r="A27" s="3465" t="s">
        <v>154</v>
      </c>
      <c r="B27" s="3463">
        <v>19389857</v>
      </c>
      <c r="C27" s="3463">
        <v>3796892</v>
      </c>
      <c r="D27" s="3463">
        <v>17657438</v>
      </c>
      <c r="E27" s="3464">
        <f t="shared" si="1"/>
        <v>40844187</v>
      </c>
      <c r="F27" s="3885"/>
    </row>
    <row r="28" spans="1:6">
      <c r="A28" s="3462" t="s">
        <v>156</v>
      </c>
      <c r="B28" s="3463">
        <v>4859815</v>
      </c>
      <c r="C28" s="3463">
        <v>5398325</v>
      </c>
      <c r="D28" s="3463">
        <v>15096717</v>
      </c>
      <c r="E28" s="3464">
        <f t="shared" si="1"/>
        <v>25354857</v>
      </c>
      <c r="F28" s="3885"/>
    </row>
    <row r="29" spans="1:6">
      <c r="A29" s="3462" t="s">
        <v>158</v>
      </c>
      <c r="B29" s="3463">
        <v>4152589</v>
      </c>
      <c r="C29" s="3463">
        <v>4494268</v>
      </c>
      <c r="D29" s="3463">
        <v>1924011</v>
      </c>
      <c r="E29" s="3464">
        <f t="shared" si="1"/>
        <v>10570868</v>
      </c>
      <c r="F29" s="3885"/>
    </row>
    <row r="30" spans="1:6">
      <c r="A30" s="3462" t="s">
        <v>166</v>
      </c>
      <c r="B30" s="3463">
        <v>16177288</v>
      </c>
      <c r="C30" s="3463">
        <v>407717</v>
      </c>
      <c r="D30" s="3463">
        <v>8958759</v>
      </c>
      <c r="E30" s="3464">
        <f t="shared" si="1"/>
        <v>25543764</v>
      </c>
      <c r="F30" s="3885"/>
    </row>
    <row r="31" spans="1:6" ht="14.25" customHeight="1">
      <c r="A31" s="3462" t="s">
        <v>168</v>
      </c>
      <c r="B31" s="3463">
        <v>27540493</v>
      </c>
      <c r="C31" s="3463">
        <v>11828177</v>
      </c>
      <c r="D31" s="3463">
        <v>9490325</v>
      </c>
      <c r="E31" s="3464">
        <f t="shared" si="1"/>
        <v>48858995</v>
      </c>
      <c r="F31" s="3885"/>
    </row>
    <row r="32" spans="1:6">
      <c r="A32" s="3462" t="s">
        <v>160</v>
      </c>
      <c r="B32" s="3463">
        <v>22662669</v>
      </c>
      <c r="C32" s="3463">
        <v>3983360</v>
      </c>
      <c r="D32" s="3463">
        <v>37839247</v>
      </c>
      <c r="E32" s="3464">
        <f>SUM(B32:D32)</f>
        <v>64485276</v>
      </c>
      <c r="F32" s="3885"/>
    </row>
    <row r="33" spans="1:12">
      <c r="A33" s="3462" t="s">
        <v>162</v>
      </c>
      <c r="B33" s="3463">
        <v>12691600</v>
      </c>
      <c r="C33" s="3463">
        <v>2818037</v>
      </c>
      <c r="D33" s="3463">
        <v>12732840</v>
      </c>
      <c r="E33" s="3464">
        <f>SUM(B33:D33)</f>
        <v>28242477</v>
      </c>
      <c r="F33" s="3885"/>
      <c r="G33" s="1863"/>
      <c r="J33" s="1863"/>
      <c r="K33" s="1863"/>
      <c r="L33" s="1863"/>
    </row>
    <row r="34" spans="1:12">
      <c r="A34" s="3465" t="s">
        <v>164</v>
      </c>
      <c r="B34" s="3463">
        <v>2433752</v>
      </c>
      <c r="C34" s="3463">
        <v>658437</v>
      </c>
      <c r="D34" s="3463">
        <v>21578362</v>
      </c>
      <c r="E34" s="3464">
        <f>SUM(B34:D34)</f>
        <v>24670551</v>
      </c>
      <c r="F34" s="3885"/>
      <c r="G34" s="1863"/>
      <c r="J34" s="1863"/>
      <c r="K34" s="1863"/>
      <c r="L34" s="1863"/>
    </row>
    <row r="35" spans="1:12">
      <c r="A35" s="3462" t="s">
        <v>172</v>
      </c>
      <c r="B35" s="3463">
        <v>10383841</v>
      </c>
      <c r="C35" s="3463">
        <v>1045067</v>
      </c>
      <c r="D35" s="3463">
        <v>11337528</v>
      </c>
      <c r="E35" s="3464">
        <f>SUM(B35:D35)</f>
        <v>22766436</v>
      </c>
      <c r="F35" s="3885"/>
      <c r="G35" s="1863"/>
      <c r="J35" s="1863"/>
      <c r="K35" s="1863"/>
      <c r="L35" s="1863"/>
    </row>
    <row r="36" spans="1:12">
      <c r="A36" s="3462" t="s">
        <v>174</v>
      </c>
      <c r="B36" s="3463">
        <v>40288448</v>
      </c>
      <c r="C36" s="3463">
        <v>1867238</v>
      </c>
      <c r="D36" s="3463">
        <v>19620201</v>
      </c>
      <c r="E36" s="3464">
        <f>SUM(B36:D36)</f>
        <v>61775887</v>
      </c>
      <c r="F36" s="3885"/>
      <c r="G36" s="1863"/>
      <c r="J36" s="1863"/>
      <c r="K36" s="1863"/>
      <c r="L36" s="1863"/>
    </row>
    <row r="37" spans="1:12" s="1643" customFormat="1">
      <c r="A37" s="1743"/>
      <c r="B37" s="1744"/>
      <c r="C37" s="1744"/>
      <c r="D37" s="1744"/>
      <c r="E37" s="1745"/>
      <c r="F37" s="713"/>
      <c r="G37" s="1789"/>
      <c r="H37" s="3110"/>
      <c r="I37" s="4249"/>
      <c r="J37" s="1746"/>
      <c r="K37" s="1789"/>
      <c r="L37" s="1789"/>
    </row>
    <row r="38" spans="1:12" s="1643" customFormat="1">
      <c r="A38" s="1743"/>
      <c r="B38" s="1744"/>
      <c r="C38" s="1744"/>
      <c r="D38" s="1744"/>
      <c r="E38" s="1745"/>
      <c r="F38" s="713"/>
      <c r="G38" s="1789"/>
      <c r="H38" s="3110"/>
      <c r="I38" s="4249"/>
      <c r="J38" s="1746"/>
      <c r="K38" s="1789"/>
      <c r="L38" s="1789"/>
    </row>
    <row r="39" spans="1:12" s="1751" customFormat="1">
      <c r="A39" s="1747"/>
      <c r="B39" s="1748"/>
      <c r="C39" s="1748"/>
      <c r="D39" s="1748"/>
      <c r="E39" s="1749"/>
      <c r="F39" s="1750"/>
      <c r="H39" s="3111"/>
      <c r="I39" s="4250"/>
      <c r="J39" s="1752"/>
    </row>
    <row r="40" spans="1:12" s="1643" customFormat="1">
      <c r="A40" s="1863"/>
      <c r="B40" s="1863"/>
      <c r="C40" s="1863"/>
      <c r="D40" s="1744"/>
      <c r="E40" s="1745"/>
      <c r="F40" s="713"/>
      <c r="G40" s="1789"/>
      <c r="H40" s="3110"/>
      <c r="I40" s="4249"/>
      <c r="J40" s="1746"/>
      <c r="K40" s="1789"/>
      <c r="L40" s="1789"/>
    </row>
    <row r="41" spans="1:12" s="1643" customFormat="1">
      <c r="A41" s="3466" t="s">
        <v>3897</v>
      </c>
      <c r="B41" s="4563" t="s">
        <v>3898</v>
      </c>
      <c r="C41" s="4564"/>
      <c r="D41" s="4565"/>
      <c r="E41" s="1745"/>
      <c r="F41" s="713"/>
      <c r="G41" s="1789"/>
      <c r="H41" s="3110"/>
      <c r="I41" s="4249"/>
      <c r="J41" s="1746"/>
      <c r="K41" s="1789"/>
      <c r="L41" s="1789"/>
    </row>
    <row r="42" spans="1:12" s="1643" customFormat="1" ht="15" customHeight="1">
      <c r="A42" s="3467" t="s">
        <v>3899</v>
      </c>
      <c r="B42" s="4566"/>
      <c r="C42" s="4567"/>
      <c r="D42" s="4568"/>
      <c r="E42" s="1745"/>
      <c r="F42" s="4551" t="s">
        <v>4092</v>
      </c>
      <c r="G42" s="4552"/>
      <c r="H42" s="4552"/>
      <c r="I42" s="4552"/>
      <c r="J42" s="4552"/>
      <c r="K42" s="4552"/>
      <c r="L42" s="4553"/>
    </row>
    <row r="43" spans="1:12" s="1643" customFormat="1" ht="15" customHeight="1">
      <c r="A43" s="3468" t="s">
        <v>2303</v>
      </c>
      <c r="B43" s="3468" t="str">
        <f>B8</f>
        <v>College2020</v>
      </c>
      <c r="C43" s="3468" t="s">
        <v>4091</v>
      </c>
      <c r="D43" s="3468" t="s">
        <v>3900</v>
      </c>
      <c r="E43" s="1745"/>
      <c r="F43" s="4554"/>
      <c r="G43" s="4555"/>
      <c r="H43" s="4555"/>
      <c r="I43" s="4555"/>
      <c r="J43" s="4555"/>
      <c r="K43" s="4555"/>
      <c r="L43" s="4556"/>
    </row>
    <row r="44" spans="1:12" s="1643" customFormat="1" ht="15" customHeight="1">
      <c r="A44" s="3469" t="s">
        <v>128</v>
      </c>
      <c r="B44" s="3470">
        <v>119594945</v>
      </c>
      <c r="C44" s="3470">
        <v>23631247</v>
      </c>
      <c r="D44" s="3471">
        <f>SUM(B44:C44)</f>
        <v>143226192</v>
      </c>
      <c r="E44" s="3156"/>
      <c r="F44" s="4557"/>
      <c r="G44" s="4558"/>
      <c r="H44" s="4558"/>
      <c r="I44" s="4558"/>
      <c r="J44" s="4558"/>
      <c r="K44" s="4558"/>
      <c r="L44" s="4559"/>
    </row>
    <row r="45" spans="1:12" s="1643" customFormat="1">
      <c r="A45" s="3469" t="s">
        <v>120</v>
      </c>
      <c r="B45" s="3470">
        <v>235980500</v>
      </c>
      <c r="C45" s="3470">
        <v>88146084</v>
      </c>
      <c r="D45" s="3471">
        <f>SUM(B45:C45)</f>
        <v>324126584</v>
      </c>
      <c r="E45" s="3156"/>
      <c r="F45" s="713"/>
      <c r="G45" s="1789"/>
      <c r="H45" s="3110"/>
      <c r="I45" s="4249"/>
      <c r="J45" s="1746"/>
      <c r="K45" s="1789"/>
      <c r="L45" s="1789"/>
    </row>
    <row r="46" spans="1:12" s="1643" customFormat="1">
      <c r="A46" s="3469" t="s">
        <v>124</v>
      </c>
      <c r="B46" s="3470">
        <v>86224509</v>
      </c>
      <c r="C46" s="3470">
        <v>102863789</v>
      </c>
      <c r="D46" s="3471">
        <f t="shared" ref="D46:D66" si="2">SUM(B46:C46)</f>
        <v>189088298</v>
      </c>
      <c r="E46" s="3156"/>
      <c r="F46" s="713"/>
      <c r="G46" s="1789"/>
      <c r="H46" s="3110"/>
      <c r="I46" s="4249"/>
      <c r="J46" s="1746"/>
      <c r="K46" s="1789"/>
      <c r="L46" s="1789"/>
    </row>
    <row r="47" spans="1:12" s="1643" customFormat="1">
      <c r="A47" s="3469" t="s">
        <v>122</v>
      </c>
      <c r="B47" s="3470">
        <v>51847824</v>
      </c>
      <c r="C47" s="3470">
        <v>20017261</v>
      </c>
      <c r="D47" s="3471">
        <f t="shared" si="2"/>
        <v>71865085</v>
      </c>
      <c r="E47" s="3156"/>
      <c r="F47" s="713"/>
      <c r="G47" s="1789"/>
      <c r="H47" s="3110"/>
      <c r="I47" s="4249"/>
      <c r="J47" s="1746"/>
      <c r="K47" s="1789"/>
      <c r="L47" s="1789"/>
    </row>
    <row r="48" spans="1:12" s="1643" customFormat="1">
      <c r="A48" s="3469" t="s">
        <v>126</v>
      </c>
      <c r="B48" s="3470">
        <v>196875392</v>
      </c>
      <c r="C48" s="3470">
        <v>36914737</v>
      </c>
      <c r="D48" s="3471">
        <f t="shared" si="2"/>
        <v>233790129</v>
      </c>
      <c r="E48" s="3156"/>
      <c r="F48" s="713"/>
      <c r="G48" s="1789"/>
      <c r="H48" s="3110"/>
      <c r="I48" s="4249"/>
      <c r="J48" s="1746"/>
      <c r="K48" s="1789"/>
      <c r="L48" s="1789"/>
    </row>
    <row r="49" spans="1:10" s="1643" customFormat="1">
      <c r="A49" s="3469" t="s">
        <v>130</v>
      </c>
      <c r="B49" s="3470">
        <v>139279983</v>
      </c>
      <c r="C49" s="3470">
        <v>41630749</v>
      </c>
      <c r="D49" s="3471">
        <f t="shared" si="2"/>
        <v>180910732</v>
      </c>
      <c r="E49" s="3156"/>
      <c r="F49" s="713"/>
      <c r="G49" s="1789"/>
      <c r="H49" s="3110"/>
      <c r="I49" s="4249"/>
      <c r="J49" s="1746"/>
    </row>
    <row r="50" spans="1:10" s="1643" customFormat="1">
      <c r="A50" s="3469" t="s">
        <v>136</v>
      </c>
      <c r="B50" s="3470">
        <v>185702591</v>
      </c>
      <c r="C50" s="3470">
        <v>56584566</v>
      </c>
      <c r="D50" s="3471">
        <f t="shared" si="2"/>
        <v>242287157</v>
      </c>
      <c r="E50" s="3157"/>
      <c r="F50" s="713"/>
      <c r="G50" s="1789"/>
      <c r="H50" s="3110"/>
      <c r="I50" s="4249"/>
      <c r="J50" s="1746"/>
    </row>
    <row r="51" spans="1:10" s="1643" customFormat="1">
      <c r="A51" s="3469" t="s">
        <v>763</v>
      </c>
      <c r="B51" s="3470">
        <v>37271910</v>
      </c>
      <c r="C51" s="3470">
        <v>4583655</v>
      </c>
      <c r="D51" s="3471">
        <f t="shared" si="2"/>
        <v>41855565</v>
      </c>
      <c r="E51" s="3157"/>
      <c r="F51" s="713"/>
      <c r="G51" s="1789"/>
      <c r="H51" s="3110"/>
      <c r="I51" s="4249"/>
      <c r="J51" s="1746"/>
    </row>
    <row r="52" spans="1:10" s="1643" customFormat="1">
      <c r="A52" s="3469" t="s">
        <v>138</v>
      </c>
      <c r="B52" s="3470">
        <v>87093732</v>
      </c>
      <c r="C52" s="3470">
        <v>31742169</v>
      </c>
      <c r="D52" s="3471">
        <f t="shared" si="2"/>
        <v>118835901</v>
      </c>
      <c r="E52" s="3156"/>
      <c r="F52" s="713"/>
      <c r="G52" s="1789"/>
      <c r="H52" s="3110"/>
      <c r="I52" s="4249"/>
      <c r="J52" s="1746"/>
    </row>
    <row r="53" spans="1:10" s="1643" customFormat="1">
      <c r="A53" s="3469" t="s">
        <v>140</v>
      </c>
      <c r="B53" s="3470">
        <v>186765971</v>
      </c>
      <c r="C53" s="3470">
        <v>13959103</v>
      </c>
      <c r="D53" s="3471">
        <f t="shared" si="2"/>
        <v>200725074</v>
      </c>
      <c r="E53" s="3156"/>
      <c r="F53" s="713"/>
      <c r="G53" s="1789"/>
      <c r="H53" s="3110"/>
      <c r="I53" s="4249"/>
      <c r="J53" s="1746"/>
    </row>
    <row r="54" spans="1:10" s="1643" customFormat="1">
      <c r="A54" s="3469" t="s">
        <v>142</v>
      </c>
      <c r="B54" s="3470">
        <v>196569538</v>
      </c>
      <c r="C54" s="3470">
        <v>95996082</v>
      </c>
      <c r="D54" s="3471">
        <f t="shared" si="2"/>
        <v>292565620</v>
      </c>
      <c r="E54" s="3156"/>
      <c r="F54" s="713"/>
      <c r="G54" s="1789"/>
      <c r="H54" s="3110"/>
      <c r="I54" s="4249"/>
      <c r="J54" s="1746"/>
    </row>
    <row r="55" spans="1:10" s="1643" customFormat="1">
      <c r="A55" s="3469" t="s">
        <v>132</v>
      </c>
      <c r="B55" s="3470">
        <v>28833144.800000001</v>
      </c>
      <c r="C55" s="3470">
        <v>18163766</v>
      </c>
      <c r="D55" s="3471">
        <f t="shared" si="2"/>
        <v>46996910.799999997</v>
      </c>
      <c r="E55" s="3156"/>
      <c r="F55" s="713"/>
      <c r="G55" s="1789"/>
      <c r="H55" s="3110"/>
      <c r="I55" s="4249"/>
      <c r="J55" s="1746"/>
    </row>
    <row r="56" spans="1:10" s="1643" customFormat="1">
      <c r="A56" s="3469" t="s">
        <v>144</v>
      </c>
      <c r="B56" s="3470">
        <v>59692796</v>
      </c>
      <c r="C56" s="3470">
        <v>21067105</v>
      </c>
      <c r="D56" s="3471">
        <f t="shared" si="2"/>
        <v>80759901</v>
      </c>
      <c r="E56" s="3156"/>
      <c r="F56" s="713"/>
      <c r="G56" s="1789"/>
      <c r="H56" s="3110"/>
      <c r="I56" s="4249"/>
      <c r="J56" s="1746"/>
    </row>
    <row r="57" spans="1:10" s="1643" customFormat="1">
      <c r="A57" s="3469" t="s">
        <v>170</v>
      </c>
      <c r="B57" s="3470">
        <v>113931918</v>
      </c>
      <c r="C57" s="3470">
        <v>65028248</v>
      </c>
      <c r="D57" s="3471">
        <f t="shared" si="2"/>
        <v>178960166</v>
      </c>
      <c r="E57" s="3156"/>
      <c r="F57" s="713"/>
      <c r="G57" s="1789"/>
      <c r="H57" s="3110"/>
      <c r="I57" s="4249"/>
      <c r="J57" s="1746"/>
    </row>
    <row r="58" spans="1:10" s="1643" customFormat="1">
      <c r="A58" s="3469" t="s">
        <v>146</v>
      </c>
      <c r="B58" s="3470">
        <v>1422209714</v>
      </c>
      <c r="C58" s="3470">
        <v>176691712</v>
      </c>
      <c r="D58" s="3471">
        <f t="shared" si="2"/>
        <v>1598901426</v>
      </c>
      <c r="E58" s="3156"/>
      <c r="F58" s="713"/>
      <c r="G58" s="1789"/>
      <c r="H58" s="3110"/>
      <c r="I58" s="4249"/>
      <c r="J58" s="1746"/>
    </row>
    <row r="59" spans="1:10" s="1643" customFormat="1">
      <c r="A59" s="3469" t="s">
        <v>764</v>
      </c>
      <c r="B59" s="3470">
        <v>22871012</v>
      </c>
      <c r="C59" s="3470">
        <v>4052065</v>
      </c>
      <c r="D59" s="3471">
        <f t="shared" si="2"/>
        <v>26923077</v>
      </c>
      <c r="E59" s="3156"/>
      <c r="F59" s="713"/>
      <c r="G59" s="1789"/>
      <c r="H59" s="3110"/>
      <c r="I59" s="4249"/>
      <c r="J59" s="1746"/>
    </row>
    <row r="60" spans="1:10" s="1643" customFormat="1">
      <c r="A60" s="3469" t="s">
        <v>150</v>
      </c>
      <c r="B60" s="3470">
        <v>105554814</v>
      </c>
      <c r="C60" s="3470">
        <v>52563843</v>
      </c>
      <c r="D60" s="3471">
        <f t="shared" si="2"/>
        <v>158118657</v>
      </c>
      <c r="E60" s="3156"/>
      <c r="F60" s="713"/>
      <c r="G60" s="1789"/>
      <c r="H60" s="3110"/>
      <c r="I60" s="4249"/>
      <c r="J60" s="1746"/>
    </row>
    <row r="61" spans="1:10" s="1643" customFormat="1">
      <c r="A61" s="3469" t="s">
        <v>152</v>
      </c>
      <c r="B61" s="3470">
        <v>201245075</v>
      </c>
      <c r="C61" s="3470">
        <v>41072907</v>
      </c>
      <c r="D61" s="3471">
        <f t="shared" si="2"/>
        <v>242317982</v>
      </c>
      <c r="E61" s="3156"/>
      <c r="F61" s="713"/>
      <c r="G61" s="1789"/>
      <c r="H61" s="3110"/>
      <c r="I61" s="4249"/>
      <c r="J61" s="1746"/>
    </row>
    <row r="62" spans="1:10" s="1643" customFormat="1">
      <c r="A62" s="3469" t="s">
        <v>154</v>
      </c>
      <c r="B62" s="3470">
        <v>170467359</v>
      </c>
      <c r="C62" s="3470">
        <v>59067181</v>
      </c>
      <c r="D62" s="3471">
        <f t="shared" si="2"/>
        <v>229534540</v>
      </c>
      <c r="E62" s="3156"/>
      <c r="F62" s="713"/>
      <c r="G62" s="1789"/>
      <c r="H62" s="3110"/>
      <c r="I62" s="4249"/>
      <c r="J62" s="1746"/>
    </row>
    <row r="63" spans="1:10" s="1643" customFormat="1">
      <c r="A63" s="3469" t="s">
        <v>156</v>
      </c>
      <c r="B63" s="3470">
        <v>58755097</v>
      </c>
      <c r="C63" s="3470">
        <v>32849871</v>
      </c>
      <c r="D63" s="3471">
        <f t="shared" si="2"/>
        <v>91604968</v>
      </c>
      <c r="E63" s="3156"/>
      <c r="F63" s="713"/>
      <c r="G63" s="1789"/>
      <c r="H63" s="3110"/>
      <c r="I63" s="4249"/>
      <c r="J63" s="1746"/>
    </row>
    <row r="64" spans="1:10" s="1643" customFormat="1">
      <c r="A64" s="3469" t="s">
        <v>158</v>
      </c>
      <c r="B64" s="3470">
        <v>74895203</v>
      </c>
      <c r="C64" s="3470">
        <v>36734749</v>
      </c>
      <c r="D64" s="3471">
        <f t="shared" si="2"/>
        <v>111629952</v>
      </c>
      <c r="E64" s="3156"/>
      <c r="F64" s="713"/>
      <c r="G64" s="1789"/>
      <c r="H64" s="3110"/>
      <c r="I64" s="4249"/>
      <c r="J64" s="1746"/>
    </row>
    <row r="65" spans="1:12" s="1643" customFormat="1">
      <c r="A65" s="3469" t="s">
        <v>166</v>
      </c>
      <c r="B65" s="3470">
        <v>59417970</v>
      </c>
      <c r="C65" s="3470">
        <v>5745760</v>
      </c>
      <c r="D65" s="3471">
        <f t="shared" si="2"/>
        <v>65163730</v>
      </c>
      <c r="E65" s="3156"/>
      <c r="F65" s="713"/>
      <c r="G65" s="1789"/>
      <c r="H65" s="3110"/>
      <c r="I65" s="4249"/>
      <c r="J65" s="1746"/>
      <c r="K65" s="1789"/>
      <c r="L65" s="1789"/>
    </row>
    <row r="66" spans="1:12" s="1643" customFormat="1">
      <c r="A66" s="3469" t="s">
        <v>168</v>
      </c>
      <c r="B66" s="3470">
        <v>195730142</v>
      </c>
      <c r="C66" s="3470">
        <v>69794022</v>
      </c>
      <c r="D66" s="3471">
        <f t="shared" si="2"/>
        <v>265524164</v>
      </c>
      <c r="E66" s="3156"/>
      <c r="F66" s="713"/>
      <c r="G66" s="1789"/>
      <c r="H66" s="3110"/>
      <c r="I66" s="4249"/>
      <c r="J66" s="1746"/>
      <c r="K66" s="1789"/>
      <c r="L66" s="1789"/>
    </row>
    <row r="67" spans="1:12" s="1643" customFormat="1">
      <c r="A67" s="3469" t="s">
        <v>160</v>
      </c>
      <c r="B67" s="3470">
        <v>110203794</v>
      </c>
      <c r="C67" s="3470">
        <v>57475555</v>
      </c>
      <c r="D67" s="3471">
        <f>SUM(B67:C67)</f>
        <v>167679349</v>
      </c>
      <c r="E67" s="3156"/>
      <c r="F67" s="713"/>
      <c r="G67" s="1789"/>
      <c r="H67" s="3110"/>
      <c r="I67" s="4249"/>
      <c r="J67" s="1746"/>
      <c r="K67" s="1789"/>
      <c r="L67" s="1789"/>
    </row>
    <row r="68" spans="1:12" s="1643" customFormat="1">
      <c r="A68" s="3469" t="s">
        <v>162</v>
      </c>
      <c r="B68" s="3470">
        <v>180517213</v>
      </c>
      <c r="C68" s="3470">
        <v>32151061</v>
      </c>
      <c r="D68" s="3471">
        <f>SUM(B68:C68)</f>
        <v>212668274</v>
      </c>
      <c r="E68" s="3156"/>
      <c r="F68" s="713"/>
      <c r="G68" s="1789"/>
      <c r="H68" s="3110"/>
      <c r="I68" s="4249"/>
      <c r="J68" s="1746"/>
      <c r="K68" s="1789"/>
      <c r="L68" s="1789"/>
    </row>
    <row r="69" spans="1:12" s="1643" customFormat="1">
      <c r="A69" s="3469" t="s">
        <v>164</v>
      </c>
      <c r="B69" s="3470">
        <v>47163237</v>
      </c>
      <c r="C69" s="3470">
        <v>15654265</v>
      </c>
      <c r="D69" s="3471">
        <f>SUM(B69:C69)</f>
        <v>62817502</v>
      </c>
      <c r="E69" s="3156"/>
      <c r="F69" s="713"/>
      <c r="G69" s="1789"/>
      <c r="H69" s="3110"/>
      <c r="I69" s="4249"/>
      <c r="J69" s="1746"/>
      <c r="K69" s="1789"/>
      <c r="L69" s="1789"/>
    </row>
    <row r="70" spans="1:12" s="1643" customFormat="1">
      <c r="A70" s="3469" t="s">
        <v>172</v>
      </c>
      <c r="B70" s="3470">
        <v>87373056</v>
      </c>
      <c r="C70" s="3470">
        <v>17543875</v>
      </c>
      <c r="D70" s="3471">
        <f>SUM(B70:C70)</f>
        <v>104916931</v>
      </c>
      <c r="E70" s="3156"/>
      <c r="F70" s="713"/>
      <c r="G70" s="1789"/>
      <c r="H70" s="3110"/>
      <c r="I70" s="4249"/>
      <c r="J70" s="1746"/>
      <c r="K70" s="1789"/>
      <c r="L70" s="1789"/>
    </row>
    <row r="71" spans="1:12" s="1643" customFormat="1">
      <c r="A71" s="3469" t="s">
        <v>174</v>
      </c>
      <c r="B71" s="3470">
        <v>247726110</v>
      </c>
      <c r="C71" s="3470">
        <v>86567956</v>
      </c>
      <c r="D71" s="3471">
        <f>SUM(B71:C71)</f>
        <v>334294066</v>
      </c>
      <c r="E71" s="3156"/>
      <c r="F71" s="713"/>
      <c r="G71" s="1789"/>
      <c r="H71" s="3110"/>
      <c r="I71" s="4249"/>
      <c r="J71" s="1746"/>
      <c r="K71" s="1789"/>
      <c r="L71" s="1789"/>
    </row>
    <row r="72" spans="1:12" s="1643" customFormat="1">
      <c r="A72" s="1743"/>
      <c r="B72" s="1744"/>
      <c r="C72" s="1744"/>
      <c r="D72" s="1744"/>
      <c r="E72" s="1745"/>
      <c r="F72" s="713"/>
      <c r="G72" s="1789"/>
      <c r="H72" s="3110"/>
      <c r="I72" s="4249"/>
      <c r="J72" s="1746"/>
      <c r="K72" s="1789"/>
      <c r="L72" s="1789"/>
    </row>
    <row r="73" spans="1:12" s="1643" customFormat="1">
      <c r="A73" s="1743"/>
      <c r="B73" s="1744"/>
      <c r="C73" s="1744"/>
      <c r="D73" s="1744"/>
      <c r="E73" s="1745"/>
      <c r="F73" s="713"/>
      <c r="G73" s="1789"/>
      <c r="H73" s="3110"/>
      <c r="I73" s="4249"/>
      <c r="J73" s="1746"/>
      <c r="K73" s="1789"/>
      <c r="L73" s="1789"/>
    </row>
    <row r="74" spans="1:12" s="1751" customFormat="1">
      <c r="A74" s="1747"/>
      <c r="B74" s="1748"/>
      <c r="C74" s="1748"/>
      <c r="D74" s="1748"/>
      <c r="E74" s="1749"/>
      <c r="F74" s="1750"/>
      <c r="H74" s="3111"/>
      <c r="I74" s="4250"/>
      <c r="J74" s="1752"/>
    </row>
    <row r="75" spans="1:12" s="1643" customFormat="1">
      <c r="A75" s="1743"/>
      <c r="B75" s="1744"/>
      <c r="C75" s="1744"/>
      <c r="D75" s="1744"/>
      <c r="E75" s="1745"/>
      <c r="F75" s="713"/>
      <c r="G75" s="1789"/>
      <c r="H75" s="3110"/>
      <c r="I75" s="4249"/>
      <c r="J75" s="1746"/>
      <c r="K75" s="1789"/>
      <c r="L75" s="1789"/>
    </row>
    <row r="76" spans="1:12" s="1643" customFormat="1" ht="15" customHeight="1">
      <c r="A76" s="3472" t="s">
        <v>3901</v>
      </c>
      <c r="B76" s="4563" t="s">
        <v>3902</v>
      </c>
      <c r="C76" s="4564"/>
      <c r="D76" s="4565"/>
      <c r="E76" s="1745"/>
      <c r="F76" s="713"/>
      <c r="G76" s="1789"/>
      <c r="H76" s="3110"/>
      <c r="I76" s="4249"/>
      <c r="J76" s="1746"/>
      <c r="K76" s="1789"/>
      <c r="L76" s="1789"/>
    </row>
    <row r="77" spans="1:12" s="1643" customFormat="1" ht="15" customHeight="1">
      <c r="A77" s="3473" t="s">
        <v>3903</v>
      </c>
      <c r="B77" s="4566"/>
      <c r="C77" s="4567"/>
      <c r="D77" s="4568"/>
      <c r="E77" s="1745"/>
      <c r="F77" s="713"/>
      <c r="G77" s="1789"/>
      <c r="H77" s="3110"/>
      <c r="I77" s="4249"/>
      <c r="J77" s="1746"/>
      <c r="K77" s="1789"/>
      <c r="L77" s="1789"/>
    </row>
    <row r="78" spans="1:12" s="1643" customFormat="1" ht="40.5" customHeight="1">
      <c r="A78" s="3474" t="s">
        <v>2303</v>
      </c>
      <c r="B78" s="3475" t="s">
        <v>3904</v>
      </c>
      <c r="C78" s="3475" t="s">
        <v>3905</v>
      </c>
      <c r="D78" s="3476" t="s">
        <v>3906</v>
      </c>
      <c r="E78" s="1745"/>
      <c r="F78" s="4551" t="s">
        <v>4093</v>
      </c>
      <c r="G78" s="4552"/>
      <c r="H78" s="4552"/>
      <c r="I78" s="4552"/>
      <c r="J78" s="4552"/>
      <c r="K78" s="4552"/>
      <c r="L78" s="4553"/>
    </row>
    <row r="79" spans="1:12" s="1643" customFormat="1">
      <c r="A79" s="3477" t="s">
        <v>128</v>
      </c>
      <c r="B79" s="3478">
        <v>2843752.78</v>
      </c>
      <c r="C79" s="3478">
        <v>0</v>
      </c>
      <c r="D79" s="3479">
        <f>SUM(B79:C79)</f>
        <v>2843752.78</v>
      </c>
      <c r="E79" s="3157"/>
      <c r="F79" s="4554"/>
      <c r="G79" s="4555"/>
      <c r="H79" s="4555"/>
      <c r="I79" s="4555"/>
      <c r="J79" s="4555"/>
      <c r="K79" s="4555"/>
      <c r="L79" s="4556"/>
    </row>
    <row r="80" spans="1:12" s="1643" customFormat="1">
      <c r="A80" s="3477" t="s">
        <v>120</v>
      </c>
      <c r="B80" s="3478">
        <v>11801809.880000001</v>
      </c>
      <c r="C80" s="3478">
        <v>5854.98</v>
      </c>
      <c r="D80" s="3479">
        <f t="shared" ref="D80:D106" si="3">SUM(B80:C80)</f>
        <v>11807664.860000001</v>
      </c>
      <c r="E80" s="3157"/>
      <c r="F80" s="4557"/>
      <c r="G80" s="4558"/>
      <c r="H80" s="4558"/>
      <c r="I80" s="4558"/>
      <c r="J80" s="4558"/>
      <c r="K80" s="4558"/>
      <c r="L80" s="4559"/>
    </row>
    <row r="81" spans="1:10" s="1643" customFormat="1">
      <c r="A81" s="3477" t="s">
        <v>124</v>
      </c>
      <c r="B81" s="3478">
        <v>2238099.4900000002</v>
      </c>
      <c r="C81" s="3478">
        <v>944575.49</v>
      </c>
      <c r="D81" s="3479">
        <f t="shared" si="3"/>
        <v>3182674.9800000004</v>
      </c>
      <c r="E81" s="3157"/>
      <c r="F81" s="713"/>
      <c r="G81" s="1789"/>
      <c r="H81" s="3110"/>
      <c r="I81" s="4249"/>
      <c r="J81" s="1746"/>
    </row>
    <row r="82" spans="1:10" s="1643" customFormat="1">
      <c r="A82" s="3477" t="s">
        <v>122</v>
      </c>
      <c r="B82" s="3478">
        <v>620966.06000000006</v>
      </c>
      <c r="C82" s="3478">
        <v>0</v>
      </c>
      <c r="D82" s="3479">
        <f t="shared" si="3"/>
        <v>620966.06000000006</v>
      </c>
      <c r="E82" s="3157"/>
      <c r="F82" s="713"/>
      <c r="G82" s="1789"/>
      <c r="H82" s="3110"/>
      <c r="I82" s="4249"/>
      <c r="J82" s="1746"/>
    </row>
    <row r="83" spans="1:10" s="1643" customFormat="1">
      <c r="A83" s="3477" t="s">
        <v>126</v>
      </c>
      <c r="B83" s="3478">
        <v>2027182.44</v>
      </c>
      <c r="C83" s="3478">
        <v>164296.35999999999</v>
      </c>
      <c r="D83" s="3479">
        <f t="shared" si="3"/>
        <v>2191478.7999999998</v>
      </c>
      <c r="E83" s="3157"/>
      <c r="F83" s="713"/>
      <c r="G83" s="1789"/>
      <c r="H83" s="3110"/>
      <c r="I83" s="4249"/>
      <c r="J83" s="1746"/>
    </row>
    <row r="84" spans="1:10" s="1643" customFormat="1">
      <c r="A84" s="3477" t="s">
        <v>130</v>
      </c>
      <c r="B84" s="3478">
        <v>1528661.12</v>
      </c>
      <c r="C84" s="3478">
        <v>5679763.54</v>
      </c>
      <c r="D84" s="3479">
        <f>SUM(B84:C84)</f>
        <v>7208424.6600000001</v>
      </c>
      <c r="E84" s="3157"/>
      <c r="F84" s="713"/>
      <c r="G84" s="1789"/>
      <c r="H84" s="3110"/>
      <c r="I84" s="4249"/>
      <c r="J84" s="1746"/>
    </row>
    <row r="85" spans="1:10" s="1643" customFormat="1">
      <c r="A85" s="3477" t="s">
        <v>136</v>
      </c>
      <c r="B85" s="3478">
        <v>5645964.4400000004</v>
      </c>
      <c r="C85" s="3478">
        <v>0</v>
      </c>
      <c r="D85" s="3479">
        <f t="shared" si="3"/>
        <v>5645964.4400000004</v>
      </c>
      <c r="E85" s="3157"/>
      <c r="F85" s="713"/>
      <c r="G85" s="1789"/>
      <c r="H85" s="3110"/>
      <c r="I85" s="4249"/>
      <c r="J85" s="1746"/>
    </row>
    <row r="86" spans="1:10" s="1643" customFormat="1">
      <c r="A86" s="3477" t="s">
        <v>763</v>
      </c>
      <c r="B86" s="3478">
        <v>571926.98</v>
      </c>
      <c r="C86" s="3478">
        <v>-188224.84</v>
      </c>
      <c r="D86" s="3479">
        <f t="shared" si="3"/>
        <v>383702.14</v>
      </c>
      <c r="E86" s="3157"/>
      <c r="F86" s="713"/>
      <c r="G86" s="1789"/>
      <c r="H86" s="3110"/>
      <c r="I86" s="4249"/>
      <c r="J86" s="1746"/>
    </row>
    <row r="87" spans="1:10" s="1643" customFormat="1">
      <c r="A87" s="3477" t="s">
        <v>138</v>
      </c>
      <c r="B87" s="3478">
        <v>0</v>
      </c>
      <c r="C87" s="3478">
        <v>0</v>
      </c>
      <c r="D87" s="3479">
        <f t="shared" si="3"/>
        <v>0</v>
      </c>
      <c r="E87" s="3157"/>
      <c r="F87" s="713"/>
      <c r="G87" s="1789"/>
      <c r="H87" s="3110"/>
      <c r="I87" s="4249"/>
      <c r="J87" s="1746"/>
    </row>
    <row r="88" spans="1:10" s="1643" customFormat="1">
      <c r="A88" s="3477" t="s">
        <v>140</v>
      </c>
      <c r="B88" s="3478">
        <v>3371928.31</v>
      </c>
      <c r="C88" s="3478">
        <v>530882.06999999995</v>
      </c>
      <c r="D88" s="3479">
        <f t="shared" si="3"/>
        <v>3902810.38</v>
      </c>
      <c r="E88" s="3157"/>
      <c r="F88" s="713"/>
      <c r="G88" s="1789"/>
      <c r="H88" s="3110"/>
      <c r="I88" s="4249"/>
      <c r="J88" s="1746"/>
    </row>
    <row r="89" spans="1:10" s="1643" customFormat="1">
      <c r="A89" s="3477" t="s">
        <v>142</v>
      </c>
      <c r="B89" s="3478">
        <v>569189.92000000004</v>
      </c>
      <c r="C89" s="3478">
        <v>0</v>
      </c>
      <c r="D89" s="3479">
        <f t="shared" si="3"/>
        <v>569189.92000000004</v>
      </c>
      <c r="E89" s="3157"/>
      <c r="F89" s="713"/>
      <c r="G89" s="1789"/>
      <c r="H89" s="3110"/>
      <c r="I89" s="4249"/>
      <c r="J89" s="1746"/>
    </row>
    <row r="90" spans="1:10" s="1643" customFormat="1">
      <c r="A90" s="3477" t="s">
        <v>132</v>
      </c>
      <c r="B90" s="3478">
        <v>1108777.22</v>
      </c>
      <c r="C90" s="3478">
        <v>34180</v>
      </c>
      <c r="D90" s="3479">
        <f t="shared" si="3"/>
        <v>1142957.22</v>
      </c>
      <c r="E90" s="3157"/>
      <c r="F90" s="713"/>
      <c r="G90" s="1789"/>
      <c r="H90" s="3110"/>
      <c r="I90" s="4249"/>
      <c r="J90" s="1746"/>
    </row>
    <row r="91" spans="1:10" s="1643" customFormat="1">
      <c r="A91" s="3477" t="s">
        <v>144</v>
      </c>
      <c r="B91" s="3478">
        <v>160349.07</v>
      </c>
      <c r="C91" s="3478">
        <v>0</v>
      </c>
      <c r="D91" s="3479">
        <f t="shared" si="3"/>
        <v>160349.07</v>
      </c>
      <c r="E91" s="3157"/>
      <c r="F91" s="713"/>
      <c r="G91" s="1789"/>
      <c r="H91" s="3110"/>
      <c r="I91" s="4249"/>
      <c r="J91" s="1746"/>
    </row>
    <row r="92" spans="1:10" s="1643" customFormat="1">
      <c r="A92" s="3477" t="s">
        <v>170</v>
      </c>
      <c r="B92" s="3478">
        <v>4094524.99</v>
      </c>
      <c r="C92" s="3478">
        <v>248505.45</v>
      </c>
      <c r="D92" s="3479">
        <f t="shared" si="3"/>
        <v>4343030.4400000004</v>
      </c>
      <c r="E92" s="3157"/>
      <c r="F92" s="713"/>
      <c r="G92" s="1789"/>
      <c r="H92" s="3110"/>
      <c r="I92" s="4249"/>
      <c r="J92" s="1746"/>
    </row>
    <row r="93" spans="1:10" s="1643" customFormat="1">
      <c r="A93" s="3477" t="s">
        <v>146</v>
      </c>
      <c r="B93" s="3478">
        <v>154641245.44999999</v>
      </c>
      <c r="C93" s="3478">
        <v>10359587</v>
      </c>
      <c r="D93" s="3479">
        <f t="shared" si="3"/>
        <v>165000832.44999999</v>
      </c>
      <c r="E93" s="3157"/>
      <c r="F93" s="713"/>
      <c r="G93" s="1789"/>
      <c r="H93" s="3110"/>
      <c r="I93" s="4249"/>
      <c r="J93" s="1746"/>
    </row>
    <row r="94" spans="1:10" s="1643" customFormat="1">
      <c r="A94" s="3477" t="s">
        <v>764</v>
      </c>
      <c r="B94" s="3478">
        <v>181499.98</v>
      </c>
      <c r="C94" s="3478">
        <v>0</v>
      </c>
      <c r="D94" s="3479">
        <f t="shared" si="3"/>
        <v>181499.98</v>
      </c>
      <c r="E94" s="3157"/>
      <c r="F94" s="713"/>
      <c r="G94" s="1789"/>
      <c r="H94" s="3110"/>
      <c r="I94" s="4249"/>
      <c r="J94" s="1746"/>
    </row>
    <row r="95" spans="1:10" s="1643" customFormat="1">
      <c r="A95" s="3477" t="s">
        <v>150</v>
      </c>
      <c r="B95" s="3478">
        <v>0</v>
      </c>
      <c r="C95" s="3478">
        <v>0</v>
      </c>
      <c r="D95" s="3479">
        <f t="shared" si="3"/>
        <v>0</v>
      </c>
      <c r="E95" s="3157"/>
      <c r="F95" s="713"/>
      <c r="G95" s="1789"/>
      <c r="H95" s="3110"/>
      <c r="I95" s="4249"/>
      <c r="J95" s="1746"/>
    </row>
    <row r="96" spans="1:10" s="1643" customFormat="1">
      <c r="A96" s="3477" t="s">
        <v>152</v>
      </c>
      <c r="B96" s="3478">
        <v>15503396.85</v>
      </c>
      <c r="C96" s="3478">
        <v>3057754.7</v>
      </c>
      <c r="D96" s="3479">
        <f t="shared" si="3"/>
        <v>18561151.550000001</v>
      </c>
      <c r="E96" s="3157"/>
      <c r="F96" s="713"/>
      <c r="G96" s="1789"/>
      <c r="H96" s="3110"/>
      <c r="I96" s="4249"/>
      <c r="J96" s="1746"/>
    </row>
    <row r="97" spans="1:10" s="1643" customFormat="1">
      <c r="A97" s="3477" t="s">
        <v>154</v>
      </c>
      <c r="B97" s="3478">
        <v>4706441.54</v>
      </c>
      <c r="C97" s="3478">
        <v>1156149.46</v>
      </c>
      <c r="D97" s="3479">
        <f t="shared" si="3"/>
        <v>5862591</v>
      </c>
      <c r="E97" s="3157"/>
      <c r="F97" s="713"/>
      <c r="G97" s="1789"/>
      <c r="H97" s="3110"/>
      <c r="I97" s="4249"/>
      <c r="J97" s="1746"/>
    </row>
    <row r="98" spans="1:10" s="1643" customFormat="1">
      <c r="A98" s="3477" t="s">
        <v>156</v>
      </c>
      <c r="B98" s="3478">
        <v>6804162.3499999996</v>
      </c>
      <c r="C98" s="3478">
        <v>408372.47999999998</v>
      </c>
      <c r="D98" s="3479">
        <f t="shared" si="3"/>
        <v>7212534.8300000001</v>
      </c>
      <c r="E98" s="3157"/>
      <c r="F98" s="713"/>
      <c r="G98" s="1789"/>
      <c r="H98" s="3110"/>
      <c r="I98" s="4249"/>
      <c r="J98" s="1746"/>
    </row>
    <row r="99" spans="1:10" s="1643" customFormat="1">
      <c r="A99" s="3477" t="s">
        <v>158</v>
      </c>
      <c r="B99" s="3478">
        <v>1715836.26</v>
      </c>
      <c r="C99" s="3478">
        <v>0</v>
      </c>
      <c r="D99" s="3479">
        <f t="shared" si="3"/>
        <v>1715836.26</v>
      </c>
      <c r="E99" s="3157"/>
      <c r="F99" s="713"/>
      <c r="G99" s="1789"/>
      <c r="H99" s="3110"/>
      <c r="I99" s="4249"/>
      <c r="J99" s="1746"/>
    </row>
    <row r="100" spans="1:10" s="1643" customFormat="1">
      <c r="A100" s="3477" t="s">
        <v>166</v>
      </c>
      <c r="B100" s="3478">
        <v>4606929.3499999996</v>
      </c>
      <c r="C100" s="3478">
        <v>0</v>
      </c>
      <c r="D100" s="3479">
        <f t="shared" si="3"/>
        <v>4606929.3499999996</v>
      </c>
      <c r="E100" s="3157"/>
      <c r="F100" s="713"/>
      <c r="G100" s="1789"/>
      <c r="H100" s="3110"/>
      <c r="I100" s="4249"/>
      <c r="J100" s="1746"/>
    </row>
    <row r="101" spans="1:10" s="1643" customFormat="1">
      <c r="A101" s="3477" t="s">
        <v>168</v>
      </c>
      <c r="B101" s="3478">
        <v>5349851.5199999996</v>
      </c>
      <c r="C101" s="3478">
        <v>2486151.9300000002</v>
      </c>
      <c r="D101" s="3479">
        <f t="shared" si="3"/>
        <v>7836003.4499999993</v>
      </c>
      <c r="E101" s="3157"/>
      <c r="F101" s="713"/>
      <c r="G101" s="1789"/>
      <c r="H101" s="3110"/>
      <c r="I101" s="4249"/>
      <c r="J101" s="1746"/>
    </row>
    <row r="102" spans="1:10" s="1643" customFormat="1">
      <c r="A102" s="3477" t="s">
        <v>160</v>
      </c>
      <c r="B102" s="3478">
        <v>11205653.52</v>
      </c>
      <c r="C102" s="3478">
        <v>880574.78</v>
      </c>
      <c r="D102" s="3479">
        <f t="shared" si="3"/>
        <v>12086228.299999999</v>
      </c>
      <c r="E102" s="3157"/>
      <c r="F102" s="713"/>
      <c r="G102" s="1789"/>
      <c r="H102" s="3110"/>
      <c r="I102" s="4249"/>
      <c r="J102" s="1746"/>
    </row>
    <row r="103" spans="1:10" s="1643" customFormat="1">
      <c r="A103" s="3477" t="s">
        <v>162</v>
      </c>
      <c r="B103" s="3478">
        <v>3031652.65</v>
      </c>
      <c r="C103" s="3478">
        <v>2208668.29</v>
      </c>
      <c r="D103" s="3479">
        <f t="shared" si="3"/>
        <v>5240320.9399999995</v>
      </c>
      <c r="E103" s="3157"/>
      <c r="F103" s="713"/>
      <c r="G103" s="1789"/>
      <c r="H103" s="3110"/>
      <c r="I103" s="4249"/>
      <c r="J103" s="1746"/>
    </row>
    <row r="104" spans="1:10" s="1643" customFormat="1">
      <c r="A104" s="3477" t="s">
        <v>164</v>
      </c>
      <c r="B104" s="3478">
        <v>663062.93000000005</v>
      </c>
      <c r="C104" s="3478">
        <v>0</v>
      </c>
      <c r="D104" s="3479">
        <f t="shared" si="3"/>
        <v>663062.93000000005</v>
      </c>
      <c r="E104" s="3157"/>
      <c r="F104" s="713"/>
      <c r="G104" s="1789"/>
      <c r="H104" s="3110"/>
      <c r="I104" s="4249"/>
      <c r="J104" s="1746"/>
    </row>
    <row r="105" spans="1:10" s="1643" customFormat="1">
      <c r="A105" s="3477" t="s">
        <v>172</v>
      </c>
      <c r="B105" s="3478">
        <v>7609061.5499999998</v>
      </c>
      <c r="C105" s="3478">
        <v>343748.74</v>
      </c>
      <c r="D105" s="3479">
        <f t="shared" si="3"/>
        <v>7952810.29</v>
      </c>
      <c r="E105" s="3157"/>
      <c r="F105" s="713"/>
      <c r="G105" s="1789"/>
      <c r="H105" s="3110"/>
      <c r="I105" s="4249"/>
      <c r="J105" s="1746"/>
    </row>
    <row r="106" spans="1:10" s="1643" customFormat="1">
      <c r="A106" s="3477" t="s">
        <v>174</v>
      </c>
      <c r="B106" s="3478">
        <v>14456204.41</v>
      </c>
      <c r="C106" s="3478">
        <v>627836.48</v>
      </c>
      <c r="D106" s="3479">
        <f t="shared" si="3"/>
        <v>15084040.890000001</v>
      </c>
      <c r="E106" s="3157"/>
      <c r="F106" s="713"/>
      <c r="G106" s="1789"/>
      <c r="H106" s="3110"/>
      <c r="I106" s="4249"/>
      <c r="J106" s="1746"/>
    </row>
    <row r="107" spans="1:10" s="1643" customFormat="1">
      <c r="A107" s="1743"/>
      <c r="B107" s="1744"/>
      <c r="C107" s="1744"/>
      <c r="D107" s="1744"/>
      <c r="E107" s="1745"/>
      <c r="F107" s="713"/>
      <c r="G107" s="1789"/>
      <c r="H107" s="3110"/>
      <c r="I107" s="4249"/>
      <c r="J107" s="1746"/>
    </row>
    <row r="108" spans="1:10" s="1643" customFormat="1">
      <c r="A108" s="1743"/>
      <c r="B108" s="1744"/>
      <c r="C108" s="1744"/>
      <c r="D108" s="1744"/>
      <c r="E108" s="1745"/>
      <c r="F108" s="713"/>
      <c r="G108" s="1789"/>
      <c r="H108" s="3110"/>
      <c r="I108" s="4249"/>
      <c r="J108" s="1746"/>
    </row>
    <row r="109" spans="1:10" s="1751" customFormat="1">
      <c r="A109" s="1747"/>
      <c r="B109" s="1748"/>
      <c r="C109" s="1748"/>
      <c r="D109" s="1748"/>
      <c r="E109" s="1749"/>
      <c r="F109" s="1750"/>
      <c r="H109" s="3111"/>
      <c r="I109" s="4250"/>
      <c r="J109" s="1752"/>
    </row>
    <row r="110" spans="1:10" s="1643" customFormat="1">
      <c r="A110" s="1743"/>
      <c r="B110" s="1744"/>
      <c r="C110" s="1744"/>
      <c r="D110" s="1744"/>
      <c r="E110" s="1745"/>
      <c r="F110" s="713"/>
      <c r="G110" s="1789"/>
      <c r="H110" s="3110"/>
      <c r="I110" s="4249"/>
      <c r="J110" s="1746"/>
    </row>
    <row r="111" spans="1:10" s="1643" customFormat="1">
      <c r="A111" s="1743"/>
      <c r="B111" s="1744"/>
      <c r="C111" s="1744"/>
      <c r="D111" s="1744"/>
      <c r="E111" s="1745"/>
      <c r="F111" s="713"/>
      <c r="G111" s="1789"/>
      <c r="H111" s="3110"/>
      <c r="I111" s="4249"/>
      <c r="J111" s="1746"/>
    </row>
    <row r="112" spans="1:10" s="1643" customFormat="1">
      <c r="A112" s="3472" t="s">
        <v>3907</v>
      </c>
      <c r="B112" s="3863"/>
      <c r="C112" s="1744"/>
      <c r="D112" s="1744"/>
      <c r="E112" s="1745"/>
      <c r="F112" s="713"/>
      <c r="G112" s="1789"/>
      <c r="H112" s="3110"/>
      <c r="I112" s="4249"/>
      <c r="J112" s="1746"/>
    </row>
    <row r="113" spans="1:10" s="1643" customFormat="1">
      <c r="A113" s="4560" t="s">
        <v>3908</v>
      </c>
      <c r="B113" s="4561"/>
      <c r="C113" s="1744"/>
      <c r="D113" s="1744"/>
      <c r="E113" s="1745"/>
      <c r="F113" s="713"/>
      <c r="G113" s="1789"/>
      <c r="H113" s="3110"/>
      <c r="I113" s="4249"/>
      <c r="J113" s="1746"/>
    </row>
    <row r="114" spans="1:10" s="1643" customFormat="1">
      <c r="A114" s="3474" t="s">
        <v>2303</v>
      </c>
      <c r="B114" s="3475" t="s">
        <v>3909</v>
      </c>
      <c r="C114" s="1744"/>
      <c r="D114" s="4551" t="s">
        <v>4094</v>
      </c>
      <c r="E114" s="4552"/>
      <c r="F114" s="4552"/>
      <c r="G114" s="4552"/>
      <c r="H114" s="4552"/>
      <c r="I114" s="4552"/>
      <c r="J114" s="4553"/>
    </row>
    <row r="115" spans="1:10" s="1643" customFormat="1">
      <c r="A115" s="3480" t="s">
        <v>128</v>
      </c>
      <c r="B115" s="3478">
        <v>139480.9</v>
      </c>
      <c r="C115" s="1744"/>
      <c r="D115" s="4554"/>
      <c r="E115" s="4555"/>
      <c r="F115" s="4555"/>
      <c r="G115" s="4555"/>
      <c r="H115" s="4555"/>
      <c r="I115" s="4555"/>
      <c r="J115" s="4556"/>
    </row>
    <row r="116" spans="1:10" s="1643" customFormat="1">
      <c r="A116" s="3480" t="s">
        <v>120</v>
      </c>
      <c r="B116" s="3478">
        <v>551317.24</v>
      </c>
      <c r="C116" s="1744"/>
      <c r="D116" s="4557"/>
      <c r="E116" s="4558"/>
      <c r="F116" s="4558"/>
      <c r="G116" s="4558"/>
      <c r="H116" s="4558"/>
      <c r="I116" s="4558"/>
      <c r="J116" s="4559"/>
    </row>
    <row r="117" spans="1:10" s="1643" customFormat="1">
      <c r="A117" s="3480" t="s">
        <v>124</v>
      </c>
      <c r="B117" s="3478">
        <v>330610.55</v>
      </c>
      <c r="C117" s="1744"/>
      <c r="D117" s="1744"/>
      <c r="E117" s="1745"/>
      <c r="F117" s="713"/>
      <c r="G117" s="1789"/>
      <c r="H117" s="3110"/>
      <c r="I117" s="4249"/>
      <c r="J117" s="1746"/>
    </row>
    <row r="118" spans="1:10" s="1643" customFormat="1">
      <c r="A118" s="3480" t="s">
        <v>122</v>
      </c>
      <c r="B118" s="3478">
        <v>83839.100000000006</v>
      </c>
      <c r="C118" s="1744"/>
      <c r="D118" s="1744"/>
      <c r="E118" s="1745"/>
      <c r="F118" s="713"/>
      <c r="G118" s="1789"/>
      <c r="H118" s="3110"/>
      <c r="I118" s="4249"/>
      <c r="J118" s="1746"/>
    </row>
    <row r="119" spans="1:10" s="1643" customFormat="1">
      <c r="A119" s="3480" t="s">
        <v>126</v>
      </c>
      <c r="B119" s="3478">
        <v>406419.93</v>
      </c>
      <c r="C119" s="1744"/>
      <c r="D119" s="1744"/>
      <c r="E119" s="1745"/>
      <c r="F119" s="713"/>
      <c r="G119" s="1789"/>
      <c r="H119" s="3110"/>
      <c r="I119" s="4249"/>
      <c r="J119" s="1746"/>
    </row>
    <row r="120" spans="1:10" s="1643" customFormat="1">
      <c r="A120" s="3480" t="s">
        <v>130</v>
      </c>
      <c r="B120" s="3478">
        <v>561072.86</v>
      </c>
      <c r="C120" s="1744"/>
      <c r="D120" s="1744"/>
      <c r="E120" s="1745"/>
      <c r="F120" s="713"/>
      <c r="G120" s="1789"/>
      <c r="H120" s="3110"/>
      <c r="I120" s="4249"/>
      <c r="J120" s="1746"/>
    </row>
    <row r="121" spans="1:10" s="1643" customFormat="1">
      <c r="A121" s="3480" t="s">
        <v>136</v>
      </c>
      <c r="B121" s="3478">
        <v>964429.44</v>
      </c>
      <c r="C121" s="1744"/>
      <c r="D121" s="1744"/>
      <c r="E121" s="1745"/>
      <c r="F121" s="713"/>
      <c r="G121" s="1789"/>
      <c r="H121" s="3110"/>
      <c r="I121" s="4249"/>
      <c r="J121" s="1746"/>
    </row>
    <row r="122" spans="1:10" s="1643" customFormat="1">
      <c r="A122" s="3480" t="s">
        <v>763</v>
      </c>
      <c r="B122" s="3478">
        <v>205427.20000000001</v>
      </c>
      <c r="C122" s="1744"/>
      <c r="D122" s="1744"/>
      <c r="E122" s="1745"/>
      <c r="F122" s="713"/>
      <c r="G122" s="1789"/>
      <c r="H122" s="3110"/>
      <c r="I122" s="4249"/>
      <c r="J122" s="1746"/>
    </row>
    <row r="123" spans="1:10" s="1643" customFormat="1">
      <c r="A123" s="3480" t="s">
        <v>138</v>
      </c>
      <c r="B123" s="3478">
        <v>69924.490000000005</v>
      </c>
      <c r="C123" s="1744"/>
      <c r="D123" s="1744"/>
      <c r="E123" s="1745"/>
      <c r="F123" s="713"/>
      <c r="G123" s="1789"/>
      <c r="H123" s="3110"/>
      <c r="I123" s="4249"/>
      <c r="J123" s="1746"/>
    </row>
    <row r="124" spans="1:10" s="1643" customFormat="1">
      <c r="A124" s="3480" t="s">
        <v>140</v>
      </c>
      <c r="B124" s="3478">
        <v>674094.03</v>
      </c>
      <c r="C124" s="1744"/>
      <c r="D124" s="1744"/>
      <c r="E124" s="1745"/>
      <c r="F124" s="713"/>
      <c r="G124" s="1789"/>
      <c r="H124" s="3110"/>
      <c r="I124" s="4249"/>
      <c r="J124" s="1746"/>
    </row>
    <row r="125" spans="1:10" s="1643" customFormat="1">
      <c r="A125" s="3480" t="s">
        <v>142</v>
      </c>
      <c r="B125" s="3478">
        <v>161246.81</v>
      </c>
      <c r="C125" s="1744"/>
      <c r="D125" s="1744"/>
      <c r="E125" s="1745"/>
      <c r="F125" s="713"/>
      <c r="G125" s="1789"/>
      <c r="H125" s="3110"/>
      <c r="I125" s="4249"/>
      <c r="J125" s="1746"/>
    </row>
    <row r="126" spans="1:10" s="1643" customFormat="1">
      <c r="A126" s="3480" t="s">
        <v>132</v>
      </c>
      <c r="B126" s="3478">
        <v>50410.59</v>
      </c>
      <c r="C126" s="1744"/>
      <c r="D126" s="1744"/>
      <c r="E126" s="1745"/>
      <c r="F126" s="713"/>
      <c r="G126" s="1789"/>
      <c r="H126" s="3110"/>
      <c r="I126" s="4249"/>
      <c r="J126" s="1746"/>
    </row>
    <row r="127" spans="1:10">
      <c r="A127" s="3480" t="s">
        <v>144</v>
      </c>
      <c r="B127" s="3478">
        <v>259322.7</v>
      </c>
      <c r="C127" s="1789"/>
      <c r="D127" s="1863"/>
      <c r="E127" s="1863"/>
      <c r="F127" s="1863"/>
      <c r="G127" s="1863"/>
      <c r="J127" s="1863"/>
    </row>
    <row r="128" spans="1:10" s="1642" customFormat="1">
      <c r="A128" s="3480" t="s">
        <v>170</v>
      </c>
      <c r="B128" s="3478">
        <v>1315314.3999999999</v>
      </c>
      <c r="C128" s="1789"/>
      <c r="D128" s="1863"/>
      <c r="E128" s="1863"/>
      <c r="F128" s="1863"/>
      <c r="G128" s="1863"/>
      <c r="H128" s="3124"/>
      <c r="I128" s="4248"/>
      <c r="J128" s="1863"/>
    </row>
    <row r="129" spans="1:9">
      <c r="A129" s="3480" t="s">
        <v>146</v>
      </c>
      <c r="B129" s="3478">
        <v>-21213427.34</v>
      </c>
      <c r="C129" s="1789"/>
      <c r="D129" s="1863"/>
      <c r="E129" s="1863"/>
      <c r="F129" s="1863"/>
      <c r="G129" s="1863"/>
    </row>
    <row r="130" spans="1:9">
      <c r="A130" s="3480" t="s">
        <v>764</v>
      </c>
      <c r="B130" s="3478">
        <v>28433.759999999998</v>
      </c>
      <c r="C130" s="1789"/>
      <c r="D130" s="1821"/>
      <c r="E130" s="93"/>
      <c r="F130" s="1863"/>
      <c r="G130" s="1863"/>
      <c r="H130" s="3125"/>
    </row>
    <row r="131" spans="1:9">
      <c r="A131" s="3480" t="s">
        <v>150</v>
      </c>
      <c r="B131" s="3478">
        <v>0</v>
      </c>
      <c r="C131" s="1789"/>
      <c r="D131" s="1728"/>
      <c r="E131" s="1731"/>
      <c r="F131" s="1863"/>
      <c r="G131" s="1863"/>
      <c r="H131" s="3125"/>
    </row>
    <row r="132" spans="1:9">
      <c r="A132" s="3480" t="s">
        <v>152</v>
      </c>
      <c r="B132" s="3478">
        <v>2093763.43</v>
      </c>
      <c r="C132" s="1789"/>
      <c r="D132" s="1314"/>
      <c r="E132" s="1732"/>
      <c r="F132" s="1863"/>
      <c r="G132" s="1863"/>
      <c r="H132" s="3125"/>
    </row>
    <row r="133" spans="1:9">
      <c r="A133" s="3480" t="s">
        <v>154</v>
      </c>
      <c r="B133" s="3478">
        <v>253545.39</v>
      </c>
      <c r="C133" s="1789"/>
      <c r="D133" s="1314"/>
      <c r="E133" s="1732"/>
      <c r="F133" s="1863"/>
      <c r="G133" s="1863"/>
      <c r="H133" s="3125"/>
    </row>
    <row r="134" spans="1:9">
      <c r="A134" s="3480" t="s">
        <v>156</v>
      </c>
      <c r="B134" s="3478">
        <v>1220484.3400000001</v>
      </c>
      <c r="C134" s="1789"/>
      <c r="D134" s="1314"/>
      <c r="E134" s="1730"/>
      <c r="F134" s="1863"/>
      <c r="G134" s="1863"/>
    </row>
    <row r="135" spans="1:9">
      <c r="A135" s="3480" t="s">
        <v>158</v>
      </c>
      <c r="B135" s="3478">
        <v>209779.6</v>
      </c>
      <c r="C135" s="1789"/>
      <c r="D135" s="1314"/>
      <c r="E135" s="3594"/>
      <c r="F135" s="1863"/>
      <c r="G135" s="1863"/>
    </row>
    <row r="136" spans="1:9">
      <c r="A136" s="3480" t="s">
        <v>166</v>
      </c>
      <c r="B136" s="3478">
        <v>41464.11</v>
      </c>
      <c r="C136" s="1789"/>
      <c r="D136" s="1314"/>
      <c r="E136" s="3594"/>
      <c r="F136" s="1863"/>
      <c r="G136" s="1863"/>
    </row>
    <row r="137" spans="1:9">
      <c r="A137" s="3480" t="s">
        <v>168</v>
      </c>
      <c r="B137" s="3478">
        <v>1517771.48</v>
      </c>
      <c r="C137" s="1789"/>
      <c r="D137" s="1314"/>
      <c r="E137" s="3594"/>
      <c r="F137" s="1863"/>
      <c r="G137" s="1863"/>
    </row>
    <row r="138" spans="1:9">
      <c r="A138" s="3480" t="s">
        <v>160</v>
      </c>
      <c r="B138" s="3478">
        <v>765984.75</v>
      </c>
      <c r="C138" s="1789"/>
      <c r="D138" s="1314"/>
      <c r="E138" s="3594"/>
      <c r="F138" s="1863"/>
      <c r="G138" s="1863"/>
    </row>
    <row r="139" spans="1:9">
      <c r="A139" s="3480" t="s">
        <v>162</v>
      </c>
      <c r="B139" s="3478">
        <v>367495.2</v>
      </c>
      <c r="C139" s="1789"/>
      <c r="D139" s="1314"/>
      <c r="E139" s="3594"/>
      <c r="F139" s="1863"/>
      <c r="G139" s="1863"/>
    </row>
    <row r="140" spans="1:9">
      <c r="A140" s="3480" t="s">
        <v>164</v>
      </c>
      <c r="B140" s="3478">
        <v>113123.96</v>
      </c>
      <c r="C140" s="1789"/>
      <c r="D140" s="1314"/>
      <c r="E140" s="3594"/>
      <c r="F140" s="1863"/>
      <c r="G140" s="1863"/>
    </row>
    <row r="141" spans="1:9">
      <c r="A141" s="3480" t="s">
        <v>172</v>
      </c>
      <c r="B141" s="3478">
        <v>659620.87</v>
      </c>
      <c r="C141" s="1789"/>
      <c r="D141" s="1314"/>
      <c r="E141" s="3594"/>
      <c r="F141" s="1863"/>
      <c r="G141" s="1863"/>
    </row>
    <row r="142" spans="1:9">
      <c r="A142" s="3480" t="s">
        <v>174</v>
      </c>
      <c r="B142" s="3478">
        <v>1113963.29</v>
      </c>
      <c r="C142" s="1789"/>
      <c r="D142" s="1314"/>
      <c r="E142" s="3594"/>
      <c r="F142" s="1863"/>
      <c r="G142" s="1863"/>
    </row>
    <row r="143" spans="1:9" s="1642" customFormat="1">
      <c r="A143" s="1786"/>
      <c r="B143" s="1863"/>
      <c r="C143" s="1863"/>
      <c r="D143" s="1314"/>
      <c r="E143" s="3594"/>
      <c r="F143" s="1863"/>
      <c r="G143" s="1863"/>
      <c r="H143" s="3124"/>
      <c r="I143" s="4248"/>
    </row>
    <row r="144" spans="1:9" s="1741" customFormat="1" ht="15" customHeight="1">
      <c r="F144" s="1762"/>
      <c r="G144" s="1762"/>
      <c r="H144" s="3126"/>
      <c r="I144" s="4251"/>
    </row>
    <row r="145" spans="1:15" s="1762" customFormat="1" ht="15" customHeight="1">
      <c r="H145" s="3127"/>
      <c r="I145" s="4251"/>
    </row>
    <row r="146" spans="1:15" s="1788" customFormat="1" ht="15" customHeight="1">
      <c r="B146" s="4562" t="s">
        <v>4101</v>
      </c>
      <c r="C146" s="4562"/>
      <c r="D146" s="4562"/>
      <c r="E146" s="4562"/>
      <c r="F146" s="4562"/>
      <c r="G146" s="4562"/>
      <c r="H146" s="4562"/>
      <c r="I146" s="4562"/>
      <c r="J146" s="4562"/>
      <c r="K146" s="4562"/>
      <c r="L146" s="4562"/>
    </row>
    <row r="147" spans="1:15" s="1789" customFormat="1">
      <c r="A147" s="3481" t="s">
        <v>3911</v>
      </c>
      <c r="B147" s="4586" t="s">
        <v>3912</v>
      </c>
      <c r="C147" s="4587"/>
      <c r="D147" s="4587"/>
      <c r="E147" s="4587"/>
      <c r="F147" s="4587"/>
      <c r="G147" s="4587"/>
      <c r="H147" s="4587"/>
      <c r="I147" s="4587"/>
      <c r="J147" s="4587"/>
      <c r="K147" s="4587"/>
      <c r="L147" s="4587"/>
    </row>
    <row r="148" spans="1:15" s="1642" customFormat="1">
      <c r="A148" s="3473"/>
      <c r="B148" s="4588"/>
      <c r="C148" s="4589"/>
      <c r="D148" s="4589"/>
      <c r="E148" s="4589"/>
      <c r="F148" s="4589"/>
      <c r="G148" s="4589"/>
      <c r="H148" s="4589"/>
      <c r="I148" s="4589"/>
      <c r="J148" s="4589"/>
      <c r="K148" s="4589"/>
      <c r="L148" s="4589"/>
      <c r="M148" s="1863"/>
      <c r="N148" s="1863"/>
      <c r="O148" s="1863"/>
    </row>
    <row r="149" spans="1:15" s="1642" customFormat="1">
      <c r="A149" s="3467" t="s">
        <v>3913</v>
      </c>
      <c r="B149" s="4533" t="s">
        <v>3914</v>
      </c>
      <c r="C149" s="4533" t="s">
        <v>3915</v>
      </c>
      <c r="D149" s="4533" t="s">
        <v>3916</v>
      </c>
      <c r="E149" s="4533" t="s">
        <v>3917</v>
      </c>
      <c r="F149" s="4531" t="s">
        <v>3918</v>
      </c>
      <c r="G149" s="4533" t="s">
        <v>3919</v>
      </c>
      <c r="H149" s="4532" t="s">
        <v>3918</v>
      </c>
      <c r="I149" s="4581" t="s">
        <v>3918</v>
      </c>
      <c r="J149" s="4533" t="s">
        <v>3918</v>
      </c>
      <c r="K149" s="4533" t="s">
        <v>3918</v>
      </c>
      <c r="L149" s="4534" t="s">
        <v>3920</v>
      </c>
      <c r="M149" s="4534"/>
      <c r="N149" s="4534"/>
      <c r="O149" s="1863"/>
    </row>
    <row r="150" spans="1:15" s="1642" customFormat="1" ht="29.45" customHeight="1">
      <c r="A150" s="3467"/>
      <c r="B150" s="4533"/>
      <c r="C150" s="4533"/>
      <c r="D150" s="4533"/>
      <c r="E150" s="4533"/>
      <c r="F150" s="4531"/>
      <c r="G150" s="4533"/>
      <c r="H150" s="4532"/>
      <c r="I150" s="4581"/>
      <c r="J150" s="4533"/>
      <c r="K150" s="4533"/>
      <c r="L150" s="4535" t="s">
        <v>3921</v>
      </c>
      <c r="M150" s="4535"/>
      <c r="N150" s="4535"/>
      <c r="O150" s="1863"/>
    </row>
    <row r="151" spans="1:15" s="1642" customFormat="1">
      <c r="A151" s="3482" t="s">
        <v>3922</v>
      </c>
      <c r="B151" s="3467"/>
      <c r="C151" s="3467"/>
      <c r="D151" s="3467"/>
      <c r="E151" s="3467"/>
      <c r="F151" s="3467"/>
      <c r="G151" s="3483"/>
      <c r="H151" s="3133"/>
      <c r="I151" s="4252"/>
      <c r="J151" s="3134"/>
      <c r="K151" s="3467"/>
      <c r="L151" s="4591" t="s">
        <v>3923</v>
      </c>
      <c r="M151" s="4591"/>
      <c r="N151" s="4591"/>
      <c r="O151" s="1863"/>
    </row>
    <row r="152" spans="1:15" s="1642" customFormat="1">
      <c r="A152" s="3482">
        <v>1</v>
      </c>
      <c r="B152" s="3482">
        <v>2</v>
      </c>
      <c r="C152" s="3484">
        <v>3</v>
      </c>
      <c r="D152" s="3484">
        <v>4</v>
      </c>
      <c r="E152" s="3482">
        <v>5</v>
      </c>
      <c r="F152" s="3484">
        <v>6</v>
      </c>
      <c r="G152" s="3482">
        <v>7</v>
      </c>
      <c r="H152" s="3128">
        <v>8</v>
      </c>
      <c r="I152" s="4253">
        <v>9</v>
      </c>
      <c r="J152" s="3864">
        <v>10</v>
      </c>
      <c r="K152" s="3484">
        <v>11</v>
      </c>
      <c r="L152" s="3482">
        <v>12</v>
      </c>
      <c r="M152" s="3482">
        <v>13</v>
      </c>
      <c r="N152" s="3482">
        <v>14</v>
      </c>
      <c r="O152" s="1863"/>
    </row>
    <row r="153" spans="1:15" s="1422" customFormat="1" ht="45.75" customHeight="1">
      <c r="A153" s="3485"/>
      <c r="B153" s="3486" t="s">
        <v>75</v>
      </c>
      <c r="C153" s="3487" t="s">
        <v>564</v>
      </c>
      <c r="D153" s="3487" t="s">
        <v>566</v>
      </c>
      <c r="E153" s="3486" t="s">
        <v>568</v>
      </c>
      <c r="F153" s="3488" t="s">
        <v>289</v>
      </c>
      <c r="G153" s="3485" t="s">
        <v>291</v>
      </c>
      <c r="H153" s="3112" t="s">
        <v>3924</v>
      </c>
      <c r="I153" s="4254" t="s">
        <v>3925</v>
      </c>
      <c r="J153" s="3865" t="s">
        <v>3926</v>
      </c>
      <c r="K153" s="3489" t="s">
        <v>3927</v>
      </c>
      <c r="L153" s="3485">
        <v>399</v>
      </c>
      <c r="M153" s="3485">
        <v>499</v>
      </c>
      <c r="N153" s="3490" t="s">
        <v>3928</v>
      </c>
      <c r="O153" s="3106"/>
    </row>
    <row r="154" spans="1:15" s="1642" customFormat="1">
      <c r="A154" s="3491" t="s">
        <v>120</v>
      </c>
      <c r="B154" s="3158">
        <f>915000+7800000</f>
        <v>8715000</v>
      </c>
      <c r="C154" s="3158">
        <v>4285715</v>
      </c>
      <c r="D154" s="3158">
        <v>0</v>
      </c>
      <c r="E154" s="3158">
        <v>0</v>
      </c>
      <c r="F154" s="3158">
        <v>0</v>
      </c>
      <c r="G154" s="3158">
        <f>1253216+9429426</f>
        <v>10682642</v>
      </c>
      <c r="H154" s="3158">
        <v>4479682</v>
      </c>
      <c r="I154" s="3158">
        <v>66707144</v>
      </c>
      <c r="J154" s="3866">
        <v>29774303</v>
      </c>
      <c r="K154" s="3158">
        <v>0</v>
      </c>
      <c r="L154" s="3158">
        <v>2142857</v>
      </c>
      <c r="M154" s="3158">
        <v>2142858</v>
      </c>
      <c r="N154" s="3492">
        <f>L154+M154</f>
        <v>4285715</v>
      </c>
      <c r="O154" s="3159" t="s">
        <v>120</v>
      </c>
    </row>
    <row r="155" spans="1:15" s="1642" customFormat="1">
      <c r="A155" s="3491" t="s">
        <v>122</v>
      </c>
      <c r="B155" s="3158">
        <v>0</v>
      </c>
      <c r="C155" s="3158">
        <v>0</v>
      </c>
      <c r="D155" s="3158">
        <v>0</v>
      </c>
      <c r="E155" s="3158">
        <v>0</v>
      </c>
      <c r="F155" s="3158">
        <v>0</v>
      </c>
      <c r="G155" s="3158">
        <f>200000+1882096</f>
        <v>2082096</v>
      </c>
      <c r="H155" s="3158">
        <v>86978</v>
      </c>
      <c r="I155" s="3158">
        <v>6682878</v>
      </c>
      <c r="J155" s="3866">
        <v>2703473</v>
      </c>
      <c r="K155" s="3158">
        <v>0</v>
      </c>
      <c r="L155" s="3158">
        <v>0</v>
      </c>
      <c r="M155" s="3158">
        <v>0</v>
      </c>
      <c r="N155" s="3492">
        <f t="shared" ref="N155:N181" si="4">L155+M155</f>
        <v>0</v>
      </c>
      <c r="O155" s="3159" t="s">
        <v>122</v>
      </c>
    </row>
    <row r="156" spans="1:15" s="1642" customFormat="1">
      <c r="A156" s="3491" t="s">
        <v>124</v>
      </c>
      <c r="B156" s="3158">
        <v>0</v>
      </c>
      <c r="C156" s="3158">
        <v>0</v>
      </c>
      <c r="D156" s="3158">
        <v>0</v>
      </c>
      <c r="E156" s="3158">
        <v>0</v>
      </c>
      <c r="F156" s="3158">
        <v>0</v>
      </c>
      <c r="G156" s="3158">
        <f>284401+3216868</f>
        <v>3501269</v>
      </c>
      <c r="H156" s="3158">
        <v>927921</v>
      </c>
      <c r="I156" s="3158">
        <v>16447981</v>
      </c>
      <c r="J156" s="3866">
        <v>7221923</v>
      </c>
      <c r="K156" s="3158"/>
      <c r="L156" s="3158">
        <v>0</v>
      </c>
      <c r="M156" s="3158">
        <v>580987</v>
      </c>
      <c r="N156" s="3492">
        <f t="shared" si="4"/>
        <v>580987</v>
      </c>
      <c r="O156" s="3159" t="s">
        <v>124</v>
      </c>
    </row>
    <row r="157" spans="1:15" s="1642" customFormat="1">
      <c r="A157" s="3491" t="s">
        <v>126</v>
      </c>
      <c r="B157" s="3158">
        <f>11000+8000</f>
        <v>19000</v>
      </c>
      <c r="C157" s="3158">
        <v>6700000</v>
      </c>
      <c r="D157" s="3158">
        <v>0</v>
      </c>
      <c r="E157" s="3158">
        <v>0</v>
      </c>
      <c r="F157" s="3158">
        <v>461630</v>
      </c>
      <c r="G157" s="3158">
        <f>1181506+10069826</f>
        <v>11251332</v>
      </c>
      <c r="H157" s="3158">
        <v>460076</v>
      </c>
      <c r="I157" s="3158">
        <v>29924100</v>
      </c>
      <c r="J157" s="3866">
        <v>13333016</v>
      </c>
      <c r="K157" s="3158">
        <v>0</v>
      </c>
      <c r="L157" s="3158">
        <v>1071129</v>
      </c>
      <c r="M157" s="3158">
        <v>6090502</v>
      </c>
      <c r="N157" s="3492">
        <f t="shared" si="4"/>
        <v>7161631</v>
      </c>
      <c r="O157" s="3159" t="s">
        <v>126</v>
      </c>
    </row>
    <row r="158" spans="1:15" s="1642" customFormat="1">
      <c r="A158" s="3491" t="s">
        <v>128</v>
      </c>
      <c r="B158" s="3158">
        <v>0</v>
      </c>
      <c r="C158" s="3158">
        <v>0</v>
      </c>
      <c r="D158" s="3158">
        <v>0</v>
      </c>
      <c r="E158" s="3158">
        <f>755725+2044713</f>
        <v>2800438</v>
      </c>
      <c r="F158" s="3158">
        <v>925407</v>
      </c>
      <c r="G158" s="3158">
        <v>8476844</v>
      </c>
      <c r="H158" s="3158">
        <v>680908</v>
      </c>
      <c r="I158" s="3158">
        <v>32870374</v>
      </c>
      <c r="J158" s="3866">
        <v>14588836</v>
      </c>
      <c r="K158" s="3158">
        <v>0</v>
      </c>
      <c r="L158" s="3158">
        <v>265053</v>
      </c>
      <c r="M158" s="3158">
        <v>4899403</v>
      </c>
      <c r="N158" s="3492">
        <f>L158+M158</f>
        <v>5164456</v>
      </c>
      <c r="O158" s="3159" t="s">
        <v>128</v>
      </c>
    </row>
    <row r="159" spans="1:15" s="1642" customFormat="1">
      <c r="A159" s="3491" t="s">
        <v>130</v>
      </c>
      <c r="B159" s="3158">
        <f>1645829+29715169</f>
        <v>31360998</v>
      </c>
      <c r="C159" s="3158">
        <v>1160933</v>
      </c>
      <c r="D159" s="3158">
        <v>0</v>
      </c>
      <c r="E159" s="3158">
        <v>0</v>
      </c>
      <c r="F159" s="3158">
        <v>239492</v>
      </c>
      <c r="G159" s="3158">
        <f>96705+5124532</f>
        <v>5221237</v>
      </c>
      <c r="H159" s="3158">
        <v>994662</v>
      </c>
      <c r="I159" s="3158">
        <v>25275462</v>
      </c>
      <c r="J159" s="3866">
        <v>12112373</v>
      </c>
      <c r="K159" s="3158">
        <v>0</v>
      </c>
      <c r="L159" s="3158">
        <v>941613</v>
      </c>
      <c r="M159" s="3158">
        <v>526591</v>
      </c>
      <c r="N159" s="3492">
        <f t="shared" si="4"/>
        <v>1468204</v>
      </c>
      <c r="O159" s="3159" t="s">
        <v>130</v>
      </c>
    </row>
    <row r="160" spans="1:15" s="1642" customFormat="1">
      <c r="A160" s="3491" t="s">
        <v>132</v>
      </c>
      <c r="B160" s="3158">
        <v>0</v>
      </c>
      <c r="C160" s="3158">
        <v>7820274</v>
      </c>
      <c r="D160" s="3158">
        <v>0</v>
      </c>
      <c r="E160" s="3158">
        <f>53135+154046</f>
        <v>207181</v>
      </c>
      <c r="F160" s="3158">
        <v>31442</v>
      </c>
      <c r="G160" s="3158">
        <f>182425+1218434</f>
        <v>1400859</v>
      </c>
      <c r="H160" s="3158">
        <v>440294</v>
      </c>
      <c r="I160" s="3158">
        <v>8227745</v>
      </c>
      <c r="J160" s="3866">
        <v>3449750</v>
      </c>
      <c r="K160" s="3158">
        <v>0</v>
      </c>
      <c r="L160" s="3158">
        <v>350359</v>
      </c>
      <c r="M160" s="3158">
        <v>7501357</v>
      </c>
      <c r="N160" s="3492">
        <f t="shared" si="4"/>
        <v>7851716</v>
      </c>
      <c r="O160" s="3159" t="s">
        <v>132</v>
      </c>
    </row>
    <row r="161" spans="1:15" s="1642" customFormat="1">
      <c r="A161" s="3491" t="s">
        <v>763</v>
      </c>
      <c r="B161" s="3158">
        <v>0</v>
      </c>
      <c r="C161" s="3158">
        <v>1742209</v>
      </c>
      <c r="D161" s="3158">
        <v>0</v>
      </c>
      <c r="E161" s="3158">
        <v>0</v>
      </c>
      <c r="F161" s="3158">
        <v>0</v>
      </c>
      <c r="G161" s="3158">
        <f>12399+560932</f>
        <v>573331</v>
      </c>
      <c r="H161" s="3158">
        <v>181177</v>
      </c>
      <c r="I161" s="3158">
        <v>4815994</v>
      </c>
      <c r="J161" s="3866">
        <v>2035097</v>
      </c>
      <c r="K161" s="3158">
        <v>0</v>
      </c>
      <c r="L161" s="3158">
        <v>248887</v>
      </c>
      <c r="M161" s="3158">
        <v>1493322</v>
      </c>
      <c r="N161" s="3492">
        <f t="shared" si="4"/>
        <v>1742209</v>
      </c>
      <c r="O161" s="3159" t="s">
        <v>763</v>
      </c>
    </row>
    <row r="162" spans="1:15" s="1642" customFormat="1">
      <c r="A162" s="3491" t="s">
        <v>136</v>
      </c>
      <c r="B162" s="3158">
        <v>0</v>
      </c>
      <c r="C162" s="3158">
        <v>0</v>
      </c>
      <c r="D162" s="3158">
        <v>0</v>
      </c>
      <c r="E162" s="3158">
        <f>1377134+17482477</f>
        <v>18859611</v>
      </c>
      <c r="F162" s="3158">
        <v>85831</v>
      </c>
      <c r="G162" s="3158">
        <f>3964862+11418040</f>
        <v>15382902</v>
      </c>
      <c r="H162" s="3158">
        <v>2467407</v>
      </c>
      <c r="I162" s="3158">
        <v>45992779</v>
      </c>
      <c r="J162" s="3866">
        <v>21977539</v>
      </c>
      <c r="K162" s="3158">
        <v>0</v>
      </c>
      <c r="L162" s="3158">
        <v>8583</v>
      </c>
      <c r="M162" s="3158">
        <v>77248</v>
      </c>
      <c r="N162" s="3492">
        <f t="shared" si="4"/>
        <v>85831</v>
      </c>
      <c r="O162" s="3159" t="s">
        <v>136</v>
      </c>
    </row>
    <row r="163" spans="1:15" s="1642" customFormat="1">
      <c r="A163" s="3491" t="s">
        <v>138</v>
      </c>
      <c r="B163" s="3158">
        <f>310000+3430000</f>
        <v>3740000</v>
      </c>
      <c r="C163" s="3158">
        <v>670467</v>
      </c>
      <c r="D163" s="3158">
        <v>0</v>
      </c>
      <c r="E163" s="3158">
        <v>0</v>
      </c>
      <c r="F163" s="3158">
        <v>0</v>
      </c>
      <c r="G163" s="3158">
        <f>288260+3319086</f>
        <v>3607346</v>
      </c>
      <c r="H163" s="3158">
        <v>2014175</v>
      </c>
      <c r="I163" s="3158">
        <v>12366104</v>
      </c>
      <c r="J163" s="3866">
        <v>5977520</v>
      </c>
      <c r="K163" s="3158">
        <v>0</v>
      </c>
      <c r="L163" s="3158">
        <v>278536</v>
      </c>
      <c r="M163" s="3158">
        <v>391931</v>
      </c>
      <c r="N163" s="3492">
        <f t="shared" si="4"/>
        <v>670467</v>
      </c>
      <c r="O163" s="3159" t="s">
        <v>138</v>
      </c>
    </row>
    <row r="164" spans="1:15" s="1642" customFormat="1">
      <c r="A164" s="3491" t="s">
        <v>140</v>
      </c>
      <c r="B164" s="3158">
        <v>0</v>
      </c>
      <c r="C164" s="3158">
        <v>11505000</v>
      </c>
      <c r="D164" s="3158">
        <v>0</v>
      </c>
      <c r="E164" s="3158">
        <v>0</v>
      </c>
      <c r="F164" s="3158">
        <v>0</v>
      </c>
      <c r="G164" s="3158">
        <f>400000+3737304</f>
        <v>4137304</v>
      </c>
      <c r="H164" s="3158">
        <v>1647502</v>
      </c>
      <c r="I164" s="3158">
        <v>43340834</v>
      </c>
      <c r="J164" s="3866">
        <v>19039575</v>
      </c>
      <c r="K164" s="3158">
        <v>0</v>
      </c>
      <c r="L164" s="3158">
        <v>2352000</v>
      </c>
      <c r="M164" s="3158">
        <v>19217688</v>
      </c>
      <c r="N164" s="3492">
        <f t="shared" si="4"/>
        <v>21569688</v>
      </c>
      <c r="O164" s="3159" t="s">
        <v>140</v>
      </c>
    </row>
    <row r="165" spans="1:15" s="1642" customFormat="1">
      <c r="A165" s="3491" t="s">
        <v>142</v>
      </c>
      <c r="B165" s="3158">
        <f>145000+320000</f>
        <v>465000</v>
      </c>
      <c r="C165" s="3158">
        <v>0</v>
      </c>
      <c r="D165" s="3158">
        <v>0</v>
      </c>
      <c r="E165" s="3158">
        <f>121431+115908</f>
        <v>237339</v>
      </c>
      <c r="F165" s="3158">
        <v>0</v>
      </c>
      <c r="G165" s="3158">
        <f>565851+10390805</f>
        <v>10956656</v>
      </c>
      <c r="H165" s="3158">
        <v>3605394</v>
      </c>
      <c r="I165" s="3158">
        <v>37961695</v>
      </c>
      <c r="J165" s="3866">
        <v>17905426</v>
      </c>
      <c r="K165" s="3158">
        <v>0</v>
      </c>
      <c r="L165" s="3158">
        <v>229218</v>
      </c>
      <c r="M165" s="3158">
        <v>4630195</v>
      </c>
      <c r="N165" s="3492">
        <f t="shared" si="4"/>
        <v>4859413</v>
      </c>
      <c r="O165" s="3159" t="s">
        <v>142</v>
      </c>
    </row>
    <row r="166" spans="1:15" s="1642" customFormat="1">
      <c r="A166" s="3491" t="s">
        <v>144</v>
      </c>
      <c r="B166" s="3158">
        <v>0</v>
      </c>
      <c r="C166" s="3158">
        <v>0</v>
      </c>
      <c r="D166" s="3158">
        <v>0</v>
      </c>
      <c r="E166" s="3158">
        <v>0</v>
      </c>
      <c r="F166" s="3158">
        <v>0</v>
      </c>
      <c r="G166" s="3158">
        <f>249281+1428629</f>
        <v>1677910</v>
      </c>
      <c r="H166" s="3158">
        <v>470165</v>
      </c>
      <c r="I166" s="3158">
        <v>8940748</v>
      </c>
      <c r="J166" s="3866">
        <v>4059015</v>
      </c>
      <c r="K166" s="3158">
        <v>0</v>
      </c>
      <c r="L166" s="3158">
        <v>0</v>
      </c>
      <c r="M166" s="3158">
        <v>0</v>
      </c>
      <c r="N166" s="3492">
        <f t="shared" si="4"/>
        <v>0</v>
      </c>
      <c r="O166" s="3159" t="s">
        <v>144</v>
      </c>
    </row>
    <row r="167" spans="1:15" s="1642" customFormat="1">
      <c r="A167" s="3491" t="s">
        <v>146</v>
      </c>
      <c r="B167" s="3158">
        <v>0</v>
      </c>
      <c r="C167" s="3158">
        <v>0</v>
      </c>
      <c r="D167" s="3158">
        <v>0</v>
      </c>
      <c r="E167" s="3158">
        <v>0</v>
      </c>
      <c r="F167" s="3158">
        <v>0</v>
      </c>
      <c r="G167" s="3158">
        <f>17700274+11958362</f>
        <v>29658636</v>
      </c>
      <c r="H167" s="3158">
        <v>29887112</v>
      </c>
      <c r="I167" s="3158">
        <v>127990415</v>
      </c>
      <c r="J167" s="3866">
        <v>61245691</v>
      </c>
      <c r="K167" s="3158">
        <v>33841280</v>
      </c>
      <c r="L167" s="3158">
        <v>33836280</v>
      </c>
      <c r="M167" s="3158">
        <v>5000</v>
      </c>
      <c r="N167" s="3492">
        <f t="shared" si="4"/>
        <v>33841280</v>
      </c>
      <c r="O167" s="3159" t="s">
        <v>146</v>
      </c>
    </row>
    <row r="168" spans="1:15" s="1642" customFormat="1">
      <c r="A168" s="3491" t="s">
        <v>764</v>
      </c>
      <c r="B168" s="3158">
        <v>0</v>
      </c>
      <c r="C168" s="3158">
        <v>0</v>
      </c>
      <c r="D168" s="3158">
        <v>0</v>
      </c>
      <c r="E168" s="3158">
        <v>0</v>
      </c>
      <c r="F168" s="3158">
        <v>0</v>
      </c>
      <c r="G168" s="3158">
        <f>72960+1019118</f>
        <v>1092078</v>
      </c>
      <c r="H168" s="3158">
        <v>170137</v>
      </c>
      <c r="I168" s="3158">
        <v>4204109</v>
      </c>
      <c r="J168" s="3866">
        <v>1728856</v>
      </c>
      <c r="K168" s="3158">
        <v>0</v>
      </c>
      <c r="L168" s="3158">
        <v>0</v>
      </c>
      <c r="M168" s="3158">
        <v>0</v>
      </c>
      <c r="N168" s="3492">
        <f t="shared" si="4"/>
        <v>0</v>
      </c>
      <c r="O168" s="3159" t="s">
        <v>764</v>
      </c>
    </row>
    <row r="169" spans="1:15" s="1642" customFormat="1">
      <c r="A169" s="3491" t="s">
        <v>150</v>
      </c>
      <c r="B169" s="3158">
        <f>20000+90000</f>
        <v>110000</v>
      </c>
      <c r="C169" s="3158">
        <v>21842510</v>
      </c>
      <c r="D169" s="3158">
        <v>205058</v>
      </c>
      <c r="E169" s="3158">
        <f>35365+96517</f>
        <v>131882</v>
      </c>
      <c r="F169" s="3158">
        <v>292833</v>
      </c>
      <c r="G169" s="3158">
        <f>63362+3104729</f>
        <v>3168091</v>
      </c>
      <c r="H169" s="3158">
        <v>505658</v>
      </c>
      <c r="I169" s="3158">
        <v>10777121</v>
      </c>
      <c r="J169" s="3866">
        <v>4765290</v>
      </c>
      <c r="K169" s="3158">
        <v>0</v>
      </c>
      <c r="L169" s="3158">
        <v>1391974</v>
      </c>
      <c r="M169" s="3158">
        <v>20743369</v>
      </c>
      <c r="N169" s="3492">
        <f t="shared" si="4"/>
        <v>22135343</v>
      </c>
      <c r="O169" s="3159" t="s">
        <v>150</v>
      </c>
    </row>
    <row r="170" spans="1:15" s="1642" customFormat="1">
      <c r="A170" s="3491" t="s">
        <v>152</v>
      </c>
      <c r="B170" s="3158">
        <f>1016000+10364000</f>
        <v>11380000</v>
      </c>
      <c r="C170" s="3158">
        <v>0</v>
      </c>
      <c r="D170" s="3158">
        <v>0</v>
      </c>
      <c r="E170" s="3158">
        <v>0</v>
      </c>
      <c r="F170" s="3158">
        <v>0</v>
      </c>
      <c r="G170" s="3158">
        <f>891634+8415598</f>
        <v>9307232</v>
      </c>
      <c r="H170" s="3158">
        <v>1373377</v>
      </c>
      <c r="I170" s="3158">
        <v>52252580</v>
      </c>
      <c r="J170" s="3866">
        <v>23871744</v>
      </c>
      <c r="K170" s="3158">
        <v>286479</v>
      </c>
      <c r="L170" s="3158">
        <v>65665</v>
      </c>
      <c r="M170" s="3158">
        <v>1067874</v>
      </c>
      <c r="N170" s="3492">
        <f t="shared" si="4"/>
        <v>1133539</v>
      </c>
      <c r="O170" s="3159" t="s">
        <v>152</v>
      </c>
    </row>
    <row r="171" spans="1:15" s="1642" customFormat="1">
      <c r="A171" s="3491" t="s">
        <v>154</v>
      </c>
      <c r="B171" s="3158">
        <f>109000+1207000</f>
        <v>1316000</v>
      </c>
      <c r="C171" s="3158">
        <v>0</v>
      </c>
      <c r="D171" s="3158">
        <v>0</v>
      </c>
      <c r="E171" s="3158">
        <v>0</v>
      </c>
      <c r="F171" s="3158">
        <v>0</v>
      </c>
      <c r="G171" s="3158">
        <f>691448+3145551</f>
        <v>3836999</v>
      </c>
      <c r="H171" s="3158">
        <v>435496</v>
      </c>
      <c r="I171" s="3158">
        <v>19186893</v>
      </c>
      <c r="J171" s="3866">
        <v>8354011</v>
      </c>
      <c r="K171" s="3158">
        <v>0</v>
      </c>
      <c r="L171" s="3158">
        <v>0</v>
      </c>
      <c r="M171" s="3158">
        <v>0</v>
      </c>
      <c r="N171" s="3492">
        <f t="shared" si="4"/>
        <v>0</v>
      </c>
      <c r="O171" s="3159" t="s">
        <v>765</v>
      </c>
    </row>
    <row r="172" spans="1:15" s="1863" customFormat="1">
      <c r="A172" s="3491" t="s">
        <v>156</v>
      </c>
      <c r="B172" s="3158">
        <v>0</v>
      </c>
      <c r="C172" s="3158">
        <v>0</v>
      </c>
      <c r="D172" s="3158">
        <v>0</v>
      </c>
      <c r="E172" s="3158">
        <v>0</v>
      </c>
      <c r="F172" s="3158">
        <v>0</v>
      </c>
      <c r="G172" s="3158">
        <f>445319+4833799</f>
        <v>5279118</v>
      </c>
      <c r="H172" s="3158">
        <v>1162085</v>
      </c>
      <c r="I172" s="3158">
        <v>21158942</v>
      </c>
      <c r="J172" s="3866">
        <v>8210187</v>
      </c>
      <c r="K172" s="3158">
        <v>0</v>
      </c>
      <c r="L172" s="3158">
        <v>214236</v>
      </c>
      <c r="M172" s="3158">
        <v>0</v>
      </c>
      <c r="N172" s="3492">
        <f t="shared" si="4"/>
        <v>214236</v>
      </c>
      <c r="O172" s="3159" t="s">
        <v>156</v>
      </c>
    </row>
    <row r="173" spans="1:15" s="1642" customFormat="1">
      <c r="A173" s="3491" t="s">
        <v>158</v>
      </c>
      <c r="B173" s="3158">
        <v>0</v>
      </c>
      <c r="C173" s="3158">
        <v>83333</v>
      </c>
      <c r="D173" s="3158">
        <v>0</v>
      </c>
      <c r="E173" s="3158">
        <v>0</v>
      </c>
      <c r="F173" s="3158">
        <v>0</v>
      </c>
      <c r="G173" s="3158">
        <f>125974+4201990</f>
        <v>4327964</v>
      </c>
      <c r="H173" s="3158">
        <v>990942</v>
      </c>
      <c r="I173" s="3158">
        <v>16970354</v>
      </c>
      <c r="J173" s="3866">
        <v>11183640</v>
      </c>
      <c r="K173" s="3158">
        <v>0</v>
      </c>
      <c r="L173" s="3158">
        <v>20000</v>
      </c>
      <c r="M173" s="3158">
        <v>63333</v>
      </c>
      <c r="N173" s="3492">
        <f t="shared" si="4"/>
        <v>83333</v>
      </c>
      <c r="O173" s="3159" t="s">
        <v>158</v>
      </c>
    </row>
    <row r="174" spans="1:15" s="1642" customFormat="1">
      <c r="A174" s="3491" t="s">
        <v>160</v>
      </c>
      <c r="B174" s="3158">
        <f>730000+5220000</f>
        <v>5950000</v>
      </c>
      <c r="C174" s="3158">
        <v>0</v>
      </c>
      <c r="D174" s="3158">
        <v>0</v>
      </c>
      <c r="E174" s="3158">
        <v>0</v>
      </c>
      <c r="F174" s="3158">
        <v>0</v>
      </c>
      <c r="G174" s="3158">
        <f>816558+9163488</f>
        <v>9980046</v>
      </c>
      <c r="H174" s="3158">
        <v>1742844</v>
      </c>
      <c r="I174" s="3158">
        <v>31165430</v>
      </c>
      <c r="J174" s="3866">
        <v>12578964</v>
      </c>
      <c r="K174" s="3158">
        <v>0</v>
      </c>
      <c r="L174" s="3158">
        <v>0</v>
      </c>
      <c r="M174" s="3158">
        <v>20570878</v>
      </c>
      <c r="N174" s="3492">
        <f t="shared" si="4"/>
        <v>20570878</v>
      </c>
      <c r="O174" s="3159" t="s">
        <v>160</v>
      </c>
    </row>
    <row r="175" spans="1:15" s="1642" customFormat="1">
      <c r="A175" s="3491" t="s">
        <v>162</v>
      </c>
      <c r="B175" s="3158">
        <v>2540000</v>
      </c>
      <c r="C175" s="3158">
        <v>0</v>
      </c>
      <c r="D175" s="3158">
        <v>0</v>
      </c>
      <c r="E175" s="3158">
        <f>294267+1115687</f>
        <v>1409954</v>
      </c>
      <c r="F175" s="3158">
        <v>0</v>
      </c>
      <c r="G175" s="3158">
        <f>166923+6840252</f>
        <v>7007175</v>
      </c>
      <c r="H175" s="3158">
        <v>1957086</v>
      </c>
      <c r="I175" s="3158">
        <v>32674225</v>
      </c>
      <c r="J175" s="3866">
        <v>14160365</v>
      </c>
      <c r="K175" s="3158">
        <v>0</v>
      </c>
      <c r="L175" s="3158">
        <v>0</v>
      </c>
      <c r="M175" s="3158">
        <v>0</v>
      </c>
      <c r="N175" s="3492">
        <f t="shared" si="4"/>
        <v>0</v>
      </c>
      <c r="O175" s="3159" t="s">
        <v>162</v>
      </c>
    </row>
    <row r="176" spans="1:15" s="1642" customFormat="1">
      <c r="A176" s="3491" t="s">
        <v>164</v>
      </c>
      <c r="B176" s="3158">
        <v>0</v>
      </c>
      <c r="C176" s="3158">
        <v>0</v>
      </c>
      <c r="D176" s="3158">
        <v>0</v>
      </c>
      <c r="E176" s="3158">
        <v>0</v>
      </c>
      <c r="F176" s="3158">
        <v>0</v>
      </c>
      <c r="G176" s="3158">
        <f>227213+2415824</f>
        <v>2643037</v>
      </c>
      <c r="H176" s="3158">
        <v>170396</v>
      </c>
      <c r="I176" s="3158">
        <v>10597858</v>
      </c>
      <c r="J176" s="3866">
        <v>4297726</v>
      </c>
      <c r="K176" s="3158">
        <v>0</v>
      </c>
      <c r="L176" s="3158">
        <v>0</v>
      </c>
      <c r="M176" s="3158">
        <v>0</v>
      </c>
      <c r="N176" s="3492">
        <f t="shared" si="4"/>
        <v>0</v>
      </c>
      <c r="O176" s="3159" t="s">
        <v>164</v>
      </c>
    </row>
    <row r="177" spans="1:42" s="1642" customFormat="1">
      <c r="A177" s="3491" t="s">
        <v>166</v>
      </c>
      <c r="B177" s="3158">
        <v>0</v>
      </c>
      <c r="C177" s="3158">
        <v>0</v>
      </c>
      <c r="D177" s="3158">
        <v>0</v>
      </c>
      <c r="E177" s="3158">
        <v>0</v>
      </c>
      <c r="F177" s="3158">
        <v>0</v>
      </c>
      <c r="G177" s="3158">
        <f>229727+2013758</f>
        <v>2243485</v>
      </c>
      <c r="H177" s="3158">
        <v>2002197</v>
      </c>
      <c r="I177" s="3158">
        <v>14559845</v>
      </c>
      <c r="J177" s="3866">
        <v>6197664</v>
      </c>
      <c r="K177" s="3158">
        <v>0</v>
      </c>
      <c r="L177" s="3158">
        <v>0</v>
      </c>
      <c r="M177" s="3158">
        <v>92128</v>
      </c>
      <c r="N177" s="3492">
        <f t="shared" si="4"/>
        <v>92128</v>
      </c>
      <c r="O177" s="3159" t="s">
        <v>166</v>
      </c>
      <c r="P177" s="1863"/>
      <c r="Q177" s="1863"/>
      <c r="R177" s="1863"/>
      <c r="S177" s="1863"/>
      <c r="T177" s="1863"/>
      <c r="U177" s="1863"/>
      <c r="V177" s="1863"/>
      <c r="W177" s="1863"/>
      <c r="X177" s="1863"/>
      <c r="Y177" s="1863"/>
      <c r="Z177" s="1863"/>
      <c r="AA177" s="1863"/>
      <c r="AB177" s="1863"/>
      <c r="AC177" s="1863"/>
      <c r="AD177" s="1863"/>
      <c r="AE177" s="1863"/>
      <c r="AF177" s="1863"/>
      <c r="AG177" s="1863"/>
      <c r="AH177" s="1863"/>
      <c r="AI177" s="1863"/>
      <c r="AJ177" s="1863"/>
      <c r="AK177" s="1863"/>
      <c r="AL177" s="1863"/>
      <c r="AM177" s="1863"/>
      <c r="AN177" s="1863"/>
      <c r="AO177" s="1863"/>
      <c r="AP177" s="1863"/>
    </row>
    <row r="178" spans="1:42" s="1642" customFormat="1">
      <c r="A178" s="3491" t="s">
        <v>168</v>
      </c>
      <c r="B178" s="3158">
        <f>1575000+13393000</f>
        <v>14968000</v>
      </c>
      <c r="C178" s="3158">
        <v>0</v>
      </c>
      <c r="D178" s="3158">
        <v>0</v>
      </c>
      <c r="E178" s="3158">
        <f>533114+2063627</f>
        <v>2596741</v>
      </c>
      <c r="F178" s="3158">
        <v>0</v>
      </c>
      <c r="G178" s="3158">
        <f>1147078+10323700</f>
        <v>11470778</v>
      </c>
      <c r="H178" s="3158">
        <v>32649189</v>
      </c>
      <c r="I178" s="3158">
        <v>51454038</v>
      </c>
      <c r="J178" s="3866">
        <v>22647954</v>
      </c>
      <c r="K178" s="3158">
        <v>6338905</v>
      </c>
      <c r="L178" s="3158">
        <v>0</v>
      </c>
      <c r="M178" s="3158">
        <v>6338905</v>
      </c>
      <c r="N178" s="3492">
        <f t="shared" si="4"/>
        <v>6338905</v>
      </c>
      <c r="O178" s="3159" t="s">
        <v>168</v>
      </c>
      <c r="P178" s="1863"/>
      <c r="Q178" s="1863"/>
      <c r="R178" s="1863"/>
      <c r="S178" s="1863"/>
      <c r="T178" s="1863"/>
      <c r="U178" s="1863"/>
      <c r="V178" s="1863"/>
      <c r="W178" s="1863"/>
      <c r="X178" s="1863"/>
      <c r="Y178" s="1863"/>
      <c r="Z178" s="1863"/>
      <c r="AA178" s="1863"/>
      <c r="AB178" s="1863"/>
      <c r="AC178" s="1863"/>
      <c r="AD178" s="1863"/>
      <c r="AE178" s="1863"/>
      <c r="AF178" s="1863"/>
      <c r="AG178" s="1863"/>
      <c r="AH178" s="1863"/>
      <c r="AI178" s="1863"/>
      <c r="AJ178" s="1863"/>
      <c r="AK178" s="1863"/>
      <c r="AL178" s="1863"/>
      <c r="AM178" s="1863"/>
      <c r="AN178" s="1863"/>
      <c r="AO178" s="1863"/>
      <c r="AP178" s="1863"/>
    </row>
    <row r="179" spans="1:42" s="1642" customFormat="1">
      <c r="A179" s="3491" t="s">
        <v>170</v>
      </c>
      <c r="B179" s="3158">
        <f>0</f>
        <v>0</v>
      </c>
      <c r="C179" s="3158">
        <v>0</v>
      </c>
      <c r="D179" s="3158">
        <v>0</v>
      </c>
      <c r="E179" s="3158">
        <v>0</v>
      </c>
      <c r="F179" s="3158">
        <v>239288</v>
      </c>
      <c r="G179" s="3158">
        <f>75428+3018691</f>
        <v>3094119</v>
      </c>
      <c r="H179" s="3158">
        <v>1082334</v>
      </c>
      <c r="I179" s="3158">
        <v>16394711</v>
      </c>
      <c r="J179" s="3866">
        <v>7992418</v>
      </c>
      <c r="K179" s="3158">
        <v>0</v>
      </c>
      <c r="L179" s="3158">
        <v>95940</v>
      </c>
      <c r="M179" s="3158">
        <v>143348</v>
      </c>
      <c r="N179" s="3492">
        <f t="shared" si="4"/>
        <v>239288</v>
      </c>
      <c r="O179" s="3159" t="s">
        <v>170</v>
      </c>
      <c r="P179" s="1863"/>
      <c r="Q179" s="1863"/>
      <c r="R179" s="1863"/>
      <c r="S179" s="1863"/>
      <c r="T179" s="1863"/>
      <c r="U179" s="1863"/>
      <c r="V179" s="1863"/>
      <c r="W179" s="1863"/>
      <c r="X179" s="1863"/>
      <c r="Y179" s="1863"/>
      <c r="Z179" s="1863"/>
      <c r="AA179" s="1863"/>
      <c r="AB179" s="1863"/>
      <c r="AC179" s="1863"/>
      <c r="AD179" s="1863"/>
      <c r="AE179" s="1863"/>
      <c r="AF179" s="1863"/>
      <c r="AG179" s="1863"/>
      <c r="AH179" s="1863"/>
      <c r="AI179" s="1863"/>
      <c r="AJ179" s="1863"/>
      <c r="AK179" s="1863"/>
      <c r="AL179" s="1863"/>
      <c r="AM179" s="1863"/>
      <c r="AN179" s="1863"/>
      <c r="AO179" s="1863"/>
      <c r="AP179" s="1863"/>
    </row>
    <row r="180" spans="1:42" s="1642" customFormat="1">
      <c r="A180" s="3491" t="s">
        <v>172</v>
      </c>
      <c r="B180" s="3158">
        <f>792000+6440000</f>
        <v>7232000</v>
      </c>
      <c r="C180" s="3158">
        <v>151000</v>
      </c>
      <c r="D180" s="3158">
        <v>0</v>
      </c>
      <c r="E180" s="3158">
        <f>399153+5848150</f>
        <v>6247303</v>
      </c>
      <c r="F180" s="3158">
        <v>146137</v>
      </c>
      <c r="G180" s="3158">
        <f>723390+4223135</f>
        <v>4946525</v>
      </c>
      <c r="H180" s="3158">
        <v>166758</v>
      </c>
      <c r="I180" s="3158">
        <v>0</v>
      </c>
      <c r="J180" s="3866">
        <v>208321</v>
      </c>
      <c r="K180" s="3158">
        <v>0</v>
      </c>
      <c r="L180" s="3158">
        <v>896018</v>
      </c>
      <c r="M180" s="3158">
        <v>3554683</v>
      </c>
      <c r="N180" s="3492">
        <f t="shared" si="4"/>
        <v>4450701</v>
      </c>
      <c r="O180" s="3159" t="s">
        <v>172</v>
      </c>
      <c r="P180" s="1863"/>
      <c r="Q180" s="1863"/>
      <c r="R180" s="1863"/>
      <c r="S180" s="1863"/>
      <c r="T180" s="1863"/>
      <c r="U180" s="1863"/>
      <c r="V180" s="1863"/>
      <c r="W180" s="1863"/>
      <c r="X180" s="1863"/>
      <c r="Y180" s="1863"/>
      <c r="Z180" s="1863"/>
      <c r="AA180" s="1863"/>
      <c r="AB180" s="1863"/>
      <c r="AC180" s="1863"/>
      <c r="AD180" s="1863"/>
      <c r="AE180" s="1863"/>
      <c r="AF180" s="1863"/>
      <c r="AG180" s="1863"/>
      <c r="AH180" s="1863"/>
      <c r="AI180" s="1863"/>
      <c r="AJ180" s="1863"/>
      <c r="AK180" s="1863"/>
      <c r="AL180" s="1863"/>
      <c r="AM180" s="1863"/>
      <c r="AN180" s="1863"/>
      <c r="AO180" s="1863"/>
      <c r="AP180" s="1863"/>
    </row>
    <row r="181" spans="1:42" s="1642" customFormat="1">
      <c r="A181" s="3491" t="s">
        <v>174</v>
      </c>
      <c r="B181" s="3158">
        <f>132000+1463000</f>
        <v>1595000</v>
      </c>
      <c r="C181" s="3158">
        <v>0</v>
      </c>
      <c r="D181" s="3158">
        <v>0</v>
      </c>
      <c r="E181" s="3158">
        <f>395261+14442947</f>
        <v>14838208</v>
      </c>
      <c r="F181" s="3158">
        <v>374835</v>
      </c>
      <c r="G181" s="3158">
        <f>1313759+8961673</f>
        <v>10275432</v>
      </c>
      <c r="H181" s="3158">
        <v>6933103</v>
      </c>
      <c r="I181" s="3158">
        <v>70683688</v>
      </c>
      <c r="J181" s="3866">
        <v>36161926</v>
      </c>
      <c r="K181" s="3158">
        <v>0</v>
      </c>
      <c r="L181" s="3158">
        <v>32987</v>
      </c>
      <c r="M181" s="3158">
        <v>341849</v>
      </c>
      <c r="N181" s="3492">
        <f t="shared" si="4"/>
        <v>374836</v>
      </c>
      <c r="O181" s="3159" t="s">
        <v>174</v>
      </c>
      <c r="P181" s="1863"/>
      <c r="Q181" s="1863"/>
      <c r="R181" s="1863"/>
      <c r="S181" s="1863"/>
      <c r="T181" s="1863"/>
      <c r="U181" s="1863"/>
      <c r="V181" s="1863"/>
      <c r="W181" s="1863"/>
      <c r="X181" s="1863"/>
      <c r="Y181" s="1863"/>
      <c r="Z181" s="1863"/>
      <c r="AA181" s="1863"/>
      <c r="AB181" s="1863"/>
      <c r="AC181" s="1863"/>
      <c r="AD181" s="1863"/>
      <c r="AE181" s="1863"/>
      <c r="AF181" s="1863"/>
      <c r="AG181" s="1863"/>
      <c r="AH181" s="1863"/>
      <c r="AI181" s="1863"/>
      <c r="AJ181" s="1863"/>
      <c r="AK181" s="1863"/>
      <c r="AL181" s="1863"/>
      <c r="AM181" s="1863"/>
      <c r="AN181" s="1863"/>
      <c r="AO181" s="1863"/>
      <c r="AP181" s="1863"/>
    </row>
    <row r="182" spans="1:42">
      <c r="A182" s="1863"/>
      <c r="B182" s="1863"/>
      <c r="C182" s="1863"/>
      <c r="D182" s="1314"/>
      <c r="E182" s="1730"/>
      <c r="F182" s="1863"/>
      <c r="G182" s="1863"/>
      <c r="J182" s="1863"/>
      <c r="K182" s="1863"/>
      <c r="L182" s="1863"/>
      <c r="M182" s="1863"/>
      <c r="N182" s="1863"/>
      <c r="O182" s="1863"/>
      <c r="P182" s="1863"/>
      <c r="Q182" s="1863"/>
      <c r="R182" s="1863"/>
      <c r="S182" s="1863"/>
      <c r="T182" s="1863"/>
      <c r="U182" s="1863"/>
      <c r="V182" s="1863"/>
      <c r="W182" s="1863"/>
      <c r="X182" s="1863"/>
      <c r="Y182" s="1863"/>
      <c r="Z182" s="1863"/>
      <c r="AA182" s="1863"/>
      <c r="AB182" s="1863"/>
      <c r="AC182" s="1863"/>
      <c r="AD182" s="1863"/>
      <c r="AE182" s="1863"/>
      <c r="AF182" s="1863"/>
      <c r="AG182" s="1863"/>
      <c r="AH182" s="1863"/>
      <c r="AI182" s="1863"/>
      <c r="AJ182" s="1863"/>
      <c r="AK182" s="1863"/>
      <c r="AL182" s="1863"/>
      <c r="AM182" s="1863"/>
      <c r="AN182" s="1863"/>
      <c r="AO182" s="1863"/>
      <c r="AP182" s="1863"/>
    </row>
    <row r="184" spans="1:42" s="1741" customFormat="1" ht="15" customHeight="1">
      <c r="F184" s="1762"/>
      <c r="G184" s="1762"/>
      <c r="H184" s="3126"/>
      <c r="I184" s="4251"/>
    </row>
    <row r="185" spans="1:42" ht="15.75">
      <c r="A185" s="3867"/>
      <c r="B185" s="4541" t="s">
        <v>4100</v>
      </c>
      <c r="C185" s="4541"/>
      <c r="D185" s="4541"/>
      <c r="E185" s="4541"/>
      <c r="F185" s="4541"/>
      <c r="G185" s="4541"/>
      <c r="J185" s="1863"/>
      <c r="K185" s="1863"/>
      <c r="L185" s="1863"/>
      <c r="M185" s="1863"/>
      <c r="N185" s="1863"/>
      <c r="O185" s="1863"/>
      <c r="P185" s="1863"/>
      <c r="Q185" s="1863"/>
      <c r="R185" s="1863"/>
      <c r="S185" s="1863"/>
      <c r="T185" s="1863"/>
      <c r="U185" s="1863"/>
      <c r="V185" s="1863"/>
      <c r="W185" s="1863"/>
      <c r="X185" s="1863"/>
      <c r="Y185" s="1863"/>
      <c r="Z185" s="1863"/>
      <c r="AA185" s="1863"/>
      <c r="AB185" s="1863"/>
      <c r="AC185" s="1863"/>
      <c r="AD185" s="1863"/>
      <c r="AE185" s="1863"/>
      <c r="AF185" s="1863"/>
      <c r="AG185" s="1863"/>
      <c r="AH185" s="1863"/>
      <c r="AI185" s="1863"/>
      <c r="AJ185" s="1863"/>
      <c r="AK185" s="1863"/>
      <c r="AL185" s="1863"/>
      <c r="AM185" s="1863"/>
      <c r="AN185" s="1863"/>
      <c r="AO185" s="1863"/>
      <c r="AP185" s="1863"/>
    </row>
    <row r="186" spans="1:42" ht="15.75">
      <c r="A186" s="3868" t="s">
        <v>3929</v>
      </c>
      <c r="B186" s="3867"/>
      <c r="C186" s="3867"/>
      <c r="D186" s="3867"/>
      <c r="E186" s="3867"/>
      <c r="F186" s="3867"/>
      <c r="G186" s="3869"/>
      <c r="H186" s="3125"/>
      <c r="J186" s="1729"/>
      <c r="K186" s="1729"/>
      <c r="L186" s="1729"/>
      <c r="M186" s="1729"/>
      <c r="N186" s="1729"/>
      <c r="O186" s="1729"/>
      <c r="P186" s="1729"/>
      <c r="Q186" s="1729"/>
      <c r="R186" s="1729"/>
      <c r="S186" s="1729"/>
      <c r="T186" s="1729"/>
      <c r="U186" s="1729"/>
      <c r="V186" s="1729"/>
      <c r="W186" s="1729"/>
      <c r="X186" s="1729"/>
      <c r="Y186" s="1729"/>
      <c r="Z186" s="1729"/>
      <c r="AA186" s="1729"/>
      <c r="AB186" s="1729"/>
      <c r="AC186" s="1729"/>
      <c r="AD186" s="1729"/>
      <c r="AE186" s="1729"/>
      <c r="AF186" s="1729"/>
      <c r="AG186" s="1729"/>
      <c r="AH186" s="1729"/>
      <c r="AI186" s="1729"/>
      <c r="AJ186" s="1729"/>
      <c r="AK186" s="1729"/>
      <c r="AL186" s="1729"/>
      <c r="AM186" s="1729"/>
      <c r="AN186" s="1729"/>
      <c r="AO186" s="1729"/>
      <c r="AP186" s="1729"/>
    </row>
    <row r="187" spans="1:42" s="1642" customFormat="1">
      <c r="A187" s="4583" t="s">
        <v>3930</v>
      </c>
      <c r="B187" s="4584"/>
      <c r="C187" s="4584"/>
      <c r="D187" s="4584"/>
      <c r="E187" s="4584"/>
      <c r="F187" s="4584"/>
      <c r="G187" s="4585"/>
      <c r="H187" s="3704"/>
      <c r="I187" s="4255"/>
      <c r="J187" s="1758"/>
      <c r="K187" s="1758"/>
      <c r="L187" s="1758"/>
      <c r="M187" s="1758"/>
      <c r="N187" s="1758"/>
      <c r="O187" s="1758"/>
      <c r="P187" s="1758"/>
      <c r="Q187" s="1758"/>
      <c r="R187" s="1758"/>
      <c r="S187" s="368"/>
      <c r="T187" s="367"/>
      <c r="U187" s="367"/>
      <c r="V187" s="367"/>
      <c r="W187" s="1863"/>
      <c r="X187" s="1863"/>
      <c r="Y187" s="1863"/>
      <c r="Z187" s="1863"/>
      <c r="AA187" s="1863"/>
      <c r="AB187" s="1863"/>
      <c r="AC187" s="1863"/>
      <c r="AD187" s="1863"/>
      <c r="AE187" s="1863"/>
      <c r="AF187" s="1863"/>
      <c r="AG187" s="1863"/>
      <c r="AH187" s="1863"/>
      <c r="AI187" s="1863"/>
      <c r="AJ187" s="1863"/>
      <c r="AK187" s="1863"/>
      <c r="AL187" s="1863"/>
      <c r="AM187" s="1863"/>
      <c r="AN187" s="1863"/>
      <c r="AO187" s="1863"/>
      <c r="AP187" s="1863"/>
    </row>
    <row r="188" spans="1:42">
      <c r="A188" s="1756"/>
      <c r="B188" s="1068"/>
      <c r="C188" s="1068"/>
      <c r="D188" s="1068"/>
      <c r="E188" s="1068"/>
      <c r="F188" s="1068"/>
      <c r="G188" s="1755"/>
      <c r="H188" s="3704"/>
      <c r="I188" s="4255"/>
      <c r="J188" s="1068"/>
      <c r="K188" s="1068"/>
      <c r="L188" s="1068"/>
      <c r="M188" s="1068"/>
      <c r="N188" s="1068"/>
      <c r="O188" s="1068"/>
      <c r="P188" s="1068"/>
      <c r="Q188" s="1068"/>
      <c r="R188" s="1068"/>
      <c r="S188" s="368"/>
      <c r="T188" s="367"/>
      <c r="U188" s="367"/>
      <c r="V188" s="367"/>
      <c r="W188" s="1863"/>
      <c r="X188" s="1863"/>
      <c r="Y188" s="1863"/>
      <c r="Z188" s="1863"/>
      <c r="AA188" s="1863"/>
      <c r="AB188" s="1863"/>
      <c r="AC188" s="1863"/>
      <c r="AD188" s="1863"/>
      <c r="AE188" s="1863"/>
      <c r="AF188" s="1863"/>
      <c r="AG188" s="1863"/>
      <c r="AH188" s="1863"/>
      <c r="AI188" s="1863"/>
      <c r="AJ188" s="1863"/>
      <c r="AK188" s="1863"/>
      <c r="AL188" s="1863"/>
      <c r="AM188" s="1863"/>
      <c r="AN188" s="1863"/>
      <c r="AO188" s="1863"/>
      <c r="AP188" s="1863"/>
    </row>
    <row r="189" spans="1:42">
      <c r="A189" s="3493" t="s">
        <v>3931</v>
      </c>
      <c r="B189" s="3494">
        <v>27100</v>
      </c>
      <c r="C189" s="3494">
        <v>26600</v>
      </c>
      <c r="D189" s="3494" t="s">
        <v>3932</v>
      </c>
      <c r="E189" s="3494">
        <v>27800</v>
      </c>
      <c r="F189" s="368"/>
      <c r="G189" s="1763"/>
      <c r="J189" s="1863"/>
      <c r="K189" s="1863"/>
      <c r="L189" s="1863"/>
      <c r="M189" s="1863"/>
      <c r="N189" s="1863"/>
      <c r="O189" s="1863"/>
      <c r="P189" s="1863"/>
      <c r="Q189" s="1863"/>
      <c r="R189" s="1729"/>
      <c r="S189" s="1729"/>
      <c r="T189" s="1863"/>
      <c r="U189" s="1863"/>
      <c r="V189" s="1863"/>
      <c r="W189" s="1863"/>
      <c r="X189" s="1863"/>
      <c r="Y189" s="1863"/>
      <c r="Z189" s="1863"/>
      <c r="AA189" s="1863"/>
      <c r="AB189" s="1863"/>
      <c r="AC189" s="1863"/>
      <c r="AD189" s="1863"/>
      <c r="AE189" s="1863"/>
      <c r="AF189" s="1863"/>
      <c r="AG189" s="1863"/>
      <c r="AH189" s="1863"/>
      <c r="AI189" s="1863"/>
      <c r="AJ189" s="1863"/>
      <c r="AK189" s="1863"/>
      <c r="AL189" s="1863"/>
      <c r="AM189" s="1863"/>
      <c r="AN189" s="1863"/>
      <c r="AO189" s="1863"/>
      <c r="AP189" s="1863"/>
    </row>
    <row r="190" spans="1:42">
      <c r="A190" s="3495">
        <v>1</v>
      </c>
      <c r="B190" s="3495">
        <v>2</v>
      </c>
      <c r="C190" s="3495">
        <v>3</v>
      </c>
      <c r="D190" s="3495">
        <v>4</v>
      </c>
      <c r="E190" s="3495">
        <v>5</v>
      </c>
      <c r="F190" s="1729"/>
      <c r="G190" s="1763"/>
      <c r="J190" s="1863"/>
      <c r="K190" s="1863"/>
      <c r="L190" s="1863"/>
      <c r="M190" s="1863"/>
      <c r="N190" s="1863"/>
      <c r="O190" s="1863"/>
      <c r="P190" s="1863"/>
      <c r="Q190" s="1863"/>
      <c r="R190" s="1729"/>
      <c r="S190" s="1729"/>
      <c r="T190" s="1863"/>
      <c r="U190" s="1863"/>
      <c r="V190" s="1863"/>
      <c r="W190" s="1863"/>
      <c r="X190" s="1863"/>
      <c r="Y190" s="1863"/>
      <c r="Z190" s="1863"/>
      <c r="AA190" s="1863"/>
      <c r="AB190" s="1863"/>
      <c r="AC190" s="1863"/>
      <c r="AD190" s="1863"/>
      <c r="AE190" s="1863"/>
      <c r="AF190" s="1863"/>
      <c r="AG190" s="1863"/>
      <c r="AH190" s="1863"/>
      <c r="AI190" s="1863"/>
      <c r="AJ190" s="1863"/>
      <c r="AK190" s="1863"/>
      <c r="AL190" s="1863"/>
      <c r="AM190" s="1863"/>
      <c r="AN190" s="1863"/>
      <c r="AO190" s="1863"/>
      <c r="AP190" s="1863"/>
    </row>
    <row r="191" spans="1:42" ht="15" customHeight="1">
      <c r="A191" s="4569" t="s">
        <v>2840</v>
      </c>
      <c r="B191" s="4570"/>
      <c r="C191" s="4570"/>
      <c r="D191" s="4570"/>
      <c r="E191" s="4571"/>
      <c r="F191" s="1729"/>
      <c r="G191" s="1763"/>
      <c r="J191" s="1863"/>
      <c r="K191" s="1863"/>
      <c r="L191" s="1863"/>
      <c r="M191" s="1863"/>
      <c r="N191" s="1863"/>
      <c r="O191" s="1863"/>
      <c r="P191" s="1863"/>
      <c r="Q191" s="1863"/>
      <c r="R191" s="1729"/>
      <c r="S191" s="1729"/>
      <c r="T191" s="1863"/>
      <c r="U191" s="1863"/>
      <c r="V191" s="1863"/>
      <c r="W191" s="1863"/>
      <c r="X191" s="1863"/>
      <c r="Y191" s="1863"/>
      <c r="Z191" s="1863"/>
      <c r="AA191" s="1863"/>
      <c r="AB191" s="1863"/>
      <c r="AC191" s="1863"/>
      <c r="AD191" s="1863"/>
      <c r="AE191" s="1863"/>
      <c r="AF191" s="1863"/>
      <c r="AG191" s="1863"/>
      <c r="AH191" s="1863"/>
      <c r="AI191" s="1863"/>
      <c r="AJ191" s="1863"/>
      <c r="AK191" s="1863"/>
      <c r="AL191" s="1863"/>
      <c r="AM191" s="1863"/>
      <c r="AN191" s="1863"/>
      <c r="AO191" s="1863"/>
      <c r="AP191" s="1863"/>
    </row>
    <row r="192" spans="1:42" s="1757" customFormat="1" ht="25.5">
      <c r="A192" s="3496"/>
      <c r="B192" s="3496" t="s">
        <v>454</v>
      </c>
      <c r="C192" s="3496" t="s">
        <v>457</v>
      </c>
      <c r="D192" s="3497" t="s">
        <v>2841</v>
      </c>
      <c r="E192" s="3496" t="s">
        <v>461</v>
      </c>
      <c r="F192" s="1764"/>
      <c r="G192" s="1765"/>
      <c r="H192" s="3113"/>
      <c r="I192" s="4256"/>
    </row>
    <row r="193" spans="1:8">
      <c r="A193" s="3498" t="str">
        <f>'Contact Information'!A45</f>
        <v>BROWARD COLLEGE</v>
      </c>
      <c r="B193" s="3138">
        <v>12551113</v>
      </c>
      <c r="C193" s="3138">
        <v>0</v>
      </c>
      <c r="D193" s="3138">
        <v>4745021</v>
      </c>
      <c r="E193" s="3138">
        <v>12866584</v>
      </c>
      <c r="F193" s="3889"/>
      <c r="G193" s="3135"/>
      <c r="H193" s="3136"/>
    </row>
    <row r="194" spans="1:8">
      <c r="A194" s="3498" t="str">
        <f>'Contact Information'!A46</f>
        <v>CHIPOLA COLLEGE</v>
      </c>
      <c r="B194" s="3138">
        <v>2145827</v>
      </c>
      <c r="C194" s="3138">
        <v>0</v>
      </c>
      <c r="D194" s="3138">
        <v>265384</v>
      </c>
      <c r="E194" s="3138">
        <v>82935</v>
      </c>
      <c r="F194" s="3889"/>
      <c r="G194" s="3135"/>
      <c r="H194" s="3136"/>
    </row>
    <row r="195" spans="1:8">
      <c r="A195" s="3498" t="str">
        <f>'Contact Information'!A47</f>
        <v>COLLEGE OF CENTRAL FLORIDA</v>
      </c>
      <c r="B195" s="3138">
        <v>15803849</v>
      </c>
      <c r="C195" s="3138">
        <v>0</v>
      </c>
      <c r="D195" s="3138">
        <v>0</v>
      </c>
      <c r="E195" s="3138">
        <v>2297945</v>
      </c>
      <c r="F195" s="3889"/>
      <c r="G195" s="3135"/>
      <c r="H195" s="3136"/>
    </row>
    <row r="196" spans="1:8">
      <c r="A196" s="3498" t="str">
        <f>'Contact Information'!A48</f>
        <v>DAYTONA STATE COLLEGE</v>
      </c>
      <c r="B196" s="3138">
        <v>15402520</v>
      </c>
      <c r="C196" s="3138">
        <v>399435</v>
      </c>
      <c r="D196" s="3138">
        <v>0</v>
      </c>
      <c r="E196" s="3138">
        <v>1081006</v>
      </c>
      <c r="F196" s="3889"/>
      <c r="G196" s="3135"/>
      <c r="H196" s="3136"/>
    </row>
    <row r="197" spans="1:8">
      <c r="A197" s="3498" t="str">
        <f>'Contact Information'!A49</f>
        <v>EASTERN FLORIDA STATE COLLEGE</v>
      </c>
      <c r="B197" s="3138">
        <v>6856466</v>
      </c>
      <c r="C197" s="3138">
        <v>0</v>
      </c>
      <c r="D197" s="3138">
        <v>0</v>
      </c>
      <c r="E197" s="3138">
        <v>5066299</v>
      </c>
      <c r="F197" s="3889"/>
      <c r="G197" s="3135"/>
      <c r="H197" s="3136"/>
    </row>
    <row r="198" spans="1:8">
      <c r="A198" s="3498" t="str">
        <f>'Contact Information'!A50</f>
        <v>FLORIDA GATEWAY COLLEGE</v>
      </c>
      <c r="B198" s="3138">
        <v>407508</v>
      </c>
      <c r="C198" s="3138">
        <v>0</v>
      </c>
      <c r="D198" s="3138">
        <v>0</v>
      </c>
      <c r="E198" s="3138">
        <v>806460.78</v>
      </c>
      <c r="F198" s="3889"/>
      <c r="G198" s="3135"/>
      <c r="H198" s="3136"/>
    </row>
    <row r="199" spans="1:8">
      <c r="A199" s="3498" t="str">
        <f>'Contact Information'!A51</f>
        <v>THE COLLEGE OF THE FLORIDA KEYS</v>
      </c>
      <c r="B199" s="3138">
        <v>3791796</v>
      </c>
      <c r="C199" s="3138">
        <v>0</v>
      </c>
      <c r="D199" s="3138">
        <v>0</v>
      </c>
      <c r="E199" s="3138">
        <v>3129981</v>
      </c>
      <c r="F199" s="3889"/>
      <c r="G199" s="3135"/>
      <c r="H199" s="3136"/>
    </row>
    <row r="200" spans="1:8">
      <c r="A200" s="3498" t="str">
        <f>'Contact Information'!A52</f>
        <v>FLORIDA SOUTHWESTERN STATE COLLEGE</v>
      </c>
      <c r="B200" s="3138">
        <v>4140830</v>
      </c>
      <c r="C200" s="3138">
        <v>573093</v>
      </c>
      <c r="D200" s="3138">
        <v>0</v>
      </c>
      <c r="E200" s="3138">
        <v>93393</v>
      </c>
      <c r="F200" s="3889"/>
      <c r="G200" s="3135"/>
      <c r="H200" s="3136"/>
    </row>
    <row r="201" spans="1:8">
      <c r="A201" s="3498" t="str">
        <f>'Contact Information'!A53</f>
        <v>FLORIDA STATE COLLEGE AT JACKSONVILLE</v>
      </c>
      <c r="B201" s="3138">
        <v>11999675</v>
      </c>
      <c r="C201" s="3138">
        <v>88600</v>
      </c>
      <c r="D201" s="3138">
        <v>2827259</v>
      </c>
      <c r="E201" s="3138">
        <v>19618299</v>
      </c>
      <c r="F201" s="3889"/>
      <c r="G201" s="3135"/>
      <c r="H201" s="3136"/>
    </row>
    <row r="202" spans="1:8">
      <c r="A202" s="3498" t="str">
        <f>'Contact Information'!A54</f>
        <v>GULF COAST STATE COLLEGE</v>
      </c>
      <c r="B202" s="3138">
        <v>5131962</v>
      </c>
      <c r="C202" s="3138">
        <v>0</v>
      </c>
      <c r="D202" s="3138">
        <v>0</v>
      </c>
      <c r="E202" s="3138">
        <v>468962</v>
      </c>
      <c r="F202" s="3889"/>
      <c r="G202" s="3135"/>
      <c r="H202" s="3136"/>
    </row>
    <row r="203" spans="1:8">
      <c r="A203" s="3498" t="str">
        <f>'Contact Information'!A55</f>
        <v>HILLSBOROUGH COMMUNITY COLLEGE</v>
      </c>
      <c r="B203" s="3138">
        <v>29456019</v>
      </c>
      <c r="C203" s="3138">
        <v>0</v>
      </c>
      <c r="D203" s="3138">
        <v>0</v>
      </c>
      <c r="E203" s="3138">
        <v>0</v>
      </c>
      <c r="F203" s="3889"/>
      <c r="G203" s="3135"/>
      <c r="H203" s="3136"/>
    </row>
    <row r="204" spans="1:8">
      <c r="A204" s="3498" t="str">
        <f>'Contact Information'!A56</f>
        <v>INDIAN RIVER STATE COLLEGE</v>
      </c>
      <c r="B204" s="3138">
        <v>24860099</v>
      </c>
      <c r="C204" s="3138">
        <v>0</v>
      </c>
      <c r="D204" s="3138">
        <v>0</v>
      </c>
      <c r="E204" s="3138">
        <v>1527869</v>
      </c>
      <c r="F204" s="3889"/>
      <c r="G204" s="3135"/>
      <c r="H204" s="3136"/>
    </row>
    <row r="205" spans="1:8">
      <c r="A205" s="3498" t="str">
        <f>'Contact Information'!A57</f>
        <v>LAKE-SUMTER STATE COLLEGE</v>
      </c>
      <c r="B205" s="3138">
        <v>6514755</v>
      </c>
      <c r="C205" s="3138">
        <v>0</v>
      </c>
      <c r="D205" s="3138">
        <v>0</v>
      </c>
      <c r="E205" s="3138">
        <v>230940</v>
      </c>
      <c r="F205" s="3889"/>
      <c r="G205" s="3135"/>
      <c r="H205" s="3136"/>
    </row>
    <row r="206" spans="1:8">
      <c r="A206" s="3498" t="str">
        <f>'Contact Information'!A58</f>
        <v>MIAMI DADE COLLEGE</v>
      </c>
      <c r="B206" s="3138">
        <v>96949942</v>
      </c>
      <c r="C206" s="3138">
        <v>477850</v>
      </c>
      <c r="D206" s="3138">
        <v>0</v>
      </c>
      <c r="E206" s="3138">
        <v>45065361</v>
      </c>
      <c r="F206" s="3889"/>
      <c r="G206" s="3135"/>
      <c r="H206" s="3136"/>
    </row>
    <row r="207" spans="1:8">
      <c r="A207" s="3499" t="str">
        <f>'Contact Information'!A59</f>
        <v>NORTH FLORIDA COLLEGE</v>
      </c>
      <c r="B207" s="3138">
        <v>1157392</v>
      </c>
      <c r="C207" s="3138">
        <v>0</v>
      </c>
      <c r="D207" s="3138">
        <v>0</v>
      </c>
      <c r="E207" s="3138">
        <v>0</v>
      </c>
      <c r="F207" s="3889"/>
      <c r="G207" s="3135"/>
      <c r="H207" s="3136"/>
    </row>
    <row r="208" spans="1:8">
      <c r="A208" s="3498" t="str">
        <f>'Contact Information'!A60</f>
        <v>NORTHWEST FLORIDA STATE COLLEGE</v>
      </c>
      <c r="B208" s="3138">
        <v>2900883</v>
      </c>
      <c r="C208" s="3138">
        <v>789797</v>
      </c>
      <c r="D208" s="3138">
        <v>232150</v>
      </c>
      <c r="E208" s="3138">
        <v>1157790</v>
      </c>
      <c r="F208" s="3889"/>
      <c r="G208" s="3135"/>
      <c r="H208" s="3136"/>
    </row>
    <row r="209" spans="1:20">
      <c r="A209" s="3498" t="str">
        <f>'Contact Information'!A61</f>
        <v>PALM BEACH STATE COLLEGE</v>
      </c>
      <c r="B209" s="3138">
        <v>9767813</v>
      </c>
      <c r="C209" s="3138">
        <v>0</v>
      </c>
      <c r="D209" s="3138">
        <v>0</v>
      </c>
      <c r="E209" s="3138">
        <v>1046138</v>
      </c>
      <c r="F209" s="3889"/>
      <c r="G209" s="3135"/>
      <c r="H209" s="3136"/>
      <c r="J209" s="1863"/>
      <c r="K209" s="1863"/>
      <c r="L209" s="1863"/>
      <c r="M209" s="1863"/>
      <c r="N209" s="1863"/>
      <c r="O209" s="1863"/>
      <c r="P209" s="1863"/>
      <c r="Q209" s="1863"/>
      <c r="R209" s="1863"/>
      <c r="S209" s="1863"/>
      <c r="T209" s="1863"/>
    </row>
    <row r="210" spans="1:20">
      <c r="A210" s="3498" t="str">
        <f>'Contact Information'!A62</f>
        <v>PASCO-HERNANDO STATE COLLEGE</v>
      </c>
      <c r="B210" s="3138">
        <v>4407231</v>
      </c>
      <c r="C210" s="3138">
        <v>0</v>
      </c>
      <c r="D210" s="3138">
        <v>0</v>
      </c>
      <c r="E210" s="3138">
        <v>14876009</v>
      </c>
      <c r="F210" s="3889"/>
      <c r="G210" s="3135"/>
      <c r="H210" s="1759"/>
      <c r="J210" s="1863"/>
      <c r="K210" s="1863"/>
      <c r="L210" s="1863"/>
      <c r="M210" s="1863"/>
      <c r="N210" s="1863"/>
      <c r="O210" s="1863"/>
      <c r="P210" s="1863"/>
      <c r="Q210" s="1863"/>
      <c r="R210" s="1863"/>
      <c r="S210" s="1863"/>
      <c r="T210" s="1863"/>
    </row>
    <row r="211" spans="1:20">
      <c r="A211" s="3498" t="str">
        <f>'Contact Information'!A63</f>
        <v>PENSACOLA STATE COLLEGE</v>
      </c>
      <c r="B211" s="3138">
        <v>12794717</v>
      </c>
      <c r="C211" s="3138">
        <v>146027</v>
      </c>
      <c r="D211" s="3138">
        <v>0</v>
      </c>
      <c r="E211" s="3138">
        <v>14094683</v>
      </c>
      <c r="F211" s="3889"/>
      <c r="G211" s="3135"/>
      <c r="H211" s="3136"/>
      <c r="J211" s="1863"/>
      <c r="K211" s="1863"/>
      <c r="L211" s="1863"/>
      <c r="M211" s="1863"/>
      <c r="N211" s="1863"/>
      <c r="O211" s="1863"/>
      <c r="P211" s="1863"/>
      <c r="Q211" s="1863"/>
      <c r="R211" s="1863"/>
      <c r="S211" s="1863"/>
      <c r="T211" s="1863"/>
    </row>
    <row r="212" spans="1:20">
      <c r="A212" s="3498" t="str">
        <f>'Contact Information'!A64</f>
        <v>POLK STATE COLLEGE</v>
      </c>
      <c r="B212" s="3138">
        <v>6387601</v>
      </c>
      <c r="C212" s="3138">
        <v>11700</v>
      </c>
      <c r="D212" s="3138">
        <v>4467226</v>
      </c>
      <c r="E212" s="3138">
        <v>0</v>
      </c>
      <c r="F212" s="3889"/>
      <c r="G212" s="3135"/>
      <c r="H212" s="3136"/>
      <c r="J212" s="1863"/>
      <c r="K212" s="1863"/>
      <c r="L212" s="1863"/>
      <c r="M212" s="1863"/>
      <c r="N212" s="1863"/>
      <c r="O212" s="1863"/>
      <c r="P212" s="1863"/>
      <c r="Q212" s="1863"/>
      <c r="R212" s="1863"/>
      <c r="S212" s="1863"/>
      <c r="T212" s="1863"/>
    </row>
    <row r="213" spans="1:20">
      <c r="A213" s="3498" t="str">
        <f>'Contact Information'!A65</f>
        <v>SANTA FE COLLEGE</v>
      </c>
      <c r="B213" s="3138">
        <v>7104300</v>
      </c>
      <c r="C213" s="3138">
        <v>18000</v>
      </c>
      <c r="D213" s="3138">
        <v>0</v>
      </c>
      <c r="E213" s="3138">
        <v>2260274</v>
      </c>
      <c r="F213" s="3889"/>
      <c r="G213" s="3135"/>
      <c r="H213" s="3136"/>
      <c r="J213" s="1863"/>
      <c r="K213" s="1863"/>
      <c r="L213" s="1863"/>
      <c r="M213" s="1863"/>
      <c r="N213" s="1863"/>
      <c r="O213" s="1863"/>
      <c r="P213" s="1863"/>
      <c r="Q213" s="1863"/>
      <c r="R213" s="1863"/>
      <c r="S213" s="1863"/>
      <c r="T213" s="1863"/>
    </row>
    <row r="214" spans="1:20">
      <c r="A214" s="3498" t="str">
        <f>'Contact Information'!A66</f>
        <v>SEMINOLE STATE COLLEGE OF FLORIDA</v>
      </c>
      <c r="B214" s="3138">
        <v>32526430</v>
      </c>
      <c r="C214" s="3138">
        <v>0</v>
      </c>
      <c r="D214" s="3138">
        <v>0</v>
      </c>
      <c r="E214" s="3138">
        <v>3923698</v>
      </c>
      <c r="F214" s="3889"/>
      <c r="G214" s="3137"/>
      <c r="H214" s="3136"/>
      <c r="J214" s="1863"/>
      <c r="K214" s="1863"/>
      <c r="L214" s="1863"/>
      <c r="M214" s="1863"/>
      <c r="N214" s="1863"/>
      <c r="O214" s="1863"/>
      <c r="P214" s="1863"/>
      <c r="Q214" s="1863"/>
      <c r="R214" s="1863"/>
      <c r="S214" s="1863"/>
      <c r="T214" s="1863"/>
    </row>
    <row r="215" spans="1:20">
      <c r="A215" s="3498" t="str">
        <f>'Contact Information'!A67</f>
        <v>SOUTH FLORIDA STATE COLLEGE</v>
      </c>
      <c r="B215" s="3138">
        <v>2477518</v>
      </c>
      <c r="C215" s="3138">
        <v>567876</v>
      </c>
      <c r="D215" s="3138">
        <v>579029</v>
      </c>
      <c r="E215" s="3138">
        <v>0</v>
      </c>
      <c r="F215" s="3889"/>
      <c r="G215" s="3137"/>
      <c r="J215" s="1863"/>
      <c r="K215" s="1863"/>
      <c r="L215" s="1863"/>
      <c r="M215" s="1863"/>
      <c r="N215" s="1863"/>
      <c r="O215" s="1863"/>
      <c r="P215" s="1863"/>
      <c r="Q215" s="1863"/>
      <c r="R215" s="1863"/>
      <c r="S215" s="1863"/>
      <c r="T215" s="1863"/>
    </row>
    <row r="216" spans="1:20">
      <c r="A216" s="3498" t="str">
        <f>'Contact Information'!A68</f>
        <v>ST. JOHNS RIVER STATE COLLEGE</v>
      </c>
      <c r="B216" s="3138">
        <v>687582</v>
      </c>
      <c r="C216" s="3138">
        <v>0</v>
      </c>
      <c r="D216" s="3138">
        <v>0</v>
      </c>
      <c r="E216" s="3138">
        <v>1053073</v>
      </c>
      <c r="F216" s="3889"/>
      <c r="G216" s="3137"/>
      <c r="J216" s="1863"/>
      <c r="K216" s="1863"/>
      <c r="L216" s="1863"/>
      <c r="M216" s="1863"/>
      <c r="N216" s="1863"/>
      <c r="O216" s="1863"/>
      <c r="P216" s="1863"/>
      <c r="Q216" s="1863"/>
      <c r="R216" s="1863"/>
      <c r="S216" s="1863"/>
      <c r="T216" s="1863"/>
    </row>
    <row r="217" spans="1:20">
      <c r="A217" s="3498" t="str">
        <f>'Contact Information'!A69</f>
        <v>ST. PETERSBURG COLLEGE</v>
      </c>
      <c r="B217" s="3138">
        <v>25606841</v>
      </c>
      <c r="C217" s="3138">
        <v>0</v>
      </c>
      <c r="D217" s="3138">
        <v>0</v>
      </c>
      <c r="E217" s="3138">
        <v>22116011</v>
      </c>
      <c r="F217" s="3889"/>
      <c r="G217" s="3135"/>
      <c r="J217" s="1863"/>
      <c r="K217" s="1863"/>
      <c r="L217" s="1863"/>
      <c r="M217" s="1863"/>
      <c r="N217" s="1863"/>
      <c r="O217" s="1863"/>
      <c r="P217" s="1863"/>
      <c r="Q217" s="1863"/>
      <c r="R217" s="1863"/>
      <c r="S217" s="1863"/>
      <c r="T217" s="1863"/>
    </row>
    <row r="218" spans="1:20">
      <c r="A218" s="3498" t="str">
        <f>'Contact Information'!A70</f>
        <v>STATE COLLEGE OF FLORIDA, MANATEE-SARASOTA</v>
      </c>
      <c r="B218" s="3138">
        <v>4830785</v>
      </c>
      <c r="C218" s="3138">
        <v>39661</v>
      </c>
      <c r="D218" s="3138">
        <v>0</v>
      </c>
      <c r="E218" s="3138">
        <v>7197436</v>
      </c>
      <c r="F218" s="3889"/>
      <c r="G218" s="3135"/>
      <c r="J218" s="1863"/>
      <c r="K218" s="1863"/>
      <c r="L218" s="1863"/>
      <c r="M218" s="1863"/>
      <c r="N218" s="1863"/>
      <c r="O218" s="1863"/>
      <c r="P218" s="1863"/>
      <c r="Q218" s="1863"/>
      <c r="R218" s="1863"/>
      <c r="S218" s="1863"/>
      <c r="T218" s="1863"/>
    </row>
    <row r="219" spans="1:20">
      <c r="A219" s="3498" t="str">
        <f>'Contact Information'!A71</f>
        <v>TALLAHASSEE COMMUNITY COLLEGE</v>
      </c>
      <c r="B219" s="3138">
        <v>9556301</v>
      </c>
      <c r="C219" s="3138">
        <v>0</v>
      </c>
      <c r="D219" s="3138">
        <v>0</v>
      </c>
      <c r="E219" s="3138">
        <v>6707303</v>
      </c>
      <c r="F219" s="3889"/>
      <c r="G219" s="3135"/>
      <c r="J219" s="1863"/>
      <c r="K219" s="1863"/>
      <c r="L219" s="1863"/>
      <c r="M219" s="1863"/>
      <c r="N219" s="1863"/>
      <c r="O219" s="1863"/>
      <c r="P219" s="1863"/>
      <c r="Q219" s="1863"/>
      <c r="R219" s="1863"/>
      <c r="S219" s="1863"/>
      <c r="T219" s="1863"/>
    </row>
    <row r="220" spans="1:20">
      <c r="A220" s="3498" t="str">
        <f>'Contact Information'!A72</f>
        <v>VALENCIA COLLEGE</v>
      </c>
      <c r="B220" s="3138">
        <v>32987698</v>
      </c>
      <c r="C220" s="3138">
        <v>0</v>
      </c>
      <c r="D220" s="3138">
        <v>0</v>
      </c>
      <c r="E220" s="3138">
        <v>16073573</v>
      </c>
      <c r="F220" s="3889"/>
      <c r="G220" s="3135"/>
      <c r="J220" s="1863"/>
      <c r="K220" s="1863"/>
      <c r="L220" s="1863"/>
      <c r="M220" s="1863"/>
      <c r="N220" s="1863"/>
      <c r="O220" s="1863"/>
      <c r="P220" s="1863"/>
      <c r="Q220" s="1863"/>
      <c r="R220" s="1863"/>
      <c r="S220" s="1863"/>
      <c r="T220" s="1863"/>
    </row>
    <row r="221" spans="1:20" s="1643" customFormat="1">
      <c r="A221" s="1766"/>
      <c r="B221" s="1759"/>
      <c r="C221" s="1759"/>
      <c r="D221" s="1759"/>
      <c r="E221" s="1759"/>
      <c r="F221" s="1759"/>
      <c r="G221" s="1767"/>
      <c r="H221" s="3109"/>
      <c r="I221" s="4257"/>
      <c r="J221" s="1759"/>
      <c r="K221" s="1759"/>
      <c r="L221" s="1759"/>
      <c r="M221" s="1759"/>
      <c r="N221" s="1759"/>
      <c r="O221" s="1759"/>
      <c r="P221" s="1759"/>
      <c r="Q221" s="1759"/>
      <c r="R221" s="1759"/>
      <c r="S221" s="1759"/>
      <c r="T221" s="1760"/>
    </row>
    <row r="222" spans="1:20" s="1643" customFormat="1">
      <c r="A222" s="1766"/>
      <c r="B222" s="1759"/>
      <c r="C222" s="1759"/>
      <c r="D222" s="1759"/>
      <c r="E222" s="1759"/>
      <c r="F222" s="1759"/>
      <c r="G222" s="1767"/>
      <c r="H222" s="3109"/>
      <c r="I222" s="4257"/>
      <c r="J222" s="1759"/>
      <c r="K222" s="1759"/>
      <c r="L222" s="1759"/>
      <c r="M222" s="1759"/>
      <c r="N222" s="1759"/>
      <c r="O222" s="1759"/>
      <c r="P222" s="1759"/>
      <c r="Q222" s="1759"/>
      <c r="R222" s="1759"/>
      <c r="S222" s="1759"/>
      <c r="T222" s="1760"/>
    </row>
    <row r="223" spans="1:20" s="1643" customFormat="1">
      <c r="A223" s="3500" t="s">
        <v>3933</v>
      </c>
      <c r="B223" s="3494">
        <v>27200</v>
      </c>
      <c r="C223" s="3494">
        <v>27400</v>
      </c>
      <c r="D223" s="3494">
        <v>27600</v>
      </c>
      <c r="E223" s="3494">
        <v>26700</v>
      </c>
      <c r="F223" s="3494">
        <v>28400</v>
      </c>
      <c r="G223" s="3494">
        <v>28800</v>
      </c>
      <c r="H223" s="3109"/>
      <c r="I223" s="4257"/>
      <c r="J223" s="1759"/>
      <c r="K223" s="1759"/>
      <c r="L223" s="1759"/>
      <c r="M223" s="1759"/>
      <c r="N223" s="1759"/>
      <c r="O223" s="1759"/>
      <c r="P223" s="1759"/>
      <c r="Q223" s="1759"/>
      <c r="R223" s="1759"/>
      <c r="S223" s="1759"/>
      <c r="T223" s="1760"/>
    </row>
    <row r="224" spans="1:20" s="1643" customFormat="1">
      <c r="A224" s="1761">
        <v>1</v>
      </c>
      <c r="B224" s="3870">
        <v>2</v>
      </c>
      <c r="C224" s="3870">
        <v>3</v>
      </c>
      <c r="D224" s="3870">
        <v>4</v>
      </c>
      <c r="E224" s="3870">
        <v>5</v>
      </c>
      <c r="F224" s="3870">
        <v>6</v>
      </c>
      <c r="G224" s="3870">
        <v>7</v>
      </c>
      <c r="H224" s="3109"/>
      <c r="I224" s="4257"/>
      <c r="J224" s="1759"/>
      <c r="K224" s="1759"/>
      <c r="L224" s="1759"/>
      <c r="M224" s="1759"/>
      <c r="N224" s="1759"/>
      <c r="O224" s="1759"/>
      <c r="P224" s="1759"/>
      <c r="Q224" s="1759"/>
      <c r="R224" s="1759"/>
      <c r="S224" s="1759"/>
      <c r="T224" s="1760"/>
    </row>
    <row r="225" spans="1:20" s="1643" customFormat="1">
      <c r="A225" s="4572" t="s">
        <v>2843</v>
      </c>
      <c r="B225" s="4573"/>
      <c r="C225" s="4573"/>
      <c r="D225" s="4573"/>
      <c r="E225" s="4573"/>
      <c r="F225" s="4573"/>
      <c r="G225" s="4574"/>
      <c r="H225" s="3109"/>
      <c r="I225" s="4257"/>
      <c r="J225" s="1759"/>
      <c r="K225" s="1759"/>
      <c r="L225" s="1759"/>
      <c r="M225" s="1759"/>
      <c r="N225" s="1759"/>
      <c r="O225" s="1759"/>
      <c r="P225" s="1759"/>
      <c r="Q225" s="1759"/>
      <c r="R225" s="1759"/>
      <c r="S225" s="1759"/>
      <c r="T225" s="1760"/>
    </row>
    <row r="226" spans="1:20" s="1643" customFormat="1" ht="26.25">
      <c r="A226" s="2346" t="s">
        <v>4099</v>
      </c>
      <c r="B226" s="3501" t="s">
        <v>463</v>
      </c>
      <c r="C226" s="3501" t="s">
        <v>465</v>
      </c>
      <c r="D226" s="3501" t="s">
        <v>467</v>
      </c>
      <c r="E226" s="3501" t="s">
        <v>41</v>
      </c>
      <c r="F226" s="3501" t="s">
        <v>470</v>
      </c>
      <c r="G226" s="3496" t="s">
        <v>3934</v>
      </c>
      <c r="H226" s="3114"/>
      <c r="I226" s="4258"/>
      <c r="J226" s="2347"/>
      <c r="K226" s="2347"/>
      <c r="L226" s="2347"/>
      <c r="M226" s="2347"/>
      <c r="N226" s="1759"/>
      <c r="O226" s="1759"/>
      <c r="P226" s="1759"/>
      <c r="Q226" s="1759"/>
      <c r="R226" s="1759"/>
      <c r="S226" s="1759"/>
      <c r="T226" s="1760"/>
    </row>
    <row r="227" spans="1:20" s="1643" customFormat="1" ht="15" customHeight="1">
      <c r="A227" s="3498" t="str">
        <f>'Contact Information'!A45</f>
        <v>BROWARD COLLEGE</v>
      </c>
      <c r="B227" s="3138">
        <v>350499796</v>
      </c>
      <c r="C227" s="3138">
        <v>28991593</v>
      </c>
      <c r="D227" s="3138">
        <v>39294584</v>
      </c>
      <c r="E227" s="3138">
        <v>380595</v>
      </c>
      <c r="F227" s="3138">
        <v>0</v>
      </c>
      <c r="G227" s="3138">
        <v>4044366</v>
      </c>
      <c r="H227" s="3890"/>
      <c r="I227" s="4259"/>
      <c r="J227" s="3891"/>
      <c r="K227" s="3891"/>
      <c r="L227" s="1759"/>
      <c r="M227" s="1759"/>
      <c r="N227" s="1759"/>
      <c r="O227" s="1759"/>
      <c r="P227" s="1759"/>
      <c r="Q227" s="1759"/>
      <c r="R227" s="1759"/>
      <c r="S227" s="1759"/>
      <c r="T227" s="1760"/>
    </row>
    <row r="228" spans="1:20" s="1643" customFormat="1" ht="15" customHeight="1">
      <c r="A228" s="3498" t="str">
        <f>'Contact Information'!A46</f>
        <v>CHIPOLA COLLEGE</v>
      </c>
      <c r="B228" s="3138">
        <v>77646455</v>
      </c>
      <c r="C228" s="3138">
        <v>10876746</v>
      </c>
      <c r="D228" s="3138">
        <v>4946541</v>
      </c>
      <c r="E228" s="3138">
        <v>0</v>
      </c>
      <c r="F228" s="3138">
        <v>0</v>
      </c>
      <c r="G228" s="3138">
        <v>430856</v>
      </c>
      <c r="H228" s="3890"/>
      <c r="I228" s="4259"/>
      <c r="J228" s="3891"/>
      <c r="K228" s="3891"/>
      <c r="L228" s="1759"/>
      <c r="M228" s="1759"/>
      <c r="N228" s="1759"/>
      <c r="O228" s="1759"/>
      <c r="P228" s="1759"/>
      <c r="Q228" s="1759"/>
      <c r="R228" s="1759"/>
      <c r="S228" s="1759"/>
      <c r="T228" s="1760"/>
    </row>
    <row r="229" spans="1:20" s="1643" customFormat="1" ht="15" customHeight="1">
      <c r="A229" s="3498" t="str">
        <f>'Contact Information'!A47</f>
        <v>COLLEGE OF CENTRAL FLORIDA</v>
      </c>
      <c r="B229" s="3138">
        <v>111941501</v>
      </c>
      <c r="C229" s="3138">
        <v>20337775</v>
      </c>
      <c r="D229" s="3138">
        <v>8644654</v>
      </c>
      <c r="E229" s="3138">
        <v>0</v>
      </c>
      <c r="F229" s="3138">
        <v>0</v>
      </c>
      <c r="G229" s="3138">
        <v>0</v>
      </c>
      <c r="H229" s="3890"/>
      <c r="I229" s="4259"/>
      <c r="J229" s="3891"/>
      <c r="K229" s="3891"/>
      <c r="L229" s="1759"/>
      <c r="M229" s="1759"/>
      <c r="N229" s="1759"/>
      <c r="O229" s="1759"/>
      <c r="P229" s="1759"/>
      <c r="Q229" s="1759"/>
      <c r="R229" s="1759"/>
      <c r="S229" s="1759"/>
      <c r="T229" s="1760"/>
    </row>
    <row r="230" spans="1:20" s="1643" customFormat="1" ht="15" customHeight="1">
      <c r="A230" s="3498" t="str">
        <f>'Contact Information'!A48</f>
        <v>DAYTONA STATE COLLEGE</v>
      </c>
      <c r="B230" s="3138">
        <v>236711597</v>
      </c>
      <c r="C230" s="3138">
        <v>34298446</v>
      </c>
      <c r="D230" s="3138">
        <v>21662619</v>
      </c>
      <c r="E230" s="3138">
        <v>0</v>
      </c>
      <c r="F230" s="3138">
        <v>0</v>
      </c>
      <c r="G230" s="3138">
        <v>8747667</v>
      </c>
      <c r="H230" s="3890"/>
      <c r="I230" s="4259"/>
      <c r="J230" s="3891"/>
      <c r="K230" s="3891"/>
      <c r="L230" s="1759"/>
      <c r="M230" s="1759"/>
      <c r="N230" s="1759"/>
      <c r="O230" s="1759"/>
      <c r="P230" s="1759"/>
      <c r="Q230" s="1759"/>
      <c r="R230" s="1759"/>
      <c r="S230" s="1759"/>
      <c r="T230" s="1760"/>
    </row>
    <row r="231" spans="1:20" s="1643" customFormat="1" ht="15" customHeight="1">
      <c r="A231" s="3498" t="str">
        <f>'Contact Information'!A49</f>
        <v>EASTERN FLORIDA STATE COLLEGE</v>
      </c>
      <c r="B231" s="3138">
        <v>218783435</v>
      </c>
      <c r="C231" s="3138">
        <v>47573804</v>
      </c>
      <c r="D231" s="3138">
        <v>23167322</v>
      </c>
      <c r="E231" s="3138">
        <v>0</v>
      </c>
      <c r="F231" s="3138">
        <v>5710145</v>
      </c>
      <c r="G231" s="3138">
        <v>0</v>
      </c>
      <c r="H231" s="3892"/>
      <c r="I231" s="4260"/>
      <c r="J231" s="3891"/>
      <c r="K231" s="3891"/>
      <c r="L231" s="1759"/>
      <c r="M231" s="1759"/>
      <c r="N231" s="1759"/>
      <c r="O231" s="1759"/>
      <c r="P231" s="1759"/>
      <c r="Q231" s="1759"/>
      <c r="R231" s="1759"/>
      <c r="S231" s="1759"/>
      <c r="T231" s="1760"/>
    </row>
    <row r="232" spans="1:20" s="1643" customFormat="1">
      <c r="A232" s="3498" t="str">
        <f>'Contact Information'!A50</f>
        <v>FLORIDA GATEWAY COLLEGE</v>
      </c>
      <c r="B232" s="3138">
        <v>46934814.140000001</v>
      </c>
      <c r="C232" s="3138">
        <v>9113033.8499999996</v>
      </c>
      <c r="D232" s="3138">
        <v>12205936.960000001</v>
      </c>
      <c r="E232" s="3138">
        <v>0</v>
      </c>
      <c r="F232" s="3138">
        <v>273278.2</v>
      </c>
      <c r="G232" s="3138">
        <v>1510339.25</v>
      </c>
      <c r="H232" s="3892"/>
      <c r="I232" s="4259"/>
      <c r="J232" s="3891"/>
      <c r="K232" s="3891"/>
      <c r="L232" s="1759"/>
      <c r="M232" s="1759"/>
      <c r="N232" s="1759"/>
      <c r="O232" s="1759"/>
      <c r="P232" s="1759"/>
      <c r="Q232" s="1759"/>
      <c r="R232" s="1759"/>
      <c r="S232" s="1759"/>
      <c r="T232" s="1760"/>
    </row>
    <row r="233" spans="1:20" s="1643" customFormat="1">
      <c r="A233" s="3498" t="str">
        <f>'Contact Information'!A51</f>
        <v>THE COLLEGE OF THE FLORIDA KEYS</v>
      </c>
      <c r="B233" s="3138">
        <v>45627949</v>
      </c>
      <c r="C233" s="3138">
        <v>3507029</v>
      </c>
      <c r="D233" s="3138">
        <v>4654098</v>
      </c>
      <c r="E233" s="3138">
        <v>0</v>
      </c>
      <c r="F233" s="3138">
        <v>66585</v>
      </c>
      <c r="G233" s="3138">
        <v>0</v>
      </c>
      <c r="H233" s="3892"/>
      <c r="I233" s="4260"/>
      <c r="J233" s="3891"/>
      <c r="K233" s="3891"/>
      <c r="L233" s="1759"/>
      <c r="M233" s="1759"/>
      <c r="N233" s="1759"/>
      <c r="O233" s="1759"/>
      <c r="P233" s="1759"/>
      <c r="Q233" s="1759"/>
      <c r="R233" s="1759"/>
      <c r="S233" s="1759"/>
      <c r="T233" s="1760"/>
    </row>
    <row r="234" spans="1:20" s="1643" customFormat="1">
      <c r="A234" s="3498" t="str">
        <f>'Contact Information'!A52</f>
        <v>FLORIDA SOUTHWESTERN STATE COLLEGE</v>
      </c>
      <c r="B234" s="3138">
        <v>248020886</v>
      </c>
      <c r="C234" s="3138">
        <v>17685230</v>
      </c>
      <c r="D234" s="3138">
        <v>12406404</v>
      </c>
      <c r="E234" s="3138">
        <v>0</v>
      </c>
      <c r="F234" s="3138">
        <v>0</v>
      </c>
      <c r="G234" s="3138">
        <v>0</v>
      </c>
      <c r="H234" s="3892"/>
      <c r="I234" s="4260"/>
      <c r="J234" s="3891"/>
      <c r="K234" s="3891"/>
      <c r="L234" s="1759"/>
      <c r="M234" s="1759"/>
      <c r="N234" s="1759"/>
      <c r="O234" s="1759"/>
      <c r="P234" s="1759"/>
      <c r="Q234" s="1759"/>
      <c r="R234" s="1759"/>
      <c r="S234" s="1759"/>
      <c r="T234" s="1760"/>
    </row>
    <row r="235" spans="1:20" s="1643" customFormat="1">
      <c r="A235" s="3498" t="str">
        <f>'Contact Information'!A53</f>
        <v>FLORIDA STATE COLLEGE AT JACKSONVILLE</v>
      </c>
      <c r="B235" s="3138">
        <v>330169973</v>
      </c>
      <c r="C235" s="3138">
        <v>8457269</v>
      </c>
      <c r="D235" s="3138">
        <v>30854688</v>
      </c>
      <c r="E235" s="3138">
        <v>0</v>
      </c>
      <c r="F235" s="3138">
        <v>0</v>
      </c>
      <c r="G235" s="3138">
        <v>22659051</v>
      </c>
      <c r="H235" s="3892"/>
      <c r="I235" s="4260"/>
      <c r="J235" s="3891"/>
      <c r="K235" s="3891"/>
      <c r="L235" s="1759"/>
      <c r="M235" s="1759"/>
      <c r="N235" s="1759"/>
      <c r="O235" s="1759"/>
      <c r="P235" s="1759"/>
      <c r="Q235" s="1759"/>
      <c r="R235" s="1759"/>
      <c r="S235" s="1759"/>
      <c r="T235" s="1760"/>
    </row>
    <row r="236" spans="1:20" s="1643" customFormat="1">
      <c r="A236" s="3498" t="str">
        <f>'Contact Information'!A54</f>
        <v>GULF COAST STATE COLLEGE</v>
      </c>
      <c r="B236" s="3138">
        <v>121127318</v>
      </c>
      <c r="C236" s="3138">
        <v>15054925</v>
      </c>
      <c r="D236" s="3138">
        <v>16193932</v>
      </c>
      <c r="E236" s="3138">
        <v>0</v>
      </c>
      <c r="F236" s="3138">
        <v>0</v>
      </c>
      <c r="G236" s="3138">
        <v>0</v>
      </c>
      <c r="H236" s="3890"/>
      <c r="I236" s="4260"/>
      <c r="J236" s="3891"/>
      <c r="K236" s="3891"/>
      <c r="L236" s="1759"/>
      <c r="M236" s="1759"/>
      <c r="N236" s="1759"/>
      <c r="O236" s="1759"/>
      <c r="P236" s="1759"/>
      <c r="Q236" s="1759"/>
      <c r="R236" s="1759"/>
      <c r="S236" s="1759"/>
      <c r="T236" s="1760"/>
    </row>
    <row r="237" spans="1:20" s="1643" customFormat="1">
      <c r="A237" s="3498" t="str">
        <f>'Contact Information'!A55</f>
        <v>HILLSBOROUGH COMMUNITY COLLEGE</v>
      </c>
      <c r="B237" s="3138">
        <v>287579221</v>
      </c>
      <c r="C237" s="3138">
        <v>10249093</v>
      </c>
      <c r="D237" s="3138">
        <v>17131731</v>
      </c>
      <c r="E237" s="3138">
        <v>6376319</v>
      </c>
      <c r="F237" s="3138">
        <v>0</v>
      </c>
      <c r="G237" s="3138">
        <v>2189</v>
      </c>
      <c r="H237" s="3890"/>
      <c r="I237" s="4260"/>
      <c r="J237" s="3891"/>
      <c r="K237" s="3891"/>
      <c r="L237" s="1759"/>
      <c r="M237" s="1759"/>
      <c r="N237" s="1759"/>
      <c r="O237" s="1759"/>
      <c r="P237" s="1759"/>
      <c r="Q237" s="1759"/>
      <c r="R237" s="1759"/>
      <c r="S237" s="1759"/>
      <c r="T237" s="1760"/>
    </row>
    <row r="238" spans="1:20" s="1643" customFormat="1">
      <c r="A238" s="3498" t="str">
        <f>'Contact Information'!A56</f>
        <v>INDIAN RIVER STATE COLLEGE</v>
      </c>
      <c r="B238" s="3138">
        <v>293224201</v>
      </c>
      <c r="C238" s="3138">
        <v>15997656</v>
      </c>
      <c r="D238" s="3138">
        <v>16769809</v>
      </c>
      <c r="E238" s="3138">
        <v>0</v>
      </c>
      <c r="F238" s="3138">
        <v>1192832</v>
      </c>
      <c r="G238" s="3138">
        <v>10951928</v>
      </c>
      <c r="H238" s="3890"/>
      <c r="I238" s="4260"/>
      <c r="J238" s="3891"/>
      <c r="K238" s="3891"/>
      <c r="L238" s="1759"/>
      <c r="M238" s="1759"/>
      <c r="N238" s="1759"/>
      <c r="O238" s="1759"/>
      <c r="P238" s="1759"/>
      <c r="Q238" s="1759"/>
      <c r="R238" s="1759"/>
      <c r="S238" s="1759"/>
      <c r="T238" s="1760"/>
    </row>
    <row r="239" spans="1:20" s="1643" customFormat="1">
      <c r="A239" s="3498" t="str">
        <f>'Contact Information'!A57</f>
        <v>LAKE-SUMTER STATE COLLEGE</v>
      </c>
      <c r="B239" s="3138">
        <v>86756983</v>
      </c>
      <c r="C239" s="3138">
        <v>6575630</v>
      </c>
      <c r="D239" s="3138">
        <v>5167298</v>
      </c>
      <c r="E239" s="3138">
        <v>0</v>
      </c>
      <c r="F239" s="3138">
        <v>0</v>
      </c>
      <c r="G239" s="3138">
        <v>0</v>
      </c>
      <c r="H239" s="3890"/>
      <c r="I239" s="4260"/>
      <c r="J239" s="3891"/>
      <c r="K239" s="3891"/>
      <c r="L239" s="1759"/>
      <c r="M239" s="1759"/>
      <c r="N239" s="1759"/>
      <c r="O239" s="1759"/>
      <c r="P239" s="1759"/>
      <c r="Q239" s="1759"/>
      <c r="R239" s="1759"/>
      <c r="S239" s="1759"/>
      <c r="T239" s="1760"/>
    </row>
    <row r="240" spans="1:20" s="1643" customFormat="1">
      <c r="A240" s="3498" t="str">
        <f>'Contact Information'!A58</f>
        <v>MIAMI DADE COLLEGE</v>
      </c>
      <c r="B240" s="3138">
        <v>997545985</v>
      </c>
      <c r="C240" s="3138">
        <v>35983825</v>
      </c>
      <c r="D240" s="3138">
        <v>81017447</v>
      </c>
      <c r="E240" s="3138">
        <v>0</v>
      </c>
      <c r="F240" s="3138">
        <v>0</v>
      </c>
      <c r="G240" s="3138">
        <v>54218289</v>
      </c>
      <c r="H240" s="3890"/>
      <c r="I240" s="4260"/>
      <c r="J240" s="3891"/>
      <c r="K240" s="3891"/>
      <c r="L240" s="1759"/>
      <c r="M240" s="1759"/>
      <c r="N240" s="1759"/>
      <c r="O240" s="1759"/>
      <c r="P240" s="1759"/>
      <c r="Q240" s="1759"/>
      <c r="R240" s="1759"/>
      <c r="S240" s="1759"/>
      <c r="T240" s="1760"/>
    </row>
    <row r="241" spans="1:20" s="1643" customFormat="1">
      <c r="A241" s="3499" t="str">
        <f>'Contact Information'!A59</f>
        <v>NORTH FLORIDA COLLEGE</v>
      </c>
      <c r="B241" s="3138">
        <v>29871426</v>
      </c>
      <c r="C241" s="3138">
        <v>6175035</v>
      </c>
      <c r="D241" s="3138">
        <v>2142702</v>
      </c>
      <c r="E241" s="3138">
        <v>0</v>
      </c>
      <c r="F241" s="3138">
        <v>0</v>
      </c>
      <c r="G241" s="3138">
        <v>0</v>
      </c>
      <c r="H241" s="3890"/>
      <c r="I241" s="4259"/>
      <c r="J241" s="3891"/>
      <c r="K241" s="3891"/>
      <c r="L241" s="1759"/>
      <c r="M241" s="1759"/>
      <c r="N241" s="1759"/>
      <c r="O241" s="1759"/>
      <c r="P241" s="1759"/>
      <c r="Q241" s="1759"/>
      <c r="R241" s="1759"/>
      <c r="S241" s="1759"/>
      <c r="T241" s="1760"/>
    </row>
    <row r="242" spans="1:20" s="1643" customFormat="1">
      <c r="A242" s="3498" t="str">
        <f>'Contact Information'!A60</f>
        <v>NORTHWEST FLORIDA STATE COLLEGE</v>
      </c>
      <c r="B242" s="3138">
        <v>166961775</v>
      </c>
      <c r="C242" s="3138">
        <v>35241418</v>
      </c>
      <c r="D242" s="3138">
        <v>7411674</v>
      </c>
      <c r="E242" s="3138">
        <v>0</v>
      </c>
      <c r="F242" s="3138">
        <v>491317</v>
      </c>
      <c r="G242" s="3138">
        <v>7226006</v>
      </c>
      <c r="H242" s="3890"/>
      <c r="I242" s="4259"/>
      <c r="J242" s="3891"/>
      <c r="K242" s="3891"/>
      <c r="L242" s="1759"/>
      <c r="M242" s="1759"/>
      <c r="N242" s="1759"/>
      <c r="O242" s="1759"/>
      <c r="P242" s="1759"/>
      <c r="Q242" s="1759"/>
      <c r="R242" s="1759"/>
      <c r="S242" s="1759"/>
      <c r="T242" s="1760"/>
    </row>
    <row r="243" spans="1:20" s="1643" customFormat="1">
      <c r="A243" s="3498" t="str">
        <f>'Contact Information'!A61</f>
        <v>PALM BEACH STATE COLLEGE</v>
      </c>
      <c r="B243" s="3138">
        <v>334675018</v>
      </c>
      <c r="C243" s="3138">
        <v>73248831</v>
      </c>
      <c r="D243" s="3138">
        <v>22939292</v>
      </c>
      <c r="E243" s="3138">
        <v>0</v>
      </c>
      <c r="F243" s="3138">
        <v>0</v>
      </c>
      <c r="G243" s="3138">
        <v>0</v>
      </c>
      <c r="H243" s="3890"/>
      <c r="I243" s="4259"/>
      <c r="J243" s="3891"/>
      <c r="K243" s="3891"/>
      <c r="L243" s="1759"/>
      <c r="M243" s="1759"/>
      <c r="N243" s="1759"/>
      <c r="O243" s="1759"/>
      <c r="P243" s="1759"/>
      <c r="Q243" s="1759"/>
      <c r="R243" s="1759"/>
      <c r="S243" s="1759"/>
      <c r="T243" s="1760"/>
    </row>
    <row r="244" spans="1:20" s="1643" customFormat="1">
      <c r="A244" s="3498" t="str">
        <f>'Contact Information'!A62</f>
        <v>PASCO-HERNANDO STATE COLLEGE</v>
      </c>
      <c r="B244" s="3138">
        <v>173271911</v>
      </c>
      <c r="C244" s="3138">
        <v>58083752</v>
      </c>
      <c r="D244" s="3138">
        <v>6161897</v>
      </c>
      <c r="E244" s="3138">
        <v>0</v>
      </c>
      <c r="F244" s="3138">
        <v>0</v>
      </c>
      <c r="G244" s="3138">
        <v>1546848</v>
      </c>
      <c r="H244" s="3890"/>
      <c r="I244" s="4259"/>
      <c r="J244" s="3891"/>
      <c r="K244" s="3891"/>
      <c r="L244" s="1759"/>
      <c r="M244" s="1759"/>
      <c r="N244" s="1759"/>
      <c r="O244" s="1759"/>
      <c r="P244" s="1759"/>
      <c r="Q244" s="1759"/>
      <c r="R244" s="1759"/>
      <c r="S244" s="1759"/>
      <c r="T244" s="1760"/>
    </row>
    <row r="245" spans="1:20" s="1643" customFormat="1">
      <c r="A245" s="3498" t="str">
        <f>'Contact Information'!A63</f>
        <v>PENSACOLA STATE COLLEGE</v>
      </c>
      <c r="B245" s="3138">
        <v>75750383</v>
      </c>
      <c r="C245" s="3138">
        <v>11587103</v>
      </c>
      <c r="D245" s="3138">
        <v>18324409</v>
      </c>
      <c r="E245" s="3138">
        <v>0</v>
      </c>
      <c r="F245" s="3138">
        <v>0</v>
      </c>
      <c r="G245" s="3138">
        <v>0</v>
      </c>
      <c r="H245" s="3890"/>
      <c r="I245" s="4259"/>
      <c r="J245" s="3891"/>
      <c r="K245" s="3891"/>
      <c r="L245" s="1759"/>
      <c r="M245" s="1759"/>
      <c r="N245" s="1759"/>
      <c r="O245" s="1759"/>
      <c r="P245" s="1759"/>
      <c r="Q245" s="1759"/>
      <c r="R245" s="1759"/>
      <c r="S245" s="1759"/>
      <c r="T245" s="1760"/>
    </row>
    <row r="246" spans="1:20" s="1643" customFormat="1">
      <c r="A246" s="3498" t="str">
        <f>'Contact Information'!A64</f>
        <v>POLK STATE COLLEGE</v>
      </c>
      <c r="B246" s="3138">
        <v>129280621</v>
      </c>
      <c r="C246" s="3138">
        <v>9361795</v>
      </c>
      <c r="D246" s="3138">
        <v>8782432</v>
      </c>
      <c r="E246" s="3138">
        <v>0</v>
      </c>
      <c r="F246" s="3138">
        <v>493964</v>
      </c>
      <c r="G246" s="3138">
        <v>0</v>
      </c>
      <c r="H246" s="3890"/>
      <c r="I246" s="4259"/>
      <c r="J246" s="3891"/>
      <c r="K246" s="3891"/>
      <c r="L246" s="1759"/>
      <c r="M246" s="1759"/>
      <c r="N246" s="1759"/>
      <c r="O246" s="1759"/>
      <c r="P246" s="1759"/>
      <c r="Q246" s="1759"/>
      <c r="R246" s="1759"/>
      <c r="S246" s="1759"/>
      <c r="T246" s="1760"/>
    </row>
    <row r="247" spans="1:20" s="1643" customFormat="1">
      <c r="A247" s="3498" t="str">
        <f>'Contact Information'!A65</f>
        <v>SANTA FE COLLEGE</v>
      </c>
      <c r="B247" s="3138">
        <v>149182423</v>
      </c>
      <c r="C247" s="3138">
        <v>36364974</v>
      </c>
      <c r="D247" s="3138">
        <v>11025761</v>
      </c>
      <c r="E247" s="3138">
        <v>0</v>
      </c>
      <c r="F247" s="3138">
        <v>0</v>
      </c>
      <c r="G247" s="3138">
        <v>0</v>
      </c>
      <c r="H247" s="3890"/>
      <c r="I247" s="4259"/>
      <c r="J247" s="3891"/>
      <c r="K247" s="3891"/>
      <c r="L247" s="1759"/>
      <c r="M247" s="1759"/>
      <c r="N247" s="1759"/>
      <c r="O247" s="1759"/>
      <c r="P247" s="1759"/>
      <c r="Q247" s="1759"/>
      <c r="R247" s="1759"/>
      <c r="S247" s="1759"/>
      <c r="T247" s="1760"/>
    </row>
    <row r="248" spans="1:20" s="1643" customFormat="1">
      <c r="A248" s="3498" t="str">
        <f>'Contact Information'!A66</f>
        <v>SEMINOLE STATE COLLEGE OF FLORIDA</v>
      </c>
      <c r="B248" s="3138">
        <v>235042647</v>
      </c>
      <c r="C248" s="3138">
        <v>17085497</v>
      </c>
      <c r="D248" s="3138">
        <v>11802016</v>
      </c>
      <c r="E248" s="3138">
        <v>3922135</v>
      </c>
      <c r="F248" s="3138">
        <v>1519302</v>
      </c>
      <c r="G248" s="3138">
        <v>3595938</v>
      </c>
      <c r="H248" s="3890"/>
      <c r="I248" s="4259"/>
      <c r="J248" s="3891"/>
      <c r="K248" s="3891"/>
      <c r="L248" s="1759"/>
      <c r="M248" s="1759"/>
      <c r="N248" s="1759"/>
      <c r="O248" s="1759"/>
      <c r="P248" s="1759"/>
      <c r="Q248" s="1759"/>
      <c r="R248" s="1759"/>
      <c r="S248" s="1759"/>
      <c r="T248" s="1760"/>
    </row>
    <row r="249" spans="1:20" s="1643" customFormat="1">
      <c r="A249" s="3498" t="str">
        <f>'Contact Information'!A67</f>
        <v>SOUTH FLORIDA STATE COLLEGE</v>
      </c>
      <c r="B249" s="3138">
        <v>83881310</v>
      </c>
      <c r="C249" s="3138">
        <v>13129793</v>
      </c>
      <c r="D249" s="3138">
        <v>4578261</v>
      </c>
      <c r="E249" s="3138">
        <v>0</v>
      </c>
      <c r="F249" s="3138">
        <v>0</v>
      </c>
      <c r="G249" s="3138">
        <v>757467</v>
      </c>
      <c r="H249" s="3890"/>
      <c r="I249" s="4259"/>
      <c r="J249" s="3891"/>
      <c r="K249" s="3891"/>
      <c r="L249" s="1759"/>
      <c r="M249" s="1759"/>
      <c r="N249" s="1759"/>
      <c r="O249" s="1759"/>
      <c r="P249" s="1759"/>
      <c r="Q249" s="1759"/>
      <c r="R249" s="1759"/>
      <c r="S249" s="1759"/>
      <c r="T249" s="1760"/>
    </row>
    <row r="250" spans="1:20" s="1643" customFormat="1">
      <c r="A250" s="3498" t="str">
        <f>'Contact Information'!A68</f>
        <v>ST. JOHNS RIVER STATE COLLEGE</v>
      </c>
      <c r="B250" s="3138">
        <v>73724073</v>
      </c>
      <c r="C250" s="3138">
        <v>4586101</v>
      </c>
      <c r="D250" s="3138">
        <v>6507210</v>
      </c>
      <c r="E250" s="3138">
        <v>0</v>
      </c>
      <c r="F250" s="3138">
        <v>0</v>
      </c>
      <c r="G250" s="3138">
        <v>0</v>
      </c>
      <c r="H250" s="3890"/>
      <c r="I250" s="4259"/>
      <c r="J250" s="3891"/>
      <c r="K250" s="3891"/>
      <c r="L250" s="1759"/>
      <c r="M250" s="1759"/>
      <c r="N250" s="1759"/>
      <c r="O250" s="1759"/>
      <c r="P250" s="1759"/>
      <c r="Q250" s="1759"/>
      <c r="R250" s="1759"/>
      <c r="S250" s="1759"/>
      <c r="T250" s="1760"/>
    </row>
    <row r="251" spans="1:20" s="1643" customFormat="1">
      <c r="A251" s="3498" t="str">
        <f>'Contact Information'!A69</f>
        <v>ST. PETERSBURG COLLEGE</v>
      </c>
      <c r="B251" s="3138">
        <v>361678765</v>
      </c>
      <c r="C251" s="3138">
        <v>12903762</v>
      </c>
      <c r="D251" s="3138">
        <v>15663573</v>
      </c>
      <c r="E251" s="3138">
        <v>0</v>
      </c>
      <c r="F251" s="3138">
        <v>11354814</v>
      </c>
      <c r="G251" s="3138">
        <v>0</v>
      </c>
      <c r="H251" s="3890"/>
      <c r="I251" s="4259"/>
      <c r="J251" s="3891"/>
      <c r="K251" s="3891"/>
      <c r="L251" s="1759"/>
      <c r="M251" s="1759"/>
      <c r="N251" s="1759"/>
      <c r="O251" s="1759"/>
      <c r="P251" s="1759"/>
      <c r="Q251" s="1759"/>
      <c r="R251" s="1759"/>
      <c r="S251" s="1759"/>
      <c r="T251" s="1760"/>
    </row>
    <row r="252" spans="1:20" s="1643" customFormat="1">
      <c r="A252" s="3498" t="str">
        <f>'Contact Information'!A70</f>
        <v>STATE COLLEGE OF FLORIDA, MANATEE-SARASOTA</v>
      </c>
      <c r="B252" s="3138">
        <v>114878066</v>
      </c>
      <c r="C252" s="3138">
        <v>23935806</v>
      </c>
      <c r="D252" s="3138">
        <v>10328239</v>
      </c>
      <c r="E252" s="3138">
        <v>0</v>
      </c>
      <c r="F252" s="3138">
        <v>0</v>
      </c>
      <c r="G252" s="3138">
        <v>0</v>
      </c>
      <c r="H252" s="3890"/>
      <c r="I252" s="4259"/>
      <c r="J252" s="3891"/>
      <c r="K252" s="3891"/>
      <c r="L252" s="1759"/>
      <c r="M252" s="1759"/>
      <c r="N252" s="1759"/>
      <c r="O252" s="1759"/>
      <c r="P252" s="1759"/>
      <c r="Q252" s="1759"/>
      <c r="R252" s="1759"/>
      <c r="S252" s="1759"/>
      <c r="T252" s="1760"/>
    </row>
    <row r="253" spans="1:20" s="1643" customFormat="1" ht="28.9" customHeight="1">
      <c r="A253" s="3498" t="str">
        <f>'Contact Information'!A71</f>
        <v>TALLAHASSEE COMMUNITY COLLEGE</v>
      </c>
      <c r="B253" s="3138">
        <v>173520511</v>
      </c>
      <c r="C253" s="3138">
        <v>14147553</v>
      </c>
      <c r="D253" s="3138">
        <v>10499189</v>
      </c>
      <c r="E253" s="3138">
        <v>0</v>
      </c>
      <c r="F253" s="3138">
        <v>7031697</v>
      </c>
      <c r="G253" s="3138">
        <v>0</v>
      </c>
      <c r="H253" s="3893"/>
      <c r="I253" s="4259"/>
      <c r="J253" s="3891"/>
      <c r="L253" s="1759"/>
      <c r="M253" s="1759"/>
      <c r="N253" s="1759"/>
      <c r="O253" s="1759"/>
      <c r="P253" s="1759"/>
      <c r="Q253" s="1759"/>
      <c r="R253" s="1759"/>
      <c r="S253" s="1759"/>
      <c r="T253" s="1760"/>
    </row>
    <row r="254" spans="1:20" s="1643" customFormat="1">
      <c r="A254" s="3498" t="str">
        <f>'Contact Information'!A72</f>
        <v>VALENCIA COLLEGE</v>
      </c>
      <c r="B254" s="3138">
        <v>324491920</v>
      </c>
      <c r="C254" s="3138">
        <v>1731345</v>
      </c>
      <c r="D254" s="3138">
        <v>26889160</v>
      </c>
      <c r="E254" s="3138">
        <v>13193098</v>
      </c>
      <c r="F254" s="3138">
        <v>15298373</v>
      </c>
      <c r="G254" s="3138">
        <v>0</v>
      </c>
      <c r="H254" s="3890"/>
      <c r="I254" s="4259"/>
      <c r="J254" s="3891"/>
      <c r="K254" s="3891"/>
      <c r="L254" s="1759"/>
      <c r="M254" s="1759"/>
      <c r="N254" s="1759"/>
      <c r="O254" s="1759"/>
      <c r="P254" s="1759"/>
      <c r="Q254" s="1759"/>
      <c r="R254" s="1759"/>
      <c r="S254" s="1759"/>
      <c r="T254" s="1760"/>
    </row>
    <row r="255" spans="1:20" s="1643" customFormat="1">
      <c r="A255" s="1766"/>
      <c r="B255" s="1759"/>
      <c r="C255" s="1759"/>
      <c r="D255" s="1759"/>
      <c r="E255" s="1759"/>
      <c r="F255" s="1759"/>
      <c r="G255" s="1767"/>
      <c r="H255" s="3109"/>
      <c r="I255" s="4257"/>
      <c r="J255" s="1759"/>
      <c r="K255" s="1759"/>
      <c r="L255" s="1759"/>
      <c r="M255" s="1759"/>
      <c r="N255" s="1759"/>
      <c r="O255" s="1759"/>
      <c r="P255" s="1759"/>
      <c r="Q255" s="1759"/>
      <c r="R255" s="1759"/>
      <c r="S255" s="1759"/>
      <c r="T255" s="1760"/>
    </row>
    <row r="256" spans="1:20" s="1643" customFormat="1">
      <c r="A256" s="1766"/>
      <c r="B256" s="1759"/>
      <c r="C256" s="1759"/>
      <c r="D256" s="1759"/>
      <c r="E256" s="1759"/>
      <c r="F256" s="1759"/>
      <c r="G256" s="1767"/>
      <c r="H256" s="3109"/>
      <c r="I256" s="4257"/>
      <c r="J256" s="1759"/>
      <c r="K256" s="1759"/>
      <c r="L256" s="1759"/>
      <c r="M256" s="1759"/>
      <c r="N256" s="1759"/>
      <c r="O256" s="1759"/>
      <c r="P256" s="1759"/>
      <c r="Q256" s="1759"/>
      <c r="R256" s="1759"/>
      <c r="S256" s="1759"/>
      <c r="T256" s="1760"/>
    </row>
    <row r="257" spans="1:20" s="1643" customFormat="1">
      <c r="A257" s="3871" t="s">
        <v>3935</v>
      </c>
      <c r="B257" s="3494">
        <v>27300</v>
      </c>
      <c r="C257" s="3494">
        <v>27500</v>
      </c>
      <c r="D257" s="3494">
        <v>27700</v>
      </c>
      <c r="E257" s="3494">
        <v>26800</v>
      </c>
      <c r="F257" s="3494">
        <v>28500</v>
      </c>
      <c r="G257" s="3494">
        <v>28900</v>
      </c>
      <c r="H257" s="3109"/>
      <c r="I257" s="4257"/>
      <c r="J257" s="1759"/>
      <c r="K257" s="1759"/>
      <c r="L257" s="1759"/>
      <c r="M257" s="1759"/>
      <c r="N257" s="1759"/>
      <c r="O257" s="1759"/>
      <c r="P257" s="1759"/>
      <c r="Q257" s="1759"/>
      <c r="R257" s="1759"/>
      <c r="S257" s="1759"/>
      <c r="T257" s="1760"/>
    </row>
    <row r="258" spans="1:20" s="1643" customFormat="1">
      <c r="A258" s="3502">
        <v>1</v>
      </c>
      <c r="B258" s="3495">
        <v>2</v>
      </c>
      <c r="C258" s="3495">
        <v>3</v>
      </c>
      <c r="D258" s="3495">
        <v>4</v>
      </c>
      <c r="E258" s="3495">
        <v>5</v>
      </c>
      <c r="F258" s="3495">
        <v>6</v>
      </c>
      <c r="G258" s="3495">
        <v>7</v>
      </c>
      <c r="H258" s="3109"/>
      <c r="I258" s="4257"/>
      <c r="J258" s="1759"/>
      <c r="K258" s="1759"/>
      <c r="L258" s="1759"/>
      <c r="M258" s="1759"/>
      <c r="N258" s="1759"/>
      <c r="O258" s="1759"/>
      <c r="P258" s="1759"/>
      <c r="Q258" s="1759"/>
      <c r="R258" s="1759"/>
      <c r="S258" s="1759"/>
      <c r="T258" s="1760"/>
    </row>
    <row r="259" spans="1:20" s="1643" customFormat="1" ht="15" customHeight="1">
      <c r="A259" s="4548" t="s">
        <v>2846</v>
      </c>
      <c r="B259" s="4549"/>
      <c r="C259" s="4549"/>
      <c r="D259" s="4549"/>
      <c r="E259" s="4549"/>
      <c r="F259" s="4549"/>
      <c r="G259" s="4550"/>
      <c r="H259" s="3109"/>
      <c r="I259" s="4257"/>
      <c r="J259" s="1759"/>
      <c r="K259" s="1759"/>
      <c r="L259" s="1759"/>
      <c r="M259" s="1759"/>
      <c r="N259" s="1759"/>
      <c r="O259" s="1759"/>
      <c r="P259" s="1759"/>
      <c r="Q259" s="1759"/>
      <c r="R259" s="1759"/>
      <c r="S259" s="1759"/>
      <c r="T259" s="1760"/>
    </row>
    <row r="260" spans="1:20" s="1643" customFormat="1" ht="26.25">
      <c r="A260" s="2346" t="s">
        <v>4098</v>
      </c>
      <c r="B260" s="3501" t="s">
        <v>463</v>
      </c>
      <c r="C260" s="3501" t="s">
        <v>465</v>
      </c>
      <c r="D260" s="3501" t="s">
        <v>467</v>
      </c>
      <c r="E260" s="3501" t="s">
        <v>41</v>
      </c>
      <c r="F260" s="3501" t="s">
        <v>470</v>
      </c>
      <c r="G260" s="3501" t="s">
        <v>3934</v>
      </c>
      <c r="H260" s="3109"/>
      <c r="I260" s="4257"/>
      <c r="J260" s="1759"/>
      <c r="K260" s="1759"/>
      <c r="L260" s="1759"/>
      <c r="M260" s="1759"/>
      <c r="N260" s="1759"/>
      <c r="O260" s="1759"/>
      <c r="P260" s="1759"/>
      <c r="Q260" s="1759"/>
      <c r="R260" s="1759"/>
      <c r="S260" s="1759"/>
      <c r="T260" s="1760"/>
    </row>
    <row r="261" spans="1:20" s="1643" customFormat="1">
      <c r="A261" s="3498" t="str">
        <f>'Contact Information'!A45</f>
        <v>BROWARD COLLEGE</v>
      </c>
      <c r="B261" s="3138">
        <v>152152967</v>
      </c>
      <c r="C261" s="3138">
        <v>18123065</v>
      </c>
      <c r="D261" s="3138">
        <v>38181988</v>
      </c>
      <c r="E261" s="3138">
        <v>107836</v>
      </c>
      <c r="F261" s="3138">
        <v>0</v>
      </c>
      <c r="G261" s="3138">
        <v>2426620</v>
      </c>
      <c r="H261" s="3890"/>
      <c r="I261" s="4259"/>
      <c r="J261" s="1759"/>
      <c r="K261" s="1759"/>
      <c r="L261" s="1759"/>
      <c r="M261" s="1759"/>
      <c r="N261" s="1759"/>
      <c r="O261" s="1759"/>
      <c r="P261" s="1759"/>
      <c r="Q261" s="1759"/>
      <c r="R261" s="1759"/>
      <c r="S261" s="1759"/>
      <c r="T261" s="1760"/>
    </row>
    <row r="262" spans="1:20" s="1643" customFormat="1">
      <c r="A262" s="3498" t="str">
        <f>'Contact Information'!A46</f>
        <v>CHIPOLA COLLEGE</v>
      </c>
      <c r="B262" s="3138">
        <v>30692033</v>
      </c>
      <c r="C262" s="3138">
        <v>8377723</v>
      </c>
      <c r="D262" s="3138">
        <v>4386725</v>
      </c>
      <c r="E262" s="3138">
        <v>0</v>
      </c>
      <c r="F262" s="3138">
        <v>0</v>
      </c>
      <c r="G262" s="3138">
        <v>430856</v>
      </c>
      <c r="H262" s="3890"/>
      <c r="I262" s="4259"/>
      <c r="J262" s="1759"/>
      <c r="K262" s="1759"/>
      <c r="L262" s="1759"/>
      <c r="M262" s="1759"/>
      <c r="N262" s="1759"/>
      <c r="O262" s="1759"/>
      <c r="P262" s="1759"/>
      <c r="Q262" s="1759"/>
      <c r="R262" s="1759"/>
      <c r="S262" s="1759"/>
      <c r="T262" s="1760"/>
    </row>
    <row r="263" spans="1:20" s="1643" customFormat="1">
      <c r="A263" s="3498" t="str">
        <f>'Contact Information'!A47</f>
        <v>COLLEGE OF CENTRAL FLORIDA</v>
      </c>
      <c r="B263" s="3138">
        <v>52362007</v>
      </c>
      <c r="C263" s="3138">
        <v>15108779</v>
      </c>
      <c r="D263" s="3138">
        <v>7525067</v>
      </c>
      <c r="E263" s="3138">
        <v>0</v>
      </c>
      <c r="F263" s="3138">
        <v>-1</v>
      </c>
      <c r="G263" s="3138">
        <v>0</v>
      </c>
      <c r="H263" s="3890"/>
      <c r="I263" s="4259"/>
      <c r="J263" s="1759"/>
      <c r="K263" s="1759"/>
      <c r="L263" s="1759"/>
      <c r="M263" s="1759"/>
      <c r="N263" s="1759"/>
      <c r="O263" s="1759"/>
      <c r="P263" s="1759"/>
      <c r="Q263" s="1759"/>
      <c r="R263" s="1759"/>
      <c r="S263" s="1759"/>
      <c r="T263" s="1760"/>
    </row>
    <row r="264" spans="1:20" s="1643" customFormat="1">
      <c r="A264" s="3498" t="str">
        <f>'Contact Information'!A48</f>
        <v>DAYTONA STATE COLLEGE</v>
      </c>
      <c r="B264" s="3138">
        <v>89090244</v>
      </c>
      <c r="C264" s="3138">
        <v>29961878</v>
      </c>
      <c r="D264" s="3138">
        <v>18501174</v>
      </c>
      <c r="E264" s="3138">
        <v>0</v>
      </c>
      <c r="F264" s="3138">
        <v>0</v>
      </c>
      <c r="G264" s="3138">
        <v>7906285</v>
      </c>
      <c r="H264" s="3890"/>
      <c r="I264" s="4259"/>
      <c r="J264" s="1759"/>
      <c r="K264" s="1759"/>
      <c r="L264" s="1759"/>
      <c r="M264" s="1759"/>
      <c r="N264" s="1759"/>
      <c r="O264" s="1759"/>
      <c r="P264" s="1759"/>
      <c r="Q264" s="1759"/>
      <c r="R264" s="1759"/>
      <c r="S264" s="1759"/>
      <c r="T264" s="1760"/>
    </row>
    <row r="265" spans="1:20" s="1643" customFormat="1">
      <c r="A265" s="3498" t="str">
        <f>'Contact Information'!A49</f>
        <v>EASTERN FLORIDA STATE COLLEGE</v>
      </c>
      <c r="B265" s="3138">
        <v>107056257</v>
      </c>
      <c r="C265" s="3138">
        <v>35435141</v>
      </c>
      <c r="D265" s="3138">
        <v>20244659</v>
      </c>
      <c r="E265" s="3138">
        <v>0</v>
      </c>
      <c r="F265" s="3138">
        <v>3364370</v>
      </c>
      <c r="G265" s="3138">
        <v>0</v>
      </c>
      <c r="H265" s="3892"/>
      <c r="I265" s="4260"/>
      <c r="J265" s="1759"/>
      <c r="K265" s="1759"/>
      <c r="L265" s="1759"/>
      <c r="M265" s="1759"/>
      <c r="N265" s="1759"/>
      <c r="O265" s="1759"/>
      <c r="P265" s="1759"/>
      <c r="Q265" s="1759"/>
      <c r="R265" s="1759"/>
      <c r="S265" s="1759"/>
      <c r="T265" s="1760"/>
    </row>
    <row r="266" spans="1:20" s="1643" customFormat="1">
      <c r="A266" s="3498" t="str">
        <f>'Contact Information'!A50</f>
        <v>FLORIDA GATEWAY COLLEGE</v>
      </c>
      <c r="B266" s="3138">
        <v>24363224.140000001</v>
      </c>
      <c r="C266" s="3138">
        <v>7295124.5499999998</v>
      </c>
      <c r="D266" s="3138">
        <v>6360149.8399999999</v>
      </c>
      <c r="E266" s="3138">
        <v>0</v>
      </c>
      <c r="F266" s="3138">
        <v>66097.22</v>
      </c>
      <c r="G266" s="3138">
        <v>1479993.65</v>
      </c>
      <c r="H266" s="3892"/>
      <c r="I266" s="4259"/>
      <c r="J266" s="1759"/>
      <c r="K266" s="1759"/>
      <c r="L266" s="1759"/>
      <c r="M266" s="1759"/>
      <c r="N266" s="1759"/>
      <c r="O266" s="1759"/>
      <c r="P266" s="1759"/>
      <c r="Q266" s="1759"/>
      <c r="R266" s="1759"/>
      <c r="S266" s="1759"/>
      <c r="T266" s="1760"/>
    </row>
    <row r="267" spans="1:20" s="1643" customFormat="1">
      <c r="A267" s="3498" t="str">
        <f>'Contact Information'!A51</f>
        <v>THE COLLEGE OF THE FLORIDA KEYS</v>
      </c>
      <c r="B267" s="3138">
        <v>22055208</v>
      </c>
      <c r="C267" s="3138">
        <v>2971546</v>
      </c>
      <c r="D267" s="3138">
        <v>2782875</v>
      </c>
      <c r="E267" s="3138">
        <v>0</v>
      </c>
      <c r="F267" s="3138">
        <v>66585</v>
      </c>
      <c r="G267" s="3138">
        <v>0</v>
      </c>
      <c r="H267" s="3892"/>
      <c r="I267" s="4260"/>
      <c r="J267" s="1759"/>
      <c r="K267" s="1759"/>
      <c r="L267" s="1759"/>
      <c r="M267" s="1759"/>
      <c r="N267" s="1759"/>
      <c r="O267" s="1759"/>
      <c r="P267" s="1759"/>
      <c r="Q267" s="1759"/>
      <c r="R267" s="1759"/>
      <c r="S267" s="1759"/>
      <c r="T267" s="1760"/>
    </row>
    <row r="268" spans="1:20" s="1643" customFormat="1">
      <c r="A268" s="3498" t="str">
        <f>'Contact Information'!A52</f>
        <v>FLORIDA SOUTHWESTERN STATE COLLEGE</v>
      </c>
      <c r="B268" s="3138">
        <v>89753787</v>
      </c>
      <c r="C268" s="3138">
        <v>14274727</v>
      </c>
      <c r="D268" s="3138">
        <v>9640766</v>
      </c>
      <c r="E268" s="3138">
        <v>0</v>
      </c>
      <c r="F268" s="3138">
        <v>0</v>
      </c>
      <c r="G268" s="3138">
        <v>0</v>
      </c>
      <c r="H268" s="3892"/>
      <c r="I268" s="4260"/>
      <c r="J268" s="1759"/>
      <c r="K268" s="1759"/>
      <c r="L268" s="1759"/>
      <c r="M268" s="1759"/>
      <c r="N268" s="1759"/>
      <c r="O268" s="1759"/>
      <c r="P268" s="1759"/>
      <c r="Q268" s="1759"/>
      <c r="R268" s="1759"/>
      <c r="S268" s="1759"/>
      <c r="T268" s="1760"/>
    </row>
    <row r="269" spans="1:20" s="1643" customFormat="1">
      <c r="A269" s="3498" t="str">
        <f>'Contact Information'!A53</f>
        <v>FLORIDA STATE COLLEGE AT JACKSONVILLE</v>
      </c>
      <c r="B269" s="3138">
        <v>170402379</v>
      </c>
      <c r="C269" s="3138">
        <v>5923584</v>
      </c>
      <c r="D269" s="3138">
        <v>27285273</v>
      </c>
      <c r="E269" s="3138">
        <v>0</v>
      </c>
      <c r="F269" s="3138">
        <v>0</v>
      </c>
      <c r="G269" s="3138">
        <v>9016195</v>
      </c>
      <c r="H269" s="3892"/>
      <c r="I269" s="4260"/>
      <c r="J269" s="1759"/>
      <c r="K269" s="1759"/>
      <c r="L269" s="1759"/>
      <c r="M269" s="1759"/>
      <c r="N269" s="1759"/>
      <c r="O269" s="1759"/>
      <c r="P269" s="1759"/>
      <c r="Q269" s="1759"/>
      <c r="R269" s="1759"/>
      <c r="S269" s="1759"/>
      <c r="T269" s="1760"/>
    </row>
    <row r="270" spans="1:20" s="1643" customFormat="1">
      <c r="A270" s="3498" t="str">
        <f>'Contact Information'!A54</f>
        <v>GULF COAST STATE COLLEGE</v>
      </c>
      <c r="B270" s="3138">
        <v>48632451</v>
      </c>
      <c r="C270" s="3138">
        <v>7547573</v>
      </c>
      <c r="D270" s="3138">
        <v>13230992</v>
      </c>
      <c r="E270" s="3138">
        <v>0</v>
      </c>
      <c r="F270" s="3138">
        <v>0</v>
      </c>
      <c r="G270" s="3138">
        <v>0</v>
      </c>
      <c r="H270" s="3890"/>
      <c r="I270" s="4260"/>
      <c r="J270" s="1759"/>
      <c r="K270" s="1759"/>
      <c r="L270" s="1759"/>
      <c r="M270" s="1759"/>
      <c r="N270" s="1759"/>
      <c r="O270" s="1759"/>
      <c r="P270" s="1759"/>
      <c r="Q270" s="1759"/>
      <c r="R270" s="1759"/>
      <c r="S270" s="1759"/>
      <c r="T270" s="1760"/>
    </row>
    <row r="271" spans="1:20" s="1643" customFormat="1">
      <c r="A271" s="3498" t="str">
        <f>'Contact Information'!A55</f>
        <v>HILLSBOROUGH COMMUNITY COLLEGE</v>
      </c>
      <c r="B271" s="3138">
        <v>147340561</v>
      </c>
      <c r="C271" s="3138">
        <v>9599003</v>
      </c>
      <c r="D271" s="3138">
        <v>15169490</v>
      </c>
      <c r="E271" s="3138">
        <v>2875556</v>
      </c>
      <c r="F271" s="3138"/>
      <c r="G271" s="3138">
        <v>1906</v>
      </c>
      <c r="H271" s="3890"/>
      <c r="I271" s="4260"/>
      <c r="J271" s="1759"/>
      <c r="K271" s="1759"/>
      <c r="L271" s="1759"/>
      <c r="M271" s="1759"/>
      <c r="N271" s="1759"/>
      <c r="O271" s="1759"/>
      <c r="P271" s="1759"/>
      <c r="Q271" s="1759"/>
      <c r="R271" s="1759"/>
      <c r="S271" s="1759"/>
      <c r="T271" s="1760"/>
    </row>
    <row r="272" spans="1:20" s="1643" customFormat="1">
      <c r="A272" s="3498" t="str">
        <f>'Contact Information'!A56</f>
        <v>INDIAN RIVER STATE COLLEGE</v>
      </c>
      <c r="B272" s="3138">
        <v>118409683</v>
      </c>
      <c r="C272" s="3138">
        <v>14119566</v>
      </c>
      <c r="D272" s="3138">
        <v>14864238</v>
      </c>
      <c r="E272" s="3138">
        <v>0</v>
      </c>
      <c r="F272" s="3138">
        <v>1068415</v>
      </c>
      <c r="G272" s="3138">
        <v>4147163</v>
      </c>
      <c r="H272" s="3890"/>
      <c r="I272" s="4260"/>
      <c r="J272" s="1759"/>
      <c r="K272" s="1759"/>
      <c r="L272" s="1759"/>
      <c r="M272" s="1759"/>
      <c r="N272" s="1759"/>
      <c r="O272" s="1759"/>
      <c r="P272" s="1759"/>
      <c r="Q272" s="1759"/>
      <c r="R272" s="1759"/>
      <c r="S272" s="1759"/>
      <c r="T272" s="1760"/>
    </row>
    <row r="273" spans="1:20" s="1643" customFormat="1">
      <c r="A273" s="3498" t="str">
        <f>'Contact Information'!A57</f>
        <v>LAKE-SUMTER STATE COLLEGE</v>
      </c>
      <c r="B273" s="3138">
        <v>31069596</v>
      </c>
      <c r="C273" s="3138">
        <v>5089371</v>
      </c>
      <c r="D273" s="3138">
        <v>4351641</v>
      </c>
      <c r="E273" s="3138">
        <v>0</v>
      </c>
      <c r="F273" s="3138">
        <v>0</v>
      </c>
      <c r="G273" s="3138">
        <v>0</v>
      </c>
      <c r="H273" s="3890"/>
      <c r="I273" s="4260"/>
      <c r="J273" s="1759"/>
      <c r="K273" s="1759"/>
      <c r="L273" s="1759"/>
      <c r="M273" s="1759"/>
      <c r="N273" s="1759"/>
      <c r="O273" s="1759"/>
      <c r="P273" s="1759"/>
      <c r="Q273" s="1759"/>
      <c r="R273" s="1759"/>
      <c r="S273" s="1759"/>
      <c r="T273" s="1760"/>
    </row>
    <row r="274" spans="1:20" s="1643" customFormat="1">
      <c r="A274" s="3498" t="str">
        <f>'Contact Information'!A58</f>
        <v>MIAMI DADE COLLEGE</v>
      </c>
      <c r="B274" s="3138">
        <v>433500239</v>
      </c>
      <c r="C274" s="3138">
        <v>32273440</v>
      </c>
      <c r="D274" s="3138">
        <v>70026580</v>
      </c>
      <c r="E274" s="3138">
        <v>0</v>
      </c>
      <c r="F274" s="3138">
        <v>0</v>
      </c>
      <c r="G274" s="3138">
        <v>23042772</v>
      </c>
      <c r="H274" s="3890"/>
      <c r="I274" s="4260"/>
      <c r="J274" s="1759"/>
      <c r="K274" s="1759"/>
      <c r="L274" s="1759"/>
      <c r="M274" s="1759"/>
      <c r="N274" s="1759"/>
      <c r="O274" s="1759"/>
      <c r="P274" s="1759"/>
      <c r="Q274" s="1759"/>
      <c r="R274" s="1759"/>
      <c r="S274" s="1759"/>
      <c r="T274" s="1760"/>
    </row>
    <row r="275" spans="1:20" s="1643" customFormat="1">
      <c r="A275" s="3498" t="str">
        <f>'Contact Information'!A59</f>
        <v>NORTH FLORIDA COLLEGE</v>
      </c>
      <c r="B275" s="3138">
        <v>12297917</v>
      </c>
      <c r="C275" s="3138">
        <v>4849333</v>
      </c>
      <c r="D275" s="3138">
        <v>1750378</v>
      </c>
      <c r="E275" s="3138">
        <v>0</v>
      </c>
      <c r="F275" s="3138">
        <v>0</v>
      </c>
      <c r="G275" s="3138">
        <v>0</v>
      </c>
      <c r="H275" s="3890"/>
      <c r="I275" s="4259"/>
      <c r="J275" s="1759"/>
      <c r="K275" s="1759"/>
      <c r="L275" s="1759"/>
      <c r="M275" s="1759"/>
      <c r="N275" s="1759"/>
      <c r="O275" s="1759"/>
      <c r="P275" s="1759"/>
      <c r="Q275" s="1759"/>
      <c r="R275" s="1759"/>
      <c r="S275" s="1759"/>
      <c r="T275" s="1760"/>
    </row>
    <row r="276" spans="1:20" s="1643" customFormat="1">
      <c r="A276" s="3498" t="str">
        <f>'Contact Information'!A60</f>
        <v>NORTHWEST FLORIDA STATE COLLEGE</v>
      </c>
      <c r="B276" s="3138">
        <v>66507029</v>
      </c>
      <c r="C276" s="3138">
        <v>9507348</v>
      </c>
      <c r="D276" s="3138">
        <v>5863450</v>
      </c>
      <c r="E276" s="3138">
        <v>0</v>
      </c>
      <c r="F276" s="3138">
        <v>381510</v>
      </c>
      <c r="G276" s="3138">
        <v>7226006</v>
      </c>
      <c r="H276" s="3890"/>
      <c r="I276" s="4259"/>
      <c r="J276" s="1759"/>
      <c r="K276" s="1759"/>
      <c r="L276" s="1759"/>
      <c r="M276" s="1759"/>
      <c r="N276" s="1759"/>
      <c r="O276" s="1759"/>
      <c r="P276" s="1759"/>
      <c r="Q276" s="1759"/>
      <c r="R276" s="1759"/>
      <c r="S276" s="1759"/>
      <c r="T276" s="1760"/>
    </row>
    <row r="277" spans="1:20" s="1643" customFormat="1">
      <c r="A277" s="3498" t="str">
        <f>'Contact Information'!A61</f>
        <v>PALM BEACH STATE COLLEGE</v>
      </c>
      <c r="B277" s="3138">
        <v>137614629</v>
      </c>
      <c r="C277" s="3138">
        <v>49426130</v>
      </c>
      <c r="D277" s="3138">
        <v>20800864</v>
      </c>
      <c r="E277" s="3138">
        <v>0</v>
      </c>
      <c r="F277" s="3138">
        <v>0</v>
      </c>
      <c r="G277" s="3138">
        <v>0</v>
      </c>
      <c r="H277" s="3890"/>
      <c r="I277" s="4259"/>
      <c r="J277" s="1759"/>
      <c r="K277" s="1759"/>
      <c r="L277" s="1759"/>
      <c r="M277" s="1759"/>
      <c r="N277" s="1759"/>
      <c r="O277" s="1759"/>
      <c r="P277" s="1759"/>
      <c r="Q277" s="1759"/>
      <c r="R277" s="1759"/>
      <c r="S277" s="1759"/>
      <c r="T277" s="1760"/>
    </row>
    <row r="278" spans="1:20" s="1643" customFormat="1">
      <c r="A278" s="3498" t="str">
        <f>'Contact Information'!A62</f>
        <v>PASCO-HERNANDO STATE COLLEGE</v>
      </c>
      <c r="B278" s="3138">
        <v>62049372</v>
      </c>
      <c r="C278" s="3138">
        <v>39078141</v>
      </c>
      <c r="D278" s="3138">
        <v>5278197</v>
      </c>
      <c r="E278" s="3138">
        <v>0</v>
      </c>
      <c r="F278" s="3138">
        <v>0</v>
      </c>
      <c r="G278" s="3138">
        <v>773424</v>
      </c>
      <c r="H278" s="3890"/>
      <c r="I278" s="4259"/>
      <c r="J278" s="1759"/>
      <c r="K278" s="1759"/>
      <c r="L278" s="1759"/>
      <c r="M278" s="1759"/>
      <c r="N278" s="1759"/>
      <c r="O278" s="1759"/>
      <c r="P278" s="1759"/>
      <c r="Q278" s="1759"/>
      <c r="R278" s="1759"/>
      <c r="S278" s="1759"/>
      <c r="T278" s="1760"/>
    </row>
    <row r="279" spans="1:20" s="1643" customFormat="1">
      <c r="A279" s="3498" t="str">
        <f>'Contact Information'!A63</f>
        <v>PENSACOLA STATE COLLEGE</v>
      </c>
      <c r="B279" s="3138">
        <v>44856296</v>
      </c>
      <c r="C279" s="3138">
        <v>11045978</v>
      </c>
      <c r="D279" s="3138">
        <v>13705633</v>
      </c>
      <c r="E279" s="3138">
        <v>0</v>
      </c>
      <c r="F279" s="3138">
        <v>0</v>
      </c>
      <c r="G279" s="3138">
        <v>0</v>
      </c>
      <c r="H279" s="3890"/>
      <c r="I279" s="4259"/>
      <c r="J279" s="1759"/>
      <c r="K279" s="1759"/>
      <c r="L279" s="1759"/>
      <c r="M279" s="1759"/>
      <c r="N279" s="1759"/>
      <c r="O279" s="1759"/>
      <c r="P279" s="1759"/>
      <c r="Q279" s="1759"/>
      <c r="R279" s="1759"/>
      <c r="S279" s="1759"/>
      <c r="T279" s="1760"/>
    </row>
    <row r="280" spans="1:20" s="1643" customFormat="1">
      <c r="A280" s="3498" t="str">
        <f>'Contact Information'!A64</f>
        <v>POLK STATE COLLEGE</v>
      </c>
      <c r="B280" s="3138">
        <v>54438630</v>
      </c>
      <c r="C280" s="3138">
        <v>7359065</v>
      </c>
      <c r="D280" s="3138">
        <v>8410359</v>
      </c>
      <c r="E280" s="3138">
        <v>0</v>
      </c>
      <c r="F280" s="3138">
        <v>321074</v>
      </c>
      <c r="G280" s="3138">
        <v>0</v>
      </c>
      <c r="H280" s="3890"/>
      <c r="I280" s="4259"/>
      <c r="J280" s="1759"/>
      <c r="K280" s="1759"/>
      <c r="L280" s="1759"/>
      <c r="M280" s="1759"/>
      <c r="N280" s="1759"/>
      <c r="O280" s="1759"/>
      <c r="P280" s="1759"/>
      <c r="Q280" s="1759"/>
      <c r="R280" s="1759"/>
      <c r="S280" s="1759"/>
      <c r="T280" s="1760"/>
    </row>
    <row r="281" spans="1:20" s="1643" customFormat="1">
      <c r="A281" s="3498" t="str">
        <f>'Contact Information'!A65</f>
        <v>SANTA FE COLLEGE</v>
      </c>
      <c r="B281" s="3138">
        <v>83414166</v>
      </c>
      <c r="C281" s="3138">
        <v>32552586</v>
      </c>
      <c r="D281" s="3138">
        <v>9427301</v>
      </c>
      <c r="E281" s="3138">
        <v>0</v>
      </c>
      <c r="F281" s="3138">
        <v>0</v>
      </c>
      <c r="G281" s="3138">
        <v>0</v>
      </c>
      <c r="H281" s="3890"/>
      <c r="I281" s="4259"/>
      <c r="J281" s="1759"/>
      <c r="K281" s="1759"/>
      <c r="L281" s="1759"/>
      <c r="M281" s="1759"/>
      <c r="N281" s="1759"/>
      <c r="O281" s="1759"/>
      <c r="P281" s="1759"/>
      <c r="Q281" s="1759"/>
      <c r="R281" s="1759"/>
      <c r="S281" s="1759"/>
      <c r="T281" s="1760"/>
    </row>
    <row r="282" spans="1:20" s="1643" customFormat="1">
      <c r="A282" s="3498" t="str">
        <f>'Contact Information'!A66</f>
        <v>SEMINOLE STATE COLLEGE OF FLORIDA</v>
      </c>
      <c r="B282" s="3138">
        <v>75037831</v>
      </c>
      <c r="C282" s="3138">
        <v>16262582</v>
      </c>
      <c r="D282" s="3138">
        <v>10354422</v>
      </c>
      <c r="E282" s="3138">
        <v>3348616</v>
      </c>
      <c r="F282" s="3138">
        <v>140729</v>
      </c>
      <c r="G282" s="3138">
        <v>3595938</v>
      </c>
      <c r="H282" s="3890"/>
      <c r="I282" s="4259"/>
      <c r="J282" s="1759"/>
      <c r="K282" s="1759"/>
      <c r="L282" s="1759"/>
      <c r="M282" s="1759"/>
      <c r="N282" s="1759"/>
      <c r="O282" s="1759"/>
      <c r="P282" s="1759"/>
      <c r="Q282" s="1759"/>
      <c r="R282" s="1759"/>
      <c r="S282" s="1759"/>
      <c r="T282" s="1760"/>
    </row>
    <row r="283" spans="1:20" s="1643" customFormat="1">
      <c r="A283" s="3498" t="str">
        <f>'Contact Information'!A67</f>
        <v>SOUTH FLORIDA STATE COLLEGE</v>
      </c>
      <c r="B283" s="3138">
        <v>36996262</v>
      </c>
      <c r="C283" s="3138">
        <v>12948167</v>
      </c>
      <c r="D283" s="3138">
        <v>3139466</v>
      </c>
      <c r="E283" s="3138">
        <v>0</v>
      </c>
      <c r="F283" s="3138">
        <v>0</v>
      </c>
      <c r="G283" s="3138">
        <v>757469</v>
      </c>
      <c r="H283" s="3890"/>
      <c r="I283" s="4259"/>
      <c r="J283" s="1759"/>
      <c r="K283" s="1759"/>
      <c r="L283" s="1759"/>
      <c r="M283" s="1759"/>
      <c r="N283" s="1759"/>
      <c r="O283" s="1759"/>
      <c r="P283" s="1759"/>
      <c r="Q283" s="1759"/>
      <c r="R283" s="1759"/>
      <c r="S283" s="1759"/>
      <c r="T283" s="1760"/>
    </row>
    <row r="284" spans="1:20" s="1643" customFormat="1">
      <c r="A284" s="3498" t="str">
        <f>'Contact Information'!A68</f>
        <v>ST. JOHNS RIVER STATE COLLEGE</v>
      </c>
      <c r="B284" s="3138">
        <v>29054908</v>
      </c>
      <c r="C284" s="3138">
        <v>4426986</v>
      </c>
      <c r="D284" s="3138">
        <v>4594926</v>
      </c>
      <c r="E284" s="3138">
        <v>0</v>
      </c>
      <c r="F284" s="3138">
        <v>0</v>
      </c>
      <c r="G284" s="3138">
        <v>0</v>
      </c>
      <c r="H284" s="3892"/>
      <c r="I284" s="4259"/>
      <c r="J284" s="1759"/>
      <c r="K284" s="1759"/>
      <c r="L284" s="1759"/>
      <c r="M284" s="1759"/>
      <c r="N284" s="1759"/>
      <c r="O284" s="1759"/>
      <c r="P284" s="1759"/>
      <c r="Q284" s="1759"/>
      <c r="R284" s="1759"/>
      <c r="S284" s="1759"/>
      <c r="T284" s="1760"/>
    </row>
    <row r="285" spans="1:20" s="1643" customFormat="1">
      <c r="A285" s="3498" t="str">
        <f>'Contact Information'!A69</f>
        <v>ST. PETERSBURG COLLEGE</v>
      </c>
      <c r="B285" s="3138">
        <v>138409830</v>
      </c>
      <c r="C285" s="3138">
        <v>12351970</v>
      </c>
      <c r="D285" s="3138">
        <v>13954154</v>
      </c>
      <c r="E285" s="3138">
        <v>0</v>
      </c>
      <c r="F285" s="3138">
        <v>9068982</v>
      </c>
      <c r="G285" s="3138">
        <v>0</v>
      </c>
      <c r="H285" s="3890"/>
      <c r="I285" s="4259"/>
      <c r="J285" s="1759"/>
      <c r="K285" s="1759"/>
      <c r="L285" s="1759"/>
      <c r="M285" s="1759"/>
      <c r="N285" s="1759"/>
      <c r="O285" s="1759"/>
      <c r="P285" s="1759"/>
      <c r="Q285" s="1759"/>
      <c r="R285" s="1759"/>
      <c r="S285" s="1759"/>
      <c r="T285" s="1760"/>
    </row>
    <row r="286" spans="1:20" s="1643" customFormat="1">
      <c r="A286" s="3498" t="str">
        <f>'Contact Information'!A70</f>
        <v>STATE COLLEGE OF FLORIDA, MANATEE-SARASOTA</v>
      </c>
      <c r="B286" s="3138">
        <v>43585660</v>
      </c>
      <c r="C286" s="3138">
        <v>21384002</v>
      </c>
      <c r="D286" s="3138">
        <v>8438655</v>
      </c>
      <c r="E286" s="3138">
        <v>0</v>
      </c>
      <c r="F286" s="3138">
        <v>0</v>
      </c>
      <c r="G286" s="3138">
        <v>0</v>
      </c>
      <c r="H286" s="3890"/>
      <c r="I286" s="4259"/>
      <c r="J286" s="1759"/>
      <c r="K286" s="1759"/>
      <c r="L286" s="1759"/>
      <c r="M286" s="1759"/>
      <c r="N286" s="1759"/>
      <c r="O286" s="1759"/>
      <c r="P286" s="1759"/>
      <c r="Q286" s="1759"/>
      <c r="R286" s="1759"/>
      <c r="S286" s="1759"/>
      <c r="T286" s="1760"/>
    </row>
    <row r="287" spans="1:20" s="1643" customFormat="1">
      <c r="A287" s="3498" t="str">
        <f>'Contact Information'!A71</f>
        <v>TALLAHASSEE COMMUNITY COLLEGE</v>
      </c>
      <c r="B287" s="3138">
        <v>73551898</v>
      </c>
      <c r="C287" s="3138">
        <v>13142309</v>
      </c>
      <c r="D287" s="3138">
        <v>10455455</v>
      </c>
      <c r="E287" s="3138">
        <v>0</v>
      </c>
      <c r="F287" s="3138">
        <v>1496554</v>
      </c>
      <c r="G287" s="3138">
        <v>0</v>
      </c>
      <c r="H287" s="3890"/>
      <c r="I287" s="4259"/>
      <c r="J287" s="1759"/>
      <c r="K287" s="1759"/>
      <c r="L287" s="1759"/>
      <c r="M287" s="1759"/>
      <c r="N287" s="1759"/>
      <c r="O287" s="1759"/>
      <c r="P287" s="1759"/>
      <c r="Q287" s="1759"/>
      <c r="R287" s="1759"/>
      <c r="S287" s="1759"/>
      <c r="T287" s="1760"/>
    </row>
    <row r="288" spans="1:20" s="1643" customFormat="1">
      <c r="A288" s="3498" t="str">
        <f>'Contact Information'!A72</f>
        <v>VALENCIA COLLEGE</v>
      </c>
      <c r="B288" s="3138">
        <v>123663450</v>
      </c>
      <c r="C288" s="3138">
        <v>565105</v>
      </c>
      <c r="D288" s="3138">
        <v>22223617</v>
      </c>
      <c r="E288" s="3138">
        <v>834732</v>
      </c>
      <c r="F288" s="3138">
        <v>1366832</v>
      </c>
      <c r="G288" s="3138">
        <v>0</v>
      </c>
      <c r="H288" s="3890"/>
      <c r="I288" s="4259"/>
      <c r="J288" s="1759"/>
      <c r="K288" s="1759"/>
      <c r="L288" s="1759"/>
      <c r="M288" s="1759"/>
      <c r="N288" s="1759"/>
      <c r="O288" s="1759"/>
      <c r="P288" s="1759"/>
      <c r="Q288" s="1759"/>
      <c r="R288" s="1759"/>
      <c r="S288" s="1759"/>
      <c r="T288" s="1760"/>
    </row>
    <row r="289" spans="1:20" s="1643" customFormat="1">
      <c r="A289" s="3503"/>
      <c r="B289" s="3504"/>
      <c r="C289" s="3504"/>
      <c r="D289" s="3504"/>
      <c r="E289" s="3504"/>
      <c r="F289" s="3504"/>
      <c r="G289" s="3505"/>
      <c r="H289" s="3109"/>
      <c r="I289" s="4257"/>
      <c r="J289" s="1759"/>
      <c r="K289" s="1759"/>
      <c r="L289" s="1759"/>
      <c r="M289" s="1759"/>
      <c r="N289" s="1759"/>
      <c r="O289" s="1759"/>
      <c r="P289" s="1759"/>
      <c r="Q289" s="1759"/>
      <c r="R289" s="1759"/>
      <c r="S289" s="1759"/>
      <c r="T289" s="1760"/>
    </row>
    <row r="291" spans="1:20" s="1741" customFormat="1">
      <c r="H291" s="3126"/>
      <c r="I291" s="4251"/>
    </row>
    <row r="293" spans="1:20">
      <c r="A293" s="3506" t="s">
        <v>3936</v>
      </c>
      <c r="B293" s="1863"/>
      <c r="C293" s="1863"/>
      <c r="D293" s="1863"/>
      <c r="E293" s="1863"/>
      <c r="F293" s="1863"/>
      <c r="G293" s="1863"/>
      <c r="J293" s="1863"/>
      <c r="K293" s="1863"/>
      <c r="L293" s="1863"/>
      <c r="M293" s="1863"/>
      <c r="N293" s="1863"/>
      <c r="O293" s="1863"/>
      <c r="P293" s="1863"/>
      <c r="Q293" s="1863"/>
      <c r="R293" s="1863"/>
      <c r="S293" s="1863"/>
      <c r="T293" s="1863"/>
    </row>
    <row r="294" spans="1:20" ht="18.75">
      <c r="A294" s="1863" t="s">
        <v>3937</v>
      </c>
      <c r="B294" s="1863"/>
      <c r="C294" s="1863"/>
      <c r="D294" s="4601" t="s">
        <v>4096</v>
      </c>
      <c r="E294" s="4601"/>
      <c r="F294" s="4601"/>
      <c r="G294" s="4601"/>
      <c r="H294" s="4601"/>
      <c r="J294" s="1863"/>
      <c r="K294" s="1863"/>
      <c r="L294" s="1863"/>
      <c r="M294" s="1863"/>
      <c r="N294" s="1863"/>
      <c r="O294" s="1863"/>
      <c r="P294" s="1863"/>
      <c r="Q294" s="1863"/>
      <c r="R294" s="1863"/>
      <c r="S294" s="1863"/>
      <c r="T294" s="1863"/>
    </row>
    <row r="295" spans="1:20" s="1642" customFormat="1">
      <c r="A295" s="1863"/>
      <c r="B295" s="1863"/>
      <c r="C295" s="1863"/>
      <c r="D295" s="1863"/>
      <c r="E295" s="1863"/>
      <c r="F295" s="1863"/>
      <c r="G295" s="1863"/>
      <c r="H295" s="3124"/>
      <c r="I295" s="4248"/>
      <c r="J295" s="1863"/>
      <c r="K295" s="1863"/>
      <c r="L295" s="1863"/>
      <c r="M295" s="1863"/>
      <c r="N295" s="1863"/>
      <c r="O295" s="1863"/>
      <c r="P295" s="1863"/>
      <c r="Q295" s="1863"/>
      <c r="R295" s="1863"/>
      <c r="S295" s="1863"/>
      <c r="T295" s="1863"/>
    </row>
    <row r="296" spans="1:20">
      <c r="A296" s="3107">
        <v>1</v>
      </c>
      <c r="B296" s="3107">
        <v>2</v>
      </c>
      <c r="C296" s="3107">
        <v>3</v>
      </c>
      <c r="D296" s="3107">
        <v>4</v>
      </c>
      <c r="E296" s="3107">
        <v>5</v>
      </c>
      <c r="F296" s="3107">
        <v>6</v>
      </c>
      <c r="G296" s="3107">
        <v>7</v>
      </c>
      <c r="H296" s="3129">
        <v>8</v>
      </c>
      <c r="I296" s="4261">
        <v>9</v>
      </c>
      <c r="J296" s="3107">
        <v>10</v>
      </c>
      <c r="K296" s="3107">
        <v>11</v>
      </c>
      <c r="L296" s="1627"/>
      <c r="M296" s="1627"/>
      <c r="N296" s="1627"/>
      <c r="O296" s="1863"/>
      <c r="P296" s="1863"/>
      <c r="Q296" s="1863"/>
      <c r="R296" s="1863"/>
      <c r="S296" s="1863"/>
      <c r="T296" s="1863"/>
    </row>
    <row r="297" spans="1:20">
      <c r="A297" s="1769" t="s">
        <v>2854</v>
      </c>
      <c r="B297" s="4594" t="s">
        <v>234</v>
      </c>
      <c r="C297" s="4594"/>
      <c r="D297" s="4594"/>
      <c r="E297" s="4594"/>
      <c r="F297" s="4595" t="s">
        <v>3938</v>
      </c>
      <c r="G297" s="4595"/>
      <c r="H297" s="4595"/>
      <c r="I297" s="4596" t="s">
        <v>3939</v>
      </c>
      <c r="J297" s="4596"/>
      <c r="K297" s="4596"/>
      <c r="L297" s="1627"/>
      <c r="M297" s="1627"/>
      <c r="N297" s="1627"/>
      <c r="O297" s="1863"/>
      <c r="P297" s="1863"/>
      <c r="Q297" s="1863"/>
      <c r="R297" s="1863"/>
      <c r="S297" s="1863"/>
      <c r="T297" s="1863"/>
    </row>
    <row r="298" spans="1:20">
      <c r="A298" s="3507"/>
      <c r="B298" s="3108" t="s">
        <v>454</v>
      </c>
      <c r="C298" s="3108" t="s">
        <v>3940</v>
      </c>
      <c r="D298" s="3108" t="s">
        <v>3941</v>
      </c>
      <c r="E298" s="3108" t="s">
        <v>3942</v>
      </c>
      <c r="F298" s="3108" t="s">
        <v>463</v>
      </c>
      <c r="G298" s="3108" t="s">
        <v>3943</v>
      </c>
      <c r="H298" s="3115" t="s">
        <v>3944</v>
      </c>
      <c r="I298" s="4262" t="s">
        <v>3945</v>
      </c>
      <c r="J298" s="3108" t="s">
        <v>3943</v>
      </c>
      <c r="K298" s="3108" t="s">
        <v>345</v>
      </c>
      <c r="L298" s="1885"/>
      <c r="M298" s="1885"/>
      <c r="N298" s="1885"/>
      <c r="O298" s="1863"/>
      <c r="P298" s="1863"/>
      <c r="Q298" s="1863"/>
      <c r="R298" s="1863"/>
      <c r="S298" s="1863"/>
      <c r="T298" s="1863"/>
    </row>
    <row r="299" spans="1:20">
      <c r="A299" s="3508" t="str">
        <f>'Contact Information'!A45</f>
        <v>BROWARD COLLEGE</v>
      </c>
      <c r="B299" s="3140">
        <v>0</v>
      </c>
      <c r="C299" s="3140">
        <v>0</v>
      </c>
      <c r="D299" s="3140">
        <v>0</v>
      </c>
      <c r="E299" s="3140">
        <v>0</v>
      </c>
      <c r="F299" s="3140">
        <v>0</v>
      </c>
      <c r="G299" s="3140">
        <v>0</v>
      </c>
      <c r="H299" s="3139">
        <v>0</v>
      </c>
      <c r="I299" s="3140">
        <v>0</v>
      </c>
      <c r="J299" s="3141">
        <v>0</v>
      </c>
      <c r="K299" s="3140">
        <v>0</v>
      </c>
      <c r="L299" s="3160"/>
      <c r="M299" s="1885"/>
      <c r="N299" s="1863"/>
      <c r="O299" s="1863"/>
      <c r="P299" s="1863"/>
      <c r="Q299" s="1863"/>
      <c r="R299" s="1863"/>
      <c r="S299" s="1863"/>
      <c r="T299" s="1863"/>
    </row>
    <row r="300" spans="1:20">
      <c r="A300" s="3508" t="str">
        <f>'Contact Information'!A46</f>
        <v>CHIPOLA COLLEGE</v>
      </c>
      <c r="B300" s="3140">
        <v>0</v>
      </c>
      <c r="C300" s="3140">
        <v>0</v>
      </c>
      <c r="D300" s="3140">
        <v>0</v>
      </c>
      <c r="E300" s="3140">
        <v>0</v>
      </c>
      <c r="F300" s="3140">
        <v>0</v>
      </c>
      <c r="G300" s="3140">
        <v>0</v>
      </c>
      <c r="H300" s="3142">
        <v>0</v>
      </c>
      <c r="I300" s="3140">
        <v>0</v>
      </c>
      <c r="J300" s="3872">
        <v>0</v>
      </c>
      <c r="K300" s="3140">
        <v>0</v>
      </c>
      <c r="L300" s="3160"/>
      <c r="M300" s="1885"/>
      <c r="N300" s="1863"/>
      <c r="O300" s="1863"/>
      <c r="P300" s="1863"/>
      <c r="Q300" s="1863"/>
      <c r="R300" s="1863"/>
      <c r="S300" s="1863"/>
      <c r="T300" s="1863"/>
    </row>
    <row r="301" spans="1:20">
      <c r="A301" s="3508" t="str">
        <f>'Contact Information'!A47</f>
        <v>COLLEGE OF CENTRAL FLORIDA</v>
      </c>
      <c r="B301" s="3140">
        <v>805491</v>
      </c>
      <c r="C301" s="3140">
        <v>17234367</v>
      </c>
      <c r="D301" s="3140">
        <v>0</v>
      </c>
      <c r="E301" s="3140">
        <v>0</v>
      </c>
      <c r="F301" s="3140">
        <v>6294141</v>
      </c>
      <c r="G301" s="3140">
        <v>39789</v>
      </c>
      <c r="H301" s="3142">
        <v>0</v>
      </c>
      <c r="I301" s="3140">
        <v>3228526</v>
      </c>
      <c r="J301" s="3872">
        <v>39789</v>
      </c>
      <c r="K301" s="3140">
        <v>0</v>
      </c>
      <c r="L301" s="3160"/>
      <c r="M301" s="1885"/>
      <c r="N301" s="1863"/>
      <c r="O301" s="1863"/>
      <c r="P301" s="1863"/>
      <c r="Q301" s="1863"/>
      <c r="R301" s="1863"/>
      <c r="S301" s="1863"/>
      <c r="T301" s="1863"/>
    </row>
    <row r="302" spans="1:20">
      <c r="A302" s="3508" t="str">
        <f>'Contact Information'!A48</f>
        <v>DAYTONA STATE COLLEGE</v>
      </c>
      <c r="B302" s="3140">
        <v>0</v>
      </c>
      <c r="C302" s="3140">
        <v>0</v>
      </c>
      <c r="D302" s="3140">
        <v>0</v>
      </c>
      <c r="E302" s="3140">
        <v>596157</v>
      </c>
      <c r="F302" s="3140">
        <v>0</v>
      </c>
      <c r="G302" s="3140">
        <v>0</v>
      </c>
      <c r="H302" s="3142">
        <v>0</v>
      </c>
      <c r="I302" s="3140">
        <v>0</v>
      </c>
      <c r="J302" s="3872">
        <v>0</v>
      </c>
      <c r="K302" s="3140">
        <v>0</v>
      </c>
      <c r="L302" s="3160"/>
      <c r="M302" s="1885"/>
      <c r="N302" s="1863"/>
      <c r="O302" s="1863"/>
      <c r="P302" s="1863"/>
      <c r="Q302" s="1863"/>
      <c r="R302" s="1863"/>
      <c r="S302" s="1863"/>
      <c r="T302" s="1863"/>
    </row>
    <row r="303" spans="1:20">
      <c r="A303" s="3508" t="str">
        <f>'Contact Information'!A49</f>
        <v>EASTERN FLORIDA STATE COLLEGE</v>
      </c>
      <c r="B303" s="3140">
        <v>53847</v>
      </c>
      <c r="C303" s="3140">
        <v>0</v>
      </c>
      <c r="D303" s="3140">
        <v>112802</v>
      </c>
      <c r="E303" s="3140">
        <v>4782419</v>
      </c>
      <c r="F303" s="3140">
        <v>76446</v>
      </c>
      <c r="G303" s="3140">
        <v>42197</v>
      </c>
      <c r="H303" s="3142">
        <v>0</v>
      </c>
      <c r="I303" s="3140">
        <v>71689</v>
      </c>
      <c r="J303" s="3872">
        <v>42197</v>
      </c>
      <c r="K303" s="3140">
        <v>0</v>
      </c>
      <c r="L303" s="3160"/>
      <c r="M303" s="1885"/>
      <c r="N303" s="1863"/>
      <c r="O303" s="1863"/>
      <c r="P303" s="1863"/>
      <c r="Q303" s="1863"/>
      <c r="R303" s="1863"/>
      <c r="S303" s="1863"/>
      <c r="T303" s="1863"/>
    </row>
    <row r="304" spans="1:20">
      <c r="A304" s="3508" t="str">
        <f>'Contact Information'!A52</f>
        <v>FLORIDA SOUTHWESTERN STATE COLLEGE</v>
      </c>
      <c r="B304" s="3140">
        <v>0</v>
      </c>
      <c r="C304" s="3140">
        <v>0</v>
      </c>
      <c r="D304" s="3140">
        <v>0</v>
      </c>
      <c r="E304" s="3140">
        <v>0</v>
      </c>
      <c r="F304" s="3140">
        <v>0</v>
      </c>
      <c r="G304" s="3140">
        <v>0</v>
      </c>
      <c r="H304" s="3142">
        <v>0</v>
      </c>
      <c r="I304" s="3140">
        <v>0</v>
      </c>
      <c r="J304" s="3872">
        <v>0</v>
      </c>
      <c r="K304" s="3140">
        <v>0</v>
      </c>
      <c r="L304" s="3160"/>
      <c r="M304" s="1885"/>
      <c r="N304" s="1863"/>
      <c r="O304" s="1863"/>
      <c r="P304" s="1863"/>
      <c r="Q304" s="1863"/>
      <c r="R304" s="1863"/>
      <c r="S304" s="1863"/>
      <c r="T304" s="1863"/>
    </row>
    <row r="305" spans="1:13">
      <c r="A305" s="3512" t="str">
        <f>'Contact Information'!A50</f>
        <v>FLORIDA GATEWAY COLLEGE</v>
      </c>
      <c r="B305" s="3140">
        <v>100214</v>
      </c>
      <c r="C305" s="3140">
        <v>0</v>
      </c>
      <c r="D305" s="3140">
        <v>0</v>
      </c>
      <c r="E305" s="3140">
        <v>0</v>
      </c>
      <c r="F305" s="3140">
        <v>191938</v>
      </c>
      <c r="G305" s="3140">
        <v>0</v>
      </c>
      <c r="H305" s="3142">
        <v>0</v>
      </c>
      <c r="I305" s="3140">
        <v>93766</v>
      </c>
      <c r="J305" s="3872">
        <v>0</v>
      </c>
      <c r="K305" s="3140">
        <v>0</v>
      </c>
      <c r="L305" s="3160"/>
      <c r="M305" s="1885"/>
    </row>
    <row r="306" spans="1:13">
      <c r="A306" s="3512" t="str">
        <f>'Contact Information'!A51</f>
        <v>THE COLLEGE OF THE FLORIDA KEYS</v>
      </c>
      <c r="B306" s="3140">
        <v>43774</v>
      </c>
      <c r="C306" s="3140">
        <v>0</v>
      </c>
      <c r="D306" s="3140">
        <v>0</v>
      </c>
      <c r="E306" s="3140">
        <v>0</v>
      </c>
      <c r="F306" s="3140">
        <v>0</v>
      </c>
      <c r="G306" s="3140">
        <v>27195</v>
      </c>
      <c r="H306" s="3142">
        <v>0</v>
      </c>
      <c r="I306" s="3140">
        <v>0</v>
      </c>
      <c r="J306" s="3872">
        <v>19040</v>
      </c>
      <c r="K306" s="3140">
        <v>0</v>
      </c>
      <c r="L306" s="3160"/>
      <c r="M306" s="1885"/>
    </row>
    <row r="307" spans="1:13">
      <c r="A307" s="3512" t="str">
        <f>'Contact Information'!A53</f>
        <v>FLORIDA STATE COLLEGE AT JACKSONVILLE</v>
      </c>
      <c r="B307" s="3140">
        <v>0</v>
      </c>
      <c r="C307" s="3140">
        <v>23675</v>
      </c>
      <c r="D307" s="3140">
        <v>0</v>
      </c>
      <c r="E307" s="3140">
        <v>0</v>
      </c>
      <c r="F307" s="3140">
        <v>0</v>
      </c>
      <c r="G307" s="3140">
        <v>0</v>
      </c>
      <c r="H307" s="3142">
        <v>0</v>
      </c>
      <c r="I307" s="3140">
        <v>0</v>
      </c>
      <c r="J307" s="3872">
        <v>0</v>
      </c>
      <c r="K307" s="3140">
        <v>0</v>
      </c>
      <c r="L307" s="3160"/>
      <c r="M307" s="1885"/>
    </row>
    <row r="308" spans="1:13">
      <c r="A308" s="3512" t="str">
        <f>'Contact Information'!A54</f>
        <v>GULF COAST STATE COLLEGE</v>
      </c>
      <c r="B308" s="3140">
        <v>112687</v>
      </c>
      <c r="C308" s="3140">
        <v>0</v>
      </c>
      <c r="D308" s="3140">
        <v>0</v>
      </c>
      <c r="E308" s="3140">
        <v>0</v>
      </c>
      <c r="F308" s="3140">
        <v>0</v>
      </c>
      <c r="G308" s="3140">
        <v>37670</v>
      </c>
      <c r="H308" s="3142">
        <v>0</v>
      </c>
      <c r="I308" s="3140">
        <v>0</v>
      </c>
      <c r="J308" s="3872">
        <v>37670</v>
      </c>
      <c r="K308" s="3140">
        <v>0</v>
      </c>
      <c r="L308" s="3160"/>
      <c r="M308" s="1885"/>
    </row>
    <row r="309" spans="1:13">
      <c r="A309" s="3512" t="str">
        <f>'Contact Information'!A55</f>
        <v>HILLSBOROUGH COMMUNITY COLLEGE</v>
      </c>
      <c r="B309" s="3140">
        <v>0</v>
      </c>
      <c r="C309" s="3140">
        <v>0</v>
      </c>
      <c r="D309" s="3140">
        <v>0</v>
      </c>
      <c r="E309" s="3140">
        <v>0</v>
      </c>
      <c r="F309" s="3140">
        <v>18556432</v>
      </c>
      <c r="G309" s="3140">
        <v>586711</v>
      </c>
      <c r="H309" s="3142">
        <v>2189</v>
      </c>
      <c r="I309" s="3140">
        <v>9299465</v>
      </c>
      <c r="J309" s="3872">
        <v>284996</v>
      </c>
      <c r="K309" s="3140">
        <v>1906</v>
      </c>
      <c r="L309" s="3160"/>
      <c r="M309" s="1885"/>
    </row>
    <row r="310" spans="1:13">
      <c r="A310" s="3512" t="str">
        <f>'Contact Information'!A56</f>
        <v>INDIAN RIVER STATE COLLEGE</v>
      </c>
      <c r="B310" s="3140">
        <v>251407</v>
      </c>
      <c r="C310" s="3140">
        <v>0</v>
      </c>
      <c r="D310" s="3140">
        <v>0</v>
      </c>
      <c r="E310" s="3140">
        <v>0</v>
      </c>
      <c r="F310" s="3140">
        <v>9624512</v>
      </c>
      <c r="G310" s="3140">
        <v>595209</v>
      </c>
      <c r="H310" s="3142">
        <v>0</v>
      </c>
      <c r="I310" s="3140">
        <v>4402139</v>
      </c>
      <c r="J310" s="3872">
        <v>675169</v>
      </c>
      <c r="K310" s="3140">
        <v>0</v>
      </c>
      <c r="L310" s="3160"/>
      <c r="M310" s="1885"/>
    </row>
    <row r="311" spans="1:13">
      <c r="A311" s="3512" t="str">
        <f>'Contact Information'!A57</f>
        <v>LAKE-SUMTER STATE COLLEGE</v>
      </c>
      <c r="B311" s="3140">
        <v>0</v>
      </c>
      <c r="C311" s="3140">
        <v>0</v>
      </c>
      <c r="D311" s="3140">
        <v>0</v>
      </c>
      <c r="E311" s="3140">
        <v>0</v>
      </c>
      <c r="F311" s="3140">
        <v>0</v>
      </c>
      <c r="G311" s="3140">
        <v>0</v>
      </c>
      <c r="H311" s="3142">
        <v>0</v>
      </c>
      <c r="I311" s="3140">
        <v>0</v>
      </c>
      <c r="J311" s="3872">
        <v>0</v>
      </c>
      <c r="K311" s="3140">
        <v>0</v>
      </c>
      <c r="L311" s="3160"/>
      <c r="M311" s="1885"/>
    </row>
    <row r="312" spans="1:13">
      <c r="A312" s="3512" t="str">
        <f>'Contact Information'!A58</f>
        <v>MIAMI DADE COLLEGE</v>
      </c>
      <c r="B312" s="3140">
        <v>0</v>
      </c>
      <c r="C312" s="3140">
        <v>0</v>
      </c>
      <c r="D312" s="3140">
        <v>0</v>
      </c>
      <c r="E312" s="3140">
        <v>0</v>
      </c>
      <c r="F312" s="3140">
        <v>0</v>
      </c>
      <c r="G312" s="3140">
        <v>0</v>
      </c>
      <c r="H312" s="3142">
        <v>0</v>
      </c>
      <c r="I312" s="3140">
        <v>0</v>
      </c>
      <c r="J312" s="3872">
        <v>0</v>
      </c>
      <c r="K312" s="3140">
        <v>0</v>
      </c>
      <c r="L312" s="3160"/>
      <c r="M312" s="1885"/>
    </row>
    <row r="313" spans="1:13">
      <c r="A313" s="3512" t="str">
        <f>'Contact Information'!A59</f>
        <v>NORTH FLORIDA COLLEGE</v>
      </c>
      <c r="B313" s="3140">
        <v>0</v>
      </c>
      <c r="C313" s="3140">
        <v>0</v>
      </c>
      <c r="D313" s="3140">
        <v>0</v>
      </c>
      <c r="E313" s="3140">
        <v>0</v>
      </c>
      <c r="F313" s="3140">
        <v>0</v>
      </c>
      <c r="G313" s="3140">
        <v>0</v>
      </c>
      <c r="H313" s="3142">
        <v>0</v>
      </c>
      <c r="I313" s="3140">
        <v>0</v>
      </c>
      <c r="J313" s="3872">
        <v>0</v>
      </c>
      <c r="K313" s="3140">
        <v>0</v>
      </c>
      <c r="L313" s="3160"/>
      <c r="M313" s="1885"/>
    </row>
    <row r="314" spans="1:13">
      <c r="A314" s="3512" t="str">
        <f>'Contact Information'!A60</f>
        <v>NORTHWEST FLORIDA STATE COLLEGE</v>
      </c>
      <c r="B314" s="3140">
        <v>254000</v>
      </c>
      <c r="C314" s="3140">
        <v>0</v>
      </c>
      <c r="D314" s="3140">
        <v>0</v>
      </c>
      <c r="E314" s="3140">
        <v>0</v>
      </c>
      <c r="F314" s="3140">
        <v>5660406</v>
      </c>
      <c r="G314" s="3140">
        <v>0</v>
      </c>
      <c r="H314" s="3142">
        <v>0</v>
      </c>
      <c r="I314" s="3140">
        <v>2303323</v>
      </c>
      <c r="J314" s="3872">
        <v>0</v>
      </c>
      <c r="K314" s="3140">
        <v>0</v>
      </c>
      <c r="L314" s="3160"/>
      <c r="M314" s="1885"/>
    </row>
    <row r="315" spans="1:13">
      <c r="A315" s="3512" t="str">
        <f>'Contact Information'!A61</f>
        <v>PALM BEACH STATE COLLEGE</v>
      </c>
      <c r="B315" s="3140">
        <v>0</v>
      </c>
      <c r="C315" s="3140">
        <v>0</v>
      </c>
      <c r="D315" s="3140">
        <v>0</v>
      </c>
      <c r="E315" s="3140">
        <v>0</v>
      </c>
      <c r="F315" s="3140">
        <v>0</v>
      </c>
      <c r="G315" s="3140">
        <v>31770</v>
      </c>
      <c r="H315" s="3142">
        <v>0</v>
      </c>
      <c r="I315" s="3140">
        <v>0</v>
      </c>
      <c r="J315" s="3872">
        <v>31770</v>
      </c>
      <c r="K315" s="3140">
        <v>0</v>
      </c>
      <c r="L315" s="3160"/>
      <c r="M315" s="1885"/>
    </row>
    <row r="316" spans="1:13">
      <c r="A316" s="3508" t="str">
        <f>'Contact Information'!A62</f>
        <v>PASCO-HERNANDO STATE COLLEGE</v>
      </c>
      <c r="B316" s="3140">
        <v>232569</v>
      </c>
      <c r="C316" s="3140">
        <v>0</v>
      </c>
      <c r="D316" s="3140">
        <v>56294</v>
      </c>
      <c r="E316" s="3140">
        <v>0</v>
      </c>
      <c r="F316" s="3140">
        <v>0</v>
      </c>
      <c r="G316" s="3140">
        <v>13029</v>
      </c>
      <c r="H316" s="3142">
        <v>0</v>
      </c>
      <c r="I316" s="3140">
        <v>0</v>
      </c>
      <c r="J316" s="3872">
        <v>13029</v>
      </c>
      <c r="K316" s="3140">
        <v>0</v>
      </c>
      <c r="L316" s="3160"/>
      <c r="M316" s="1885"/>
    </row>
    <row r="317" spans="1:13">
      <c r="A317" s="3508" t="str">
        <f>'Contact Information'!A63</f>
        <v>PENSACOLA STATE COLLEGE</v>
      </c>
      <c r="B317" s="3140">
        <v>0</v>
      </c>
      <c r="C317" s="3140">
        <v>0</v>
      </c>
      <c r="D317" s="3140">
        <v>0</v>
      </c>
      <c r="E317" s="3140">
        <v>0</v>
      </c>
      <c r="F317" s="3140">
        <v>0</v>
      </c>
      <c r="G317" s="3140">
        <v>1023255</v>
      </c>
      <c r="H317" s="3142">
        <v>0</v>
      </c>
      <c r="I317" s="3140">
        <v>0</v>
      </c>
      <c r="J317" s="3872">
        <v>841824</v>
      </c>
      <c r="K317" s="3140">
        <v>0</v>
      </c>
      <c r="L317" s="3160"/>
      <c r="M317" s="1885"/>
    </row>
    <row r="318" spans="1:13">
      <c r="A318" s="3508" t="str">
        <f>'Contact Information'!A64</f>
        <v>POLK STATE COLLEGE</v>
      </c>
      <c r="B318" s="3140">
        <v>0</v>
      </c>
      <c r="C318" s="3140">
        <v>32782</v>
      </c>
      <c r="D318" s="3140">
        <v>0</v>
      </c>
      <c r="E318" s="3140">
        <v>0</v>
      </c>
      <c r="F318" s="3140">
        <v>0</v>
      </c>
      <c r="G318" s="3140">
        <v>0</v>
      </c>
      <c r="H318" s="3142">
        <v>0</v>
      </c>
      <c r="I318" s="3140">
        <v>0</v>
      </c>
      <c r="J318" s="3872">
        <v>0</v>
      </c>
      <c r="K318" s="3140">
        <v>0</v>
      </c>
      <c r="L318" s="3160"/>
      <c r="M318" s="1885"/>
    </row>
    <row r="319" spans="1:13">
      <c r="A319" s="3508" t="str">
        <f>'Contact Information'!A65</f>
        <v>SANTA FE COLLEGE</v>
      </c>
      <c r="B319" s="3140">
        <v>2605303</v>
      </c>
      <c r="C319" s="3140">
        <v>675349</v>
      </c>
      <c r="D319" s="3140">
        <v>4375</v>
      </c>
      <c r="E319" s="3140">
        <v>0</v>
      </c>
      <c r="F319" s="3140">
        <v>10647648</v>
      </c>
      <c r="G319" s="3140">
        <v>0</v>
      </c>
      <c r="H319" s="3142">
        <v>1004645</v>
      </c>
      <c r="I319" s="3140">
        <v>5497073</v>
      </c>
      <c r="J319" s="3872">
        <v>0</v>
      </c>
      <c r="K319" s="3140">
        <v>961992</v>
      </c>
      <c r="L319" s="3160"/>
      <c r="M319" s="1885"/>
    </row>
    <row r="320" spans="1:13">
      <c r="A320" s="3508" t="str">
        <f>'Contact Information'!A66</f>
        <v>SEMINOLE STATE COLLEGE OF FLORIDA</v>
      </c>
      <c r="B320" s="3140">
        <v>3328049</v>
      </c>
      <c r="C320" s="3140">
        <v>0</v>
      </c>
      <c r="D320" s="3140">
        <v>0</v>
      </c>
      <c r="E320" s="3140">
        <v>0</v>
      </c>
      <c r="F320" s="3140">
        <v>1374122</v>
      </c>
      <c r="G320" s="3140">
        <v>0</v>
      </c>
      <c r="H320" s="3142">
        <v>870000</v>
      </c>
      <c r="I320" s="3140">
        <v>206118</v>
      </c>
      <c r="J320" s="3872">
        <v>0</v>
      </c>
      <c r="K320" s="3140">
        <v>261000</v>
      </c>
      <c r="L320" s="3160"/>
      <c r="M320" s="1885"/>
    </row>
    <row r="321" spans="1:18">
      <c r="A321" s="3508" t="str">
        <f>'Contact Information'!A67</f>
        <v>SOUTH FLORIDA STATE COLLEGE</v>
      </c>
      <c r="B321" s="3140">
        <v>303220</v>
      </c>
      <c r="C321" s="3140">
        <v>0</v>
      </c>
      <c r="D321" s="3140">
        <v>0</v>
      </c>
      <c r="E321" s="3140">
        <v>0</v>
      </c>
      <c r="F321" s="3140">
        <v>1247202</v>
      </c>
      <c r="G321" s="3140">
        <v>550036</v>
      </c>
      <c r="H321" s="3142">
        <v>0</v>
      </c>
      <c r="I321" s="3140">
        <v>516451</v>
      </c>
      <c r="J321" s="3872">
        <v>626823</v>
      </c>
      <c r="K321" s="3140">
        <v>0</v>
      </c>
      <c r="L321" s="3160"/>
      <c r="M321" s="1885"/>
      <c r="N321" s="1863"/>
      <c r="O321" s="1863"/>
      <c r="P321" s="1863"/>
      <c r="Q321" s="1863"/>
      <c r="R321" s="1863"/>
    </row>
    <row r="322" spans="1:18">
      <c r="A322" s="3508" t="str">
        <f>'Contact Information'!A68</f>
        <v>ST. JOHNS RIVER STATE COLLEGE</v>
      </c>
      <c r="B322" s="3140">
        <v>0</v>
      </c>
      <c r="C322" s="3140">
        <v>0</v>
      </c>
      <c r="D322" s="3140">
        <v>0</v>
      </c>
      <c r="E322" s="3140">
        <v>0</v>
      </c>
      <c r="F322" s="3140">
        <v>0</v>
      </c>
      <c r="G322" s="3140">
        <v>0</v>
      </c>
      <c r="H322" s="3142">
        <v>0</v>
      </c>
      <c r="I322" s="3140">
        <v>0</v>
      </c>
      <c r="J322" s="3872">
        <v>0</v>
      </c>
      <c r="K322" s="3140">
        <v>0</v>
      </c>
      <c r="L322" s="3160"/>
      <c r="M322" s="1885"/>
      <c r="N322" s="1863"/>
      <c r="O322" s="1863"/>
      <c r="P322" s="1863"/>
      <c r="Q322" s="1863"/>
      <c r="R322" s="1863"/>
    </row>
    <row r="323" spans="1:18">
      <c r="A323" s="3508" t="str">
        <f>'Contact Information'!A69</f>
        <v>ST. PETERSBURG COLLEGE</v>
      </c>
      <c r="B323" s="3140">
        <v>0</v>
      </c>
      <c r="C323" s="3140">
        <v>0</v>
      </c>
      <c r="D323" s="3140">
        <v>0</v>
      </c>
      <c r="E323" s="3140">
        <v>0</v>
      </c>
      <c r="F323" s="3140">
        <v>0</v>
      </c>
      <c r="G323" s="3140">
        <v>0</v>
      </c>
      <c r="H323" s="3142">
        <v>0</v>
      </c>
      <c r="I323" s="3140">
        <v>0</v>
      </c>
      <c r="J323" s="3872">
        <v>0</v>
      </c>
      <c r="K323" s="3140">
        <v>0</v>
      </c>
      <c r="L323" s="3160"/>
      <c r="M323" s="1885"/>
      <c r="N323" s="1863"/>
      <c r="O323" s="1863"/>
      <c r="P323" s="1863"/>
      <c r="Q323" s="1863"/>
      <c r="R323" s="1863"/>
    </row>
    <row r="324" spans="1:18">
      <c r="A324" s="3508" t="str">
        <f>'Contact Information'!A70</f>
        <v>STATE COLLEGE OF FLORIDA, MANATEE-SARASOTA</v>
      </c>
      <c r="B324" s="3140">
        <v>0</v>
      </c>
      <c r="C324" s="3140">
        <v>0</v>
      </c>
      <c r="D324" s="3140">
        <v>0</v>
      </c>
      <c r="E324" s="3140">
        <v>0</v>
      </c>
      <c r="F324" s="3140">
        <v>0</v>
      </c>
      <c r="G324" s="3140">
        <v>0</v>
      </c>
      <c r="H324" s="3142">
        <v>0</v>
      </c>
      <c r="I324" s="3140">
        <v>0</v>
      </c>
      <c r="J324" s="3872">
        <v>0</v>
      </c>
      <c r="K324" s="3140">
        <v>0</v>
      </c>
      <c r="L324" s="3160"/>
      <c r="M324" s="1885"/>
      <c r="N324" s="1863"/>
      <c r="O324" s="1863"/>
      <c r="P324" s="1863"/>
      <c r="Q324" s="1863"/>
      <c r="R324" s="1863"/>
    </row>
    <row r="325" spans="1:18">
      <c r="A325" s="3508" t="str">
        <f>'Contact Information'!A71</f>
        <v>TALLAHASSEE COMMUNITY COLLEGE</v>
      </c>
      <c r="B325" s="3140">
        <v>0</v>
      </c>
      <c r="C325" s="3140">
        <v>0</v>
      </c>
      <c r="D325" s="3140">
        <v>0</v>
      </c>
      <c r="E325" s="3140">
        <v>0</v>
      </c>
      <c r="F325" s="3140">
        <v>0</v>
      </c>
      <c r="G325" s="3140">
        <v>0</v>
      </c>
      <c r="H325" s="3142">
        <v>0</v>
      </c>
      <c r="I325" s="3140">
        <v>0</v>
      </c>
      <c r="J325" s="3872">
        <v>0</v>
      </c>
      <c r="K325" s="3140">
        <v>0</v>
      </c>
      <c r="L325" s="3160"/>
      <c r="M325" s="1885"/>
      <c r="N325" s="1863"/>
      <c r="O325" s="1863"/>
      <c r="P325" s="1863"/>
      <c r="Q325" s="1863"/>
      <c r="R325" s="1863"/>
    </row>
    <row r="326" spans="1:18">
      <c r="A326" s="3508" t="str">
        <f>'Contact Information'!A72</f>
        <v>VALENCIA COLLEGE</v>
      </c>
      <c r="B326" s="3888">
        <v>3084063</v>
      </c>
      <c r="C326" s="3140">
        <v>0</v>
      </c>
      <c r="D326" s="3140">
        <v>0</v>
      </c>
      <c r="E326" s="3140">
        <v>0</v>
      </c>
      <c r="F326" s="3140">
        <v>6134430</v>
      </c>
      <c r="G326" s="3140">
        <v>64026</v>
      </c>
      <c r="H326" s="3142">
        <v>0</v>
      </c>
      <c r="I326" s="3140">
        <v>920166</v>
      </c>
      <c r="J326" s="3872">
        <v>30468</v>
      </c>
      <c r="K326" s="3140">
        <v>0</v>
      </c>
      <c r="L326" s="3160"/>
      <c r="M326" s="3887"/>
      <c r="N326" s="1863"/>
      <c r="O326" s="1863"/>
      <c r="P326" s="1863"/>
      <c r="Q326" s="1863"/>
      <c r="R326" s="1863"/>
    </row>
    <row r="327" spans="1:18">
      <c r="A327" s="1627"/>
      <c r="B327" s="1885"/>
      <c r="C327" s="1885"/>
      <c r="D327" s="1885"/>
      <c r="E327" s="1885"/>
      <c r="F327" s="1885"/>
      <c r="G327" s="1885"/>
      <c r="H327" s="3116"/>
      <c r="I327" s="4263"/>
      <c r="J327" s="1885"/>
      <c r="K327" s="1885"/>
      <c r="L327" s="1885"/>
      <c r="M327" s="1885"/>
      <c r="N327" s="1885"/>
      <c r="O327" s="1863"/>
      <c r="P327" s="1863"/>
      <c r="Q327" s="1863"/>
      <c r="R327" s="1863"/>
    </row>
    <row r="328" spans="1:18" ht="18.75">
      <c r="A328" s="1863"/>
      <c r="B328" s="1885"/>
      <c r="C328" s="1885"/>
      <c r="D328" s="4601" t="s">
        <v>4097</v>
      </c>
      <c r="E328" s="4601"/>
      <c r="F328" s="4601"/>
      <c r="G328" s="4601"/>
      <c r="H328" s="4601"/>
      <c r="I328" s="4263"/>
      <c r="J328" s="1885"/>
      <c r="K328" s="1885"/>
      <c r="L328" s="1885"/>
      <c r="M328" s="1885"/>
      <c r="N328" s="1885"/>
      <c r="O328" s="1863"/>
      <c r="P328" s="1863"/>
      <c r="Q328" s="1863"/>
      <c r="R328" s="1863"/>
    </row>
    <row r="329" spans="1:18">
      <c r="A329" s="3107">
        <v>1</v>
      </c>
      <c r="B329" s="3509">
        <v>2</v>
      </c>
      <c r="C329" s="3509">
        <v>3</v>
      </c>
      <c r="D329" s="3509">
        <v>4</v>
      </c>
      <c r="E329" s="3509">
        <v>5</v>
      </c>
      <c r="F329" s="3509">
        <v>6</v>
      </c>
      <c r="G329" s="3509">
        <v>7</v>
      </c>
      <c r="H329" s="3117">
        <v>8</v>
      </c>
      <c r="I329" s="4261">
        <v>9</v>
      </c>
      <c r="J329" s="3873">
        <v>10</v>
      </c>
      <c r="K329" s="3509">
        <v>11</v>
      </c>
      <c r="L329" s="1885"/>
      <c r="M329" s="1885"/>
      <c r="N329" s="1885"/>
      <c r="O329" s="1885"/>
      <c r="P329" s="1885"/>
      <c r="Q329" s="1863"/>
      <c r="R329" s="1863"/>
    </row>
    <row r="330" spans="1:18" s="1642" customFormat="1" ht="26.25">
      <c r="A330" s="1770" t="s">
        <v>3946</v>
      </c>
      <c r="B330" s="4597" t="s">
        <v>75</v>
      </c>
      <c r="C330" s="4597" t="s">
        <v>277</v>
      </c>
      <c r="D330" s="4597" t="s">
        <v>566</v>
      </c>
      <c r="E330" s="4598" t="s">
        <v>568</v>
      </c>
      <c r="F330" s="4598" t="s">
        <v>289</v>
      </c>
      <c r="G330" s="4599" t="s">
        <v>291</v>
      </c>
      <c r="H330" s="4600" t="s">
        <v>572</v>
      </c>
      <c r="I330" s="4264" t="s">
        <v>3947</v>
      </c>
      <c r="J330" s="3874" t="s">
        <v>3948</v>
      </c>
      <c r="K330" s="4592" t="s">
        <v>89</v>
      </c>
      <c r="L330" s="1885"/>
      <c r="M330" s="1885"/>
      <c r="N330" s="1885"/>
      <c r="O330" s="1885"/>
      <c r="P330" s="1885"/>
      <c r="Q330" s="1863"/>
      <c r="R330" s="1863"/>
    </row>
    <row r="331" spans="1:18" ht="22.5" customHeight="1">
      <c r="A331" s="3510"/>
      <c r="B331" s="4597"/>
      <c r="C331" s="4597"/>
      <c r="D331" s="4597"/>
      <c r="E331" s="4598"/>
      <c r="F331" s="4598"/>
      <c r="G331" s="4599"/>
      <c r="H331" s="4600"/>
      <c r="I331" s="4264" t="s">
        <v>3949</v>
      </c>
      <c r="J331" s="3874" t="s">
        <v>3949</v>
      </c>
      <c r="K331" s="4592"/>
      <c r="L331" s="1885"/>
      <c r="M331" s="1885"/>
      <c r="N331" s="1885"/>
      <c r="O331" s="1885"/>
      <c r="P331" s="1885"/>
      <c r="Q331" s="1863"/>
      <c r="R331" s="1863"/>
    </row>
    <row r="332" spans="1:18">
      <c r="A332" s="3508" t="str">
        <f>'Contact Information'!A45</f>
        <v>BROWARD COLLEGE</v>
      </c>
      <c r="B332" s="3140">
        <v>0</v>
      </c>
      <c r="C332" s="3140">
        <v>0</v>
      </c>
      <c r="D332" s="3140">
        <v>0</v>
      </c>
      <c r="E332" s="3140">
        <v>0</v>
      </c>
      <c r="F332" s="3140">
        <v>0</v>
      </c>
      <c r="G332" s="3140">
        <v>0</v>
      </c>
      <c r="H332" s="3142">
        <v>0</v>
      </c>
      <c r="I332" s="3140">
        <v>0</v>
      </c>
      <c r="J332" s="3872">
        <v>0</v>
      </c>
      <c r="K332" s="3511">
        <v>0</v>
      </c>
      <c r="L332" s="3163"/>
      <c r="M332" s="1885"/>
      <c r="N332" s="1885"/>
      <c r="O332" s="1885"/>
      <c r="P332" s="1885"/>
      <c r="Q332" s="1863"/>
      <c r="R332" s="3875"/>
    </row>
    <row r="333" spans="1:18">
      <c r="A333" s="3508" t="str">
        <f>'Contact Information'!A46</f>
        <v>CHIPOLA COLLEGE</v>
      </c>
      <c r="B333" s="3140">
        <v>0</v>
      </c>
      <c r="C333" s="3140">
        <v>0</v>
      </c>
      <c r="D333" s="3140">
        <v>0</v>
      </c>
      <c r="E333" s="3140">
        <v>0</v>
      </c>
      <c r="F333" s="3140">
        <v>0</v>
      </c>
      <c r="G333" s="3140">
        <v>0</v>
      </c>
      <c r="H333" s="3142">
        <v>0</v>
      </c>
      <c r="I333" s="3140">
        <v>0</v>
      </c>
      <c r="J333" s="3872">
        <v>0</v>
      </c>
      <c r="K333" s="3511">
        <v>0</v>
      </c>
      <c r="L333" s="3163"/>
      <c r="M333" s="1885"/>
      <c r="N333" s="1885"/>
      <c r="O333" s="1885"/>
      <c r="P333" s="1885"/>
      <c r="Q333" s="1863"/>
      <c r="R333" s="3875"/>
    </row>
    <row r="334" spans="1:18">
      <c r="A334" s="3512" t="str">
        <f>'Contact Information'!A47</f>
        <v>COLLEGE OF CENTRAL FLORIDA</v>
      </c>
      <c r="B334" s="3140">
        <v>655002</v>
      </c>
      <c r="C334" s="3140">
        <v>480343</v>
      </c>
      <c r="D334" s="3140">
        <v>0</v>
      </c>
      <c r="E334" s="3140">
        <v>0</v>
      </c>
      <c r="F334" s="3140">
        <v>0</v>
      </c>
      <c r="G334" s="3140">
        <v>0</v>
      </c>
      <c r="H334" s="3142">
        <v>0</v>
      </c>
      <c r="I334" s="3140">
        <v>0</v>
      </c>
      <c r="J334" s="3872">
        <v>0</v>
      </c>
      <c r="K334" s="3511">
        <v>100644</v>
      </c>
      <c r="L334" s="3163"/>
      <c r="M334" s="1885"/>
      <c r="N334" s="1885"/>
      <c r="O334" s="1885"/>
      <c r="P334" s="1885"/>
      <c r="Q334" s="1863"/>
      <c r="R334" s="3875"/>
    </row>
    <row r="335" spans="1:18">
      <c r="A335" s="3512" t="str">
        <f>'Contact Information'!A48</f>
        <v>DAYTONA STATE COLLEGE</v>
      </c>
      <c r="B335" s="3140">
        <v>0</v>
      </c>
      <c r="C335" s="3140">
        <v>0</v>
      </c>
      <c r="D335" s="3140">
        <v>0</v>
      </c>
      <c r="E335" s="3140">
        <v>0</v>
      </c>
      <c r="F335" s="3140">
        <v>0</v>
      </c>
      <c r="G335" s="3140">
        <v>0</v>
      </c>
      <c r="H335" s="3142">
        <v>0</v>
      </c>
      <c r="I335" s="3140">
        <v>0</v>
      </c>
      <c r="J335" s="3872">
        <v>0</v>
      </c>
      <c r="K335" s="3511">
        <v>0</v>
      </c>
      <c r="L335" s="3163"/>
      <c r="M335" s="1885"/>
      <c r="N335" s="1885"/>
      <c r="O335" s="1885"/>
      <c r="P335" s="1885"/>
      <c r="Q335" s="1863"/>
      <c r="R335" s="3875"/>
    </row>
    <row r="336" spans="1:18">
      <c r="A336" s="3512" t="str">
        <f>'Contact Information'!A49</f>
        <v>EASTERN FLORIDA STATE COLLEGE</v>
      </c>
      <c r="B336" s="3140">
        <v>0</v>
      </c>
      <c r="C336" s="3140">
        <v>4239049</v>
      </c>
      <c r="D336" s="3140">
        <v>0</v>
      </c>
      <c r="E336" s="3140">
        <v>0</v>
      </c>
      <c r="F336" s="3140">
        <v>0</v>
      </c>
      <c r="G336" s="3140">
        <v>8304</v>
      </c>
      <c r="H336" s="3142">
        <v>0</v>
      </c>
      <c r="I336" s="3140">
        <v>0</v>
      </c>
      <c r="J336" s="3872">
        <v>0</v>
      </c>
      <c r="K336" s="3511">
        <v>0</v>
      </c>
      <c r="L336" s="3163"/>
      <c r="M336" s="1885"/>
      <c r="N336" s="1885"/>
      <c r="O336" s="1885"/>
      <c r="P336" s="1885"/>
      <c r="Q336" s="1863"/>
      <c r="R336" s="3875"/>
    </row>
    <row r="337" spans="1:18">
      <c r="A337" s="3512" t="str">
        <f>'Contact Information'!A52</f>
        <v>FLORIDA SOUTHWESTERN STATE COLLEGE</v>
      </c>
      <c r="B337" s="3140">
        <v>0</v>
      </c>
      <c r="C337" s="3140">
        <v>0</v>
      </c>
      <c r="D337" s="3140">
        <v>0</v>
      </c>
      <c r="E337" s="3140">
        <v>0</v>
      </c>
      <c r="F337" s="3140">
        <v>0</v>
      </c>
      <c r="G337" s="3140">
        <v>0</v>
      </c>
      <c r="H337" s="3142">
        <v>0</v>
      </c>
      <c r="I337" s="3140">
        <v>0</v>
      </c>
      <c r="J337" s="3872">
        <v>0</v>
      </c>
      <c r="K337" s="3511">
        <v>67779</v>
      </c>
      <c r="L337" s="3163"/>
      <c r="M337" s="1885"/>
      <c r="N337" s="1885"/>
      <c r="O337" s="1885"/>
      <c r="P337" s="1885"/>
      <c r="Q337" s="1863"/>
      <c r="R337" s="3875"/>
    </row>
    <row r="338" spans="1:18">
      <c r="A338" s="3512" t="str">
        <f>'Contact Information'!A50</f>
        <v>FLORIDA GATEWAY COLLEGE</v>
      </c>
      <c r="B338" s="3140">
        <v>0</v>
      </c>
      <c r="C338" s="3140">
        <v>0</v>
      </c>
      <c r="D338" s="3140">
        <v>0</v>
      </c>
      <c r="E338" s="3140">
        <v>0</v>
      </c>
      <c r="F338" s="3140">
        <v>0</v>
      </c>
      <c r="G338" s="3140">
        <v>0</v>
      </c>
      <c r="H338" s="3142">
        <v>0</v>
      </c>
      <c r="I338" s="3140">
        <v>0</v>
      </c>
      <c r="J338" s="3872">
        <v>0</v>
      </c>
      <c r="K338" s="3511">
        <v>0</v>
      </c>
      <c r="L338" s="3163"/>
      <c r="M338" s="1885"/>
      <c r="N338" s="1885"/>
      <c r="O338" s="1885"/>
      <c r="P338" s="1885"/>
      <c r="Q338" s="1863"/>
      <c r="R338" s="3875"/>
    </row>
    <row r="339" spans="1:18">
      <c r="A339" s="3512" t="str">
        <f>'Contact Information'!A51</f>
        <v>THE COLLEGE OF THE FLORIDA KEYS</v>
      </c>
      <c r="B339" s="3140">
        <v>0</v>
      </c>
      <c r="C339" s="3140">
        <v>0</v>
      </c>
      <c r="D339" s="3140">
        <v>0</v>
      </c>
      <c r="E339" s="3140">
        <v>0</v>
      </c>
      <c r="F339" s="3140">
        <v>0</v>
      </c>
      <c r="G339" s="3140">
        <v>0</v>
      </c>
      <c r="H339" s="3142">
        <v>0</v>
      </c>
      <c r="I339" s="3140">
        <v>0</v>
      </c>
      <c r="J339" s="3872">
        <v>0</v>
      </c>
      <c r="K339" s="3511">
        <v>0</v>
      </c>
      <c r="L339" s="3163"/>
      <c r="M339" s="1885"/>
      <c r="N339" s="1885"/>
      <c r="O339" s="1885"/>
      <c r="P339" s="1885"/>
      <c r="Q339" s="1863"/>
      <c r="R339" s="3875"/>
    </row>
    <row r="340" spans="1:18">
      <c r="A340" s="3512" t="str">
        <f>'Contact Information'!A53</f>
        <v>FLORIDA STATE COLLEGE AT JACKSONVILLE</v>
      </c>
      <c r="B340" s="3140">
        <v>0</v>
      </c>
      <c r="C340" s="3140">
        <v>0</v>
      </c>
      <c r="D340" s="3140">
        <v>0</v>
      </c>
      <c r="E340" s="3140">
        <v>0</v>
      </c>
      <c r="F340" s="3140">
        <v>0</v>
      </c>
      <c r="G340" s="3140">
        <v>0</v>
      </c>
      <c r="H340" s="3142">
        <v>0</v>
      </c>
      <c r="I340" s="3140">
        <v>0</v>
      </c>
      <c r="J340" s="3872">
        <v>0</v>
      </c>
      <c r="K340" s="3511">
        <v>0</v>
      </c>
      <c r="L340" s="3163"/>
      <c r="M340" s="1885"/>
      <c r="N340" s="1885"/>
      <c r="O340" s="1885"/>
      <c r="P340" s="1885"/>
      <c r="Q340" s="1863"/>
      <c r="R340" s="3875"/>
    </row>
    <row r="341" spans="1:18">
      <c r="A341" s="3512" t="str">
        <f>'Contact Information'!A54</f>
        <v>GULF COAST STATE COLLEGE</v>
      </c>
      <c r="B341" s="3140">
        <v>0</v>
      </c>
      <c r="C341" s="3140">
        <v>0</v>
      </c>
      <c r="D341" s="3140">
        <v>0</v>
      </c>
      <c r="E341" s="3140">
        <v>0</v>
      </c>
      <c r="F341" s="3140">
        <v>0</v>
      </c>
      <c r="G341" s="3140">
        <v>0</v>
      </c>
      <c r="H341" s="3142">
        <v>0</v>
      </c>
      <c r="I341" s="3140">
        <v>0</v>
      </c>
      <c r="J341" s="3872">
        <v>0</v>
      </c>
      <c r="K341" s="3511">
        <v>0</v>
      </c>
      <c r="L341" s="3163"/>
      <c r="M341" s="1885"/>
      <c r="N341" s="1885"/>
      <c r="O341" s="1885"/>
      <c r="P341" s="1885"/>
      <c r="Q341" s="1863"/>
      <c r="R341" s="3875"/>
    </row>
    <row r="342" spans="1:18">
      <c r="A342" s="3512" t="str">
        <f>'Contact Information'!A55</f>
        <v>HILLSBOROUGH COMMUNITY COLLEGE</v>
      </c>
      <c r="B342" s="3140">
        <v>0</v>
      </c>
      <c r="C342" s="3140">
        <v>11876636</v>
      </c>
      <c r="D342" s="3140">
        <v>0</v>
      </c>
      <c r="E342" s="3140">
        <v>0</v>
      </c>
      <c r="F342" s="3140">
        <v>0</v>
      </c>
      <c r="G342" s="3140">
        <v>0</v>
      </c>
      <c r="H342" s="3142">
        <v>0</v>
      </c>
      <c r="I342" s="3140">
        <v>0</v>
      </c>
      <c r="J342" s="3872">
        <v>0</v>
      </c>
      <c r="K342" s="3511">
        <v>0</v>
      </c>
      <c r="L342" s="3163"/>
      <c r="M342" s="1885"/>
      <c r="N342" s="1885"/>
      <c r="O342" s="1885"/>
      <c r="P342" s="1885"/>
      <c r="Q342" s="1863"/>
      <c r="R342" s="3875"/>
    </row>
    <row r="343" spans="1:18">
      <c r="A343" s="3512" t="str">
        <f>'Contact Information'!A56</f>
        <v>INDIAN RIVER STATE COLLEGE</v>
      </c>
      <c r="B343" s="3140">
        <v>0</v>
      </c>
      <c r="C343" s="3140">
        <v>4859413</v>
      </c>
      <c r="D343" s="3140">
        <v>0</v>
      </c>
      <c r="E343" s="3140">
        <v>0</v>
      </c>
      <c r="F343" s="3140">
        <v>0</v>
      </c>
      <c r="G343" s="3140">
        <v>0</v>
      </c>
      <c r="H343" s="3142">
        <v>0</v>
      </c>
      <c r="I343" s="3140">
        <v>0</v>
      </c>
      <c r="J343" s="3872">
        <v>0</v>
      </c>
      <c r="K343" s="3511">
        <v>0</v>
      </c>
      <c r="L343" s="3163"/>
      <c r="M343" s="1885"/>
      <c r="N343" s="1885"/>
      <c r="O343" s="1885"/>
      <c r="P343" s="1885"/>
      <c r="Q343" s="1863"/>
      <c r="R343" s="3875"/>
    </row>
    <row r="344" spans="1:18">
      <c r="A344" s="3512" t="str">
        <f>'Contact Information'!A57</f>
        <v>LAKE-SUMTER STATE COLLEGE</v>
      </c>
      <c r="B344" s="3140">
        <v>0</v>
      </c>
      <c r="C344" s="3140">
        <v>0</v>
      </c>
      <c r="D344" s="3140">
        <v>0</v>
      </c>
      <c r="E344" s="3140">
        <v>0</v>
      </c>
      <c r="F344" s="3140">
        <v>0</v>
      </c>
      <c r="G344" s="3140">
        <v>0</v>
      </c>
      <c r="H344" s="3142">
        <v>0</v>
      </c>
      <c r="I344" s="3140">
        <v>0</v>
      </c>
      <c r="J344" s="3872">
        <v>0</v>
      </c>
      <c r="K344" s="3511">
        <v>0</v>
      </c>
      <c r="L344" s="3163"/>
      <c r="M344" s="1885"/>
      <c r="N344" s="1885"/>
      <c r="O344" s="1885"/>
      <c r="P344" s="1885"/>
      <c r="Q344" s="1863"/>
      <c r="R344" s="3875"/>
    </row>
    <row r="345" spans="1:18">
      <c r="A345" s="3512" t="str">
        <f>'Contact Information'!A58</f>
        <v>MIAMI DADE COLLEGE</v>
      </c>
      <c r="B345" s="3140">
        <v>0</v>
      </c>
      <c r="C345" s="3140">
        <v>0</v>
      </c>
      <c r="D345" s="3140">
        <v>0</v>
      </c>
      <c r="E345" s="3140">
        <v>0</v>
      </c>
      <c r="F345" s="3140">
        <v>0</v>
      </c>
      <c r="G345" s="3140">
        <v>0</v>
      </c>
      <c r="H345" s="3142">
        <v>0</v>
      </c>
      <c r="I345" s="3140">
        <v>0</v>
      </c>
      <c r="J345" s="3872">
        <v>0</v>
      </c>
      <c r="K345" s="3511">
        <v>0</v>
      </c>
      <c r="L345" s="3163"/>
      <c r="M345" s="1885"/>
      <c r="N345" s="1885"/>
      <c r="O345" s="1885"/>
      <c r="P345" s="1885"/>
      <c r="Q345" s="1863"/>
      <c r="R345" s="3875"/>
    </row>
    <row r="346" spans="1:18">
      <c r="A346" s="3512" t="str">
        <f>'Contact Information'!A59</f>
        <v>NORTH FLORIDA COLLEGE</v>
      </c>
      <c r="B346" s="3140">
        <v>0</v>
      </c>
      <c r="C346" s="3140">
        <v>0</v>
      </c>
      <c r="D346" s="3140">
        <v>0</v>
      </c>
      <c r="E346" s="3140">
        <v>0</v>
      </c>
      <c r="F346" s="3140">
        <v>0</v>
      </c>
      <c r="G346" s="3140">
        <v>0</v>
      </c>
      <c r="H346" s="3142">
        <v>0</v>
      </c>
      <c r="I346" s="3140">
        <v>0</v>
      </c>
      <c r="J346" s="3872">
        <v>0</v>
      </c>
      <c r="K346" s="3511">
        <v>0</v>
      </c>
      <c r="L346" s="3163"/>
      <c r="M346" s="1885"/>
      <c r="N346" s="1885"/>
      <c r="O346" s="1885"/>
      <c r="P346" s="1885"/>
      <c r="Q346" s="1863"/>
      <c r="R346" s="3875"/>
    </row>
    <row r="347" spans="1:18">
      <c r="A347" s="3512" t="str">
        <f>'Contact Information'!A60</f>
        <v>NORTHWEST FLORIDA STATE COLLEGE</v>
      </c>
      <c r="B347" s="3140">
        <v>0</v>
      </c>
      <c r="C347" s="3140">
        <v>0</v>
      </c>
      <c r="D347" s="3140">
        <v>0</v>
      </c>
      <c r="E347" s="3140">
        <v>0</v>
      </c>
      <c r="F347" s="3140">
        <v>0</v>
      </c>
      <c r="G347" s="3140">
        <v>0</v>
      </c>
      <c r="H347" s="3142">
        <v>0</v>
      </c>
      <c r="I347" s="3140">
        <v>0</v>
      </c>
      <c r="J347" s="3872">
        <v>0</v>
      </c>
      <c r="K347" s="3511">
        <v>0</v>
      </c>
      <c r="L347" s="3163"/>
      <c r="M347" s="1885"/>
      <c r="N347" s="1885"/>
      <c r="O347" s="1885"/>
      <c r="P347" s="1885"/>
      <c r="Q347" s="1863"/>
      <c r="R347" s="3875"/>
    </row>
    <row r="348" spans="1:18">
      <c r="A348" s="3512" t="str">
        <f>'Contact Information'!A61</f>
        <v>PALM BEACH STATE COLLEGE</v>
      </c>
      <c r="B348" s="3140">
        <v>0</v>
      </c>
      <c r="C348" s="3140">
        <v>0</v>
      </c>
      <c r="D348" s="3140">
        <v>0</v>
      </c>
      <c r="E348" s="3140">
        <v>0</v>
      </c>
      <c r="F348" s="3140">
        <v>0</v>
      </c>
      <c r="G348" s="3140">
        <v>0</v>
      </c>
      <c r="H348" s="3142">
        <v>0</v>
      </c>
      <c r="I348" s="3140">
        <v>0</v>
      </c>
      <c r="J348" s="3872">
        <v>0</v>
      </c>
      <c r="K348" s="3511">
        <v>847060</v>
      </c>
      <c r="L348" s="3163"/>
      <c r="M348" s="1885"/>
      <c r="N348" s="1885"/>
      <c r="O348" s="1885"/>
      <c r="P348" s="1885"/>
      <c r="Q348" s="1863"/>
      <c r="R348" s="3875"/>
    </row>
    <row r="349" spans="1:18">
      <c r="A349" s="3512" t="str">
        <f>'Contact Information'!A62</f>
        <v>PASCO-HERNANDO STATE COLLEGE</v>
      </c>
      <c r="B349" s="3140">
        <v>0</v>
      </c>
      <c r="C349" s="3140">
        <v>0</v>
      </c>
      <c r="D349" s="3140">
        <v>0</v>
      </c>
      <c r="E349" s="3140">
        <v>0</v>
      </c>
      <c r="F349" s="3140">
        <v>0</v>
      </c>
      <c r="G349" s="3140">
        <v>0</v>
      </c>
      <c r="H349" s="3142">
        <v>0</v>
      </c>
      <c r="I349" s="3140">
        <v>0</v>
      </c>
      <c r="J349" s="3872">
        <v>0</v>
      </c>
      <c r="K349" s="3511">
        <v>0</v>
      </c>
      <c r="L349" s="3163"/>
      <c r="M349" s="1885"/>
      <c r="N349" s="1885"/>
      <c r="O349" s="1885"/>
      <c r="P349" s="1885"/>
      <c r="Q349" s="1863"/>
      <c r="R349" s="3875"/>
    </row>
    <row r="350" spans="1:18">
      <c r="A350" s="3508" t="str">
        <f>'Contact Information'!A63</f>
        <v>PENSACOLA STATE COLLEGE</v>
      </c>
      <c r="B350" s="3140">
        <v>0</v>
      </c>
      <c r="C350" s="3140">
        <v>0</v>
      </c>
      <c r="D350" s="3140">
        <v>0</v>
      </c>
      <c r="E350" s="3140">
        <v>0</v>
      </c>
      <c r="F350" s="3140">
        <v>0</v>
      </c>
      <c r="G350" s="3140">
        <v>0</v>
      </c>
      <c r="H350" s="3142">
        <v>0</v>
      </c>
      <c r="I350" s="3140">
        <v>0</v>
      </c>
      <c r="J350" s="3872">
        <v>0</v>
      </c>
      <c r="K350" s="3511">
        <v>130953</v>
      </c>
      <c r="L350" s="3163"/>
      <c r="M350" s="1885"/>
      <c r="N350" s="1885"/>
      <c r="O350" s="1885"/>
      <c r="P350" s="1885"/>
      <c r="Q350" s="1863"/>
      <c r="R350" s="3875"/>
    </row>
    <row r="351" spans="1:18">
      <c r="A351" s="3508" t="str">
        <f>'Contact Information'!A64</f>
        <v>POLK STATE COLLEGE</v>
      </c>
      <c r="B351" s="3140">
        <v>0</v>
      </c>
      <c r="C351" s="3140">
        <v>0</v>
      </c>
      <c r="D351" s="3140">
        <v>0</v>
      </c>
      <c r="E351" s="3140">
        <v>0</v>
      </c>
      <c r="F351" s="3140">
        <v>0</v>
      </c>
      <c r="G351" s="3140">
        <v>0</v>
      </c>
      <c r="H351" s="3142">
        <v>0</v>
      </c>
      <c r="I351" s="3140">
        <v>0</v>
      </c>
      <c r="J351" s="3872">
        <v>0</v>
      </c>
      <c r="K351" s="3511">
        <v>0</v>
      </c>
      <c r="L351" s="3163"/>
      <c r="M351" s="1885"/>
      <c r="N351" s="1885"/>
      <c r="O351" s="1885"/>
      <c r="P351" s="1885"/>
      <c r="Q351" s="1863"/>
      <c r="R351" s="3875"/>
    </row>
    <row r="352" spans="1:18">
      <c r="A352" s="3508" t="str">
        <f>'Contact Information'!A65</f>
        <v>SANTA FE COLLEGE</v>
      </c>
      <c r="B352" s="3140">
        <v>0</v>
      </c>
      <c r="C352" s="3140">
        <v>0</v>
      </c>
      <c r="D352" s="3140">
        <v>0</v>
      </c>
      <c r="E352" s="3140">
        <v>0</v>
      </c>
      <c r="F352" s="3140">
        <v>0</v>
      </c>
      <c r="G352" s="3140">
        <v>0</v>
      </c>
      <c r="H352" s="3142">
        <v>0</v>
      </c>
      <c r="I352" s="3140">
        <v>0</v>
      </c>
      <c r="J352" s="3872">
        <v>0</v>
      </c>
      <c r="K352" s="3511">
        <v>341622</v>
      </c>
      <c r="L352" s="3163"/>
      <c r="M352" s="1885"/>
      <c r="N352" s="1885"/>
      <c r="O352" s="1885"/>
      <c r="P352" s="1885"/>
      <c r="Q352" s="1863"/>
      <c r="R352" s="3875"/>
    </row>
    <row r="353" spans="1:18">
      <c r="A353" s="3508" t="str">
        <f>'Contact Information'!A66</f>
        <v>SEMINOLE STATE COLLEGE OF FLORIDA</v>
      </c>
      <c r="B353" s="3140">
        <v>0</v>
      </c>
      <c r="C353" s="3140">
        <v>0</v>
      </c>
      <c r="D353" s="3140">
        <v>0</v>
      </c>
      <c r="E353" s="3140">
        <v>0</v>
      </c>
      <c r="F353" s="3140">
        <v>0</v>
      </c>
      <c r="G353" s="3140">
        <v>0</v>
      </c>
      <c r="H353" s="3142">
        <v>0</v>
      </c>
      <c r="I353" s="3140">
        <v>0</v>
      </c>
      <c r="J353" s="3872">
        <v>0</v>
      </c>
      <c r="K353" s="3511">
        <v>0</v>
      </c>
      <c r="L353" s="3163"/>
      <c r="M353" s="1885"/>
      <c r="N353" s="1885"/>
      <c r="O353" s="1885"/>
      <c r="P353" s="1885"/>
      <c r="Q353" s="1863"/>
      <c r="R353" s="3875"/>
    </row>
    <row r="354" spans="1:18">
      <c r="A354" s="3508" t="str">
        <f>'Contact Information'!A67</f>
        <v>SOUTH FLORIDA STATE COLLEGE</v>
      </c>
      <c r="B354" s="3140">
        <v>0</v>
      </c>
      <c r="C354" s="3140">
        <v>0</v>
      </c>
      <c r="D354" s="3140">
        <v>0</v>
      </c>
      <c r="E354" s="3140">
        <v>0</v>
      </c>
      <c r="F354" s="3140">
        <v>0</v>
      </c>
      <c r="G354" s="3140">
        <v>0</v>
      </c>
      <c r="H354" s="3142">
        <v>0</v>
      </c>
      <c r="I354" s="3140">
        <v>0</v>
      </c>
      <c r="J354" s="3872">
        <v>0</v>
      </c>
      <c r="K354" s="3511">
        <v>0</v>
      </c>
      <c r="L354" s="3163"/>
      <c r="M354" s="1885"/>
      <c r="N354" s="1885"/>
      <c r="O354" s="1885"/>
      <c r="P354" s="1885"/>
      <c r="Q354" s="1863"/>
      <c r="R354" s="3875"/>
    </row>
    <row r="355" spans="1:18">
      <c r="A355" s="3508" t="str">
        <f>'Contact Information'!A68</f>
        <v>ST. JOHNS RIVER STATE COLLEGE</v>
      </c>
      <c r="B355" s="3140">
        <v>0</v>
      </c>
      <c r="C355" s="3140">
        <v>0</v>
      </c>
      <c r="D355" s="3140">
        <v>0</v>
      </c>
      <c r="E355" s="3140">
        <v>0</v>
      </c>
      <c r="F355" s="3140">
        <v>0</v>
      </c>
      <c r="G355" s="3140">
        <v>0</v>
      </c>
      <c r="H355" s="3142">
        <v>0</v>
      </c>
      <c r="I355" s="3140">
        <v>0</v>
      </c>
      <c r="J355" s="3872">
        <v>0</v>
      </c>
      <c r="K355" s="3511">
        <v>92128</v>
      </c>
      <c r="L355" s="3163"/>
      <c r="M355" s="1885"/>
      <c r="N355" s="1885"/>
      <c r="O355" s="1885"/>
      <c r="P355" s="1885"/>
      <c r="Q355" s="1863"/>
      <c r="R355" s="3875"/>
    </row>
    <row r="356" spans="1:18">
      <c r="A356" s="3508" t="str">
        <f>'Contact Information'!A69</f>
        <v>ST. PETERSBURG COLLEGE</v>
      </c>
      <c r="B356" s="3140">
        <v>0</v>
      </c>
      <c r="C356" s="3140">
        <v>0</v>
      </c>
      <c r="D356" s="3140">
        <v>0</v>
      </c>
      <c r="E356" s="3140">
        <v>0</v>
      </c>
      <c r="F356" s="3140">
        <v>0</v>
      </c>
      <c r="G356" s="3140">
        <v>0</v>
      </c>
      <c r="H356" s="3142">
        <v>0</v>
      </c>
      <c r="I356" s="3140">
        <v>0</v>
      </c>
      <c r="J356" s="3872">
        <v>0</v>
      </c>
      <c r="K356" s="3511">
        <v>0</v>
      </c>
      <c r="L356" s="3163"/>
      <c r="M356" s="1885"/>
      <c r="N356" s="1885"/>
      <c r="O356" s="1885"/>
      <c r="P356" s="1885"/>
      <c r="Q356" s="1863"/>
      <c r="R356" s="3875"/>
    </row>
    <row r="357" spans="1:18">
      <c r="A357" s="3508" t="str">
        <f>'Contact Information'!A70</f>
        <v>STATE COLLEGE OF FLORIDA, MANATEE-SARASOTA</v>
      </c>
      <c r="B357" s="3140">
        <v>0</v>
      </c>
      <c r="C357" s="3140">
        <v>0</v>
      </c>
      <c r="D357" s="3140">
        <v>0</v>
      </c>
      <c r="E357" s="3140">
        <v>0</v>
      </c>
      <c r="F357" s="3140">
        <v>0</v>
      </c>
      <c r="G357" s="3140">
        <v>0</v>
      </c>
      <c r="H357" s="3142">
        <v>0</v>
      </c>
      <c r="I357" s="3140">
        <v>0</v>
      </c>
      <c r="J357" s="3872">
        <v>0</v>
      </c>
      <c r="K357" s="3511">
        <v>0</v>
      </c>
      <c r="L357" s="3163"/>
      <c r="M357" s="1885"/>
      <c r="N357" s="1885"/>
      <c r="O357" s="1885"/>
      <c r="P357" s="1885"/>
      <c r="Q357" s="1863"/>
      <c r="R357" s="3875"/>
    </row>
    <row r="358" spans="1:18">
      <c r="A358" s="3508" t="str">
        <f>'Contact Information'!A71</f>
        <v>TALLAHASSEE COMMUNITY COLLEGE</v>
      </c>
      <c r="B358" s="3140">
        <v>0</v>
      </c>
      <c r="C358" s="3140">
        <v>598881</v>
      </c>
      <c r="D358" s="3140">
        <v>0</v>
      </c>
      <c r="E358" s="3140">
        <v>0</v>
      </c>
      <c r="F358" s="3140">
        <v>0</v>
      </c>
      <c r="G358" s="3140">
        <v>0</v>
      </c>
      <c r="H358" s="3142">
        <v>0</v>
      </c>
      <c r="I358" s="3140">
        <v>0</v>
      </c>
      <c r="J358" s="3872">
        <v>0</v>
      </c>
      <c r="K358" s="3511">
        <v>0</v>
      </c>
      <c r="L358" s="3163"/>
      <c r="M358" s="1885"/>
      <c r="N358" s="1885"/>
      <c r="O358" s="1885"/>
      <c r="P358" s="1885"/>
      <c r="Q358" s="1863"/>
      <c r="R358" s="3875"/>
    </row>
    <row r="359" spans="1:18">
      <c r="A359" s="3508" t="str">
        <f>'Contact Information'!A72</f>
        <v>VALENCIA COLLEGE</v>
      </c>
      <c r="B359" s="3140">
        <v>0</v>
      </c>
      <c r="C359" s="3140">
        <v>0</v>
      </c>
      <c r="D359" s="3140">
        <v>0</v>
      </c>
      <c r="E359" s="3140">
        <v>0</v>
      </c>
      <c r="F359" s="3140">
        <v>0</v>
      </c>
      <c r="G359" s="3140">
        <v>0</v>
      </c>
      <c r="H359" s="3142">
        <v>0</v>
      </c>
      <c r="I359" s="3140">
        <v>0</v>
      </c>
      <c r="J359" s="3872">
        <v>0</v>
      </c>
      <c r="K359" s="3511">
        <v>0</v>
      </c>
      <c r="L359" s="3163"/>
      <c r="M359" s="1885"/>
      <c r="N359" s="1885"/>
      <c r="O359" s="1885"/>
      <c r="P359" s="1885"/>
      <c r="Q359" s="1863"/>
      <c r="R359" s="3875"/>
    </row>
    <row r="360" spans="1:18">
      <c r="A360" s="1768"/>
      <c r="B360" s="1885"/>
      <c r="C360" s="1885"/>
      <c r="D360" s="1885"/>
      <c r="E360" s="1885"/>
      <c r="F360" s="1885"/>
      <c r="G360" s="1885"/>
      <c r="H360" s="3116"/>
      <c r="I360" s="4263"/>
      <c r="J360" s="1885"/>
      <c r="K360" s="1885"/>
      <c r="L360" s="1885"/>
      <c r="M360" s="1885"/>
      <c r="N360" s="1885"/>
      <c r="O360" s="1863"/>
      <c r="P360" s="1863"/>
      <c r="Q360" s="1863"/>
      <c r="R360" s="1863"/>
    </row>
    <row r="362" spans="1:18" s="1741" customFormat="1">
      <c r="H362" s="3126"/>
      <c r="I362" s="4251"/>
    </row>
    <row r="363" spans="1:18">
      <c r="A363" s="1918" t="s">
        <v>4095</v>
      </c>
      <c r="B363" s="1863"/>
      <c r="C363" s="1863"/>
      <c r="D363" s="1863"/>
      <c r="E363" s="1863"/>
      <c r="F363" s="1863"/>
      <c r="G363" s="1863"/>
      <c r="J363" s="1863"/>
      <c r="K363" s="1863"/>
      <c r="L363" s="1863"/>
      <c r="M363" s="1863"/>
      <c r="N363" s="1863"/>
      <c r="O363" s="1863"/>
      <c r="P363" s="1863"/>
      <c r="Q363" s="1863"/>
      <c r="R363" s="1863"/>
    </row>
    <row r="364" spans="1:18">
      <c r="A364" s="3513" t="s">
        <v>3950</v>
      </c>
      <c r="B364" s="3467">
        <v>2</v>
      </c>
      <c r="C364" s="3467">
        <v>3</v>
      </c>
      <c r="D364" s="1863"/>
      <c r="E364" s="1863"/>
      <c r="F364" s="1863"/>
      <c r="G364" s="1863"/>
      <c r="J364" s="1863"/>
      <c r="K364" s="1863"/>
      <c r="L364" s="1863"/>
      <c r="M364" s="1863"/>
      <c r="N364" s="1863"/>
      <c r="O364" s="1863"/>
      <c r="P364" s="1863"/>
      <c r="Q364" s="1863"/>
      <c r="R364" s="1863"/>
    </row>
    <row r="365" spans="1:18">
      <c r="A365" s="3467" t="s">
        <v>3951</v>
      </c>
      <c r="B365" s="3467">
        <v>387</v>
      </c>
      <c r="C365" s="3467">
        <v>487</v>
      </c>
      <c r="D365" s="1863"/>
      <c r="E365" s="1863"/>
      <c r="F365" s="1863"/>
      <c r="G365" s="1863"/>
      <c r="J365" s="1863"/>
      <c r="K365" s="1863"/>
      <c r="L365" s="1863"/>
      <c r="M365" s="1863"/>
      <c r="N365" s="1863"/>
      <c r="O365" s="1863"/>
      <c r="P365" s="1863"/>
      <c r="Q365" s="1863"/>
      <c r="R365" s="1863"/>
    </row>
    <row r="366" spans="1:18">
      <c r="A366" s="3514" t="s">
        <v>120</v>
      </c>
      <c r="B366" s="3515">
        <v>0</v>
      </c>
      <c r="C366" s="3515">
        <v>0</v>
      </c>
      <c r="D366" s="1789"/>
      <c r="E366" s="1863"/>
      <c r="F366" s="1863"/>
      <c r="G366" s="1863"/>
      <c r="J366" s="1863"/>
      <c r="K366" s="1863"/>
      <c r="L366" s="1863"/>
      <c r="M366" s="1863"/>
      <c r="N366" s="1863"/>
      <c r="O366" s="1863"/>
      <c r="P366" s="1863"/>
      <c r="Q366" s="1863"/>
      <c r="R366" s="1863"/>
    </row>
    <row r="367" spans="1:18">
      <c r="A367" s="3514" t="s">
        <v>122</v>
      </c>
      <c r="B367" s="3515">
        <v>0</v>
      </c>
      <c r="C367" s="3515">
        <v>0</v>
      </c>
      <c r="D367" s="1789"/>
      <c r="E367" s="1863"/>
      <c r="F367" s="1863"/>
      <c r="G367" s="1863"/>
      <c r="J367" s="1863"/>
      <c r="K367" s="1863"/>
      <c r="L367" s="1863"/>
      <c r="M367" s="1863"/>
      <c r="N367" s="1863"/>
      <c r="O367" s="1863"/>
      <c r="P367" s="1863"/>
      <c r="Q367" s="1863"/>
      <c r="R367" s="1863"/>
    </row>
    <row r="368" spans="1:18">
      <c r="A368" s="3514" t="s">
        <v>124</v>
      </c>
      <c r="B368" s="3515">
        <v>0</v>
      </c>
      <c r="C368" s="3515">
        <v>0</v>
      </c>
      <c r="D368" s="1789"/>
      <c r="E368" s="1863"/>
      <c r="F368" s="1863"/>
      <c r="G368" s="1863"/>
      <c r="J368" s="1863"/>
      <c r="K368" s="1863"/>
      <c r="L368" s="1863"/>
      <c r="M368" s="1863"/>
      <c r="N368" s="1863"/>
      <c r="O368" s="1863"/>
      <c r="P368" s="1863"/>
      <c r="Q368" s="1863"/>
      <c r="R368" s="1863"/>
    </row>
    <row r="369" spans="1:9">
      <c r="A369" s="3514" t="s">
        <v>126</v>
      </c>
      <c r="B369" s="3515">
        <v>0</v>
      </c>
      <c r="C369" s="3515">
        <v>0</v>
      </c>
      <c r="D369" s="1789"/>
      <c r="E369" s="1863"/>
      <c r="F369" s="1863"/>
      <c r="G369" s="1863"/>
    </row>
    <row r="370" spans="1:9">
      <c r="A370" s="3514" t="s">
        <v>128</v>
      </c>
      <c r="B370" s="3515">
        <v>755725</v>
      </c>
      <c r="C370" s="3515">
        <v>2044713</v>
      </c>
      <c r="D370" s="1789"/>
      <c r="E370" s="393"/>
      <c r="F370" s="1863"/>
      <c r="G370" s="1863"/>
    </row>
    <row r="371" spans="1:9">
      <c r="A371" s="3514" t="s">
        <v>130</v>
      </c>
      <c r="B371" s="3515">
        <v>0</v>
      </c>
      <c r="C371" s="3515">
        <v>0</v>
      </c>
      <c r="D371" s="1789"/>
      <c r="E371" s="393"/>
      <c r="F371" s="1863"/>
      <c r="G371" s="1863"/>
    </row>
    <row r="372" spans="1:9">
      <c r="A372" s="3514" t="s">
        <v>132</v>
      </c>
      <c r="B372" s="3515">
        <v>53135</v>
      </c>
      <c r="C372" s="3515">
        <v>154046</v>
      </c>
      <c r="D372" s="1789"/>
      <c r="E372" s="393"/>
      <c r="F372" s="1863"/>
      <c r="G372" s="1863"/>
    </row>
    <row r="373" spans="1:9">
      <c r="A373" s="3514" t="s">
        <v>763</v>
      </c>
      <c r="B373" s="3515">
        <v>0</v>
      </c>
      <c r="C373" s="3515">
        <v>0</v>
      </c>
      <c r="D373" s="1789"/>
      <c r="E373" s="393"/>
      <c r="F373" s="1863"/>
      <c r="G373" s="1863"/>
    </row>
    <row r="374" spans="1:9">
      <c r="A374" s="3514" t="s">
        <v>136</v>
      </c>
      <c r="B374" s="3515">
        <v>1377134</v>
      </c>
      <c r="C374" s="3515">
        <v>17482477</v>
      </c>
      <c r="D374" s="1789"/>
      <c r="E374" s="393"/>
      <c r="F374" s="1863"/>
      <c r="G374" s="1863"/>
    </row>
    <row r="375" spans="1:9">
      <c r="A375" s="3514" t="s">
        <v>138</v>
      </c>
      <c r="B375" s="3515">
        <v>0</v>
      </c>
      <c r="C375" s="3515">
        <v>0</v>
      </c>
      <c r="D375" s="1789"/>
      <c r="E375" s="393"/>
      <c r="F375" s="1863"/>
      <c r="G375" s="1863"/>
    </row>
    <row r="376" spans="1:9">
      <c r="A376" s="3514" t="s">
        <v>140</v>
      </c>
      <c r="B376" s="3515">
        <v>0</v>
      </c>
      <c r="C376" s="3515">
        <v>0</v>
      </c>
      <c r="D376" s="1789"/>
      <c r="E376" s="393"/>
      <c r="F376" s="1863"/>
      <c r="G376" s="1863"/>
    </row>
    <row r="377" spans="1:9">
      <c r="A377" s="3514" t="s">
        <v>142</v>
      </c>
      <c r="B377" s="3515">
        <v>121431</v>
      </c>
      <c r="C377" s="3515">
        <v>115908</v>
      </c>
      <c r="D377" s="1789"/>
      <c r="E377" s="393"/>
      <c r="F377" s="1863"/>
      <c r="G377" s="1863"/>
    </row>
    <row r="378" spans="1:9">
      <c r="A378" s="3514" t="s">
        <v>144</v>
      </c>
      <c r="B378" s="3515">
        <v>0</v>
      </c>
      <c r="C378" s="3515">
        <v>0</v>
      </c>
      <c r="D378" s="1789"/>
      <c r="E378" s="393"/>
      <c r="F378" s="1863"/>
      <c r="G378" s="1863"/>
    </row>
    <row r="379" spans="1:9">
      <c r="A379" s="3514" t="s">
        <v>146</v>
      </c>
      <c r="B379" s="3515">
        <v>0</v>
      </c>
      <c r="C379" s="3515">
        <v>0</v>
      </c>
      <c r="D379" s="1789"/>
      <c r="E379" s="393"/>
      <c r="F379" s="1863"/>
      <c r="G379" s="1863"/>
    </row>
    <row r="380" spans="1:9">
      <c r="A380" s="3514" t="s">
        <v>764</v>
      </c>
      <c r="B380" s="3515">
        <v>0</v>
      </c>
      <c r="C380" s="3515">
        <v>0</v>
      </c>
      <c r="D380" s="1789"/>
      <c r="E380" s="393"/>
      <c r="F380" s="1863"/>
      <c r="G380" s="1863"/>
    </row>
    <row r="381" spans="1:9">
      <c r="A381" s="3514" t="s">
        <v>150</v>
      </c>
      <c r="B381" s="3515">
        <v>35365</v>
      </c>
      <c r="C381" s="3515">
        <v>96517</v>
      </c>
      <c r="D381" s="1789"/>
      <c r="E381" s="393"/>
      <c r="F381" s="1863"/>
      <c r="G381" s="1863"/>
    </row>
    <row r="382" spans="1:9">
      <c r="A382" s="3514" t="s">
        <v>152</v>
      </c>
      <c r="B382" s="3515">
        <v>0</v>
      </c>
      <c r="C382" s="3515">
        <v>0</v>
      </c>
      <c r="D382" s="1789"/>
      <c r="E382" s="393"/>
      <c r="F382" s="1863"/>
      <c r="G382" s="1863"/>
    </row>
    <row r="383" spans="1:9">
      <c r="A383" s="3514" t="s">
        <v>154</v>
      </c>
      <c r="B383" s="3515">
        <v>0</v>
      </c>
      <c r="C383" s="3515">
        <v>0</v>
      </c>
      <c r="D383" s="1789"/>
      <c r="E383" s="393"/>
      <c r="F383" s="1863"/>
      <c r="G383" s="1863"/>
    </row>
    <row r="384" spans="1:9" s="1863" customFormat="1">
      <c r="A384" s="3514" t="s">
        <v>156</v>
      </c>
      <c r="B384" s="3515">
        <v>0</v>
      </c>
      <c r="C384" s="3515">
        <v>0</v>
      </c>
      <c r="D384" s="1789"/>
      <c r="E384" s="393"/>
      <c r="H384" s="3124"/>
      <c r="I384" s="4248"/>
    </row>
    <row r="385" spans="1:170" s="1863" customFormat="1">
      <c r="A385" s="3514" t="s">
        <v>158</v>
      </c>
      <c r="B385" s="3515">
        <v>0</v>
      </c>
      <c r="C385" s="3515">
        <v>0</v>
      </c>
      <c r="D385" s="1789"/>
      <c r="E385" s="393"/>
      <c r="H385" s="3124"/>
      <c r="I385" s="4248"/>
    </row>
    <row r="386" spans="1:170" s="1863" customFormat="1">
      <c r="A386" s="3514" t="s">
        <v>160</v>
      </c>
      <c r="B386" s="3515">
        <v>0</v>
      </c>
      <c r="C386" s="3515">
        <v>0</v>
      </c>
      <c r="D386" s="1789"/>
      <c r="E386" s="393"/>
      <c r="H386" s="3124"/>
      <c r="I386" s="4248"/>
    </row>
    <row r="387" spans="1:170" s="1863" customFormat="1">
      <c r="A387" s="3514" t="s">
        <v>162</v>
      </c>
      <c r="B387" s="3515">
        <v>294267</v>
      </c>
      <c r="C387" s="3515">
        <v>1115687</v>
      </c>
      <c r="D387" s="1789"/>
      <c r="E387" s="393"/>
      <c r="H387" s="3124"/>
      <c r="I387" s="4248"/>
    </row>
    <row r="388" spans="1:170" s="1863" customFormat="1">
      <c r="A388" s="3514" t="s">
        <v>164</v>
      </c>
      <c r="B388" s="3515">
        <v>0</v>
      </c>
      <c r="C388" s="3515">
        <v>0</v>
      </c>
      <c r="D388" s="1789"/>
      <c r="E388" s="393"/>
      <c r="H388" s="3124"/>
      <c r="I388" s="4248"/>
    </row>
    <row r="389" spans="1:170" s="1863" customFormat="1">
      <c r="A389" s="3514" t="s">
        <v>166</v>
      </c>
      <c r="B389" s="3515">
        <v>0</v>
      </c>
      <c r="C389" s="3515">
        <v>0</v>
      </c>
      <c r="D389" s="1789"/>
      <c r="E389" s="393"/>
      <c r="H389" s="3124"/>
      <c r="I389" s="4248"/>
    </row>
    <row r="390" spans="1:170" s="1863" customFormat="1">
      <c r="A390" s="3514" t="s">
        <v>168</v>
      </c>
      <c r="B390" s="3515">
        <v>533114</v>
      </c>
      <c r="C390" s="3515">
        <v>2063627</v>
      </c>
      <c r="D390" s="1789"/>
      <c r="E390" s="393"/>
      <c r="H390" s="3124"/>
      <c r="I390" s="4248"/>
    </row>
    <row r="391" spans="1:170" s="1863" customFormat="1">
      <c r="A391" s="3514" t="s">
        <v>170</v>
      </c>
      <c r="B391" s="3515">
        <v>0</v>
      </c>
      <c r="C391" s="3515">
        <v>0</v>
      </c>
      <c r="D391" s="1789"/>
      <c r="E391" s="393"/>
      <c r="H391" s="3124"/>
      <c r="I391" s="4248"/>
    </row>
    <row r="392" spans="1:170" s="1863" customFormat="1">
      <c r="A392" s="3514" t="s">
        <v>172</v>
      </c>
      <c r="B392" s="3515">
        <v>399153</v>
      </c>
      <c r="C392" s="3515">
        <v>5848150</v>
      </c>
      <c r="D392" s="1789"/>
      <c r="E392" s="393"/>
      <c r="H392" s="3124"/>
      <c r="I392" s="4248"/>
    </row>
    <row r="393" spans="1:170" s="1863" customFormat="1">
      <c r="A393" s="3514" t="s">
        <v>174</v>
      </c>
      <c r="B393" s="3515">
        <v>395261</v>
      </c>
      <c r="C393" s="3515">
        <v>14442947</v>
      </c>
      <c r="D393" s="1789"/>
      <c r="E393" s="393"/>
      <c r="H393" s="3124"/>
      <c r="I393" s="4248"/>
    </row>
    <row r="394" spans="1:170">
      <c r="A394" s="1863"/>
      <c r="B394" s="1863"/>
      <c r="C394" s="1863"/>
      <c r="D394" s="393"/>
      <c r="E394" s="393"/>
      <c r="F394" s="1863"/>
      <c r="G394" s="1863"/>
      <c r="J394" s="1863"/>
      <c r="K394" s="1863"/>
      <c r="L394" s="1863"/>
      <c r="M394" s="1863"/>
      <c r="N394" s="1863"/>
      <c r="O394" s="1863"/>
      <c r="P394" s="1863"/>
      <c r="Q394" s="1863"/>
      <c r="R394" s="1863"/>
      <c r="S394" s="1863"/>
      <c r="T394" s="1863"/>
      <c r="U394" s="1863"/>
      <c r="V394" s="1863"/>
      <c r="W394" s="1863"/>
      <c r="X394" s="1863"/>
      <c r="Y394" s="1863"/>
      <c r="Z394" s="1863"/>
      <c r="AA394" s="1863"/>
      <c r="AB394" s="1863"/>
      <c r="AC394" s="1863"/>
      <c r="AD394" s="1863"/>
      <c r="AE394" s="1863"/>
      <c r="AF394" s="1863"/>
      <c r="AG394" s="1863"/>
      <c r="AH394" s="1863"/>
      <c r="AI394" s="1863"/>
      <c r="AJ394" s="1863"/>
      <c r="AK394" s="1863"/>
      <c r="AL394" s="1863"/>
      <c r="AM394" s="1863"/>
      <c r="AN394" s="1863"/>
      <c r="AO394" s="1863"/>
      <c r="AP394" s="1863"/>
      <c r="AQ394" s="1863"/>
      <c r="AR394" s="1863"/>
      <c r="AS394" s="1863"/>
      <c r="AT394" s="1863"/>
      <c r="AU394" s="1863"/>
      <c r="AV394" s="1863"/>
      <c r="AW394" s="1863"/>
      <c r="AX394" s="1863"/>
      <c r="AY394" s="1863"/>
      <c r="AZ394" s="1863"/>
      <c r="BA394" s="1863"/>
      <c r="BB394" s="1863"/>
      <c r="BC394" s="1863"/>
      <c r="BD394" s="1863"/>
      <c r="BE394" s="1863"/>
      <c r="BF394" s="1863"/>
      <c r="BG394" s="1863"/>
      <c r="BH394" s="1863"/>
      <c r="BI394" s="1863"/>
      <c r="BJ394" s="1863"/>
      <c r="BK394" s="1863"/>
      <c r="BL394" s="1863"/>
      <c r="BM394" s="1863"/>
      <c r="BN394" s="1863"/>
      <c r="BO394" s="1863"/>
      <c r="BP394" s="1863"/>
      <c r="BQ394" s="1863"/>
      <c r="BR394" s="1863"/>
      <c r="BS394" s="1863"/>
      <c r="BT394" s="1863"/>
      <c r="BU394" s="1863"/>
      <c r="BV394" s="1863"/>
      <c r="BW394" s="1863"/>
      <c r="BX394" s="1863"/>
      <c r="BY394" s="1863"/>
      <c r="BZ394" s="1863"/>
      <c r="CA394" s="1863"/>
      <c r="CB394" s="1863"/>
      <c r="CC394" s="1863"/>
      <c r="CD394" s="1863"/>
      <c r="CE394" s="1863"/>
      <c r="CF394" s="1863"/>
      <c r="CG394" s="1863"/>
      <c r="CH394" s="1863"/>
      <c r="CI394" s="1863"/>
      <c r="CJ394" s="1863"/>
      <c r="CK394" s="1863"/>
      <c r="CL394" s="1863"/>
      <c r="CM394" s="1863"/>
      <c r="CN394" s="1863"/>
      <c r="CO394" s="1863"/>
      <c r="CP394" s="1863"/>
      <c r="CQ394" s="1863"/>
      <c r="CR394" s="1863"/>
      <c r="CS394" s="1863"/>
      <c r="CT394" s="1863"/>
      <c r="CU394" s="1863"/>
      <c r="CV394" s="1863"/>
      <c r="CW394" s="1863"/>
      <c r="CX394" s="1863"/>
      <c r="CY394" s="1863"/>
      <c r="CZ394" s="1863"/>
      <c r="DA394" s="1863"/>
      <c r="DB394" s="1863"/>
      <c r="DC394" s="1863"/>
      <c r="DD394" s="1863"/>
      <c r="DE394" s="1863"/>
      <c r="DF394" s="1863"/>
      <c r="DG394" s="1863"/>
      <c r="DH394" s="1863"/>
      <c r="DI394" s="1863"/>
      <c r="DJ394" s="1863"/>
      <c r="DK394" s="1863"/>
      <c r="DL394" s="1863"/>
      <c r="DM394" s="1863"/>
      <c r="DN394" s="1863"/>
      <c r="DO394" s="1863"/>
      <c r="DP394" s="1863"/>
      <c r="DQ394" s="1863"/>
      <c r="DR394" s="1863"/>
      <c r="DS394" s="1863"/>
      <c r="DT394" s="1863"/>
      <c r="DU394" s="1863"/>
      <c r="DV394" s="1863"/>
      <c r="DW394" s="1863"/>
      <c r="DX394" s="1863"/>
      <c r="DY394" s="1863"/>
      <c r="DZ394" s="1863"/>
      <c r="EA394" s="1863"/>
      <c r="EB394" s="1863"/>
      <c r="EC394" s="1863"/>
      <c r="ED394" s="1863"/>
      <c r="EE394" s="1863"/>
      <c r="EF394" s="1863"/>
      <c r="EG394" s="1863"/>
      <c r="EH394" s="1863"/>
      <c r="EI394" s="1863"/>
      <c r="EJ394" s="1863"/>
      <c r="EK394" s="1863"/>
      <c r="EL394" s="1863"/>
      <c r="EM394" s="1863"/>
      <c r="EN394" s="1863"/>
      <c r="EO394" s="1863"/>
      <c r="EP394" s="1863"/>
      <c r="EQ394" s="1863"/>
      <c r="ER394" s="1863"/>
      <c r="ES394" s="1863"/>
      <c r="ET394" s="1863"/>
      <c r="EU394" s="1863"/>
      <c r="EV394" s="1863"/>
      <c r="EW394" s="1863"/>
      <c r="EX394" s="1863"/>
      <c r="EY394" s="1863"/>
      <c r="EZ394" s="1863"/>
      <c r="FA394" s="1863"/>
      <c r="FB394" s="1863"/>
      <c r="FC394" s="1863"/>
      <c r="FD394" s="1863"/>
      <c r="FE394" s="1863"/>
      <c r="FF394" s="1863"/>
      <c r="FG394" s="1863"/>
      <c r="FH394" s="1863"/>
      <c r="FI394" s="1863"/>
      <c r="FJ394" s="1863"/>
      <c r="FK394" s="1863"/>
      <c r="FL394" s="1863"/>
      <c r="FM394" s="1863"/>
      <c r="FN394" s="1863"/>
    </row>
    <row r="395" spans="1:170" s="1733" customFormat="1">
      <c r="A395" s="1741"/>
      <c r="B395" s="1741"/>
      <c r="C395" s="1741"/>
      <c r="D395" s="1741"/>
      <c r="E395" s="1741"/>
      <c r="F395" s="1741"/>
      <c r="G395" s="1741"/>
      <c r="H395" s="3126"/>
      <c r="I395" s="4251"/>
      <c r="J395" s="1741"/>
      <c r="K395" s="1741"/>
      <c r="L395" s="1741"/>
      <c r="M395" s="1741"/>
      <c r="N395" s="1741"/>
      <c r="O395" s="1741"/>
      <c r="P395" s="1741"/>
      <c r="Q395" s="1741"/>
      <c r="R395" s="1741"/>
      <c r="S395" s="1741"/>
      <c r="T395" s="1741"/>
      <c r="U395" s="1741"/>
      <c r="V395" s="1741"/>
      <c r="W395" s="1741"/>
      <c r="X395" s="1741"/>
      <c r="Y395" s="1741"/>
      <c r="Z395" s="1741"/>
      <c r="AA395" s="1741"/>
      <c r="AB395" s="1741"/>
      <c r="AC395" s="1741"/>
      <c r="AD395" s="1741"/>
      <c r="AE395" s="1741"/>
      <c r="AF395" s="1741"/>
      <c r="AG395" s="1741"/>
      <c r="AH395" s="1741"/>
      <c r="AI395" s="1741"/>
      <c r="AJ395" s="1741"/>
      <c r="AK395" s="1741"/>
      <c r="AL395" s="1741"/>
      <c r="AM395" s="1741"/>
      <c r="AN395" s="1741"/>
      <c r="AO395" s="1741"/>
      <c r="AP395" s="1741"/>
      <c r="AQ395" s="1741"/>
      <c r="AR395" s="1741"/>
      <c r="AS395" s="1741"/>
      <c r="AT395" s="1741"/>
      <c r="AU395" s="1741"/>
      <c r="AV395" s="1741"/>
      <c r="AW395" s="1741"/>
      <c r="AX395" s="1741"/>
      <c r="AY395" s="1741"/>
      <c r="AZ395" s="1741"/>
      <c r="BA395" s="1741"/>
      <c r="BB395" s="1741"/>
      <c r="BC395" s="1741"/>
      <c r="BD395" s="1741"/>
      <c r="BE395" s="1741"/>
      <c r="BF395" s="1741"/>
      <c r="BG395" s="1741"/>
      <c r="BH395" s="1741"/>
      <c r="BI395" s="1741"/>
      <c r="BJ395" s="1741"/>
      <c r="BK395" s="1741"/>
      <c r="BL395" s="1741"/>
      <c r="BM395" s="1741"/>
      <c r="BN395" s="1741"/>
      <c r="BO395" s="1741"/>
      <c r="BP395" s="1741"/>
      <c r="BQ395" s="1741"/>
      <c r="BR395" s="1741"/>
      <c r="BS395" s="1741"/>
      <c r="BT395" s="1741"/>
      <c r="BU395" s="1741"/>
      <c r="BV395" s="1741"/>
      <c r="BW395" s="1741"/>
      <c r="BX395" s="1741"/>
      <c r="BY395" s="1741"/>
      <c r="BZ395" s="1741"/>
      <c r="CA395" s="1741"/>
      <c r="CB395" s="1741"/>
      <c r="CC395" s="1741"/>
      <c r="CD395" s="1741"/>
      <c r="CE395" s="1741"/>
      <c r="CF395" s="1741"/>
      <c r="CG395" s="1741"/>
      <c r="CH395" s="1741"/>
      <c r="CI395" s="1741"/>
      <c r="CJ395" s="1741"/>
      <c r="CK395" s="1741"/>
      <c r="CL395" s="1741"/>
      <c r="CM395" s="1741"/>
      <c r="CN395" s="1741"/>
      <c r="CO395" s="1741"/>
      <c r="CP395" s="1741"/>
      <c r="CQ395" s="1741"/>
      <c r="CR395" s="1741"/>
      <c r="CS395" s="1741"/>
      <c r="CT395" s="1741"/>
      <c r="CU395" s="1741"/>
      <c r="CV395" s="1741"/>
      <c r="CW395" s="1741"/>
      <c r="CX395" s="1741"/>
      <c r="CY395" s="1741"/>
      <c r="CZ395" s="1741"/>
      <c r="DA395" s="1741"/>
      <c r="DB395" s="1741"/>
      <c r="DC395" s="1741"/>
      <c r="DD395" s="1741"/>
      <c r="DE395" s="1741"/>
      <c r="DF395" s="1741"/>
      <c r="DG395" s="1741"/>
      <c r="DH395" s="1741"/>
      <c r="DI395" s="1741"/>
      <c r="DJ395" s="1741"/>
      <c r="DK395" s="1741"/>
      <c r="DL395" s="1741"/>
      <c r="DM395" s="1741"/>
      <c r="DN395" s="1741"/>
      <c r="DO395" s="1741"/>
      <c r="DP395" s="1741"/>
      <c r="DQ395" s="1741"/>
      <c r="DR395" s="1741"/>
    </row>
    <row r="396" spans="1:170">
      <c r="A396" s="1863"/>
      <c r="B396" s="1863"/>
      <c r="C396" s="1863"/>
      <c r="D396" s="1863"/>
      <c r="E396" s="1863"/>
      <c r="F396" s="1863"/>
      <c r="G396" s="1863"/>
      <c r="J396" s="1863"/>
      <c r="K396" s="1863"/>
      <c r="L396" s="1863"/>
      <c r="M396" s="1863"/>
      <c r="N396" s="1863"/>
      <c r="O396" s="1863"/>
      <c r="P396" s="1863"/>
      <c r="Q396" s="1863"/>
      <c r="R396" s="1863"/>
      <c r="S396" s="1863"/>
      <c r="T396" s="1863"/>
      <c r="U396" s="1863"/>
      <c r="V396" s="1863"/>
      <c r="W396" s="1789"/>
      <c r="X396" s="1863"/>
      <c r="Y396" s="1863"/>
      <c r="Z396" s="1863"/>
      <c r="AA396" s="1863"/>
      <c r="AB396" s="1863"/>
      <c r="AC396" s="1863"/>
      <c r="AD396" s="1863"/>
      <c r="AE396" s="1863"/>
      <c r="AF396" s="1863"/>
      <c r="AG396" s="1863"/>
      <c r="AH396" s="1863"/>
      <c r="AI396" s="1863"/>
      <c r="AJ396" s="1863"/>
      <c r="AK396" s="1863"/>
      <c r="AL396" s="1863"/>
      <c r="AM396" s="1863"/>
      <c r="AN396" s="1863"/>
      <c r="AO396" s="1863"/>
      <c r="AP396" s="1863"/>
      <c r="AQ396" s="1863"/>
      <c r="AR396" s="1863"/>
      <c r="AS396" s="1863"/>
      <c r="AT396" s="1863"/>
      <c r="AU396" s="1863"/>
      <c r="AV396" s="1863"/>
      <c r="AW396" s="1863"/>
      <c r="AX396" s="1863"/>
      <c r="AY396" s="1863"/>
      <c r="AZ396" s="1863"/>
      <c r="BA396" s="1863"/>
      <c r="BB396" s="1863"/>
      <c r="BC396" s="1863"/>
      <c r="BD396" s="1863"/>
      <c r="BE396" s="1863"/>
      <c r="BF396" s="1863"/>
      <c r="BG396" s="1863"/>
      <c r="BH396" s="1863"/>
      <c r="BI396" s="1863"/>
      <c r="BJ396" s="1863"/>
      <c r="BK396" s="1863"/>
      <c r="BL396" s="1863"/>
      <c r="BM396" s="1863"/>
      <c r="BN396" s="1863"/>
      <c r="BO396" s="1863"/>
      <c r="BP396" s="1863"/>
      <c r="BQ396" s="1863"/>
      <c r="BR396" s="1863"/>
      <c r="BS396" s="1863"/>
      <c r="BT396" s="1863"/>
      <c r="BU396" s="1863"/>
      <c r="BV396" s="1863"/>
      <c r="BW396" s="1863"/>
      <c r="BX396" s="1863"/>
      <c r="BY396" s="1863"/>
      <c r="BZ396" s="1863"/>
      <c r="CA396" s="1863"/>
      <c r="CB396" s="1863"/>
      <c r="CC396" s="1863"/>
      <c r="CD396" s="1863"/>
      <c r="CE396" s="1863"/>
      <c r="CF396" s="1863"/>
      <c r="CG396" s="1863"/>
      <c r="CH396" s="1863"/>
      <c r="CI396" s="1863"/>
      <c r="CJ396" s="1863"/>
      <c r="CK396" s="1863"/>
      <c r="CL396" s="1863"/>
      <c r="CM396" s="1863"/>
      <c r="CN396" s="1863"/>
      <c r="CO396" s="1863"/>
      <c r="CP396" s="1863"/>
      <c r="CQ396" s="1863"/>
      <c r="CR396" s="1863"/>
      <c r="CS396" s="1863"/>
      <c r="CT396" s="1863"/>
      <c r="CU396" s="1863"/>
      <c r="CV396" s="1863"/>
      <c r="CW396" s="1863"/>
      <c r="CX396" s="1863"/>
      <c r="CY396" s="1863"/>
      <c r="CZ396" s="1863"/>
      <c r="DA396" s="1863"/>
      <c r="DB396" s="1863"/>
      <c r="DC396" s="1863"/>
      <c r="DD396" s="1863"/>
      <c r="DE396" s="1863"/>
      <c r="DF396" s="1863"/>
      <c r="DG396" s="1863"/>
      <c r="DH396" s="1863"/>
      <c r="DI396" s="1863"/>
      <c r="DJ396" s="1863"/>
      <c r="DK396" s="1863"/>
      <c r="DL396" s="1863"/>
      <c r="DM396" s="1863"/>
      <c r="DN396" s="1863"/>
      <c r="DO396" s="1863"/>
      <c r="DP396" s="1863"/>
      <c r="DQ396" s="1863"/>
      <c r="DR396" s="1863"/>
      <c r="DS396" s="1863"/>
      <c r="DT396" s="1863"/>
      <c r="DU396" s="1863"/>
      <c r="DV396" s="1863"/>
      <c r="DW396" s="1863"/>
      <c r="DX396" s="1863"/>
      <c r="DY396" s="1863"/>
      <c r="DZ396" s="1863"/>
      <c r="EA396" s="1863"/>
      <c r="EB396" s="1863"/>
      <c r="EC396" s="1863"/>
      <c r="ED396" s="1863"/>
      <c r="EE396" s="1863"/>
      <c r="EF396" s="1863"/>
      <c r="EG396" s="1863"/>
      <c r="EH396" s="1863"/>
      <c r="EI396" s="1863"/>
      <c r="EJ396" s="1863"/>
      <c r="EK396" s="1863"/>
      <c r="EL396" s="1863"/>
      <c r="EM396" s="1863"/>
      <c r="EN396" s="1863"/>
      <c r="EO396" s="1863"/>
      <c r="EP396" s="1863"/>
      <c r="EQ396" s="1863"/>
      <c r="ER396" s="1863"/>
      <c r="ES396" s="1863"/>
      <c r="ET396" s="1863"/>
      <c r="EU396" s="1863"/>
      <c r="EV396" s="1863"/>
      <c r="EW396" s="1863"/>
      <c r="EX396" s="1863"/>
      <c r="EY396" s="1863"/>
      <c r="EZ396" s="1863"/>
      <c r="FA396" s="1863"/>
      <c r="FB396" s="1863"/>
      <c r="FC396" s="1863"/>
      <c r="FD396" s="1863"/>
      <c r="FE396" s="1863"/>
      <c r="FF396" s="1863"/>
      <c r="FG396" s="1863"/>
      <c r="FH396" s="1863"/>
      <c r="FI396" s="1863"/>
      <c r="FJ396" s="1863"/>
      <c r="FK396" s="1863"/>
      <c r="FL396" s="1863"/>
      <c r="FM396" s="1863"/>
      <c r="FN396" s="1863"/>
    </row>
    <row r="397" spans="1:170">
      <c r="A397" s="3516" t="s">
        <v>3952</v>
      </c>
      <c r="B397" s="910"/>
      <c r="C397" s="948"/>
      <c r="D397" s="910"/>
      <c r="E397" s="910"/>
      <c r="F397" s="910"/>
      <c r="G397" s="910"/>
      <c r="H397" s="3118"/>
      <c r="I397" s="4265"/>
      <c r="J397" s="910"/>
      <c r="K397" s="910"/>
      <c r="L397" s="910"/>
      <c r="M397" s="910"/>
      <c r="N397" s="910"/>
      <c r="O397" s="910"/>
      <c r="P397" s="910"/>
      <c r="Q397" s="910"/>
      <c r="R397" s="910"/>
      <c r="S397" s="910"/>
      <c r="T397" s="910"/>
      <c r="U397" s="910"/>
      <c r="V397" s="910"/>
      <c r="W397" s="948"/>
      <c r="X397" s="910"/>
      <c r="Y397" s="910"/>
      <c r="Z397" s="910"/>
      <c r="AA397" s="910"/>
      <c r="AB397" s="910"/>
      <c r="AC397" s="910"/>
      <c r="AD397" s="910"/>
      <c r="AE397" s="910"/>
      <c r="AF397" s="910"/>
      <c r="AG397" s="910"/>
      <c r="AH397" s="910"/>
      <c r="AI397" s="910"/>
      <c r="AJ397" s="910"/>
      <c r="AK397" s="910"/>
      <c r="AL397" s="910"/>
      <c r="AM397" s="910"/>
      <c r="AN397" s="910"/>
      <c r="AO397" s="910"/>
      <c r="AP397" s="910"/>
      <c r="AQ397" s="910"/>
      <c r="AR397" s="910"/>
      <c r="AS397" s="910"/>
      <c r="AT397" s="910"/>
      <c r="AU397" s="910"/>
      <c r="AV397" s="910"/>
      <c r="AW397" s="910"/>
      <c r="AX397" s="910"/>
      <c r="AY397" s="910"/>
      <c r="AZ397" s="910"/>
      <c r="BA397" s="910"/>
      <c r="BB397" s="910"/>
      <c r="BC397" s="910"/>
      <c r="BD397" s="910"/>
      <c r="BE397" s="910"/>
      <c r="BF397" s="910"/>
      <c r="BG397" s="910"/>
      <c r="BH397" s="910"/>
      <c r="BI397" s="910"/>
      <c r="BJ397" s="910"/>
      <c r="BK397" s="910"/>
      <c r="BL397" s="910"/>
      <c r="BM397" s="910"/>
      <c r="BN397" s="910"/>
      <c r="BO397" s="910"/>
      <c r="BP397" s="910"/>
      <c r="BQ397" s="910"/>
      <c r="BR397" s="910"/>
      <c r="BS397" s="910"/>
      <c r="BT397" s="910"/>
      <c r="BU397" s="910"/>
      <c r="BV397" s="910"/>
      <c r="BW397" s="910"/>
      <c r="BX397" s="910"/>
      <c r="BY397" s="910"/>
      <c r="BZ397" s="910"/>
      <c r="CA397" s="910"/>
      <c r="CB397" s="910"/>
      <c r="CC397" s="910"/>
      <c r="CD397" s="910"/>
      <c r="CE397" s="910"/>
      <c r="CF397" s="910"/>
      <c r="CG397" s="910"/>
      <c r="CH397" s="910"/>
      <c r="CI397" s="910"/>
      <c r="CJ397" s="910"/>
      <c r="CK397" s="910"/>
      <c r="CL397" s="910"/>
      <c r="CM397" s="910"/>
      <c r="CN397" s="910"/>
      <c r="CO397" s="910"/>
      <c r="CP397" s="910"/>
      <c r="CQ397" s="910"/>
      <c r="CR397" s="910"/>
      <c r="CS397" s="910"/>
      <c r="CT397" s="910"/>
      <c r="CU397" s="910"/>
      <c r="CV397" s="910"/>
      <c r="CW397" s="910"/>
      <c r="CX397" s="910"/>
      <c r="CY397" s="910"/>
      <c r="CZ397" s="910"/>
      <c r="DA397" s="910"/>
      <c r="DB397" s="910"/>
      <c r="DC397" s="910"/>
      <c r="DD397" s="910"/>
      <c r="DE397" s="910"/>
      <c r="DF397" s="910"/>
      <c r="DG397" s="910"/>
      <c r="DH397" s="910"/>
      <c r="DI397" s="910"/>
      <c r="DJ397" s="910"/>
      <c r="DK397" s="910"/>
      <c r="DL397" s="910"/>
      <c r="DM397" s="910"/>
      <c r="DN397" s="910"/>
      <c r="DO397" s="910"/>
      <c r="DP397" s="910"/>
      <c r="DQ397" s="910"/>
      <c r="DR397" s="910"/>
      <c r="DS397" s="910"/>
      <c r="DT397" s="1863"/>
      <c r="DU397" s="1863"/>
      <c r="DV397" s="1863"/>
      <c r="DW397" s="1863"/>
      <c r="DX397" s="1863"/>
      <c r="DY397" s="1863"/>
      <c r="DZ397" s="1863"/>
      <c r="EA397" s="1863"/>
      <c r="EB397" s="1863"/>
      <c r="EC397" s="1863"/>
      <c r="ED397" s="1863"/>
      <c r="EE397" s="1863"/>
      <c r="EF397" s="1863"/>
      <c r="EG397" s="1863"/>
      <c r="EH397" s="1863"/>
      <c r="EI397" s="1863"/>
      <c r="EJ397" s="1863"/>
      <c r="EK397" s="1863"/>
      <c r="EL397" s="1863"/>
      <c r="EM397" s="1863"/>
      <c r="EN397" s="1863"/>
      <c r="EO397" s="1863"/>
      <c r="EP397" s="1863"/>
      <c r="EQ397" s="1863"/>
      <c r="ER397" s="1863"/>
      <c r="ES397" s="1863"/>
      <c r="ET397" s="1863"/>
      <c r="EU397" s="1863"/>
      <c r="EV397" s="1863"/>
      <c r="EW397" s="1863"/>
      <c r="EX397" s="1863"/>
      <c r="EY397" s="1863"/>
      <c r="EZ397" s="1863"/>
      <c r="FA397" s="1863"/>
      <c r="FB397" s="1863"/>
      <c r="FC397" s="1863"/>
      <c r="FD397" s="1863"/>
      <c r="FE397" s="1863"/>
      <c r="FF397" s="1863"/>
      <c r="FG397" s="1863"/>
      <c r="FH397" s="1863"/>
      <c r="FI397" s="1863"/>
      <c r="FJ397" s="1863"/>
      <c r="FK397" s="1863"/>
      <c r="FL397" s="1863"/>
      <c r="FM397" s="1863"/>
      <c r="FN397" s="1863"/>
    </row>
    <row r="398" spans="1:170" s="1643" customFormat="1">
      <c r="A398" s="1754" t="s">
        <v>3953</v>
      </c>
      <c r="B398" s="948"/>
      <c r="C398" s="948"/>
      <c r="D398" s="948"/>
      <c r="E398" s="948"/>
      <c r="F398" s="948"/>
      <c r="G398" s="948"/>
      <c r="H398" s="3119"/>
      <c r="I398" s="4266"/>
      <c r="J398" s="948"/>
      <c r="K398" s="948"/>
      <c r="L398" s="948"/>
      <c r="M398" s="948"/>
      <c r="N398" s="948"/>
      <c r="O398" s="948"/>
      <c r="P398" s="948"/>
      <c r="Q398" s="948"/>
      <c r="R398" s="948"/>
      <c r="S398" s="948"/>
      <c r="T398" s="948"/>
      <c r="U398" s="948"/>
      <c r="V398" s="948"/>
      <c r="W398" s="948"/>
      <c r="X398" s="948"/>
      <c r="Y398" s="948"/>
      <c r="Z398" s="948"/>
      <c r="AA398" s="948"/>
      <c r="AB398" s="948"/>
      <c r="AC398" s="948"/>
      <c r="AD398" s="948"/>
      <c r="AE398" s="948"/>
      <c r="AF398" s="948"/>
      <c r="AG398" s="948"/>
      <c r="AH398" s="948"/>
      <c r="AI398" s="948"/>
      <c r="AJ398" s="948"/>
      <c r="AK398" s="948"/>
      <c r="AL398" s="948"/>
      <c r="AM398" s="948"/>
      <c r="AN398" s="948"/>
      <c r="AO398" s="948"/>
      <c r="AP398" s="948"/>
      <c r="AQ398" s="948"/>
      <c r="AR398" s="948"/>
      <c r="AS398" s="948"/>
      <c r="AT398" s="948"/>
      <c r="AU398" s="948"/>
      <c r="AV398" s="948"/>
      <c r="AW398" s="948"/>
      <c r="AX398" s="948"/>
      <c r="AY398" s="948"/>
      <c r="AZ398" s="948"/>
      <c r="BA398" s="948"/>
      <c r="BB398" s="948"/>
      <c r="BC398" s="948"/>
      <c r="BD398" s="948"/>
      <c r="BE398" s="948"/>
      <c r="BF398" s="948"/>
      <c r="BG398" s="948"/>
      <c r="BH398" s="948"/>
      <c r="BI398" s="948"/>
      <c r="BJ398" s="948"/>
      <c r="BK398" s="948"/>
      <c r="BL398" s="948"/>
      <c r="BM398" s="948"/>
      <c r="BN398" s="948"/>
      <c r="BO398" s="948"/>
      <c r="BP398" s="948"/>
      <c r="BQ398" s="948"/>
      <c r="BR398" s="948"/>
      <c r="BS398" s="948"/>
      <c r="BT398" s="948"/>
      <c r="BU398" s="948"/>
      <c r="BV398" s="948"/>
      <c r="BW398" s="948"/>
      <c r="BX398" s="948"/>
      <c r="BY398" s="948"/>
      <c r="BZ398" s="948"/>
      <c r="CA398" s="948"/>
      <c r="CB398" s="948"/>
      <c r="CC398" s="948"/>
      <c r="CD398" s="948"/>
      <c r="CE398" s="948"/>
      <c r="CF398" s="948"/>
      <c r="CG398" s="948"/>
      <c r="CH398" s="948"/>
      <c r="CI398" s="948"/>
      <c r="CJ398" s="948"/>
      <c r="CK398" s="948"/>
      <c r="CL398" s="948"/>
      <c r="CM398" s="948"/>
      <c r="CN398" s="948"/>
      <c r="CO398" s="948"/>
      <c r="CP398" s="948"/>
      <c r="CQ398" s="948"/>
      <c r="CR398" s="948"/>
      <c r="CS398" s="948"/>
      <c r="CT398" s="948"/>
      <c r="CU398" s="948"/>
      <c r="CV398" s="948"/>
      <c r="CW398" s="948"/>
      <c r="CX398" s="948"/>
      <c r="CY398" s="948"/>
      <c r="CZ398" s="948"/>
      <c r="DA398" s="948"/>
      <c r="DB398" s="948"/>
      <c r="DC398" s="948"/>
      <c r="DD398" s="948"/>
      <c r="DE398" s="948"/>
      <c r="DF398" s="948"/>
      <c r="DG398" s="948"/>
      <c r="DH398" s="948"/>
      <c r="DI398" s="948"/>
      <c r="DJ398" s="948"/>
      <c r="DK398" s="948"/>
      <c r="DL398" s="948"/>
      <c r="DM398" s="948"/>
      <c r="DN398" s="948"/>
      <c r="DO398" s="948"/>
      <c r="DP398" s="948"/>
      <c r="DQ398" s="948"/>
      <c r="DR398" s="948"/>
      <c r="DS398" s="948"/>
      <c r="DT398" s="1789"/>
      <c r="DU398" s="1789"/>
      <c r="DV398" s="1789"/>
      <c r="DW398" s="1789"/>
      <c r="DX398" s="1789"/>
      <c r="DY398" s="1789"/>
      <c r="DZ398" s="1789"/>
      <c r="EA398" s="1789"/>
      <c r="EB398" s="1789"/>
      <c r="EC398" s="1789"/>
      <c r="ED398" s="1789"/>
      <c r="EE398" s="1789"/>
      <c r="EF398" s="1789"/>
      <c r="EG398" s="1789"/>
      <c r="EH398" s="1789"/>
      <c r="EI398" s="1789"/>
      <c r="EJ398" s="1789"/>
      <c r="EK398" s="1789"/>
      <c r="EL398" s="1789"/>
      <c r="EM398" s="1789"/>
      <c r="EN398" s="1789"/>
      <c r="EO398" s="1789"/>
      <c r="EP398" s="1789"/>
      <c r="EQ398" s="1789"/>
      <c r="ER398" s="1789"/>
      <c r="ES398" s="1789"/>
      <c r="ET398" s="1789"/>
      <c r="EU398" s="1789"/>
      <c r="EV398" s="1789"/>
      <c r="EW398" s="1789"/>
      <c r="EX398" s="1789"/>
      <c r="EY398" s="1789"/>
      <c r="EZ398" s="1789"/>
      <c r="FA398" s="1789"/>
      <c r="FB398" s="1789"/>
      <c r="FC398" s="1789"/>
      <c r="FD398" s="1789"/>
      <c r="FE398" s="1789"/>
      <c r="FF398" s="1789"/>
      <c r="FG398" s="1789"/>
      <c r="FH398" s="1789"/>
      <c r="FI398" s="1789"/>
      <c r="FJ398" s="1789"/>
      <c r="FK398" s="1789"/>
      <c r="FL398" s="1789"/>
      <c r="FM398" s="1789"/>
      <c r="FN398" s="1789"/>
    </row>
    <row r="399" spans="1:170">
      <c r="A399" s="1644">
        <v>1</v>
      </c>
      <c r="B399" s="1644">
        <v>2</v>
      </c>
      <c r="C399" s="1644">
        <v>3</v>
      </c>
      <c r="D399" s="1644">
        <v>4</v>
      </c>
      <c r="E399" s="1644">
        <v>5</v>
      </c>
      <c r="F399" s="1644">
        <v>6</v>
      </c>
      <c r="G399" s="1644">
        <v>7</v>
      </c>
      <c r="H399" s="3120">
        <v>8</v>
      </c>
      <c r="I399" s="4267">
        <v>9</v>
      </c>
      <c r="J399" s="1644">
        <v>10</v>
      </c>
      <c r="K399" s="1644">
        <v>11</v>
      </c>
      <c r="L399" s="1644">
        <v>12</v>
      </c>
      <c r="M399" s="1644">
        <v>13</v>
      </c>
      <c r="N399" s="1644">
        <v>14</v>
      </c>
      <c r="O399" s="1644">
        <v>15</v>
      </c>
      <c r="P399" s="1644">
        <v>16</v>
      </c>
      <c r="Q399" s="1644">
        <v>17</v>
      </c>
      <c r="R399" s="1644">
        <v>18</v>
      </c>
      <c r="S399" s="1644">
        <v>19</v>
      </c>
      <c r="T399" s="1644">
        <v>20</v>
      </c>
      <c r="U399" s="1644">
        <v>21</v>
      </c>
      <c r="V399" s="1644">
        <v>22</v>
      </c>
      <c r="W399" s="2351">
        <v>23</v>
      </c>
      <c r="X399" s="2351">
        <v>24</v>
      </c>
      <c r="Y399" s="2351">
        <v>25</v>
      </c>
      <c r="Z399" s="2351">
        <v>26</v>
      </c>
      <c r="AA399" s="2351">
        <v>27</v>
      </c>
      <c r="AB399" s="2351">
        <v>28</v>
      </c>
      <c r="AC399" s="2351">
        <v>29</v>
      </c>
      <c r="AD399" s="1644">
        <v>30</v>
      </c>
      <c r="AE399" s="1644">
        <v>31</v>
      </c>
      <c r="AF399" s="1644">
        <v>32</v>
      </c>
      <c r="AG399" s="1644">
        <v>33</v>
      </c>
      <c r="AH399" s="1644">
        <v>34</v>
      </c>
      <c r="AI399" s="1644">
        <v>35</v>
      </c>
      <c r="AJ399" s="1644">
        <v>36</v>
      </c>
      <c r="AK399" s="1644">
        <v>37</v>
      </c>
      <c r="AL399" s="1644">
        <v>38</v>
      </c>
      <c r="AM399" s="1644">
        <v>39</v>
      </c>
      <c r="AN399" s="1644">
        <v>40</v>
      </c>
      <c r="AO399" s="1644">
        <v>41</v>
      </c>
      <c r="AP399" s="1644">
        <v>42</v>
      </c>
      <c r="AQ399" s="1644">
        <v>43</v>
      </c>
      <c r="AR399" s="1644">
        <v>44</v>
      </c>
      <c r="AS399" s="1644">
        <v>45</v>
      </c>
      <c r="AT399" s="1644">
        <v>46</v>
      </c>
      <c r="AU399" s="1644">
        <v>47</v>
      </c>
      <c r="AV399" s="1644">
        <v>48</v>
      </c>
      <c r="AW399" s="1644">
        <v>49</v>
      </c>
      <c r="AX399" s="1644">
        <v>50</v>
      </c>
      <c r="AY399" s="1644">
        <v>51</v>
      </c>
      <c r="AZ399" s="1644">
        <v>52</v>
      </c>
      <c r="BA399" s="1644">
        <v>53</v>
      </c>
      <c r="BB399" s="1644">
        <v>54</v>
      </c>
      <c r="BC399" s="1644">
        <v>55</v>
      </c>
      <c r="BD399" s="1644">
        <v>56</v>
      </c>
      <c r="BE399" s="1644">
        <v>57</v>
      </c>
      <c r="BF399" s="1644">
        <v>58</v>
      </c>
      <c r="BG399" s="1644">
        <v>59</v>
      </c>
      <c r="BH399" s="1644">
        <v>60</v>
      </c>
      <c r="BI399" s="1644">
        <v>61</v>
      </c>
      <c r="BJ399" s="1644">
        <v>62</v>
      </c>
      <c r="BK399" s="1644">
        <v>63</v>
      </c>
      <c r="BL399" s="1644">
        <v>64</v>
      </c>
      <c r="BM399" s="1644">
        <v>65</v>
      </c>
      <c r="BN399" s="1644">
        <v>66</v>
      </c>
      <c r="BO399" s="1644">
        <v>67</v>
      </c>
      <c r="BP399" s="1644">
        <v>68</v>
      </c>
      <c r="BQ399" s="1644">
        <v>69</v>
      </c>
      <c r="BR399" s="1644">
        <v>70</v>
      </c>
      <c r="BS399" s="1644">
        <v>71</v>
      </c>
      <c r="BT399" s="1644">
        <v>72</v>
      </c>
      <c r="BU399" s="1644">
        <v>73</v>
      </c>
      <c r="BV399" s="1644">
        <v>74</v>
      </c>
      <c r="BW399" s="1644">
        <v>75</v>
      </c>
      <c r="BX399" s="1644">
        <v>76</v>
      </c>
      <c r="BY399" s="1644">
        <v>77</v>
      </c>
      <c r="BZ399" s="1644">
        <v>78</v>
      </c>
      <c r="CA399" s="1644">
        <v>79</v>
      </c>
      <c r="CB399" s="1644">
        <v>80</v>
      </c>
      <c r="CC399" s="1644">
        <v>81</v>
      </c>
      <c r="CD399" s="1644">
        <v>82</v>
      </c>
      <c r="CE399" s="1644">
        <v>83</v>
      </c>
      <c r="CF399" s="1644">
        <v>84</v>
      </c>
      <c r="CG399" s="1644">
        <v>85</v>
      </c>
      <c r="CH399" s="1644">
        <v>86</v>
      </c>
      <c r="CI399" s="1644">
        <v>87</v>
      </c>
      <c r="CJ399" s="1644">
        <v>88</v>
      </c>
      <c r="CK399" s="1644">
        <v>89</v>
      </c>
      <c r="CL399" s="1644">
        <v>90</v>
      </c>
      <c r="CM399" s="1644">
        <v>91</v>
      </c>
      <c r="CN399" s="1644">
        <v>92</v>
      </c>
      <c r="CO399" s="1644">
        <v>93</v>
      </c>
      <c r="CP399" s="1644">
        <v>94</v>
      </c>
      <c r="CQ399" s="1644">
        <v>95</v>
      </c>
      <c r="CR399" s="1644">
        <v>96</v>
      </c>
      <c r="CS399" s="1644">
        <v>97</v>
      </c>
      <c r="CT399" s="1644">
        <v>98</v>
      </c>
      <c r="CU399" s="1644">
        <v>99</v>
      </c>
      <c r="CV399" s="1644">
        <v>100</v>
      </c>
      <c r="CW399" s="1644">
        <v>101</v>
      </c>
      <c r="CX399" s="1644">
        <v>102</v>
      </c>
      <c r="CY399" s="1644">
        <v>103</v>
      </c>
      <c r="CZ399" s="1644">
        <v>104</v>
      </c>
      <c r="DA399" s="1644">
        <v>105</v>
      </c>
      <c r="DB399" s="1644">
        <v>106</v>
      </c>
      <c r="DC399" s="1644">
        <v>107</v>
      </c>
      <c r="DD399" s="1644">
        <v>108</v>
      </c>
      <c r="DE399" s="1644">
        <v>109</v>
      </c>
      <c r="DF399" s="1644">
        <v>110</v>
      </c>
      <c r="DG399" s="1644">
        <v>111</v>
      </c>
      <c r="DH399" s="1644">
        <v>112</v>
      </c>
      <c r="DI399" s="1644">
        <v>113</v>
      </c>
      <c r="DJ399" s="1644">
        <v>114</v>
      </c>
      <c r="DK399" s="1644">
        <v>115</v>
      </c>
      <c r="DL399" s="1644">
        <v>116</v>
      </c>
      <c r="DM399" s="1644">
        <v>117</v>
      </c>
      <c r="DN399" s="1644">
        <v>118</v>
      </c>
      <c r="DO399" s="1644">
        <v>119</v>
      </c>
      <c r="DP399" s="1644">
        <v>120</v>
      </c>
      <c r="DQ399" s="1644">
        <v>121</v>
      </c>
      <c r="DR399" s="1644">
        <v>122</v>
      </c>
      <c r="DS399" s="1644">
        <v>123</v>
      </c>
      <c r="DT399" s="1644">
        <v>124</v>
      </c>
      <c r="DU399" s="1644">
        <v>125</v>
      </c>
      <c r="DV399" s="1644">
        <v>126</v>
      </c>
      <c r="DW399" s="1644">
        <v>127</v>
      </c>
      <c r="DX399" s="1644">
        <v>128</v>
      </c>
      <c r="DY399" s="1644">
        <v>129</v>
      </c>
      <c r="DZ399" s="1644">
        <v>130</v>
      </c>
      <c r="EA399" s="1644">
        <v>131</v>
      </c>
      <c r="EB399" s="1644">
        <v>132</v>
      </c>
      <c r="EC399" s="1644">
        <v>133</v>
      </c>
      <c r="ED399" s="1644">
        <v>134</v>
      </c>
      <c r="EE399" s="1644">
        <v>135</v>
      </c>
      <c r="EF399" s="1644">
        <v>136</v>
      </c>
      <c r="EG399" s="1644">
        <v>137</v>
      </c>
      <c r="EH399" s="1644">
        <v>138</v>
      </c>
      <c r="EI399" s="1644">
        <v>139</v>
      </c>
      <c r="EJ399" s="1644">
        <v>140</v>
      </c>
      <c r="EK399" s="1644">
        <v>141</v>
      </c>
      <c r="EL399" s="1644">
        <v>142</v>
      </c>
      <c r="EM399" s="1644">
        <v>143</v>
      </c>
      <c r="EN399" s="1644">
        <v>144</v>
      </c>
      <c r="EO399" s="1644">
        <v>145</v>
      </c>
      <c r="EP399" s="1644">
        <v>146</v>
      </c>
      <c r="EQ399" s="1644">
        <v>147</v>
      </c>
      <c r="ER399" s="1644">
        <v>148</v>
      </c>
      <c r="ES399" s="1644">
        <v>149</v>
      </c>
      <c r="ET399" s="1644">
        <v>150</v>
      </c>
      <c r="EU399" s="1644">
        <v>151</v>
      </c>
      <c r="EV399" s="1644">
        <v>152</v>
      </c>
      <c r="EW399" s="1644">
        <v>153</v>
      </c>
      <c r="EX399" s="1644">
        <v>154</v>
      </c>
      <c r="EY399" s="1644">
        <v>155</v>
      </c>
      <c r="EZ399" s="1644">
        <v>156</v>
      </c>
      <c r="FA399" s="1644">
        <v>157</v>
      </c>
      <c r="FB399" s="1644">
        <v>158</v>
      </c>
      <c r="FC399" s="1644">
        <v>159</v>
      </c>
      <c r="FD399" s="1863"/>
      <c r="FE399" s="1863"/>
      <c r="FF399" s="1863"/>
      <c r="FG399" s="1863"/>
      <c r="FH399" s="1863"/>
      <c r="FI399" s="1863"/>
      <c r="FJ399" s="1863"/>
      <c r="FK399" s="1863"/>
      <c r="FL399" s="1863"/>
      <c r="FM399" s="1863"/>
      <c r="FN399" s="1863"/>
    </row>
    <row r="400" spans="1:170" ht="15" customHeight="1">
      <c r="A400" s="1672" t="s">
        <v>3954</v>
      </c>
      <c r="B400" s="4593" t="s">
        <v>3955</v>
      </c>
      <c r="C400" s="4593"/>
      <c r="D400" s="4593"/>
      <c r="E400" s="4593"/>
      <c r="F400" s="4593"/>
      <c r="G400" s="4593"/>
      <c r="H400" s="4593"/>
      <c r="I400" s="4593"/>
      <c r="J400" s="4593"/>
      <c r="K400" s="4593"/>
      <c r="L400" s="4593"/>
      <c r="M400" s="4593"/>
      <c r="N400" s="1649"/>
      <c r="O400" s="4536" t="s">
        <v>3956</v>
      </c>
      <c r="P400" s="4536"/>
      <c r="Q400" s="4536"/>
      <c r="R400" s="4536"/>
      <c r="S400" s="4536"/>
      <c r="T400" s="4536"/>
      <c r="U400" s="4536"/>
      <c r="V400" s="1649"/>
      <c r="W400" s="1649"/>
      <c r="X400" s="1649"/>
      <c r="Y400" s="1649"/>
      <c r="Z400" s="1649"/>
      <c r="AA400" s="1649"/>
      <c r="AB400" s="1649"/>
      <c r="AC400" s="1649"/>
      <c r="AD400" s="1649"/>
      <c r="AE400" s="4537" t="s">
        <v>3957</v>
      </c>
      <c r="AF400" s="4537"/>
      <c r="AG400" s="4537"/>
      <c r="AH400" s="4537"/>
      <c r="AI400" s="4537"/>
      <c r="AJ400" s="4537"/>
      <c r="AK400" s="4537"/>
      <c r="AL400" s="4537"/>
      <c r="AM400" s="4537"/>
      <c r="AN400" s="4538" t="s">
        <v>3958</v>
      </c>
      <c r="AO400" s="4538"/>
      <c r="AP400" s="4538"/>
      <c r="AQ400" s="4538"/>
      <c r="AR400" s="4538"/>
      <c r="AS400" s="4538"/>
      <c r="AT400" s="4538"/>
      <c r="AU400" s="4538"/>
      <c r="AV400" s="4538"/>
      <c r="AW400" s="3706"/>
      <c r="AX400" s="1863"/>
      <c r="AY400" s="4539" t="s">
        <v>3959</v>
      </c>
      <c r="AZ400" s="4539"/>
      <c r="BA400" s="4539"/>
      <c r="BB400" s="4539"/>
      <c r="BC400" s="4539"/>
      <c r="BD400" s="4539"/>
      <c r="BE400" s="4539"/>
      <c r="BF400" s="4539"/>
      <c r="BG400" s="4539"/>
      <c r="BH400" s="4539"/>
      <c r="BI400" s="1863"/>
      <c r="BJ400" s="1863"/>
      <c r="BK400" s="4540" t="s">
        <v>2337</v>
      </c>
      <c r="BL400" s="4540"/>
      <c r="BM400" s="4540"/>
      <c r="BN400" s="4540"/>
      <c r="BO400" s="4540"/>
      <c r="BP400" s="4540"/>
      <c r="BQ400" s="4540"/>
      <c r="BR400" s="4540"/>
      <c r="BS400" s="4540"/>
      <c r="BT400" s="1863"/>
      <c r="BU400" s="1863"/>
      <c r="BV400" s="1863"/>
      <c r="BW400" s="1863"/>
      <c r="BX400" s="1863"/>
      <c r="BY400" s="1863"/>
      <c r="BZ400" s="1863"/>
      <c r="CA400" s="1863"/>
      <c r="CB400" s="4542" t="s">
        <v>3955</v>
      </c>
      <c r="CC400" s="4542"/>
      <c r="CD400" s="4542"/>
      <c r="CE400" s="4542"/>
      <c r="CF400" s="4542"/>
      <c r="CG400" s="4542"/>
      <c r="CH400" s="4542"/>
      <c r="CI400" s="4542"/>
      <c r="CJ400" s="4542"/>
      <c r="CK400" s="4542"/>
      <c r="CL400" s="4542"/>
      <c r="CM400" s="4542"/>
      <c r="CN400" s="3707"/>
      <c r="CO400" s="3707"/>
      <c r="CP400" s="1647"/>
      <c r="CQ400" s="4543" t="s">
        <v>3956</v>
      </c>
      <c r="CR400" s="4543"/>
      <c r="CS400" s="4543"/>
      <c r="CT400" s="4543"/>
      <c r="CU400" s="4543"/>
      <c r="CV400" s="4543"/>
      <c r="CW400" s="4543"/>
      <c r="CX400" s="948"/>
      <c r="CY400" s="948"/>
      <c r="CZ400" s="948"/>
      <c r="DA400" s="948"/>
      <c r="DB400" s="948"/>
      <c r="DC400" s="948"/>
      <c r="DD400" s="948"/>
      <c r="DE400" s="948"/>
      <c r="DF400" s="948"/>
      <c r="DG400" s="4544" t="s">
        <v>3957</v>
      </c>
      <c r="DH400" s="4544"/>
      <c r="DI400" s="4544"/>
      <c r="DJ400" s="4544"/>
      <c r="DK400" s="4544"/>
      <c r="DL400" s="4544"/>
      <c r="DM400" s="4544"/>
      <c r="DN400" s="4544"/>
      <c r="DO400" s="4544"/>
      <c r="DP400" s="4545" t="s">
        <v>3960</v>
      </c>
      <c r="DQ400" s="4545"/>
      <c r="DR400" s="4545"/>
      <c r="DS400" s="4545"/>
      <c r="DT400" s="4545"/>
      <c r="DU400" s="4545"/>
      <c r="DV400" s="4545"/>
      <c r="DW400" s="4545"/>
      <c r="DX400" s="4545"/>
      <c r="DY400" s="3705"/>
      <c r="DZ400" s="3705"/>
      <c r="EA400" s="1863"/>
      <c r="EB400" s="4529" t="s">
        <v>3961</v>
      </c>
      <c r="EC400" s="4529"/>
      <c r="ED400" s="4529"/>
      <c r="EE400" s="4529"/>
      <c r="EF400" s="4529"/>
      <c r="EG400" s="4529"/>
      <c r="EH400" s="4529"/>
      <c r="EI400" s="4529"/>
      <c r="EJ400" s="4529"/>
      <c r="EK400" s="4529"/>
      <c r="EL400" s="1648"/>
      <c r="EM400" s="1648"/>
      <c r="EN400" s="2457"/>
      <c r="EO400" s="2457"/>
      <c r="EP400" s="2457"/>
      <c r="EQ400" s="2457"/>
      <c r="ER400" s="2458"/>
      <c r="ES400" s="2458"/>
      <c r="ET400" s="1789"/>
      <c r="EU400" s="4530" t="s">
        <v>2337</v>
      </c>
      <c r="EV400" s="4530"/>
      <c r="EW400" s="4530"/>
      <c r="EX400" s="4530"/>
      <c r="EY400" s="4530"/>
      <c r="EZ400" s="4530"/>
      <c r="FA400" s="4530"/>
      <c r="FB400" s="4530"/>
      <c r="FC400" s="4530"/>
      <c r="FD400" s="1863"/>
      <c r="FE400" s="1863"/>
      <c r="FF400" s="1863"/>
      <c r="FG400" s="1863"/>
      <c r="FH400" s="1863"/>
      <c r="FI400" s="1863"/>
      <c r="FJ400" s="1863"/>
      <c r="FK400" s="1863"/>
      <c r="FL400" s="1863"/>
      <c r="FM400" s="1863"/>
      <c r="FN400" s="1863"/>
    </row>
    <row r="401" spans="1:161" ht="15.75" customHeight="1">
      <c r="A401" s="1918" t="s">
        <v>4103</v>
      </c>
      <c r="B401" s="1647" t="s">
        <v>3962</v>
      </c>
      <c r="C401" s="1647" t="s">
        <v>3962</v>
      </c>
      <c r="D401" s="1647" t="s">
        <v>3962</v>
      </c>
      <c r="E401" s="1647" t="s">
        <v>3962</v>
      </c>
      <c r="F401" s="1647" t="s">
        <v>3962</v>
      </c>
      <c r="G401" s="1647" t="s">
        <v>3962</v>
      </c>
      <c r="H401" s="3121" t="s">
        <v>3962</v>
      </c>
      <c r="I401" s="4268" t="s">
        <v>3962</v>
      </c>
      <c r="J401" s="1647" t="s">
        <v>3962</v>
      </c>
      <c r="K401" s="1647" t="s">
        <v>3962</v>
      </c>
      <c r="L401" s="1647" t="s">
        <v>3962</v>
      </c>
      <c r="M401" s="1647" t="s">
        <v>3962</v>
      </c>
      <c r="N401" s="1648" t="s">
        <v>2303</v>
      </c>
      <c r="O401" s="1647" t="s">
        <v>2303</v>
      </c>
      <c r="P401" s="1647" t="s">
        <v>2303</v>
      </c>
      <c r="Q401" s="1647" t="s">
        <v>2303</v>
      </c>
      <c r="R401" s="1647" t="s">
        <v>2303</v>
      </c>
      <c r="S401" s="1647" t="s">
        <v>2303</v>
      </c>
      <c r="T401" s="1647" t="s">
        <v>2303</v>
      </c>
      <c r="U401" s="1647" t="s">
        <v>2303</v>
      </c>
      <c r="V401" s="1648" t="s">
        <v>2303</v>
      </c>
      <c r="W401" s="1648"/>
      <c r="X401" s="1648"/>
      <c r="Y401" s="1648"/>
      <c r="Z401" s="1648"/>
      <c r="AA401" s="1648"/>
      <c r="AB401" s="1648"/>
      <c r="AC401" s="1648"/>
      <c r="AD401" s="1648" t="s">
        <v>2303</v>
      </c>
      <c r="AE401" s="1647" t="s">
        <v>2303</v>
      </c>
      <c r="AF401" s="1647" t="s">
        <v>2303</v>
      </c>
      <c r="AG401" s="1647" t="s">
        <v>2303</v>
      </c>
      <c r="AH401" s="1647" t="s">
        <v>2303</v>
      </c>
      <c r="AI401" s="1647" t="s">
        <v>2303</v>
      </c>
      <c r="AJ401" s="1647" t="s">
        <v>2303</v>
      </c>
      <c r="AK401" s="1647" t="s">
        <v>2303</v>
      </c>
      <c r="AL401" s="1647" t="s">
        <v>2303</v>
      </c>
      <c r="AM401" s="1647" t="s">
        <v>2303</v>
      </c>
      <c r="AN401" s="1647" t="s">
        <v>2303</v>
      </c>
      <c r="AO401" s="1647" t="s">
        <v>2303</v>
      </c>
      <c r="AP401" s="1647" t="s">
        <v>2303</v>
      </c>
      <c r="AQ401" s="1647" t="s">
        <v>2303</v>
      </c>
      <c r="AR401" s="1647" t="s">
        <v>2303</v>
      </c>
      <c r="AS401" s="1647" t="s">
        <v>2303</v>
      </c>
      <c r="AT401" s="1647" t="s">
        <v>2303</v>
      </c>
      <c r="AU401" s="1647" t="s">
        <v>2303</v>
      </c>
      <c r="AV401" s="1647" t="s">
        <v>2303</v>
      </c>
      <c r="AW401" s="1647" t="s">
        <v>2303</v>
      </c>
      <c r="AX401" s="1647" t="s">
        <v>2303</v>
      </c>
      <c r="AY401" s="1647"/>
      <c r="AZ401" s="1647" t="s">
        <v>2303</v>
      </c>
      <c r="BA401" s="1647" t="s">
        <v>2303</v>
      </c>
      <c r="BB401" s="1647" t="s">
        <v>2303</v>
      </c>
      <c r="BC401" s="1647" t="s">
        <v>2303</v>
      </c>
      <c r="BD401" s="1647" t="s">
        <v>2303</v>
      </c>
      <c r="BE401" s="1647" t="s">
        <v>2303</v>
      </c>
      <c r="BF401" s="1647" t="s">
        <v>2303</v>
      </c>
      <c r="BG401" s="1647" t="s">
        <v>2303</v>
      </c>
      <c r="BH401" s="1647" t="s">
        <v>2303</v>
      </c>
      <c r="BI401" s="1647" t="s">
        <v>2303</v>
      </c>
      <c r="BJ401" s="1647" t="s">
        <v>2303</v>
      </c>
      <c r="BK401" s="1647" t="s">
        <v>2303</v>
      </c>
      <c r="BL401" s="1647" t="s">
        <v>2303</v>
      </c>
      <c r="BM401" s="1647" t="s">
        <v>2303</v>
      </c>
      <c r="BN401" s="1647" t="s">
        <v>2303</v>
      </c>
      <c r="BO401" s="1647" t="s">
        <v>2303</v>
      </c>
      <c r="BP401" s="1647" t="s">
        <v>2303</v>
      </c>
      <c r="BQ401" s="1647" t="s">
        <v>2303</v>
      </c>
      <c r="BR401" s="1647" t="s">
        <v>2303</v>
      </c>
      <c r="BS401" s="1647" t="s">
        <v>2303</v>
      </c>
      <c r="BT401" s="1647" t="s">
        <v>2303</v>
      </c>
      <c r="BU401" s="1647" t="s">
        <v>2303</v>
      </c>
      <c r="BV401" s="1666"/>
      <c r="BW401" s="1647"/>
      <c r="BX401" s="1647"/>
      <c r="BY401" s="1647"/>
      <c r="BZ401" s="1647"/>
      <c r="CA401" s="1647"/>
      <c r="CB401" s="1647"/>
      <c r="CC401" s="1647"/>
      <c r="CD401" s="1647" t="s">
        <v>2314</v>
      </c>
      <c r="CE401" s="1647" t="s">
        <v>2314</v>
      </c>
      <c r="CF401" s="1647" t="s">
        <v>2314</v>
      </c>
      <c r="CG401" s="1647" t="s">
        <v>2314</v>
      </c>
      <c r="CH401" s="1647" t="s">
        <v>2314</v>
      </c>
      <c r="CI401" s="1647" t="s">
        <v>2314</v>
      </c>
      <c r="CJ401" s="1647" t="s">
        <v>2314</v>
      </c>
      <c r="CK401" s="1647" t="s">
        <v>2314</v>
      </c>
      <c r="CL401" s="1647" t="s">
        <v>2314</v>
      </c>
      <c r="CM401" s="1647" t="s">
        <v>2314</v>
      </c>
      <c r="CN401" s="1647" t="s">
        <v>2314</v>
      </c>
      <c r="CO401" s="1647"/>
      <c r="CP401" s="1647"/>
      <c r="CQ401" s="1647" t="s">
        <v>2314</v>
      </c>
      <c r="CR401" s="1647" t="s">
        <v>2314</v>
      </c>
      <c r="CS401" s="1647" t="s">
        <v>2314</v>
      </c>
      <c r="CT401" s="1647" t="s">
        <v>2314</v>
      </c>
      <c r="CU401" s="1647" t="s">
        <v>2314</v>
      </c>
      <c r="CV401" s="1647" t="s">
        <v>2314</v>
      </c>
      <c r="CW401" s="1647"/>
      <c r="CX401" s="1647"/>
      <c r="CY401" s="1647"/>
      <c r="CZ401" s="1647"/>
      <c r="DA401" s="1647"/>
      <c r="DB401" s="1647"/>
      <c r="DC401" s="1647"/>
      <c r="DD401" s="1647"/>
      <c r="DE401" s="1647"/>
      <c r="DF401" s="1647" t="s">
        <v>2314</v>
      </c>
      <c r="DG401" s="1647" t="s">
        <v>2314</v>
      </c>
      <c r="DH401" s="1647" t="s">
        <v>2314</v>
      </c>
      <c r="DI401" s="1647" t="s">
        <v>2314</v>
      </c>
      <c r="DJ401" s="1647" t="s">
        <v>2314</v>
      </c>
      <c r="DK401" s="1647" t="s">
        <v>2314</v>
      </c>
      <c r="DL401" s="1647" t="s">
        <v>2314</v>
      </c>
      <c r="DM401" s="1647" t="s">
        <v>2314</v>
      </c>
      <c r="DN401" s="1647" t="s">
        <v>2314</v>
      </c>
      <c r="DO401" s="1647" t="s">
        <v>2314</v>
      </c>
      <c r="DP401" s="1647" t="s">
        <v>2314</v>
      </c>
      <c r="DQ401" s="1647" t="s">
        <v>2314</v>
      </c>
      <c r="DR401" s="1647" t="s">
        <v>2314</v>
      </c>
      <c r="DS401" s="1647" t="s">
        <v>2314</v>
      </c>
      <c r="DT401" s="1647" t="s">
        <v>2314</v>
      </c>
      <c r="DU401" s="1647" t="s">
        <v>2314</v>
      </c>
      <c r="DV401" s="1647" t="s">
        <v>2314</v>
      </c>
      <c r="DW401" s="1647" t="s">
        <v>2314</v>
      </c>
      <c r="DX401" s="1647" t="s">
        <v>2314</v>
      </c>
      <c r="DY401" s="1647" t="s">
        <v>2314</v>
      </c>
      <c r="DZ401" s="1647" t="s">
        <v>2314</v>
      </c>
      <c r="EA401" s="1647" t="s">
        <v>2314</v>
      </c>
      <c r="EB401" s="1647" t="s">
        <v>2314</v>
      </c>
      <c r="EC401" s="1647" t="s">
        <v>2314</v>
      </c>
      <c r="ED401" s="1647" t="s">
        <v>2314</v>
      </c>
      <c r="EE401" s="1647" t="s">
        <v>2314</v>
      </c>
      <c r="EF401" s="1647" t="s">
        <v>2314</v>
      </c>
      <c r="EG401" s="1647" t="s">
        <v>2314</v>
      </c>
      <c r="EH401" s="1647" t="s">
        <v>2314</v>
      </c>
      <c r="EI401" s="1647" t="s">
        <v>2314</v>
      </c>
      <c r="EJ401" s="1647" t="s">
        <v>2314</v>
      </c>
      <c r="EK401" s="1647" t="s">
        <v>2314</v>
      </c>
      <c r="EL401" s="1647" t="s">
        <v>2314</v>
      </c>
      <c r="EM401" s="1647"/>
      <c r="EN401" s="1647"/>
      <c r="EO401" s="1647"/>
      <c r="EP401" s="1647"/>
      <c r="EQ401" s="1647"/>
      <c r="ER401" s="1647"/>
      <c r="ES401" s="1863"/>
      <c r="ET401" s="1647"/>
      <c r="EU401" s="1647" t="s">
        <v>2314</v>
      </c>
      <c r="EV401" s="1647" t="s">
        <v>2314</v>
      </c>
      <c r="EW401" s="1647" t="s">
        <v>2314</v>
      </c>
      <c r="EX401" s="1647" t="s">
        <v>2314</v>
      </c>
      <c r="EY401" s="1646" t="s">
        <v>2314</v>
      </c>
      <c r="EZ401" s="1646" t="s">
        <v>2314</v>
      </c>
      <c r="FA401" s="1646" t="s">
        <v>2314</v>
      </c>
      <c r="FB401" s="1646" t="s">
        <v>2314</v>
      </c>
      <c r="FC401" s="1646" t="s">
        <v>2314</v>
      </c>
      <c r="FD401" s="1863"/>
      <c r="FE401" s="1863"/>
    </row>
    <row r="402" spans="1:161" ht="51" customHeight="1">
      <c r="A402" s="1653"/>
      <c r="B402" s="1653" t="s">
        <v>177</v>
      </c>
      <c r="C402" s="1653" t="s">
        <v>181</v>
      </c>
      <c r="D402" s="1653" t="s">
        <v>184</v>
      </c>
      <c r="E402" s="1653" t="s">
        <v>187</v>
      </c>
      <c r="F402" s="1653" t="s">
        <v>190</v>
      </c>
      <c r="G402" s="1653" t="s">
        <v>193</v>
      </c>
      <c r="H402" s="3161" t="s">
        <v>197</v>
      </c>
      <c r="I402" s="4269" t="s">
        <v>202</v>
      </c>
      <c r="J402" s="1653" t="s">
        <v>205</v>
      </c>
      <c r="K402" s="1653" t="s">
        <v>210</v>
      </c>
      <c r="L402" s="1653" t="s">
        <v>28</v>
      </c>
      <c r="M402" s="1653" t="s">
        <v>217</v>
      </c>
      <c r="N402" s="2364" t="s">
        <v>3963</v>
      </c>
      <c r="O402" s="1653" t="s">
        <v>181</v>
      </c>
      <c r="P402" s="1653" t="s">
        <v>184</v>
      </c>
      <c r="Q402" s="1653" t="s">
        <v>187</v>
      </c>
      <c r="R402" s="1653" t="s">
        <v>230</v>
      </c>
      <c r="S402" s="1653" t="s">
        <v>232</v>
      </c>
      <c r="T402" s="1653" t="s">
        <v>234</v>
      </c>
      <c r="U402" s="1653" t="s">
        <v>3964</v>
      </c>
      <c r="V402" s="2364" t="s">
        <v>3965</v>
      </c>
      <c r="W402" s="1653" t="s">
        <v>2318</v>
      </c>
      <c r="X402" s="3904" t="s">
        <v>35</v>
      </c>
      <c r="Y402" s="3905" t="s">
        <v>36</v>
      </c>
      <c r="Z402" s="1653" t="s">
        <v>1161</v>
      </c>
      <c r="AA402" s="1653" t="s">
        <v>3966</v>
      </c>
      <c r="AB402" s="1653" t="s">
        <v>3967</v>
      </c>
      <c r="AC402" s="1665" t="s">
        <v>3968</v>
      </c>
      <c r="AD402" s="1965" t="s">
        <v>1169</v>
      </c>
      <c r="AE402" s="1664" t="s">
        <v>56</v>
      </c>
      <c r="AF402" s="1653" t="s">
        <v>253</v>
      </c>
      <c r="AG402" s="1653" t="s">
        <v>256</v>
      </c>
      <c r="AH402" s="1653" t="s">
        <v>3969</v>
      </c>
      <c r="AI402" s="1653" t="s">
        <v>62</v>
      </c>
      <c r="AJ402" s="1664" t="s">
        <v>264</v>
      </c>
      <c r="AK402" s="1653" t="s">
        <v>73</v>
      </c>
      <c r="AL402" s="1664" t="s">
        <v>3970</v>
      </c>
      <c r="AM402" s="1653" t="s">
        <v>61</v>
      </c>
      <c r="AN402" s="1653" t="s">
        <v>3971</v>
      </c>
      <c r="AO402" s="1653" t="s">
        <v>277</v>
      </c>
      <c r="AP402" s="1664" t="s">
        <v>3972</v>
      </c>
      <c r="AQ402" s="1664" t="s">
        <v>3973</v>
      </c>
      <c r="AR402" s="1664" t="s">
        <v>286</v>
      </c>
      <c r="AS402" s="1664" t="s">
        <v>3974</v>
      </c>
      <c r="AT402" s="1664" t="s">
        <v>291</v>
      </c>
      <c r="AU402" s="1664" t="s">
        <v>2325</v>
      </c>
      <c r="AV402" s="1664" t="s">
        <v>2326</v>
      </c>
      <c r="AW402" s="1664" t="s">
        <v>3705</v>
      </c>
      <c r="AX402" s="1664" t="s">
        <v>89</v>
      </c>
      <c r="AY402" s="1650" t="s">
        <v>3975</v>
      </c>
      <c r="AZ402" s="1653" t="s">
        <v>3971</v>
      </c>
      <c r="BA402" s="1653" t="s">
        <v>277</v>
      </c>
      <c r="BB402" s="1664" t="s">
        <v>3972</v>
      </c>
      <c r="BC402" s="1664" t="s">
        <v>3973</v>
      </c>
      <c r="BD402" s="1664" t="s">
        <v>82</v>
      </c>
      <c r="BE402" s="1664" t="s">
        <v>3974</v>
      </c>
      <c r="BF402" s="1664" t="s">
        <v>291</v>
      </c>
      <c r="BG402" s="1664" t="s">
        <v>2325</v>
      </c>
      <c r="BH402" s="2427" t="s">
        <v>2326</v>
      </c>
      <c r="BI402" s="1652" t="s">
        <v>3705</v>
      </c>
      <c r="BJ402" s="1652" t="s">
        <v>89</v>
      </c>
      <c r="BK402" s="1660" t="s">
        <v>3976</v>
      </c>
      <c r="BL402" s="1965" t="s">
        <v>330</v>
      </c>
      <c r="BM402" s="1652" t="s">
        <v>95</v>
      </c>
      <c r="BN402" s="1652" t="s">
        <v>3977</v>
      </c>
      <c r="BO402" s="1652" t="s">
        <v>3978</v>
      </c>
      <c r="BP402" s="1652" t="s">
        <v>3979</v>
      </c>
      <c r="BQ402" s="1652" t="s">
        <v>3980</v>
      </c>
      <c r="BR402" s="1652" t="s">
        <v>3981</v>
      </c>
      <c r="BS402" s="1652" t="s">
        <v>3982</v>
      </c>
      <c r="BT402" s="1652" t="s">
        <v>3983</v>
      </c>
      <c r="BU402" s="1652" t="s">
        <v>347</v>
      </c>
      <c r="BV402" s="1650" t="s">
        <v>3984</v>
      </c>
      <c r="BW402" s="1652" t="s">
        <v>76</v>
      </c>
      <c r="BX402" s="3906" t="s">
        <v>78</v>
      </c>
      <c r="BY402" s="3906" t="s">
        <v>79</v>
      </c>
      <c r="BZ402" s="1652" t="s">
        <v>3985</v>
      </c>
      <c r="CA402" s="1652" t="s">
        <v>80</v>
      </c>
      <c r="CB402" s="1652" t="s">
        <v>3986</v>
      </c>
      <c r="CC402" s="1965" t="s">
        <v>3987</v>
      </c>
      <c r="CD402" s="1653" t="s">
        <v>177</v>
      </c>
      <c r="CE402" s="1653" t="s">
        <v>181</v>
      </c>
      <c r="CF402" s="1653" t="s">
        <v>184</v>
      </c>
      <c r="CG402" s="1653" t="s">
        <v>187</v>
      </c>
      <c r="CH402" s="1653" t="s">
        <v>190</v>
      </c>
      <c r="CI402" s="1653" t="s">
        <v>193</v>
      </c>
      <c r="CJ402" s="1653" t="s">
        <v>197</v>
      </c>
      <c r="CK402" s="1653" t="s">
        <v>202</v>
      </c>
      <c r="CL402" s="1653" t="s">
        <v>205</v>
      </c>
      <c r="CM402" s="1653" t="s">
        <v>210</v>
      </c>
      <c r="CN402" s="1653" t="s">
        <v>28</v>
      </c>
      <c r="CO402" s="1653" t="s">
        <v>217</v>
      </c>
      <c r="CP402" s="1658" t="s">
        <v>3963</v>
      </c>
      <c r="CQ402" s="1653" t="s">
        <v>181</v>
      </c>
      <c r="CR402" s="1653" t="s">
        <v>184</v>
      </c>
      <c r="CS402" s="1653" t="s">
        <v>187</v>
      </c>
      <c r="CT402" s="1653" t="s">
        <v>230</v>
      </c>
      <c r="CU402" s="1653" t="s">
        <v>232</v>
      </c>
      <c r="CV402" s="1653" t="s">
        <v>234</v>
      </c>
      <c r="CW402" s="1653" t="s">
        <v>217</v>
      </c>
      <c r="CX402" s="1660" t="s">
        <v>3965</v>
      </c>
      <c r="CY402" s="2353" t="s">
        <v>2318</v>
      </c>
      <c r="CZ402" s="2353" t="s">
        <v>35</v>
      </c>
      <c r="DA402" s="2353" t="s">
        <v>36</v>
      </c>
      <c r="DB402" s="2353" t="s">
        <v>1161</v>
      </c>
      <c r="DC402" s="2456" t="s">
        <v>3966</v>
      </c>
      <c r="DD402" s="2456" t="s">
        <v>3988</v>
      </c>
      <c r="DE402" s="2353" t="s">
        <v>3704</v>
      </c>
      <c r="DF402" s="1965" t="s">
        <v>1169</v>
      </c>
      <c r="DG402" s="1664" t="s">
        <v>56</v>
      </c>
      <c r="DH402" s="1653" t="s">
        <v>253</v>
      </c>
      <c r="DI402" s="1653" t="s">
        <v>256</v>
      </c>
      <c r="DJ402" s="1653" t="s">
        <v>3969</v>
      </c>
      <c r="DK402" s="1653" t="s">
        <v>62</v>
      </c>
      <c r="DL402" s="1664" t="s">
        <v>264</v>
      </c>
      <c r="DM402" s="1653" t="s">
        <v>73</v>
      </c>
      <c r="DN402" s="1664" t="s">
        <v>3970</v>
      </c>
      <c r="DO402" s="1653" t="s">
        <v>61</v>
      </c>
      <c r="DP402" s="1653" t="s">
        <v>3971</v>
      </c>
      <c r="DQ402" s="1653" t="s">
        <v>277</v>
      </c>
      <c r="DR402" s="1664" t="s">
        <v>3972</v>
      </c>
      <c r="DS402" s="1664" t="s">
        <v>3973</v>
      </c>
      <c r="DT402" s="1664" t="s">
        <v>286</v>
      </c>
      <c r="DU402" s="1664" t="s">
        <v>3974</v>
      </c>
      <c r="DV402" s="1664" t="s">
        <v>291</v>
      </c>
      <c r="DW402" s="1664" t="s">
        <v>2325</v>
      </c>
      <c r="DX402" s="1664" t="s">
        <v>2326</v>
      </c>
      <c r="DY402" s="1664" t="s">
        <v>3989</v>
      </c>
      <c r="DZ402" s="1664" t="s">
        <v>89</v>
      </c>
      <c r="EA402" s="1660" t="s">
        <v>3975</v>
      </c>
      <c r="EB402" s="1653" t="s">
        <v>3971</v>
      </c>
      <c r="EC402" s="1653" t="s">
        <v>277</v>
      </c>
      <c r="ED402" s="1664" t="s">
        <v>3972</v>
      </c>
      <c r="EE402" s="1664" t="s">
        <v>3973</v>
      </c>
      <c r="EF402" s="1664" t="s">
        <v>314</v>
      </c>
      <c r="EG402" s="1664" t="s">
        <v>3974</v>
      </c>
      <c r="EH402" s="1664" t="s">
        <v>2325</v>
      </c>
      <c r="EI402" s="1664" t="s">
        <v>2326</v>
      </c>
      <c r="EJ402" s="1664" t="s">
        <v>291</v>
      </c>
      <c r="EK402" s="1652" t="s">
        <v>572</v>
      </c>
      <c r="EL402" s="1652" t="s">
        <v>89</v>
      </c>
      <c r="EM402" s="1662" t="s">
        <v>3976</v>
      </c>
      <c r="EN402" s="2353" t="s">
        <v>76</v>
      </c>
      <c r="EO402" s="2353" t="s">
        <v>78</v>
      </c>
      <c r="EP402" s="2353" t="s">
        <v>79</v>
      </c>
      <c r="EQ402" s="2353" t="s">
        <v>3985</v>
      </c>
      <c r="ER402" s="2353" t="s">
        <v>80</v>
      </c>
      <c r="ES402" s="2353" t="s">
        <v>3707</v>
      </c>
      <c r="ET402" s="1965" t="s">
        <v>330</v>
      </c>
      <c r="EU402" s="1652" t="s">
        <v>95</v>
      </c>
      <c r="EV402" s="1652" t="s">
        <v>3990</v>
      </c>
      <c r="EW402" s="1652" t="s">
        <v>3978</v>
      </c>
      <c r="EX402" s="1652" t="s">
        <v>3991</v>
      </c>
      <c r="EY402" s="1652" t="s">
        <v>3992</v>
      </c>
      <c r="EZ402" s="1652" t="s">
        <v>3993</v>
      </c>
      <c r="FA402" s="1652" t="s">
        <v>3994</v>
      </c>
      <c r="FB402" s="1652" t="s">
        <v>3995</v>
      </c>
      <c r="FC402" s="1652" t="s">
        <v>347</v>
      </c>
      <c r="FD402" s="1965" t="s">
        <v>3984</v>
      </c>
      <c r="FE402" s="1863"/>
    </row>
    <row r="403" spans="1:161">
      <c r="A403" s="1771" t="str">
        <f>'Contact Information'!A45</f>
        <v>BROWARD COLLEGE</v>
      </c>
      <c r="B403" s="1775">
        <v>5047994</v>
      </c>
      <c r="C403" s="1775">
        <v>387782</v>
      </c>
      <c r="D403" s="1774">
        <v>0</v>
      </c>
      <c r="E403" s="1774">
        <v>0</v>
      </c>
      <c r="F403" s="1775">
        <v>3986766</v>
      </c>
      <c r="G403" s="1775">
        <v>822239</v>
      </c>
      <c r="H403" s="3122">
        <v>12501546</v>
      </c>
      <c r="I403" s="1775">
        <v>358410</v>
      </c>
      <c r="J403" s="1775">
        <v>21866</v>
      </c>
      <c r="K403" s="1775">
        <v>1813666</v>
      </c>
      <c r="L403" s="1775">
        <v>680376</v>
      </c>
      <c r="M403" s="1774">
        <v>0</v>
      </c>
      <c r="N403" s="2365">
        <f>SUM(B403:M403)</f>
        <v>25620645</v>
      </c>
      <c r="O403" s="1775">
        <v>4560765</v>
      </c>
      <c r="P403" s="1775">
        <v>50569185</v>
      </c>
      <c r="Q403" s="1775">
        <v>29452968</v>
      </c>
      <c r="R403" s="3143">
        <v>5185923</v>
      </c>
      <c r="S403" s="1775">
        <v>212218458</v>
      </c>
      <c r="T403" s="1775">
        <v>30162718</v>
      </c>
      <c r="U403" s="1775">
        <v>0</v>
      </c>
      <c r="V403" s="1651">
        <f>SUM(O403:U403)</f>
        <v>332150017</v>
      </c>
      <c r="W403" s="1772">
        <v>0</v>
      </c>
      <c r="X403" s="1772">
        <v>28770905</v>
      </c>
      <c r="Y403" s="1772">
        <v>6980012</v>
      </c>
      <c r="Z403" s="1772">
        <v>1075798</v>
      </c>
      <c r="AA403" s="1772">
        <v>0</v>
      </c>
      <c r="AB403" s="1772">
        <v>0</v>
      </c>
      <c r="AC403" s="1776">
        <v>0</v>
      </c>
      <c r="AD403" s="2359">
        <f>N403+V403</f>
        <v>357770662</v>
      </c>
      <c r="AE403" s="1776">
        <v>6759712</v>
      </c>
      <c r="AF403" s="1776">
        <v>0</v>
      </c>
      <c r="AG403" s="1776">
        <v>2109589</v>
      </c>
      <c r="AH403" s="1776">
        <v>1117485</v>
      </c>
      <c r="AI403" s="1776">
        <v>15128</v>
      </c>
      <c r="AJ403" s="1776">
        <v>0</v>
      </c>
      <c r="AK403" s="1776">
        <v>1491497</v>
      </c>
      <c r="AL403" s="1776">
        <v>4497349</v>
      </c>
      <c r="AM403" s="1776">
        <v>3698863</v>
      </c>
      <c r="AN403" s="1776">
        <v>915000</v>
      </c>
      <c r="AO403" s="1776">
        <v>2142857</v>
      </c>
      <c r="AP403" s="1776">
        <v>0</v>
      </c>
      <c r="AQ403" s="1776">
        <v>66667</v>
      </c>
      <c r="AR403" s="1776">
        <v>0</v>
      </c>
      <c r="AS403" s="1775">
        <v>0</v>
      </c>
      <c r="AT403" s="1775">
        <v>1253216</v>
      </c>
      <c r="AU403" s="1775">
        <v>0</v>
      </c>
      <c r="AV403" s="1775">
        <v>448754</v>
      </c>
      <c r="AW403" s="1775">
        <v>505185</v>
      </c>
      <c r="AX403" s="1775"/>
      <c r="AY403" s="1651">
        <f t="shared" ref="AY403:AY430" si="5">SUM(AE403:AX403)</f>
        <v>25021302</v>
      </c>
      <c r="AZ403" s="1772">
        <v>7800000</v>
      </c>
      <c r="BA403" s="1772">
        <v>2142858</v>
      </c>
      <c r="BB403" s="1772">
        <v>0</v>
      </c>
      <c r="BC403" s="1772">
        <v>1472222</v>
      </c>
      <c r="BD403" s="1772">
        <v>0</v>
      </c>
      <c r="BE403" s="1772">
        <v>0</v>
      </c>
      <c r="BF403" s="1772">
        <v>9429426</v>
      </c>
      <c r="BG403" s="1772">
        <v>0</v>
      </c>
      <c r="BH403" s="1772">
        <v>95976262</v>
      </c>
      <c r="BI403" s="1772">
        <v>4030928</v>
      </c>
      <c r="BJ403" s="1772"/>
      <c r="BK403" s="1651">
        <f t="shared" ref="BK403:BK430" si="6">SUM(AZ403:BJ403)</f>
        <v>120851696</v>
      </c>
      <c r="BL403" s="2359">
        <f t="shared" ref="BL403:BL430" si="7">AY403+BK403</f>
        <v>145872998</v>
      </c>
      <c r="BM403" s="1772">
        <v>229380461</v>
      </c>
      <c r="BN403" s="1772">
        <v>1034417</v>
      </c>
      <c r="BO403" s="1772">
        <v>0</v>
      </c>
      <c r="BP403" s="1772">
        <v>2406382</v>
      </c>
      <c r="BQ403" s="1772">
        <v>-167935</v>
      </c>
      <c r="BR403" s="1772">
        <v>34662081</v>
      </c>
      <c r="BS403" s="1772">
        <v>31242</v>
      </c>
      <c r="BT403" s="1772">
        <v>0</v>
      </c>
      <c r="BU403" s="1772">
        <v>-31366148</v>
      </c>
      <c r="BV403" s="1667">
        <f>SUM(BM403:BU403)</f>
        <v>235980500</v>
      </c>
      <c r="BW403" s="2352">
        <v>0</v>
      </c>
      <c r="BX403" s="2352">
        <v>5125944</v>
      </c>
      <c r="BY403" s="2352">
        <v>3095779</v>
      </c>
      <c r="BZ403" s="2352">
        <v>4522156</v>
      </c>
      <c r="CA403" s="2352">
        <v>0</v>
      </c>
      <c r="CB403" s="1780">
        <v>0</v>
      </c>
      <c r="CC403" s="2357">
        <f t="shared" ref="CC403:CC430" si="8">BV403+CB403</f>
        <v>235980500</v>
      </c>
      <c r="CD403" s="1772">
        <v>4033779</v>
      </c>
      <c r="CE403" s="1772">
        <v>0</v>
      </c>
      <c r="CF403" s="1772">
        <v>0</v>
      </c>
      <c r="CG403" s="1772">
        <v>0</v>
      </c>
      <c r="CH403" s="1772">
        <v>3231011</v>
      </c>
      <c r="CI403" s="1772">
        <v>15444</v>
      </c>
      <c r="CJ403" s="1772">
        <v>0</v>
      </c>
      <c r="CK403" s="1772">
        <v>171091</v>
      </c>
      <c r="CL403" s="1772">
        <v>0</v>
      </c>
      <c r="CM403" s="1772">
        <v>17193</v>
      </c>
      <c r="CN403" s="1772">
        <v>0</v>
      </c>
      <c r="CO403" s="1772">
        <v>0</v>
      </c>
      <c r="CP403" s="1659">
        <f t="shared" ref="CP403:CP430" si="9">SUM(CD403:CO403)</f>
        <v>7468518</v>
      </c>
      <c r="CQ403" s="1772">
        <v>0</v>
      </c>
      <c r="CR403" s="1772">
        <v>81452301</v>
      </c>
      <c r="CS403" s="1772">
        <v>0</v>
      </c>
      <c r="CT403" s="1772">
        <v>0</v>
      </c>
      <c r="CU403" s="1772">
        <v>0</v>
      </c>
      <c r="CV403" s="1772">
        <v>0</v>
      </c>
      <c r="CW403" s="1772">
        <v>0</v>
      </c>
      <c r="CX403" s="1651">
        <f t="shared" ref="CX403:CX430" si="10">SUM(CQ403:CW403)</f>
        <v>81452301</v>
      </c>
      <c r="CY403" s="1780">
        <v>0</v>
      </c>
      <c r="CZ403" s="1780">
        <v>0</v>
      </c>
      <c r="DA403" s="1780">
        <v>0</v>
      </c>
      <c r="DB403" s="1780">
        <v>0</v>
      </c>
      <c r="DC403" s="1780">
        <v>0</v>
      </c>
      <c r="DD403" s="1780">
        <v>0</v>
      </c>
      <c r="DE403" s="1780">
        <v>0</v>
      </c>
      <c r="DF403" s="2355">
        <f t="shared" ref="DF403:DF430" si="11">CP403+CX403</f>
        <v>88920819</v>
      </c>
      <c r="DG403" s="1773">
        <v>113898</v>
      </c>
      <c r="DH403" s="1773">
        <v>0</v>
      </c>
      <c r="DI403" s="1773">
        <v>0</v>
      </c>
      <c r="DJ403" s="1774">
        <v>0</v>
      </c>
      <c r="DK403" s="1775">
        <v>0</v>
      </c>
      <c r="DL403" s="1775">
        <v>649337</v>
      </c>
      <c r="DM403" s="1774">
        <v>11500</v>
      </c>
      <c r="DN403" s="1775">
        <v>0</v>
      </c>
      <c r="DO403" s="1775">
        <v>0</v>
      </c>
      <c r="DP403" s="1774">
        <v>0</v>
      </c>
      <c r="DQ403" s="1775">
        <v>0</v>
      </c>
      <c r="DR403" s="1775">
        <v>0</v>
      </c>
      <c r="DS403" s="1775">
        <v>0</v>
      </c>
      <c r="DT403" s="1775">
        <v>0</v>
      </c>
      <c r="DU403" s="1774">
        <v>0</v>
      </c>
      <c r="DV403" s="1774">
        <v>0</v>
      </c>
      <c r="DW403" s="1774">
        <v>0</v>
      </c>
      <c r="DX403" s="1774">
        <v>0</v>
      </c>
      <c r="DY403" s="1774">
        <v>0</v>
      </c>
      <c r="DZ403" s="1775">
        <v>0</v>
      </c>
      <c r="EA403" s="1661">
        <f t="shared" ref="EA403:EA430" si="12">SUM(DG403:DZ403)</f>
        <v>774735</v>
      </c>
      <c r="EB403" s="1774">
        <v>0</v>
      </c>
      <c r="EC403" s="1775">
        <v>0</v>
      </c>
      <c r="ED403" s="1774">
        <v>0</v>
      </c>
      <c r="EE403" s="1775">
        <v>0</v>
      </c>
      <c r="EF403" s="1775">
        <v>0</v>
      </c>
      <c r="EG403" s="1774">
        <v>0</v>
      </c>
      <c r="EH403" s="1774">
        <v>0</v>
      </c>
      <c r="EI403" s="1774">
        <v>0</v>
      </c>
      <c r="EJ403" s="1774">
        <v>0</v>
      </c>
      <c r="EK403" s="1773">
        <v>0</v>
      </c>
      <c r="EL403" s="1775">
        <v>0</v>
      </c>
      <c r="EM403" s="1663">
        <f t="shared" ref="EM403:EM430" si="13">SUM(EB403:EL403)</f>
        <v>0</v>
      </c>
      <c r="EN403" s="2354">
        <v>0</v>
      </c>
      <c r="EO403" s="2354">
        <v>0</v>
      </c>
      <c r="EP403" s="2354">
        <v>0</v>
      </c>
      <c r="EQ403" s="2354">
        <v>0</v>
      </c>
      <c r="ER403" s="2354">
        <v>0</v>
      </c>
      <c r="ES403" s="2354">
        <v>0</v>
      </c>
      <c r="ET403" s="2355">
        <f t="shared" ref="ET403:ET430" si="14">EA403+EM403</f>
        <v>774735</v>
      </c>
      <c r="EU403" s="1775">
        <v>0</v>
      </c>
      <c r="EV403" s="1774">
        <v>41692955</v>
      </c>
      <c r="EW403" s="1774"/>
      <c r="EX403" s="1774">
        <v>0</v>
      </c>
      <c r="EY403" s="1775">
        <v>33807532</v>
      </c>
      <c r="EZ403" s="1775">
        <v>0</v>
      </c>
      <c r="FA403" s="1774">
        <v>0</v>
      </c>
      <c r="FB403" s="1774">
        <v>0</v>
      </c>
      <c r="FC403" s="1774">
        <v>12645597</v>
      </c>
      <c r="FD403" s="2356">
        <f>SUM(EU403:FC403)</f>
        <v>88146084</v>
      </c>
      <c r="FE403" s="3162" t="s">
        <v>120</v>
      </c>
    </row>
    <row r="404" spans="1:161">
      <c r="A404" s="1771" t="str">
        <f>'Contact Information'!A46</f>
        <v>CHIPOLA COLLEGE</v>
      </c>
      <c r="B404" s="1775">
        <v>7889976</v>
      </c>
      <c r="C404" s="1775">
        <v>100000</v>
      </c>
      <c r="D404" s="1774">
        <v>0</v>
      </c>
      <c r="E404" s="1774">
        <v>0</v>
      </c>
      <c r="F404" s="1775">
        <v>41994</v>
      </c>
      <c r="G404" s="1775">
        <v>1931</v>
      </c>
      <c r="H404" s="3122">
        <v>104219</v>
      </c>
      <c r="I404" s="3894">
        <v>0</v>
      </c>
      <c r="J404" s="1774">
        <v>0</v>
      </c>
      <c r="K404" s="1775">
        <v>231847</v>
      </c>
      <c r="L404" s="1774">
        <v>0</v>
      </c>
      <c r="M404" s="1774">
        <v>0</v>
      </c>
      <c r="N404" s="2365">
        <f t="shared" ref="N404:N430" si="15">SUM(B404:M404)</f>
        <v>8369967</v>
      </c>
      <c r="O404" s="1775">
        <v>1194981</v>
      </c>
      <c r="P404" s="3143">
        <v>0</v>
      </c>
      <c r="Q404" s="3143">
        <v>0</v>
      </c>
      <c r="R404" s="3143">
        <v>0</v>
      </c>
      <c r="S404" s="1775">
        <v>50013261</v>
      </c>
      <c r="T404" s="1775">
        <v>2494146</v>
      </c>
      <c r="U404" s="3143">
        <v>0</v>
      </c>
      <c r="V404" s="1651">
        <f t="shared" ref="V404:V430" si="16">SUM(O404:U404)</f>
        <v>53702388</v>
      </c>
      <c r="W404" s="1772">
        <v>0</v>
      </c>
      <c r="X404" s="1772">
        <v>2738382</v>
      </c>
      <c r="Y404" s="1772">
        <v>503385</v>
      </c>
      <c r="Z404" s="1772">
        <v>184808</v>
      </c>
      <c r="AA404" s="1772">
        <v>0</v>
      </c>
      <c r="AB404" s="1772">
        <v>0</v>
      </c>
      <c r="AC404" s="1776">
        <v>0</v>
      </c>
      <c r="AD404" s="2359">
        <f>N404+V404</f>
        <v>62072355</v>
      </c>
      <c r="AE404" s="1776">
        <v>164731</v>
      </c>
      <c r="AF404" s="1776">
        <v>0</v>
      </c>
      <c r="AG404" s="1776">
        <v>226058</v>
      </c>
      <c r="AH404" s="1776">
        <v>0</v>
      </c>
      <c r="AI404" s="1776">
        <v>484</v>
      </c>
      <c r="AJ404" s="1778">
        <v>0</v>
      </c>
      <c r="AK404" s="1778">
        <v>66411</v>
      </c>
      <c r="AL404" s="1778">
        <v>0</v>
      </c>
      <c r="AM404" s="1778">
        <v>81094</v>
      </c>
      <c r="AN404" s="1778">
        <v>0</v>
      </c>
      <c r="AO404" s="1778">
        <v>0</v>
      </c>
      <c r="AP404" s="1778">
        <v>0</v>
      </c>
      <c r="AQ404" s="1778">
        <v>0</v>
      </c>
      <c r="AR404" s="1776">
        <v>0</v>
      </c>
      <c r="AS404" s="1779">
        <v>0</v>
      </c>
      <c r="AT404" s="1779">
        <v>200000</v>
      </c>
      <c r="AU404" s="1775">
        <v>0</v>
      </c>
      <c r="AV404" s="1775">
        <v>45870</v>
      </c>
      <c r="AW404" s="1775">
        <v>14768</v>
      </c>
      <c r="AX404" s="1779">
        <v>0</v>
      </c>
      <c r="AY404" s="1651">
        <f t="shared" si="5"/>
        <v>799416</v>
      </c>
      <c r="AZ404" s="1772">
        <v>0</v>
      </c>
      <c r="BA404" s="1772">
        <v>0</v>
      </c>
      <c r="BB404" s="1772">
        <v>0</v>
      </c>
      <c r="BC404" s="1772">
        <v>0</v>
      </c>
      <c r="BD404" s="1772">
        <v>0</v>
      </c>
      <c r="BE404" s="1772">
        <v>0</v>
      </c>
      <c r="BF404" s="1772">
        <v>1882096</v>
      </c>
      <c r="BG404" s="1772">
        <v>0</v>
      </c>
      <c r="BH404" s="1772">
        <v>9340481</v>
      </c>
      <c r="BI404" s="1772">
        <v>72210</v>
      </c>
      <c r="BJ404" s="1772">
        <v>0</v>
      </c>
      <c r="BK404" s="1651">
        <f t="shared" si="6"/>
        <v>11294787</v>
      </c>
      <c r="BL404" s="2359">
        <f t="shared" si="7"/>
        <v>12094203</v>
      </c>
      <c r="BM404" s="1772">
        <v>52507407</v>
      </c>
      <c r="BN404" s="1772">
        <v>0</v>
      </c>
      <c r="BO404" s="1772">
        <v>0</v>
      </c>
      <c r="BP404" s="1772">
        <v>588130</v>
      </c>
      <c r="BQ404" s="1772">
        <v>533532</v>
      </c>
      <c r="BR404" s="1772">
        <v>1511266</v>
      </c>
      <c r="BS404" s="1772">
        <v>0</v>
      </c>
      <c r="BT404" s="1772">
        <v>0</v>
      </c>
      <c r="BU404" s="1772">
        <v>-3292511</v>
      </c>
      <c r="BV404" s="1667">
        <f t="shared" ref="BV404:BV430" si="17">SUM(BM404:BU404)</f>
        <v>51847824</v>
      </c>
      <c r="BW404" s="2352">
        <v>0</v>
      </c>
      <c r="BX404" s="2352">
        <v>860644</v>
      </c>
      <c r="BY404" s="2352">
        <v>491231</v>
      </c>
      <c r="BZ404" s="2352">
        <v>205028</v>
      </c>
      <c r="CA404" s="2352">
        <v>0</v>
      </c>
      <c r="CB404" s="1780">
        <v>0</v>
      </c>
      <c r="CC404" s="2357">
        <f t="shared" si="8"/>
        <v>51847824</v>
      </c>
      <c r="CD404" s="1772">
        <v>261807</v>
      </c>
      <c r="CE404" s="1772">
        <v>0</v>
      </c>
      <c r="CF404" s="1772">
        <v>4106978</v>
      </c>
      <c r="CG404" s="1772">
        <v>0</v>
      </c>
      <c r="CH404" s="1772">
        <v>13000</v>
      </c>
      <c r="CI404" s="1772">
        <v>0</v>
      </c>
      <c r="CJ404" s="1772">
        <v>0</v>
      </c>
      <c r="CK404" s="1772">
        <v>0</v>
      </c>
      <c r="CL404" s="1772">
        <v>0</v>
      </c>
      <c r="CM404" s="1772">
        <v>0</v>
      </c>
      <c r="CN404" s="1772">
        <v>0</v>
      </c>
      <c r="CO404" s="1772">
        <v>0</v>
      </c>
      <c r="CP404" s="1659">
        <f t="shared" si="9"/>
        <v>4381785</v>
      </c>
      <c r="CQ404" s="1772">
        <v>2808475</v>
      </c>
      <c r="CR404" s="1772">
        <v>12745370</v>
      </c>
      <c r="CS404" s="1772">
        <v>0</v>
      </c>
      <c r="CT404" s="1772">
        <v>0</v>
      </c>
      <c r="CU404" s="1772">
        <v>0</v>
      </c>
      <c r="CV404" s="1772">
        <v>0</v>
      </c>
      <c r="CW404" s="1772">
        <v>109307</v>
      </c>
      <c r="CX404" s="1651">
        <f t="shared" si="10"/>
        <v>15663152</v>
      </c>
      <c r="CY404" s="1780">
        <v>0</v>
      </c>
      <c r="CZ404" s="1780">
        <v>0</v>
      </c>
      <c r="DA404" s="1780">
        <v>0</v>
      </c>
      <c r="DB404" s="1780">
        <v>0</v>
      </c>
      <c r="DC404" s="1780">
        <v>0</v>
      </c>
      <c r="DD404" s="1780">
        <v>0</v>
      </c>
      <c r="DE404" s="1780">
        <v>0</v>
      </c>
      <c r="DF404" s="2355">
        <f t="shared" si="11"/>
        <v>20044937</v>
      </c>
      <c r="DG404" s="1773">
        <v>27676</v>
      </c>
      <c r="DH404" s="1773">
        <v>0</v>
      </c>
      <c r="DI404" s="1773">
        <v>0</v>
      </c>
      <c r="DJ404" s="1774">
        <v>0</v>
      </c>
      <c r="DK404" s="1775">
        <v>0</v>
      </c>
      <c r="DL404" s="1775">
        <v>0</v>
      </c>
      <c r="DM404" s="1774">
        <v>0</v>
      </c>
      <c r="DN404" s="1775">
        <v>0</v>
      </c>
      <c r="DO404" s="1775">
        <v>0</v>
      </c>
      <c r="DP404" s="1775">
        <v>0</v>
      </c>
      <c r="DQ404" s="1775">
        <v>0</v>
      </c>
      <c r="DR404" s="1774">
        <v>0</v>
      </c>
      <c r="DS404" s="1775">
        <v>0</v>
      </c>
      <c r="DT404" s="1775">
        <v>0</v>
      </c>
      <c r="DU404" s="1774">
        <v>0</v>
      </c>
      <c r="DV404" s="1774">
        <v>0</v>
      </c>
      <c r="DW404" s="1774">
        <v>0</v>
      </c>
      <c r="DX404" s="1774">
        <v>0</v>
      </c>
      <c r="DY404" s="1774">
        <v>0</v>
      </c>
      <c r="DZ404" s="1775">
        <v>0</v>
      </c>
      <c r="EA404" s="1661">
        <f t="shared" si="12"/>
        <v>27676</v>
      </c>
      <c r="EB404" s="1774">
        <v>0</v>
      </c>
      <c r="EC404" s="1774">
        <v>0</v>
      </c>
      <c r="ED404" s="1774">
        <v>0</v>
      </c>
      <c r="EE404" s="1775">
        <v>0</v>
      </c>
      <c r="EF404" s="1775">
        <v>0</v>
      </c>
      <c r="EG404" s="1774">
        <v>0</v>
      </c>
      <c r="EH404" s="1774">
        <v>0</v>
      </c>
      <c r="EI404" s="1774">
        <v>0</v>
      </c>
      <c r="EJ404" s="1774">
        <v>0</v>
      </c>
      <c r="EK404" s="1773">
        <v>0</v>
      </c>
      <c r="EL404" s="1775">
        <v>0</v>
      </c>
      <c r="EM404" s="1663">
        <f t="shared" si="13"/>
        <v>0</v>
      </c>
      <c r="EN404" s="2354">
        <v>0</v>
      </c>
      <c r="EO404" s="2354">
        <v>0</v>
      </c>
      <c r="EP404" s="2354">
        <v>0</v>
      </c>
      <c r="EQ404" s="2354">
        <v>0</v>
      </c>
      <c r="ER404" s="2354">
        <v>0</v>
      </c>
      <c r="ES404" s="2354">
        <v>0</v>
      </c>
      <c r="ET404" s="2355">
        <f t="shared" si="14"/>
        <v>27676</v>
      </c>
      <c r="EU404" s="1775">
        <v>0</v>
      </c>
      <c r="EV404" s="1774">
        <v>7477332</v>
      </c>
      <c r="EW404" s="1774">
        <v>0</v>
      </c>
      <c r="EX404" s="1774">
        <v>0</v>
      </c>
      <c r="EY404" s="1775">
        <v>8182271</v>
      </c>
      <c r="EZ404" s="1775">
        <v>0</v>
      </c>
      <c r="FA404" s="1774">
        <v>0</v>
      </c>
      <c r="FB404" s="1774">
        <v>0</v>
      </c>
      <c r="FC404" s="1774">
        <v>4357658</v>
      </c>
      <c r="FD404" s="2356">
        <f>SUM(EU404:FC404)</f>
        <v>20017261</v>
      </c>
      <c r="FE404" s="3162" t="s">
        <v>122</v>
      </c>
    </row>
    <row r="405" spans="1:161">
      <c r="A405" s="1771" t="str">
        <f>'Contact Information'!A47</f>
        <v>COLLEGE OF CENTRAL FLORIDA</v>
      </c>
      <c r="B405" s="1775">
        <v>7637922</v>
      </c>
      <c r="C405" s="1775">
        <v>2296667</v>
      </c>
      <c r="D405" s="1774">
        <v>0</v>
      </c>
      <c r="E405" s="1774">
        <v>170229</v>
      </c>
      <c r="F405" s="1775">
        <v>1493590</v>
      </c>
      <c r="G405" s="1774">
        <v>0</v>
      </c>
      <c r="H405" s="3122">
        <v>6325531</v>
      </c>
      <c r="I405" s="1775">
        <v>1337604</v>
      </c>
      <c r="J405" s="1775">
        <v>27478</v>
      </c>
      <c r="K405" s="1775">
        <v>750582</v>
      </c>
      <c r="L405" s="1774">
        <v>18191</v>
      </c>
      <c r="M405" s="1775">
        <v>0</v>
      </c>
      <c r="N405" s="2365">
        <f t="shared" si="15"/>
        <v>20057794</v>
      </c>
      <c r="O405" s="1775">
        <v>8304199</v>
      </c>
      <c r="P405" s="1775">
        <v>0</v>
      </c>
      <c r="Q405" s="1775">
        <v>600000</v>
      </c>
      <c r="R405" s="3143">
        <v>0</v>
      </c>
      <c r="S405" s="1775">
        <v>65928077</v>
      </c>
      <c r="T405" s="1775">
        <v>18101794</v>
      </c>
      <c r="U405" s="3143">
        <v>480343</v>
      </c>
      <c r="V405" s="1651">
        <f t="shared" si="16"/>
        <v>93414413</v>
      </c>
      <c r="W405" s="1772">
        <v>0</v>
      </c>
      <c r="X405" s="1772">
        <v>6972253</v>
      </c>
      <c r="Y405" s="1772">
        <v>1514075</v>
      </c>
      <c r="Z405" s="1772">
        <v>374020</v>
      </c>
      <c r="AA405" s="1772">
        <v>0</v>
      </c>
      <c r="AB405" s="1772">
        <v>0</v>
      </c>
      <c r="AC405" s="1776">
        <v>0</v>
      </c>
      <c r="AD405" s="2359">
        <f>N405+V405</f>
        <v>113472207</v>
      </c>
      <c r="AE405" s="1776">
        <v>871356</v>
      </c>
      <c r="AF405" s="1776">
        <v>0</v>
      </c>
      <c r="AG405" s="1776">
        <v>1499205</v>
      </c>
      <c r="AH405" s="1776">
        <v>39545</v>
      </c>
      <c r="AI405" s="1776">
        <v>5000</v>
      </c>
      <c r="AJ405" s="1776">
        <v>0</v>
      </c>
      <c r="AK405" s="1776">
        <v>2619562</v>
      </c>
      <c r="AL405" s="1776">
        <v>0</v>
      </c>
      <c r="AM405" s="1776">
        <v>266536</v>
      </c>
      <c r="AN405" s="1776">
        <v>0</v>
      </c>
      <c r="AO405" s="1776">
        <v>0</v>
      </c>
      <c r="AP405" s="1776">
        <v>0</v>
      </c>
      <c r="AQ405" s="1776">
        <v>0</v>
      </c>
      <c r="AR405" s="1776">
        <v>0</v>
      </c>
      <c r="AS405" s="1775">
        <v>0</v>
      </c>
      <c r="AT405" s="1775">
        <v>284401</v>
      </c>
      <c r="AU405" s="1775">
        <v>0</v>
      </c>
      <c r="AV405" s="1775">
        <v>122535</v>
      </c>
      <c r="AW405" s="1775">
        <v>34581</v>
      </c>
      <c r="AX405" s="1775">
        <v>0</v>
      </c>
      <c r="AY405" s="1651">
        <f t="shared" si="5"/>
        <v>5742721</v>
      </c>
      <c r="AZ405" s="1772">
        <v>0</v>
      </c>
      <c r="BA405" s="1772">
        <v>0</v>
      </c>
      <c r="BB405" s="1772">
        <v>0</v>
      </c>
      <c r="BC405" s="1772">
        <v>0</v>
      </c>
      <c r="BD405" s="1772">
        <v>0</v>
      </c>
      <c r="BE405" s="1772">
        <v>0</v>
      </c>
      <c r="BF405" s="1772">
        <v>3216868</v>
      </c>
      <c r="BG405" s="1772">
        <v>0</v>
      </c>
      <c r="BH405" s="1772">
        <v>23547369</v>
      </c>
      <c r="BI405" s="1772">
        <v>893340</v>
      </c>
      <c r="BJ405" s="1772">
        <v>0</v>
      </c>
      <c r="BK405" s="1651">
        <f t="shared" si="6"/>
        <v>27657577</v>
      </c>
      <c r="BL405" s="2359">
        <f t="shared" si="7"/>
        <v>33400298</v>
      </c>
      <c r="BM405" s="1772">
        <v>84029871</v>
      </c>
      <c r="BN405" s="1772">
        <v>600000</v>
      </c>
      <c r="BO405" s="1772">
        <v>0</v>
      </c>
      <c r="BP405" s="1772">
        <v>1415683</v>
      </c>
      <c r="BQ405" s="1772">
        <v>166643</v>
      </c>
      <c r="BR405" s="1772">
        <v>12754383</v>
      </c>
      <c r="BS405" s="1772">
        <v>0</v>
      </c>
      <c r="BT405" s="1772">
        <v>0</v>
      </c>
      <c r="BU405" s="1772">
        <v>-12742071</v>
      </c>
      <c r="BV405" s="1667">
        <f t="shared" si="17"/>
        <v>86224509</v>
      </c>
      <c r="BW405" s="2352">
        <v>0</v>
      </c>
      <c r="BX405" s="2352">
        <v>1653442</v>
      </c>
      <c r="BY405" s="2352">
        <v>1034853</v>
      </c>
      <c r="BZ405" s="2352">
        <v>19453</v>
      </c>
      <c r="CA405" s="2352">
        <v>0</v>
      </c>
      <c r="CB405" s="1780">
        <v>0</v>
      </c>
      <c r="CC405" s="2357">
        <f t="shared" si="8"/>
        <v>86224509</v>
      </c>
      <c r="CD405" s="1772">
        <v>5804974</v>
      </c>
      <c r="CE405" s="1772">
        <v>0</v>
      </c>
      <c r="CF405" s="1772">
        <v>0</v>
      </c>
      <c r="CG405" s="1772">
        <v>0</v>
      </c>
      <c r="CH405" s="1772">
        <v>0</v>
      </c>
      <c r="CI405" s="1772">
        <v>0</v>
      </c>
      <c r="CJ405" s="1772">
        <v>0</v>
      </c>
      <c r="CK405" s="1772">
        <v>0</v>
      </c>
      <c r="CL405" s="1772">
        <v>0</v>
      </c>
      <c r="CM405" s="1772">
        <v>127425</v>
      </c>
      <c r="CN405" s="1772">
        <v>0</v>
      </c>
      <c r="CO405" s="1772">
        <v>38200</v>
      </c>
      <c r="CP405" s="1659">
        <f t="shared" si="9"/>
        <v>5970599</v>
      </c>
      <c r="CQ405" s="1772">
        <v>1041648</v>
      </c>
      <c r="CR405" s="1772">
        <v>1685613</v>
      </c>
      <c r="CS405" s="1772">
        <f>75164444+267767</f>
        <v>75432211</v>
      </c>
      <c r="CT405" s="1772">
        <v>0</v>
      </c>
      <c r="CU405" s="1772">
        <v>3065615</v>
      </c>
      <c r="CV405" s="1772">
        <v>18039858</v>
      </c>
      <c r="CW405" s="1772">
        <v>132697</v>
      </c>
      <c r="CX405" s="1651">
        <f t="shared" si="10"/>
        <v>99397642</v>
      </c>
      <c r="CY405" s="1780">
        <v>0</v>
      </c>
      <c r="CZ405" s="1780">
        <v>0</v>
      </c>
      <c r="DA405" s="1780">
        <v>0</v>
      </c>
      <c r="DB405" s="1780">
        <v>0</v>
      </c>
      <c r="DC405" s="1780">
        <v>0</v>
      </c>
      <c r="DD405" s="1780">
        <v>0</v>
      </c>
      <c r="DE405" s="1780">
        <v>0</v>
      </c>
      <c r="DF405" s="2355">
        <f t="shared" si="11"/>
        <v>105368241</v>
      </c>
      <c r="DG405" s="1773">
        <v>619882</v>
      </c>
      <c r="DH405" s="1773">
        <v>0</v>
      </c>
      <c r="DI405" s="1773">
        <v>0</v>
      </c>
      <c r="DJ405" s="1774">
        <v>0</v>
      </c>
      <c r="DK405" s="1775">
        <v>0</v>
      </c>
      <c r="DL405" s="1775">
        <v>0</v>
      </c>
      <c r="DM405" s="1774">
        <v>54419</v>
      </c>
      <c r="DN405" s="1775">
        <v>0</v>
      </c>
      <c r="DO405" s="1775">
        <v>48705</v>
      </c>
      <c r="DP405" s="1774">
        <v>175002</v>
      </c>
      <c r="DQ405" s="1775">
        <v>100000</v>
      </c>
      <c r="DR405" s="1774">
        <v>0</v>
      </c>
      <c r="DS405" s="1775">
        <v>0</v>
      </c>
      <c r="DT405" s="1775">
        <v>0</v>
      </c>
      <c r="DU405" s="1774">
        <v>0</v>
      </c>
      <c r="DV405" s="1774">
        <v>0</v>
      </c>
      <c r="DW405" s="1774">
        <v>0</v>
      </c>
      <c r="DX405" s="1774">
        <v>0</v>
      </c>
      <c r="DY405" s="1774">
        <v>0</v>
      </c>
      <c r="DZ405" s="1775">
        <v>16421</v>
      </c>
      <c r="EA405" s="1661">
        <f t="shared" si="12"/>
        <v>1014429</v>
      </c>
      <c r="EB405" s="1774">
        <v>480000</v>
      </c>
      <c r="EC405" s="1775">
        <v>480343</v>
      </c>
      <c r="ED405" s="1774">
        <v>0</v>
      </c>
      <c r="EE405" s="1775">
        <v>0</v>
      </c>
      <c r="EF405" s="1775">
        <v>0</v>
      </c>
      <c r="EG405" s="1774">
        <v>0</v>
      </c>
      <c r="EH405" s="1774">
        <v>0</v>
      </c>
      <c r="EI405" s="1774">
        <v>0</v>
      </c>
      <c r="EJ405" s="1774">
        <v>0</v>
      </c>
      <c r="EK405" s="1773">
        <v>0</v>
      </c>
      <c r="EL405" s="1775">
        <v>100644</v>
      </c>
      <c r="EM405" s="1663">
        <f t="shared" si="13"/>
        <v>1060987</v>
      </c>
      <c r="EN405" s="2354">
        <v>0</v>
      </c>
      <c r="EO405" s="2354">
        <v>0</v>
      </c>
      <c r="EP405" s="2354">
        <v>0</v>
      </c>
      <c r="EQ405" s="2354">
        <v>0</v>
      </c>
      <c r="ER405" s="2354">
        <v>429036</v>
      </c>
      <c r="ES405" s="2354">
        <v>0</v>
      </c>
      <c r="ET405" s="2355">
        <f t="shared" si="14"/>
        <v>2075416</v>
      </c>
      <c r="EU405" s="1775">
        <v>20450471</v>
      </c>
      <c r="EV405" s="1774">
        <v>63000188</v>
      </c>
      <c r="EW405" s="1774">
        <v>2936088</v>
      </c>
      <c r="EX405" s="1774">
        <v>0</v>
      </c>
      <c r="EY405" s="1775">
        <v>0</v>
      </c>
      <c r="EZ405" s="1775">
        <v>0</v>
      </c>
      <c r="FA405" s="1774">
        <v>0</v>
      </c>
      <c r="FB405" s="1774">
        <v>0</v>
      </c>
      <c r="FC405" s="1774">
        <v>16477042</v>
      </c>
      <c r="FD405" s="2356">
        <f t="shared" ref="FD405:FD430" si="18">SUM(EU405:FC405)</f>
        <v>102863789</v>
      </c>
      <c r="FE405" s="3162" t="s">
        <v>124</v>
      </c>
    </row>
    <row r="406" spans="1:161">
      <c r="A406" s="1771" t="str">
        <f>'Contact Information'!A48</f>
        <v>DAYTONA STATE COLLEGE</v>
      </c>
      <c r="B406" s="1775">
        <v>21657798</v>
      </c>
      <c r="C406" s="1775">
        <v>9919446</v>
      </c>
      <c r="D406" s="1774">
        <v>0</v>
      </c>
      <c r="E406" s="1774">
        <v>0</v>
      </c>
      <c r="F406" s="1775">
        <v>3975532</v>
      </c>
      <c r="G406" s="1775">
        <v>47559</v>
      </c>
      <c r="H406" s="3122">
        <v>16473317</v>
      </c>
      <c r="I406" s="1775">
        <v>9376</v>
      </c>
      <c r="J406" s="1774">
        <v>0</v>
      </c>
      <c r="K406" s="1775">
        <v>992655</v>
      </c>
      <c r="L406" s="1775">
        <v>4494</v>
      </c>
      <c r="M406" s="1774">
        <v>0</v>
      </c>
      <c r="N406" s="2365">
        <f t="shared" si="15"/>
        <v>53080177</v>
      </c>
      <c r="O406" s="1775">
        <v>35710171</v>
      </c>
      <c r="P406" s="3143">
        <v>0</v>
      </c>
      <c r="Q406" s="1775">
        <v>462</v>
      </c>
      <c r="R406" s="3143">
        <v>0</v>
      </c>
      <c r="S406" s="1775">
        <v>155960748</v>
      </c>
      <c r="T406" s="1775">
        <v>16882961</v>
      </c>
      <c r="U406" s="3143">
        <v>0</v>
      </c>
      <c r="V406" s="1651">
        <f t="shared" si="16"/>
        <v>208554342</v>
      </c>
      <c r="W406" s="1772">
        <v>0</v>
      </c>
      <c r="X406" s="1772">
        <v>12000274</v>
      </c>
      <c r="Y406" s="1772">
        <v>2378651</v>
      </c>
      <c r="Z406" s="1772">
        <v>447882</v>
      </c>
      <c r="AA406" s="1772">
        <v>0</v>
      </c>
      <c r="AB406" s="1772">
        <v>0</v>
      </c>
      <c r="AC406" s="1776">
        <v>0</v>
      </c>
      <c r="AD406" s="2359">
        <f>N406+V406</f>
        <v>261634519</v>
      </c>
      <c r="AE406" s="1776">
        <v>1609777</v>
      </c>
      <c r="AF406" s="1776">
        <v>66852</v>
      </c>
      <c r="AG406" s="1776">
        <v>2529641</v>
      </c>
      <c r="AH406" s="1776">
        <v>193116</v>
      </c>
      <c r="AI406" s="1776">
        <v>0</v>
      </c>
      <c r="AJ406" s="1776">
        <v>4829944</v>
      </c>
      <c r="AK406" s="1776">
        <v>226018</v>
      </c>
      <c r="AL406" s="1776">
        <v>0</v>
      </c>
      <c r="AM406" s="1776">
        <v>308018</v>
      </c>
      <c r="AN406" s="1776">
        <v>11000</v>
      </c>
      <c r="AO406" s="1776">
        <v>1055000</v>
      </c>
      <c r="AP406" s="1776">
        <v>0</v>
      </c>
      <c r="AQ406" s="1776">
        <v>0</v>
      </c>
      <c r="AR406" s="1776">
        <v>0</v>
      </c>
      <c r="AS406" s="1775">
        <v>16129</v>
      </c>
      <c r="AT406" s="1775">
        <v>1181506</v>
      </c>
      <c r="AU406" s="1775">
        <v>0</v>
      </c>
      <c r="AV406" s="1775">
        <v>226223</v>
      </c>
      <c r="AW406" s="1775">
        <v>65206</v>
      </c>
      <c r="AX406" s="1775">
        <v>0</v>
      </c>
      <c r="AY406" s="1651">
        <f t="shared" si="5"/>
        <v>12318430</v>
      </c>
      <c r="AZ406" s="1772">
        <v>8000</v>
      </c>
      <c r="BA406" s="1772">
        <v>5645000</v>
      </c>
      <c r="BB406" s="1772">
        <v>0</v>
      </c>
      <c r="BC406" s="1772">
        <v>0</v>
      </c>
      <c r="BD406" s="1772">
        <v>0</v>
      </c>
      <c r="BE406" s="1772">
        <v>445501</v>
      </c>
      <c r="BF406" s="1772">
        <v>10069826</v>
      </c>
      <c r="BG406" s="1772">
        <v>0</v>
      </c>
      <c r="BH406" s="1772">
        <v>43030893</v>
      </c>
      <c r="BI406" s="1772">
        <v>394870</v>
      </c>
      <c r="BJ406" s="1772">
        <v>0</v>
      </c>
      <c r="BK406" s="1651">
        <f t="shared" si="6"/>
        <v>59594090</v>
      </c>
      <c r="BL406" s="2359">
        <f t="shared" si="7"/>
        <v>71912520</v>
      </c>
      <c r="BM406" s="1772">
        <v>166124639</v>
      </c>
      <c r="BN406" s="1772">
        <v>17211</v>
      </c>
      <c r="BO406" s="1772">
        <v>0</v>
      </c>
      <c r="BP406" s="1772">
        <v>5734317</v>
      </c>
      <c r="BQ406" s="1772">
        <v>313537</v>
      </c>
      <c r="BR406" s="1772">
        <v>47039776</v>
      </c>
      <c r="BS406" s="1772">
        <v>532</v>
      </c>
      <c r="BT406" s="1772">
        <v>0</v>
      </c>
      <c r="BU406" s="1772">
        <v>-22354620</v>
      </c>
      <c r="BV406" s="1667">
        <f t="shared" si="17"/>
        <v>196875392</v>
      </c>
      <c r="BW406" s="2352">
        <v>0</v>
      </c>
      <c r="BX406" s="2352">
        <v>4560353</v>
      </c>
      <c r="BY406" s="2352">
        <v>2924331</v>
      </c>
      <c r="BZ406" s="2352">
        <v>188730</v>
      </c>
      <c r="CA406" s="2352">
        <v>0</v>
      </c>
      <c r="CB406" s="1780">
        <v>0</v>
      </c>
      <c r="CC406" s="2357">
        <f t="shared" si="8"/>
        <v>196875392</v>
      </c>
      <c r="CD406" s="1772">
        <v>191910</v>
      </c>
      <c r="CE406" s="1772">
        <v>128249</v>
      </c>
      <c r="CF406" s="1772">
        <v>0</v>
      </c>
      <c r="CG406" s="1772">
        <v>0</v>
      </c>
      <c r="CH406" s="1772"/>
      <c r="CI406" s="1772">
        <v>0</v>
      </c>
      <c r="CJ406" s="1772">
        <v>0</v>
      </c>
      <c r="CK406" s="1772">
        <v>7372174</v>
      </c>
      <c r="CL406" s="1772">
        <v>0</v>
      </c>
      <c r="CM406" s="1772">
        <v>0</v>
      </c>
      <c r="CN406" s="1772">
        <v>0</v>
      </c>
      <c r="CO406" s="1772">
        <v>0</v>
      </c>
      <c r="CP406" s="1659">
        <f t="shared" si="9"/>
        <v>7692333</v>
      </c>
      <c r="CQ406" s="1772">
        <v>0</v>
      </c>
      <c r="CR406" s="1772">
        <v>1070332</v>
      </c>
      <c r="CS406" s="1772">
        <v>27605310</v>
      </c>
      <c r="CT406" s="1772">
        <v>0</v>
      </c>
      <c r="CU406" s="1772">
        <v>0</v>
      </c>
      <c r="CV406" s="1772">
        <v>596157</v>
      </c>
      <c r="CW406" s="1772">
        <v>29850</v>
      </c>
      <c r="CX406" s="1651">
        <f t="shared" si="10"/>
        <v>29301649</v>
      </c>
      <c r="CY406" s="1780">
        <v>0</v>
      </c>
      <c r="CZ406" s="1780">
        <v>0</v>
      </c>
      <c r="DA406" s="1780">
        <v>0</v>
      </c>
      <c r="DB406" s="1780">
        <v>0</v>
      </c>
      <c r="DC406" s="1780">
        <v>0</v>
      </c>
      <c r="DD406" s="1780">
        <v>0</v>
      </c>
      <c r="DE406" s="1780">
        <v>0</v>
      </c>
      <c r="DF406" s="2355">
        <f t="shared" si="11"/>
        <v>36993982</v>
      </c>
      <c r="DG406" s="1773">
        <v>41313</v>
      </c>
      <c r="DH406" s="1773"/>
      <c r="DI406" s="1773">
        <v>0</v>
      </c>
      <c r="DJ406" s="1774">
        <v>0</v>
      </c>
      <c r="DK406" s="1775">
        <v>0</v>
      </c>
      <c r="DL406" s="1775">
        <v>37932</v>
      </c>
      <c r="DM406" s="1774">
        <v>0</v>
      </c>
      <c r="DN406" s="1775">
        <v>0</v>
      </c>
      <c r="DO406" s="1775">
        <v>0</v>
      </c>
      <c r="DP406" s="1775">
        <v>0</v>
      </c>
      <c r="DQ406" s="1775">
        <v>0</v>
      </c>
      <c r="DR406" s="1775">
        <v>0</v>
      </c>
      <c r="DS406" s="1775">
        <v>0</v>
      </c>
      <c r="DT406" s="1775">
        <v>0</v>
      </c>
      <c r="DU406" s="1774">
        <v>0</v>
      </c>
      <c r="DV406" s="1774">
        <v>0</v>
      </c>
      <c r="DW406" s="1774">
        <v>0</v>
      </c>
      <c r="DX406" s="1774">
        <v>0</v>
      </c>
      <c r="DY406" s="1774">
        <v>0</v>
      </c>
      <c r="DZ406" s="1775">
        <v>0</v>
      </c>
      <c r="EA406" s="1661">
        <f t="shared" si="12"/>
        <v>79245</v>
      </c>
      <c r="EB406" s="1774">
        <v>0</v>
      </c>
      <c r="EC406" s="1774">
        <v>0</v>
      </c>
      <c r="ED406" s="1775">
        <v>0</v>
      </c>
      <c r="EE406" s="1775">
        <v>0</v>
      </c>
      <c r="EF406" s="1775">
        <v>0</v>
      </c>
      <c r="EG406" s="1774">
        <v>0</v>
      </c>
      <c r="EH406" s="1774">
        <v>0</v>
      </c>
      <c r="EI406" s="1774">
        <v>0</v>
      </c>
      <c r="EJ406" s="1774">
        <v>0</v>
      </c>
      <c r="EK406" s="1773">
        <v>0</v>
      </c>
      <c r="EL406" s="1775">
        <v>0</v>
      </c>
      <c r="EM406" s="1663">
        <f t="shared" si="13"/>
        <v>0</v>
      </c>
      <c r="EN406" s="2354">
        <v>0</v>
      </c>
      <c r="EO406" s="2354">
        <v>0</v>
      </c>
      <c r="EP406" s="2354">
        <v>0</v>
      </c>
      <c r="EQ406" s="2354">
        <v>0</v>
      </c>
      <c r="ER406" s="2354">
        <v>0</v>
      </c>
      <c r="ES406" s="2354">
        <v>0</v>
      </c>
      <c r="ET406" s="2355">
        <f t="shared" si="14"/>
        <v>79245</v>
      </c>
      <c r="EU406" s="1775">
        <v>596157</v>
      </c>
      <c r="EV406" s="1774">
        <v>15490463</v>
      </c>
      <c r="EW406" s="1774">
        <v>0</v>
      </c>
      <c r="EX406" s="1775">
        <v>19621680</v>
      </c>
      <c r="EY406" s="1775">
        <v>0</v>
      </c>
      <c r="EZ406" s="1775">
        <v>0</v>
      </c>
      <c r="FA406" s="1774">
        <v>0</v>
      </c>
      <c r="FB406" s="1774">
        <v>0</v>
      </c>
      <c r="FC406" s="1774">
        <v>1206437</v>
      </c>
      <c r="FD406" s="2356">
        <f t="shared" si="18"/>
        <v>36914737</v>
      </c>
      <c r="FE406" s="3162" t="s">
        <v>126</v>
      </c>
    </row>
    <row r="407" spans="1:161">
      <c r="A407" s="1771" t="str">
        <f>'Contact Information'!A49</f>
        <v>EASTERN FLORIDA STATE COLLEGE</v>
      </c>
      <c r="B407" s="1785">
        <v>11324072</v>
      </c>
      <c r="C407" s="1785">
        <v>5324124</v>
      </c>
      <c r="D407" s="1785">
        <v>7726684</v>
      </c>
      <c r="E407" s="1781">
        <v>0</v>
      </c>
      <c r="F407" s="1779">
        <v>1312323</v>
      </c>
      <c r="G407" s="1779">
        <v>0</v>
      </c>
      <c r="H407" s="1785">
        <v>2934130</v>
      </c>
      <c r="I407" s="4270">
        <v>0</v>
      </c>
      <c r="J407" s="1779">
        <v>152785</v>
      </c>
      <c r="K407" s="1779">
        <v>191092</v>
      </c>
      <c r="L407" s="1779">
        <v>4170</v>
      </c>
      <c r="M407" s="1781">
        <v>0</v>
      </c>
      <c r="N407" s="2365">
        <f t="shared" si="15"/>
        <v>28969380</v>
      </c>
      <c r="O407" s="1775">
        <v>10199541</v>
      </c>
      <c r="P407" s="3143">
        <v>0</v>
      </c>
      <c r="Q407" s="3143">
        <v>0</v>
      </c>
      <c r="R407" s="3143">
        <v>0</v>
      </c>
      <c r="S407" s="1775">
        <v>129134278</v>
      </c>
      <c r="T407" s="1775">
        <v>11922765</v>
      </c>
      <c r="U407" s="3143">
        <v>0</v>
      </c>
      <c r="V407" s="1651">
        <f>SUM(O407:U407)</f>
        <v>151256584</v>
      </c>
      <c r="W407" s="1772">
        <v>0</v>
      </c>
      <c r="X407" s="1772">
        <v>13471691</v>
      </c>
      <c r="Y407" s="1772">
        <v>2747804</v>
      </c>
      <c r="Z407" s="1772">
        <v>40404</v>
      </c>
      <c r="AA407" s="1772">
        <v>0</v>
      </c>
      <c r="AB407" s="1772">
        <v>0</v>
      </c>
      <c r="AC407" s="1776">
        <v>0</v>
      </c>
      <c r="AD407" s="2359">
        <f>N407+V407</f>
        <v>180225964</v>
      </c>
      <c r="AE407" s="1776">
        <v>5417775</v>
      </c>
      <c r="AF407" s="1776">
        <v>0</v>
      </c>
      <c r="AG407" s="1776">
        <v>3222790</v>
      </c>
      <c r="AH407" s="1776">
        <v>496670</v>
      </c>
      <c r="AI407" s="1776">
        <v>0</v>
      </c>
      <c r="AJ407" s="1776">
        <v>0</v>
      </c>
      <c r="AK407" s="1776">
        <v>514362</v>
      </c>
      <c r="AL407" s="1776">
        <v>40</v>
      </c>
      <c r="AM407" s="1776">
        <v>1170771</v>
      </c>
      <c r="AN407" s="1776">
        <v>0</v>
      </c>
      <c r="AO407" s="1776">
        <v>0</v>
      </c>
      <c r="AP407" s="1776">
        <v>0</v>
      </c>
      <c r="AQ407" s="1776">
        <v>755725</v>
      </c>
      <c r="AR407" s="1776">
        <v>0</v>
      </c>
      <c r="AS407" s="1775">
        <v>0</v>
      </c>
      <c r="AT407" s="1775">
        <v>122847</v>
      </c>
      <c r="AU407" s="1775"/>
      <c r="AV407" s="1775">
        <v>247531</v>
      </c>
      <c r="AW407" s="1775">
        <v>40404</v>
      </c>
      <c r="AX407" s="1775">
        <v>0</v>
      </c>
      <c r="AY407" s="1651">
        <f t="shared" si="5"/>
        <v>11988915</v>
      </c>
      <c r="AZ407" s="1772"/>
      <c r="BA407" s="1772">
        <v>0</v>
      </c>
      <c r="BB407" s="1772">
        <v>0</v>
      </c>
      <c r="BC407" s="1772">
        <v>2044713</v>
      </c>
      <c r="BD407" s="1772">
        <v>0</v>
      </c>
      <c r="BE407" s="1772">
        <v>925407</v>
      </c>
      <c r="BF407" s="1772">
        <v>8353997</v>
      </c>
      <c r="BG407" s="1772">
        <v>0</v>
      </c>
      <c r="BH407" s="1772">
        <v>47211679</v>
      </c>
      <c r="BI407" s="1772">
        <v>640504</v>
      </c>
      <c r="BJ407" s="1772">
        <v>0</v>
      </c>
      <c r="BK407" s="1651">
        <f t="shared" si="6"/>
        <v>59176300</v>
      </c>
      <c r="BL407" s="2359">
        <f t="shared" si="7"/>
        <v>71165215</v>
      </c>
      <c r="BM407" s="1772">
        <v>138256605</v>
      </c>
      <c r="BN407" s="1772">
        <v>0</v>
      </c>
      <c r="BO407" s="1772">
        <v>0</v>
      </c>
      <c r="BP407" s="1772">
        <v>554583</v>
      </c>
      <c r="BQ407" s="1772">
        <v>9226</v>
      </c>
      <c r="BR407" s="1772">
        <v>10474760</v>
      </c>
      <c r="BS407" s="1772">
        <v>0</v>
      </c>
      <c r="BT407" s="1772">
        <v>0</v>
      </c>
      <c r="BU407" s="1772">
        <v>-29700229</v>
      </c>
      <c r="BV407" s="1667">
        <f>SUM(BM407:BU407)</f>
        <v>119594945</v>
      </c>
      <c r="BW407" s="2352">
        <v>0</v>
      </c>
      <c r="BX407" s="2352">
        <v>3451901</v>
      </c>
      <c r="BY407" s="2352">
        <v>2205657</v>
      </c>
      <c r="BZ407" s="2352">
        <v>68145</v>
      </c>
      <c r="CA407" s="2352">
        <v>0</v>
      </c>
      <c r="CB407" s="1780">
        <v>0</v>
      </c>
      <c r="CC407" s="2357">
        <f t="shared" si="8"/>
        <v>119594945</v>
      </c>
      <c r="CD407" s="1772">
        <v>836725</v>
      </c>
      <c r="CE407" s="1772">
        <v>0</v>
      </c>
      <c r="CF407" s="1772">
        <v>0</v>
      </c>
      <c r="CG407" s="1772">
        <v>0</v>
      </c>
      <c r="CH407" s="1772">
        <v>20172</v>
      </c>
      <c r="CI407" s="1772">
        <v>0</v>
      </c>
      <c r="CJ407" s="1772">
        <v>0</v>
      </c>
      <c r="CK407" s="1772">
        <v>0</v>
      </c>
      <c r="CL407" s="1772">
        <v>0</v>
      </c>
      <c r="CM407" s="1772">
        <v>31284</v>
      </c>
      <c r="CN407" s="1772"/>
      <c r="CO407" s="1772">
        <v>0</v>
      </c>
      <c r="CP407" s="1659">
        <f>SUM(CD407:CO407)</f>
        <v>888181</v>
      </c>
      <c r="CQ407" s="1772">
        <v>0</v>
      </c>
      <c r="CR407" s="1772">
        <v>22361350</v>
      </c>
      <c r="CS407" s="1772">
        <v>0</v>
      </c>
      <c r="CT407" s="1772">
        <v>0</v>
      </c>
      <c r="CU407" s="1772">
        <v>4757</v>
      </c>
      <c r="CV407" s="1772">
        <v>4949068</v>
      </c>
      <c r="CW407" s="1772">
        <v>0</v>
      </c>
      <c r="CX407" s="1651">
        <f>SUM(CQ407:CW407)</f>
        <v>27315175</v>
      </c>
      <c r="CY407" s="1780">
        <v>0</v>
      </c>
      <c r="CZ407" s="1780">
        <v>0</v>
      </c>
      <c r="DA407" s="1780">
        <v>0</v>
      </c>
      <c r="DB407" s="1780">
        <v>0</v>
      </c>
      <c r="DC407" s="1780">
        <v>0</v>
      </c>
      <c r="DD407" s="1780">
        <v>0</v>
      </c>
      <c r="DE407" s="1780">
        <v>0</v>
      </c>
      <c r="DF407" s="2355">
        <f t="shared" si="11"/>
        <v>28203356</v>
      </c>
      <c r="DG407" s="1773">
        <v>324756</v>
      </c>
      <c r="DH407" s="1773">
        <v>0</v>
      </c>
      <c r="DI407" s="1773">
        <v>0</v>
      </c>
      <c r="DJ407" s="1774">
        <v>0</v>
      </c>
      <c r="DK407" s="1775">
        <v>0</v>
      </c>
      <c r="DL407" s="1775">
        <v>0</v>
      </c>
      <c r="DM407" s="1774">
        <v>0</v>
      </c>
      <c r="DN407" s="1775">
        <v>0</v>
      </c>
      <c r="DO407" s="1774">
        <v>0</v>
      </c>
      <c r="DP407" s="1774">
        <v>0</v>
      </c>
      <c r="DQ407" s="1775">
        <v>265053</v>
      </c>
      <c r="DR407" s="1775">
        <v>0</v>
      </c>
      <c r="DS407" s="1775">
        <v>0</v>
      </c>
      <c r="DT407" s="1775">
        <v>0</v>
      </c>
      <c r="DU407" s="1774">
        <v>0</v>
      </c>
      <c r="DV407" s="1774">
        <v>0</v>
      </c>
      <c r="DW407" s="1774">
        <v>0</v>
      </c>
      <c r="DX407" s="1774">
        <v>0</v>
      </c>
      <c r="DY407" s="1774">
        <v>0</v>
      </c>
      <c r="DZ407" s="1775">
        <v>0</v>
      </c>
      <c r="EA407" s="1661">
        <f t="shared" si="12"/>
        <v>589809</v>
      </c>
      <c r="EB407" s="1774">
        <v>0</v>
      </c>
      <c r="EC407" s="1775">
        <v>3973996</v>
      </c>
      <c r="ED407" s="1774">
        <v>0</v>
      </c>
      <c r="EE407" s="1775">
        <v>0</v>
      </c>
      <c r="EF407" s="1775">
        <v>0</v>
      </c>
      <c r="EG407" s="1774">
        <v>0</v>
      </c>
      <c r="EH407" s="1774">
        <v>0</v>
      </c>
      <c r="EI407" s="1774">
        <v>0</v>
      </c>
      <c r="EJ407" s="1774">
        <v>8304</v>
      </c>
      <c r="EK407" s="1773">
        <v>0</v>
      </c>
      <c r="EL407" s="1775">
        <v>0</v>
      </c>
      <c r="EM407" s="1663">
        <f t="shared" si="13"/>
        <v>3982300</v>
      </c>
      <c r="EN407" s="2354">
        <v>0</v>
      </c>
      <c r="EO407" s="2354">
        <v>0</v>
      </c>
      <c r="EP407" s="2354">
        <v>0</v>
      </c>
      <c r="EQ407" s="2354">
        <v>0</v>
      </c>
      <c r="ER407" s="2354">
        <v>0</v>
      </c>
      <c r="ES407" s="2354">
        <v>0</v>
      </c>
      <c r="ET407" s="2355">
        <f t="shared" si="14"/>
        <v>4572109</v>
      </c>
      <c r="EU407" s="1775">
        <v>121974</v>
      </c>
      <c r="EV407" s="1774">
        <v>12132898</v>
      </c>
      <c r="EW407" s="1774">
        <v>0</v>
      </c>
      <c r="EX407" s="1775">
        <v>1532402</v>
      </c>
      <c r="EY407" s="1775">
        <v>7136231</v>
      </c>
      <c r="EZ407" s="1775">
        <v>0</v>
      </c>
      <c r="FA407" s="1774">
        <v>0</v>
      </c>
      <c r="FB407" s="1774">
        <v>0</v>
      </c>
      <c r="FC407" s="1774">
        <v>2707742</v>
      </c>
      <c r="FD407" s="2356">
        <f>SUM(EU407:FC407)</f>
        <v>23631247</v>
      </c>
      <c r="FE407" s="3162" t="s">
        <v>128</v>
      </c>
    </row>
    <row r="408" spans="1:161">
      <c r="A408" s="1771" t="str">
        <f>'Contact Information'!A52</f>
        <v>FLORIDA SOUTHWESTERN STATE COLLEGE</v>
      </c>
      <c r="B408" s="1775">
        <v>4757849</v>
      </c>
      <c r="C408" s="1775">
        <v>5565336</v>
      </c>
      <c r="D408" s="1774">
        <v>6547928</v>
      </c>
      <c r="E408" s="1774">
        <v>1451161</v>
      </c>
      <c r="F408" s="1775">
        <v>2967132</v>
      </c>
      <c r="G408" s="1775">
        <v>55433</v>
      </c>
      <c r="H408" s="3122">
        <v>2193980</v>
      </c>
      <c r="I408" s="3894">
        <v>239335</v>
      </c>
      <c r="J408" s="1774">
        <v>7246</v>
      </c>
      <c r="K408" s="1775">
        <v>2479842</v>
      </c>
      <c r="L408" s="1774">
        <v>0</v>
      </c>
      <c r="M408" s="1774">
        <v>0</v>
      </c>
      <c r="N408" s="2365">
        <f t="shared" si="15"/>
        <v>26265242</v>
      </c>
      <c r="O408" s="1775">
        <v>8489970</v>
      </c>
      <c r="P408" s="1775">
        <v>4772475</v>
      </c>
      <c r="Q408" s="1775">
        <v>1775739</v>
      </c>
      <c r="R408" s="3143">
        <v>0</v>
      </c>
      <c r="S408" s="1775">
        <v>164443240</v>
      </c>
      <c r="T408" s="1775">
        <v>4807316</v>
      </c>
      <c r="U408" s="1775">
        <v>0</v>
      </c>
      <c r="V408" s="1651">
        <f t="shared" si="16"/>
        <v>184288740</v>
      </c>
      <c r="W408" s="1772">
        <v>0</v>
      </c>
      <c r="X408" s="1772">
        <v>10602632</v>
      </c>
      <c r="Y408" s="1772">
        <v>2726301</v>
      </c>
      <c r="Z408" s="1772">
        <v>175613</v>
      </c>
      <c r="AA408" s="1772">
        <v>0</v>
      </c>
      <c r="AB408" s="1772">
        <v>0</v>
      </c>
      <c r="AC408" s="1775"/>
      <c r="AD408" s="2359">
        <f>N408+V408+AC408</f>
        <v>210553982</v>
      </c>
      <c r="AE408" s="1775">
        <v>2306229</v>
      </c>
      <c r="AF408" s="1775">
        <v>216446</v>
      </c>
      <c r="AG408" s="1775">
        <v>2398492</v>
      </c>
      <c r="AH408" s="1775">
        <v>8640</v>
      </c>
      <c r="AI408" s="1775">
        <v>17807</v>
      </c>
      <c r="AJ408" s="1775">
        <v>18129</v>
      </c>
      <c r="AK408" s="1775">
        <v>6120</v>
      </c>
      <c r="AL408" s="1775">
        <v>0</v>
      </c>
      <c r="AM408" s="1775">
        <v>316364</v>
      </c>
      <c r="AN408" s="1775">
        <v>1645829</v>
      </c>
      <c r="AO408" s="1775">
        <v>767184</v>
      </c>
      <c r="AP408" s="1775">
        <v>0</v>
      </c>
      <c r="AQ408" s="1775">
        <v>0</v>
      </c>
      <c r="AR408" s="1776">
        <v>0</v>
      </c>
      <c r="AS408" s="1775">
        <v>174429</v>
      </c>
      <c r="AT408" s="1775">
        <v>96705</v>
      </c>
      <c r="AU408" s="1775">
        <v>0</v>
      </c>
      <c r="AV408" s="1775">
        <v>205512</v>
      </c>
      <c r="AW408" s="1775">
        <v>36768</v>
      </c>
      <c r="AX408" s="1775">
        <v>0</v>
      </c>
      <c r="AY408" s="1651">
        <f t="shared" si="5"/>
        <v>8214654</v>
      </c>
      <c r="AZ408" s="1772">
        <v>29715169</v>
      </c>
      <c r="BA408" s="1772">
        <v>393749</v>
      </c>
      <c r="BB408" s="1772">
        <v>0</v>
      </c>
      <c r="BC408" s="1772">
        <v>0</v>
      </c>
      <c r="BD408" s="1772">
        <v>0</v>
      </c>
      <c r="BE408" s="1772">
        <v>65063</v>
      </c>
      <c r="BF408" s="1772">
        <v>5124532</v>
      </c>
      <c r="BG408" s="1772">
        <v>0</v>
      </c>
      <c r="BH408" s="1772">
        <v>37182323</v>
      </c>
      <c r="BI408" s="1772">
        <v>957894</v>
      </c>
      <c r="BJ408" s="1772">
        <v>0</v>
      </c>
      <c r="BK408" s="1651">
        <f t="shared" si="6"/>
        <v>73438730</v>
      </c>
      <c r="BL408" s="2359">
        <f t="shared" si="7"/>
        <v>81653384</v>
      </c>
      <c r="BM408" s="1772">
        <v>136728625</v>
      </c>
      <c r="BN408" s="1772">
        <v>600000</v>
      </c>
      <c r="BO408" s="1772">
        <v>0</v>
      </c>
      <c r="BP408" s="1772">
        <v>4551886</v>
      </c>
      <c r="BQ408" s="1772">
        <v>1158024</v>
      </c>
      <c r="BR408" s="1772">
        <v>9783708</v>
      </c>
      <c r="BS408" s="1772">
        <v>1428777</v>
      </c>
      <c r="BT408" s="1772">
        <v>0</v>
      </c>
      <c r="BU408" s="1772">
        <v>-14971037</v>
      </c>
      <c r="BV408" s="1667">
        <f t="shared" si="17"/>
        <v>139279983</v>
      </c>
      <c r="BW408" s="2352">
        <v>0</v>
      </c>
      <c r="BX408" s="2352">
        <v>1753157</v>
      </c>
      <c r="BY408" s="2352">
        <v>1325931</v>
      </c>
      <c r="BZ408" s="2352">
        <v>46073</v>
      </c>
      <c r="CA408" s="2352">
        <v>0</v>
      </c>
      <c r="CB408" s="1780">
        <v>0</v>
      </c>
      <c r="CC408" s="2357">
        <f t="shared" si="8"/>
        <v>139279983</v>
      </c>
      <c r="CD408" s="1772">
        <v>360049</v>
      </c>
      <c r="CE408" s="1772"/>
      <c r="CF408" s="1772"/>
      <c r="CG408" s="1772">
        <v>750000</v>
      </c>
      <c r="CH408" s="1772"/>
      <c r="CI408" s="1772">
        <v>482600</v>
      </c>
      <c r="CJ408" s="1772">
        <v>0</v>
      </c>
      <c r="CK408" s="1772">
        <v>0</v>
      </c>
      <c r="CL408" s="1772">
        <v>0</v>
      </c>
      <c r="CM408" s="1772">
        <v>31350</v>
      </c>
      <c r="CN408" s="1772">
        <v>0</v>
      </c>
      <c r="CO408" s="1772">
        <v>0</v>
      </c>
      <c r="CP408" s="1659">
        <f t="shared" si="9"/>
        <v>1623999</v>
      </c>
      <c r="CQ408" s="1772">
        <v>0</v>
      </c>
      <c r="CR408" s="1772">
        <v>3134573</v>
      </c>
      <c r="CS408" s="1772">
        <v>36501360</v>
      </c>
      <c r="CT408" s="1772">
        <v>0</v>
      </c>
      <c r="CU408" s="1772">
        <v>0</v>
      </c>
      <c r="CV408" s="1772">
        <v>0</v>
      </c>
      <c r="CW408" s="1772">
        <v>766635</v>
      </c>
      <c r="CX408" s="1651">
        <f t="shared" si="10"/>
        <v>40402568</v>
      </c>
      <c r="CY408" s="1780">
        <v>0</v>
      </c>
      <c r="CZ408" s="1780">
        <v>0</v>
      </c>
      <c r="DA408" s="1780">
        <v>0</v>
      </c>
      <c r="DB408" s="1780">
        <v>0</v>
      </c>
      <c r="DC408" s="1780">
        <v>0</v>
      </c>
      <c r="DD408" s="1780">
        <v>0</v>
      </c>
      <c r="DE408" s="1780">
        <v>0</v>
      </c>
      <c r="DF408" s="2355">
        <f t="shared" si="11"/>
        <v>42026567</v>
      </c>
      <c r="DG408" s="1773">
        <v>305039</v>
      </c>
      <c r="DH408" s="1773">
        <v>0</v>
      </c>
      <c r="DI408" s="1773">
        <v>0</v>
      </c>
      <c r="DJ408" s="1774">
        <v>0</v>
      </c>
      <c r="DK408" s="1775">
        <v>0</v>
      </c>
      <c r="DL408" s="1775">
        <v>0</v>
      </c>
      <c r="DM408" s="1774">
        <v>23000</v>
      </c>
      <c r="DN408" s="1775">
        <v>0</v>
      </c>
      <c r="DO408" s="1774">
        <v>0</v>
      </c>
      <c r="DP408" s="1774">
        <v>0</v>
      </c>
      <c r="DQ408" s="1774"/>
      <c r="DR408" s="1774">
        <v>0</v>
      </c>
      <c r="DS408" s="1775">
        <v>0</v>
      </c>
      <c r="DT408" s="1775">
        <v>0</v>
      </c>
      <c r="DU408" s="1774">
        <v>0</v>
      </c>
      <c r="DV408" s="1774">
        <v>0</v>
      </c>
      <c r="DW408" s="1774">
        <v>0</v>
      </c>
      <c r="DX408" s="1774">
        <v>0</v>
      </c>
      <c r="DY408" s="1774">
        <v>0</v>
      </c>
      <c r="DZ408" s="1775">
        <v>0</v>
      </c>
      <c r="EA408" s="1661">
        <f t="shared" si="12"/>
        <v>328039</v>
      </c>
      <c r="EB408" s="1774">
        <v>0</v>
      </c>
      <c r="EC408" s="1774">
        <v>0</v>
      </c>
      <c r="ED408" s="1775">
        <v>0</v>
      </c>
      <c r="EE408" s="1775">
        <v>0</v>
      </c>
      <c r="EF408" s="1775">
        <v>0</v>
      </c>
      <c r="EG408" s="1774">
        <v>0</v>
      </c>
      <c r="EH408" s="1774">
        <v>0</v>
      </c>
      <c r="EI408" s="1774">
        <v>0</v>
      </c>
      <c r="EJ408" s="1774">
        <v>0</v>
      </c>
      <c r="EK408" s="1773">
        <v>0</v>
      </c>
      <c r="EL408" s="3907">
        <v>67779</v>
      </c>
      <c r="EM408" s="1663">
        <f t="shared" si="13"/>
        <v>67779</v>
      </c>
      <c r="EN408" s="2354">
        <v>0</v>
      </c>
      <c r="EO408" s="2354">
        <v>0</v>
      </c>
      <c r="EP408" s="2354">
        <v>0</v>
      </c>
      <c r="EQ408" s="2354">
        <v>0</v>
      </c>
      <c r="ER408" s="2354">
        <v>0</v>
      </c>
      <c r="ES408" s="2354">
        <v>0</v>
      </c>
      <c r="ET408" s="2355">
        <f t="shared" si="14"/>
        <v>395818</v>
      </c>
      <c r="EU408" s="1775">
        <v>0</v>
      </c>
      <c r="EV408" s="1774">
        <v>19049854</v>
      </c>
      <c r="EW408" s="1774">
        <v>0</v>
      </c>
      <c r="EX408" s="1774">
        <v>0</v>
      </c>
      <c r="EY408" s="1775">
        <v>16584863</v>
      </c>
      <c r="EZ408" s="1775">
        <v>0</v>
      </c>
      <c r="FA408" s="1774">
        <v>0</v>
      </c>
      <c r="FB408" s="1774">
        <v>0</v>
      </c>
      <c r="FC408" s="1775">
        <v>5996032</v>
      </c>
      <c r="FD408" s="2356">
        <f t="shared" si="18"/>
        <v>41630749</v>
      </c>
      <c r="FE408" s="3162" t="s">
        <v>130</v>
      </c>
    </row>
    <row r="409" spans="1:161">
      <c r="A409" s="3886" t="str">
        <f>'Contact Information'!A50</f>
        <v>FLORIDA GATEWAY COLLEGE</v>
      </c>
      <c r="B409" s="1775">
        <v>7152196.5800000001</v>
      </c>
      <c r="C409" s="1775">
        <v>276892.71000000002</v>
      </c>
      <c r="D409" s="1774">
        <v>0</v>
      </c>
      <c r="E409" s="1774">
        <v>0</v>
      </c>
      <c r="F409" s="1775">
        <v>198423.06</v>
      </c>
      <c r="G409" s="1775">
        <v>0</v>
      </c>
      <c r="H409" s="3122">
        <v>3088345.54</v>
      </c>
      <c r="I409" s="1775">
        <v>41471.230000000003</v>
      </c>
      <c r="J409" s="1775">
        <v>91648.8</v>
      </c>
      <c r="K409" s="1774">
        <v>1095.1400000000001</v>
      </c>
      <c r="L409" s="1774">
        <v>0</v>
      </c>
      <c r="M409" s="1775">
        <v>200</v>
      </c>
      <c r="N409" s="2365">
        <f t="shared" si="15"/>
        <v>10850273.060000002</v>
      </c>
      <c r="O409" s="1775">
        <v>2335072.0699999998</v>
      </c>
      <c r="P409" s="1775">
        <v>4000000</v>
      </c>
      <c r="Q409" s="3143">
        <v>0</v>
      </c>
      <c r="R409" s="3143">
        <v>0</v>
      </c>
      <c r="S409" s="1775">
        <v>30472813</v>
      </c>
      <c r="T409" s="1775">
        <v>1213969.1100000001</v>
      </c>
      <c r="U409" s="3143">
        <v>0</v>
      </c>
      <c r="V409" s="1651">
        <f t="shared" si="16"/>
        <v>38021854.18</v>
      </c>
      <c r="W409" s="1772">
        <v>0</v>
      </c>
      <c r="X409" s="1772">
        <v>3433427</v>
      </c>
      <c r="Y409" s="1772">
        <v>678380</v>
      </c>
      <c r="Z409" s="1772">
        <v>223470</v>
      </c>
      <c r="AA409" s="1772">
        <v>0</v>
      </c>
      <c r="AB409" s="1772">
        <v>0</v>
      </c>
      <c r="AC409" s="1775">
        <v>0</v>
      </c>
      <c r="AD409" s="2359">
        <f t="shared" ref="AD409:AD430" si="19">N409+V409</f>
        <v>48872127.240000002</v>
      </c>
      <c r="AE409" s="1775">
        <v>1399.52</v>
      </c>
      <c r="AF409" s="1775">
        <v>0</v>
      </c>
      <c r="AG409" s="1775">
        <v>1480192.79</v>
      </c>
      <c r="AH409" s="1775"/>
      <c r="AI409" s="1775">
        <v>0</v>
      </c>
      <c r="AJ409" s="1775">
        <v>0</v>
      </c>
      <c r="AK409" s="1775">
        <v>0</v>
      </c>
      <c r="AL409" s="1775">
        <v>0</v>
      </c>
      <c r="AM409" s="1775">
        <v>41202.32</v>
      </c>
      <c r="AN409" s="1775">
        <v>0</v>
      </c>
      <c r="AO409" s="1775">
        <v>340674.3</v>
      </c>
      <c r="AP409" s="1775">
        <v>0</v>
      </c>
      <c r="AQ409" s="1775">
        <v>53134.79</v>
      </c>
      <c r="AR409" s="1776">
        <v>0</v>
      </c>
      <c r="AS409" s="1775">
        <v>9685.2000000000007</v>
      </c>
      <c r="AT409" s="1775">
        <v>182425</v>
      </c>
      <c r="AU409" s="1775">
        <v>0</v>
      </c>
      <c r="AV409" s="1775">
        <v>57657.03</v>
      </c>
      <c r="AW409" s="1775">
        <v>13753</v>
      </c>
      <c r="AX409" s="1775">
        <v>0</v>
      </c>
      <c r="AY409" s="1651">
        <f t="shared" si="5"/>
        <v>2180123.9499999997</v>
      </c>
      <c r="AZ409" s="1772">
        <v>0</v>
      </c>
      <c r="BA409" s="1772">
        <v>7479600.1799999997</v>
      </c>
      <c r="BB409" s="1772">
        <v>0</v>
      </c>
      <c r="BC409" s="1772">
        <v>154046.19</v>
      </c>
      <c r="BD409" s="1772">
        <v>0</v>
      </c>
      <c r="BE409" s="1772">
        <v>21756.84</v>
      </c>
      <c r="BF409" s="1772">
        <v>1218434.31</v>
      </c>
      <c r="BG409" s="1772">
        <v>0</v>
      </c>
      <c r="BH409" s="1772">
        <v>11619837.970000001</v>
      </c>
      <c r="BI409" s="1772">
        <v>426541</v>
      </c>
      <c r="BJ409" s="1772">
        <v>0</v>
      </c>
      <c r="BK409" s="1651">
        <f t="shared" si="6"/>
        <v>20920216.490000002</v>
      </c>
      <c r="BL409" s="2359">
        <f t="shared" si="7"/>
        <v>23100340.440000001</v>
      </c>
      <c r="BM409" s="1772">
        <v>23659326.649999999</v>
      </c>
      <c r="BN409" s="1772">
        <v>0</v>
      </c>
      <c r="BO409" s="1772">
        <v>0</v>
      </c>
      <c r="BP409" s="1772">
        <v>260771.17</v>
      </c>
      <c r="BQ409" s="1772">
        <v>117266.1</v>
      </c>
      <c r="BR409" s="1772">
        <v>5232872.6500000004</v>
      </c>
      <c r="BS409" s="1772">
        <v>0</v>
      </c>
      <c r="BT409" s="1772">
        <v>0</v>
      </c>
      <c r="BU409" s="1772">
        <v>-437091.77</v>
      </c>
      <c r="BV409" s="1667">
        <f t="shared" si="17"/>
        <v>28833144.800000001</v>
      </c>
      <c r="BW409" s="2352">
        <v>0</v>
      </c>
      <c r="BX409" s="2352">
        <v>853083</v>
      </c>
      <c r="BY409" s="2352">
        <v>420836</v>
      </c>
      <c r="BZ409" s="2352">
        <v>0</v>
      </c>
      <c r="CA409" s="2352">
        <v>0</v>
      </c>
      <c r="CB409" s="1780">
        <v>0</v>
      </c>
      <c r="CC409" s="2357">
        <f t="shared" si="8"/>
        <v>28833144.800000001</v>
      </c>
      <c r="CD409" s="1772">
        <v>143062</v>
      </c>
      <c r="CE409" s="1772">
        <v>0</v>
      </c>
      <c r="CF409" s="1772">
        <v>12622222</v>
      </c>
      <c r="CG409" s="1772">
        <v>485000</v>
      </c>
      <c r="CH409" s="1772">
        <v>56558</v>
      </c>
      <c r="CI409" s="1772">
        <v>0</v>
      </c>
      <c r="CJ409" s="1772">
        <v>0</v>
      </c>
      <c r="CK409" s="1772">
        <v>0</v>
      </c>
      <c r="CL409" s="1772">
        <v>0</v>
      </c>
      <c r="CM409" s="1772">
        <v>0</v>
      </c>
      <c r="CN409" s="1772">
        <v>0</v>
      </c>
      <c r="CO409" s="1772">
        <v>0</v>
      </c>
      <c r="CP409" s="1659">
        <f t="shared" si="9"/>
        <v>13306842</v>
      </c>
      <c r="CQ409" s="1772">
        <v>0</v>
      </c>
      <c r="CR409" s="1772">
        <v>0</v>
      </c>
      <c r="CS409" s="1772">
        <v>4713882</v>
      </c>
      <c r="CT409" s="1772"/>
      <c r="CU409" s="1772">
        <v>98172</v>
      </c>
      <c r="CV409" s="1772">
        <v>100214</v>
      </c>
      <c r="CW409" s="1772">
        <v>0</v>
      </c>
      <c r="CX409" s="1651">
        <f t="shared" si="10"/>
        <v>4912268</v>
      </c>
      <c r="CY409" s="1780">
        <v>0</v>
      </c>
      <c r="CZ409" s="1780">
        <v>0</v>
      </c>
      <c r="DA409" s="1780">
        <v>0</v>
      </c>
      <c r="DB409" s="1780">
        <v>0</v>
      </c>
      <c r="DC409" s="1780">
        <v>0</v>
      </c>
      <c r="DD409" s="1780">
        <v>0</v>
      </c>
      <c r="DE409" s="1780">
        <v>0</v>
      </c>
      <c r="DF409" s="2355">
        <f t="shared" si="11"/>
        <v>18219110</v>
      </c>
      <c r="DG409" s="1773">
        <v>1786</v>
      </c>
      <c r="DH409" s="1773">
        <v>0</v>
      </c>
      <c r="DI409" s="1773">
        <v>0</v>
      </c>
      <c r="DJ409" s="1774">
        <v>0</v>
      </c>
      <c r="DK409" s="1775">
        <v>0</v>
      </c>
      <c r="DL409" s="1775">
        <v>53558</v>
      </c>
      <c r="DM409" s="1775">
        <v>0</v>
      </c>
      <c r="DN409" s="1775">
        <v>0</v>
      </c>
      <c r="DO409" s="1775">
        <v>0</v>
      </c>
      <c r="DP409" s="1774">
        <v>0</v>
      </c>
      <c r="DQ409" s="1775">
        <v>0</v>
      </c>
      <c r="DR409" s="1774">
        <v>0</v>
      </c>
      <c r="DS409" s="1775">
        <v>0</v>
      </c>
      <c r="DT409" s="1775">
        <v>0</v>
      </c>
      <c r="DU409" s="1774">
        <v>0</v>
      </c>
      <c r="DV409" s="1774">
        <v>0</v>
      </c>
      <c r="DW409" s="1774">
        <v>0</v>
      </c>
      <c r="DX409" s="1774">
        <v>0</v>
      </c>
      <c r="DY409" s="1774">
        <v>0</v>
      </c>
      <c r="DZ409" s="1774">
        <v>0</v>
      </c>
      <c r="EA409" s="1661">
        <f t="shared" si="12"/>
        <v>55344</v>
      </c>
      <c r="EB409" s="1774">
        <v>0</v>
      </c>
      <c r="EC409" s="1774">
        <v>0</v>
      </c>
      <c r="ED409" s="1774">
        <v>0</v>
      </c>
      <c r="EE409" s="1775">
        <v>0</v>
      </c>
      <c r="EF409" s="1775">
        <v>0</v>
      </c>
      <c r="EG409" s="1774">
        <v>0</v>
      </c>
      <c r="EH409" s="1774">
        <v>0</v>
      </c>
      <c r="EI409" s="1774">
        <v>0</v>
      </c>
      <c r="EJ409" s="1774">
        <v>0</v>
      </c>
      <c r="EK409" s="1773">
        <v>0</v>
      </c>
      <c r="EL409" s="1774">
        <v>0</v>
      </c>
      <c r="EM409" s="1663">
        <f t="shared" si="13"/>
        <v>0</v>
      </c>
      <c r="EN409" s="2354">
        <v>0</v>
      </c>
      <c r="EO409" s="2354">
        <v>0</v>
      </c>
      <c r="EP409" s="2354">
        <v>0</v>
      </c>
      <c r="EQ409" s="2354">
        <v>0</v>
      </c>
      <c r="ER409" s="2354">
        <v>0</v>
      </c>
      <c r="ES409" s="2354">
        <v>0</v>
      </c>
      <c r="ET409" s="2355">
        <f t="shared" si="14"/>
        <v>55344</v>
      </c>
      <c r="EU409" s="1775">
        <v>198386</v>
      </c>
      <c r="EV409" s="1774">
        <v>4713881</v>
      </c>
      <c r="EW409" s="1774">
        <v>0</v>
      </c>
      <c r="EX409" s="1774">
        <v>12208028</v>
      </c>
      <c r="EY409" s="1775">
        <v>0</v>
      </c>
      <c r="EZ409" s="1775">
        <v>0</v>
      </c>
      <c r="FA409" s="1774">
        <v>0</v>
      </c>
      <c r="FB409" s="1774">
        <v>0</v>
      </c>
      <c r="FC409" s="1774">
        <v>1043471</v>
      </c>
      <c r="FD409" s="2356">
        <f t="shared" si="18"/>
        <v>18163766</v>
      </c>
      <c r="FE409" s="3162" t="s">
        <v>132</v>
      </c>
    </row>
    <row r="410" spans="1:161">
      <c r="A410" s="3886" t="str">
        <f>'Contact Information'!A51</f>
        <v>THE COLLEGE OF THE FLORIDA KEYS</v>
      </c>
      <c r="B410" s="1775">
        <v>2937655</v>
      </c>
      <c r="C410" s="1775">
        <v>252487</v>
      </c>
      <c r="D410" s="1774">
        <v>0</v>
      </c>
      <c r="E410" s="1774">
        <v>0</v>
      </c>
      <c r="F410" s="1775">
        <v>225565</v>
      </c>
      <c r="G410" s="1774">
        <v>0</v>
      </c>
      <c r="H410" s="3122">
        <v>5145086</v>
      </c>
      <c r="I410" s="1775">
        <v>8958</v>
      </c>
      <c r="J410" s="1775">
        <v>0</v>
      </c>
      <c r="K410" s="1775">
        <v>315816</v>
      </c>
      <c r="L410" s="1774"/>
      <c r="M410" s="1774">
        <v>0</v>
      </c>
      <c r="N410" s="2365">
        <f t="shared" si="15"/>
        <v>8885567</v>
      </c>
      <c r="O410" s="1775">
        <v>3601476</v>
      </c>
      <c r="P410" s="3143">
        <v>0</v>
      </c>
      <c r="Q410" s="1775">
        <v>0</v>
      </c>
      <c r="R410" s="3143">
        <v>0</v>
      </c>
      <c r="S410" s="1775">
        <v>25979447</v>
      </c>
      <c r="T410" s="1775">
        <v>6921777</v>
      </c>
      <c r="U410" s="3143">
        <v>0</v>
      </c>
      <c r="V410" s="1651">
        <f t="shared" si="16"/>
        <v>36502700</v>
      </c>
      <c r="W410" s="1772">
        <v>0</v>
      </c>
      <c r="X410" s="1772">
        <v>2058860</v>
      </c>
      <c r="Y410" s="1772">
        <v>498067</v>
      </c>
      <c r="Z410" s="1772">
        <v>35162</v>
      </c>
      <c r="AA410" s="1772">
        <v>0</v>
      </c>
      <c r="AB410" s="1772">
        <v>0</v>
      </c>
      <c r="AC410" s="1775">
        <v>0</v>
      </c>
      <c r="AD410" s="2359">
        <f t="shared" si="19"/>
        <v>45388267</v>
      </c>
      <c r="AE410" s="1775">
        <v>166092</v>
      </c>
      <c r="AF410" s="1775">
        <v>0</v>
      </c>
      <c r="AG410" s="1775">
        <v>628631</v>
      </c>
      <c r="AH410" s="1775">
        <v>0</v>
      </c>
      <c r="AI410" s="1775">
        <v>0</v>
      </c>
      <c r="AJ410" s="1775">
        <v>0</v>
      </c>
      <c r="AK410" s="1775">
        <v>0</v>
      </c>
      <c r="AL410" s="1775">
        <v>0</v>
      </c>
      <c r="AM410" s="1775">
        <v>84555</v>
      </c>
      <c r="AN410" s="1775">
        <v>0</v>
      </c>
      <c r="AO410" s="1775">
        <v>669092</v>
      </c>
      <c r="AP410" s="1775">
        <v>0</v>
      </c>
      <c r="AQ410" s="1775">
        <v>0</v>
      </c>
      <c r="AR410" s="1776">
        <v>0</v>
      </c>
      <c r="AS410" s="1775">
        <v>0</v>
      </c>
      <c r="AT410" s="1775">
        <v>12399</v>
      </c>
      <c r="AU410" s="1775">
        <v>0</v>
      </c>
      <c r="AV410" s="1775">
        <v>34530</v>
      </c>
      <c r="AW410" s="1775">
        <v>6452</v>
      </c>
      <c r="AX410" s="1775">
        <v>0</v>
      </c>
      <c r="AY410" s="1651">
        <f t="shared" si="5"/>
        <v>1601751</v>
      </c>
      <c r="AZ410" s="1772">
        <v>0</v>
      </c>
      <c r="BA410" s="1772">
        <v>1073116</v>
      </c>
      <c r="BB410" s="1772">
        <v>0</v>
      </c>
      <c r="BC410" s="1772"/>
      <c r="BD410" s="1772">
        <v>0</v>
      </c>
      <c r="BE410" s="1772">
        <v>0</v>
      </c>
      <c r="BF410" s="1772">
        <v>560933</v>
      </c>
      <c r="BG410" s="1772">
        <v>0</v>
      </c>
      <c r="BH410" s="1772">
        <v>6816561</v>
      </c>
      <c r="BI410" s="1772">
        <v>174725</v>
      </c>
      <c r="BJ410" s="1772">
        <v>0</v>
      </c>
      <c r="BK410" s="1651">
        <f t="shared" si="6"/>
        <v>8625335</v>
      </c>
      <c r="BL410" s="2359">
        <f t="shared" si="7"/>
        <v>10227086</v>
      </c>
      <c r="BM410" s="1772">
        <v>32901224</v>
      </c>
      <c r="BN410" s="1772">
        <v>0</v>
      </c>
      <c r="BO410" s="1772">
        <v>0</v>
      </c>
      <c r="BP410" s="1772">
        <v>225654</v>
      </c>
      <c r="BQ410" s="1772">
        <v>73501</v>
      </c>
      <c r="BR410" s="1772">
        <v>8035304</v>
      </c>
      <c r="BS410" s="1772">
        <v>0</v>
      </c>
      <c r="BT410" s="1772">
        <v>0</v>
      </c>
      <c r="BU410" s="1772">
        <v>-3963773</v>
      </c>
      <c r="BV410" s="1667">
        <f t="shared" si="17"/>
        <v>37271910</v>
      </c>
      <c r="BW410" s="2352">
        <v>0</v>
      </c>
      <c r="BX410" s="2352">
        <v>269435</v>
      </c>
      <c r="BY410" s="2352">
        <v>192723</v>
      </c>
      <c r="BZ410" s="2352">
        <v>19202</v>
      </c>
      <c r="CA410" s="2352">
        <v>0</v>
      </c>
      <c r="CB410" s="1780">
        <v>0</v>
      </c>
      <c r="CC410" s="2357">
        <f t="shared" si="8"/>
        <v>37271910</v>
      </c>
      <c r="CD410" s="1772">
        <v>94718</v>
      </c>
      <c r="CE410" s="1772"/>
      <c r="CF410" s="1772">
        <v>4034061</v>
      </c>
      <c r="CG410" s="1772">
        <v>14475</v>
      </c>
      <c r="CH410" s="1772">
        <v>90750</v>
      </c>
      <c r="CI410" s="1772">
        <v>0</v>
      </c>
      <c r="CJ410" s="1772">
        <v>0</v>
      </c>
      <c r="CK410" s="1772"/>
      <c r="CL410" s="1772">
        <v>0</v>
      </c>
      <c r="CM410" s="1772">
        <v>40000</v>
      </c>
      <c r="CN410" s="1772">
        <v>0</v>
      </c>
      <c r="CO410" s="1772">
        <v>0</v>
      </c>
      <c r="CP410" s="1659">
        <f t="shared" si="9"/>
        <v>4274004</v>
      </c>
      <c r="CQ410" s="1772">
        <v>0</v>
      </c>
      <c r="CR410" s="1772">
        <v>0</v>
      </c>
      <c r="CS410" s="1772">
        <v>0</v>
      </c>
      <c r="CT410" s="1772">
        <v>0</v>
      </c>
      <c r="CU410" s="1772">
        <v>8155</v>
      </c>
      <c r="CV410" s="1772">
        <v>43774</v>
      </c>
      <c r="CW410" s="1772">
        <v>295649</v>
      </c>
      <c r="CX410" s="1651">
        <f t="shared" si="10"/>
        <v>347578</v>
      </c>
      <c r="CY410" s="1780">
        <v>0</v>
      </c>
      <c r="CZ410" s="1780">
        <v>0</v>
      </c>
      <c r="DA410" s="1780">
        <v>0</v>
      </c>
      <c r="DB410" s="1780">
        <v>0</v>
      </c>
      <c r="DC410" s="1780">
        <v>0</v>
      </c>
      <c r="DD410" s="1780">
        <v>0</v>
      </c>
      <c r="DE410" s="1780">
        <v>0</v>
      </c>
      <c r="DF410" s="2355">
        <f t="shared" si="11"/>
        <v>4621582</v>
      </c>
      <c r="DG410" s="1773">
        <v>37927</v>
      </c>
      <c r="DH410" s="1773"/>
      <c r="DI410" s="1773">
        <v>0</v>
      </c>
      <c r="DJ410" s="1774">
        <v>0</v>
      </c>
      <c r="DK410" s="1775">
        <v>0</v>
      </c>
      <c r="DL410" s="1775"/>
      <c r="DM410" s="1774">
        <v>0</v>
      </c>
      <c r="DN410" s="1774">
        <v>0</v>
      </c>
      <c r="DO410" s="1775"/>
      <c r="DP410" s="1774"/>
      <c r="DQ410" s="1775">
        <v>0</v>
      </c>
      <c r="DR410" s="1774">
        <v>0</v>
      </c>
      <c r="DS410" s="1775">
        <v>0</v>
      </c>
      <c r="DT410" s="1775">
        <v>0</v>
      </c>
      <c r="DU410" s="1774">
        <v>0</v>
      </c>
      <c r="DV410" s="1774">
        <v>0</v>
      </c>
      <c r="DW410" s="1774">
        <v>0</v>
      </c>
      <c r="DX410" s="1774">
        <v>0</v>
      </c>
      <c r="DY410" s="1774">
        <v>0</v>
      </c>
      <c r="DZ410" s="1775">
        <v>0</v>
      </c>
      <c r="EA410" s="1661">
        <f t="shared" si="12"/>
        <v>37927</v>
      </c>
      <c r="EB410" s="1774">
        <v>0</v>
      </c>
      <c r="EC410" s="1774">
        <v>0</v>
      </c>
      <c r="ED410" s="1774">
        <v>0</v>
      </c>
      <c r="EE410" s="1775">
        <v>0</v>
      </c>
      <c r="EF410" s="1775">
        <v>0</v>
      </c>
      <c r="EG410" s="1774">
        <v>0</v>
      </c>
      <c r="EH410" s="1774">
        <v>0</v>
      </c>
      <c r="EI410" s="1774">
        <v>0</v>
      </c>
      <c r="EJ410" s="1774">
        <v>0</v>
      </c>
      <c r="EK410" s="1773">
        <v>0</v>
      </c>
      <c r="EL410" s="1775">
        <v>0</v>
      </c>
      <c r="EM410" s="1663">
        <f t="shared" si="13"/>
        <v>0</v>
      </c>
      <c r="EN410" s="2354">
        <v>0</v>
      </c>
      <c r="EO410" s="2354">
        <v>0</v>
      </c>
      <c r="EP410" s="2354">
        <v>0</v>
      </c>
      <c r="EQ410" s="2354">
        <v>0</v>
      </c>
      <c r="ER410" s="2354">
        <v>0</v>
      </c>
      <c r="ES410" s="2354">
        <v>0</v>
      </c>
      <c r="ET410" s="2355">
        <f t="shared" si="14"/>
        <v>37927</v>
      </c>
      <c r="EU410" s="1775"/>
      <c r="EV410" s="1774">
        <v>3709333</v>
      </c>
      <c r="EW410" s="1774">
        <v>0</v>
      </c>
      <c r="EX410" s="1774"/>
      <c r="EY410" s="1775">
        <v>0</v>
      </c>
      <c r="EZ410" s="1775">
        <v>0</v>
      </c>
      <c r="FA410" s="1774">
        <v>0</v>
      </c>
      <c r="FB410" s="1774">
        <v>0</v>
      </c>
      <c r="FC410" s="1774">
        <v>874332</v>
      </c>
      <c r="FD410" s="2356">
        <f t="shared" si="18"/>
        <v>4583665</v>
      </c>
      <c r="FE410" s="3162" t="s">
        <v>763</v>
      </c>
    </row>
    <row r="411" spans="1:161">
      <c r="A411" s="3886" t="str">
        <f>'Contact Information'!A53</f>
        <v>FLORIDA STATE COLLEGE AT JACKSONVILLE</v>
      </c>
      <c r="B411" s="1774">
        <v>22226049</v>
      </c>
      <c r="C411" s="1775">
        <v>13157878</v>
      </c>
      <c r="D411" s="1775">
        <v>0</v>
      </c>
      <c r="E411" s="1775">
        <v>1377314</v>
      </c>
      <c r="F411" s="1775">
        <v>4641429</v>
      </c>
      <c r="G411" s="1775">
        <v>616455</v>
      </c>
      <c r="H411" s="3122">
        <v>1695077</v>
      </c>
      <c r="I411" s="1775"/>
      <c r="J411" s="1775">
        <v>13368</v>
      </c>
      <c r="K411" s="1774">
        <v>2439309</v>
      </c>
      <c r="L411" s="1775">
        <v>0</v>
      </c>
      <c r="M411" s="1774"/>
      <c r="N411" s="2365">
        <f t="shared" si="15"/>
        <v>46166879</v>
      </c>
      <c r="O411" s="1775">
        <v>187920</v>
      </c>
      <c r="P411" s="1775">
        <v>8134495</v>
      </c>
      <c r="Q411" s="1775">
        <v>31632216</v>
      </c>
      <c r="R411" s="3143">
        <v>0</v>
      </c>
      <c r="S411" s="1775">
        <v>179513551</v>
      </c>
      <c r="T411" s="1775">
        <v>34533833</v>
      </c>
      <c r="U411" s="3143">
        <v>14671</v>
      </c>
      <c r="V411" s="1651">
        <f t="shared" si="16"/>
        <v>254016686</v>
      </c>
      <c r="W411" s="1772">
        <v>0</v>
      </c>
      <c r="X411" s="1772">
        <v>19212758</v>
      </c>
      <c r="Y411" s="1772">
        <v>4424126</v>
      </c>
      <c r="Z411" s="1772">
        <v>545684</v>
      </c>
      <c r="AA411" s="1772">
        <v>0</v>
      </c>
      <c r="AB411" s="1772">
        <v>0</v>
      </c>
      <c r="AC411" s="1775">
        <v>0</v>
      </c>
      <c r="AD411" s="2359">
        <f t="shared" si="19"/>
        <v>300183565</v>
      </c>
      <c r="AE411" s="1775">
        <v>3861433</v>
      </c>
      <c r="AF411" s="1775">
        <v>0</v>
      </c>
      <c r="AG411" s="1775">
        <v>6967131</v>
      </c>
      <c r="AH411" s="1775">
        <v>1665656</v>
      </c>
      <c r="AI411" s="1775">
        <v>0</v>
      </c>
      <c r="AJ411" s="1775">
        <v>7922961</v>
      </c>
      <c r="AK411" s="1775">
        <v>2086089</v>
      </c>
      <c r="AL411" s="1775">
        <v>187766</v>
      </c>
      <c r="AM411" s="1775">
        <v>627794</v>
      </c>
      <c r="AN411" s="1775">
        <v>0</v>
      </c>
      <c r="AO411" s="1775">
        <v>0</v>
      </c>
      <c r="AP411" s="1775">
        <v>0</v>
      </c>
      <c r="AQ411" s="1775">
        <v>1377134</v>
      </c>
      <c r="AR411" s="1776">
        <v>0</v>
      </c>
      <c r="AS411" s="1775">
        <v>8583</v>
      </c>
      <c r="AT411" s="1775">
        <v>3964862</v>
      </c>
      <c r="AU411" s="1775">
        <v>0</v>
      </c>
      <c r="AV411" s="1775">
        <v>372896</v>
      </c>
      <c r="AW411" s="1775">
        <v>106855</v>
      </c>
      <c r="AX411" s="1775">
        <v>0</v>
      </c>
      <c r="AY411" s="1651">
        <f t="shared" si="5"/>
        <v>29149160</v>
      </c>
      <c r="AZ411" s="1772"/>
      <c r="BA411" s="1772">
        <v>0</v>
      </c>
      <c r="BB411" s="1772">
        <v>0</v>
      </c>
      <c r="BC411" s="1772">
        <v>17482477</v>
      </c>
      <c r="BD411" s="1772">
        <v>0</v>
      </c>
      <c r="BE411" s="1772">
        <v>77248</v>
      </c>
      <c r="BF411" s="1772">
        <v>11418040</v>
      </c>
      <c r="BG411" s="1772">
        <v>0</v>
      </c>
      <c r="BH411" s="1772">
        <v>67597422</v>
      </c>
      <c r="BI411" s="1772">
        <v>2360552</v>
      </c>
      <c r="BJ411" s="1772">
        <v>0</v>
      </c>
      <c r="BK411" s="1651">
        <f t="shared" si="6"/>
        <v>98935739</v>
      </c>
      <c r="BL411" s="2359">
        <f t="shared" si="7"/>
        <v>128084899</v>
      </c>
      <c r="BM411" s="1772">
        <v>193891309</v>
      </c>
      <c r="BN411" s="1772">
        <v>0</v>
      </c>
      <c r="BO411" s="1772">
        <v>5922475</v>
      </c>
      <c r="BP411" s="1772">
        <v>2367996</v>
      </c>
      <c r="BQ411" s="1772">
        <v>809813</v>
      </c>
      <c r="BR411" s="1772">
        <v>32637878</v>
      </c>
      <c r="BS411" s="1772">
        <v>1377134</v>
      </c>
      <c r="BT411" s="1772">
        <v>0</v>
      </c>
      <c r="BU411" s="1772">
        <v>-51304014</v>
      </c>
      <c r="BV411" s="1667">
        <f t="shared" si="17"/>
        <v>185702591</v>
      </c>
      <c r="BW411" s="2352">
        <v>0</v>
      </c>
      <c r="BX411" s="2352">
        <v>6045957</v>
      </c>
      <c r="BY411" s="2352">
        <v>4085063</v>
      </c>
      <c r="BZ411" s="2352">
        <v>147443</v>
      </c>
      <c r="CA411" s="2352">
        <v>0</v>
      </c>
      <c r="CB411" s="1780">
        <v>0</v>
      </c>
      <c r="CC411" s="2357">
        <f t="shared" si="8"/>
        <v>185702591</v>
      </c>
      <c r="CD411" s="1772">
        <v>1406077</v>
      </c>
      <c r="CE411" s="1772">
        <v>0</v>
      </c>
      <c r="CF411" s="1772">
        <v>0</v>
      </c>
      <c r="CG411" s="1772">
        <v>0</v>
      </c>
      <c r="CH411" s="1772">
        <v>0</v>
      </c>
      <c r="CI411" s="1772">
        <v>0</v>
      </c>
      <c r="CJ411" s="1772">
        <v>0</v>
      </c>
      <c r="CK411" s="1772">
        <v>7875996</v>
      </c>
      <c r="CL411" s="1772">
        <v>0</v>
      </c>
      <c r="CM411" s="1772">
        <v>419438</v>
      </c>
      <c r="CN411" s="1772">
        <v>0</v>
      </c>
      <c r="CO411" s="1772">
        <v>200000</v>
      </c>
      <c r="CP411" s="1659">
        <f t="shared" si="9"/>
        <v>9901511</v>
      </c>
      <c r="CQ411" s="1772">
        <v>0</v>
      </c>
      <c r="CR411" s="1772">
        <v>55242999</v>
      </c>
      <c r="CS411" s="1772">
        <v>0</v>
      </c>
      <c r="CT411" s="1772">
        <v>0</v>
      </c>
      <c r="CU411" s="1772">
        <v>0</v>
      </c>
      <c r="CV411" s="1772">
        <v>23675</v>
      </c>
      <c r="CW411" s="1772">
        <v>146892</v>
      </c>
      <c r="CX411" s="1651">
        <f t="shared" si="10"/>
        <v>55413566</v>
      </c>
      <c r="CY411" s="1780">
        <v>0</v>
      </c>
      <c r="CZ411" s="1780">
        <v>0</v>
      </c>
      <c r="DA411" s="1780">
        <v>0</v>
      </c>
      <c r="DB411" s="1780">
        <v>0</v>
      </c>
      <c r="DC411" s="1780">
        <v>0</v>
      </c>
      <c r="DD411" s="1780">
        <v>0</v>
      </c>
      <c r="DE411" s="1780">
        <v>0</v>
      </c>
      <c r="DF411" s="2355">
        <f t="shared" si="11"/>
        <v>65315077</v>
      </c>
      <c r="DG411" s="1773">
        <v>0</v>
      </c>
      <c r="DH411" s="1773">
        <v>0</v>
      </c>
      <c r="DI411" s="1773">
        <v>0</v>
      </c>
      <c r="DJ411" s="1775">
        <v>0</v>
      </c>
      <c r="DK411" s="1775">
        <v>0</v>
      </c>
      <c r="DL411" s="1775">
        <v>572001</v>
      </c>
      <c r="DM411" s="1774">
        <v>8070047</v>
      </c>
      <c r="DN411" s="1775">
        <v>0</v>
      </c>
      <c r="DO411" s="1775">
        <v>88463</v>
      </c>
      <c r="DP411" s="1775">
        <v>0</v>
      </c>
      <c r="DQ411" s="1775">
        <v>0</v>
      </c>
      <c r="DR411" s="1775">
        <v>0</v>
      </c>
      <c r="DS411" s="1775">
        <v>0</v>
      </c>
      <c r="DT411" s="1775">
        <v>0</v>
      </c>
      <c r="DU411" s="1774">
        <v>0</v>
      </c>
      <c r="DV411" s="1774">
        <v>0</v>
      </c>
      <c r="DW411" s="1774">
        <v>0</v>
      </c>
      <c r="DX411" s="1774">
        <v>0</v>
      </c>
      <c r="DY411" s="1774">
        <v>0</v>
      </c>
      <c r="DZ411" s="1775">
        <v>0</v>
      </c>
      <c r="EA411" s="1661">
        <f t="shared" si="12"/>
        <v>8730511</v>
      </c>
      <c r="EB411" s="1774">
        <v>0</v>
      </c>
      <c r="EC411" s="1774">
        <v>0</v>
      </c>
      <c r="ED411" s="1774">
        <v>0</v>
      </c>
      <c r="EE411" s="1775">
        <v>0</v>
      </c>
      <c r="EF411" s="1775">
        <v>0</v>
      </c>
      <c r="EG411" s="1774">
        <v>0</v>
      </c>
      <c r="EH411" s="1774">
        <v>0</v>
      </c>
      <c r="EI411" s="1774">
        <v>0</v>
      </c>
      <c r="EJ411" s="1774">
        <v>0</v>
      </c>
      <c r="EK411" s="1773">
        <v>0</v>
      </c>
      <c r="EL411" s="1775">
        <v>0</v>
      </c>
      <c r="EM411" s="1663">
        <f t="shared" si="13"/>
        <v>0</v>
      </c>
      <c r="EN411" s="2354">
        <v>0</v>
      </c>
      <c r="EO411" s="2354">
        <v>0</v>
      </c>
      <c r="EP411" s="2354">
        <v>0</v>
      </c>
      <c r="EQ411" s="2354">
        <v>0</v>
      </c>
      <c r="ER411" s="2354">
        <v>0</v>
      </c>
      <c r="ES411" s="2354">
        <v>0</v>
      </c>
      <c r="ET411" s="2355">
        <f t="shared" si="14"/>
        <v>8730511</v>
      </c>
      <c r="EU411" s="1775">
        <v>0</v>
      </c>
      <c r="EV411" s="1774">
        <v>25865924</v>
      </c>
      <c r="EW411" s="1774">
        <v>2049693</v>
      </c>
      <c r="EX411" s="1774">
        <v>0</v>
      </c>
      <c r="EY411" s="1775">
        <v>0</v>
      </c>
      <c r="EZ411" s="1775">
        <v>0</v>
      </c>
      <c r="FA411" s="1774">
        <v>0</v>
      </c>
      <c r="FB411" s="1774">
        <v>0</v>
      </c>
      <c r="FC411" s="1774">
        <v>28668949</v>
      </c>
      <c r="FD411" s="2356">
        <f t="shared" si="18"/>
        <v>56584566</v>
      </c>
      <c r="FE411" s="3162" t="s">
        <v>136</v>
      </c>
    </row>
    <row r="412" spans="1:161">
      <c r="A412" s="3886" t="str">
        <f>'Contact Information'!A54</f>
        <v>GULF COAST STATE COLLEGE</v>
      </c>
      <c r="B412" s="1775">
        <v>3154412</v>
      </c>
      <c r="C412" s="1775">
        <v>1772438</v>
      </c>
      <c r="D412" s="1774">
        <v>0</v>
      </c>
      <c r="E412" s="1774">
        <v>0</v>
      </c>
      <c r="F412" s="1775">
        <v>1307926</v>
      </c>
      <c r="G412" s="1775">
        <v>56455</v>
      </c>
      <c r="H412" s="3122">
        <v>13572143</v>
      </c>
      <c r="I412" s="3894">
        <v>0</v>
      </c>
      <c r="J412" s="1775">
        <v>442133</v>
      </c>
      <c r="K412" s="1775">
        <v>608603</v>
      </c>
      <c r="L412" s="1774">
        <v>0</v>
      </c>
      <c r="M412" s="1775">
        <v>6360</v>
      </c>
      <c r="N412" s="2365">
        <f t="shared" si="15"/>
        <v>20920470</v>
      </c>
      <c r="O412" s="1775">
        <v>3451246</v>
      </c>
      <c r="P412" s="3143">
        <v>0</v>
      </c>
      <c r="Q412" s="1775">
        <v>465859</v>
      </c>
      <c r="R412" s="3143">
        <v>0</v>
      </c>
      <c r="S412" s="1775">
        <v>82965159</v>
      </c>
      <c r="T412" s="1775">
        <v>5600924</v>
      </c>
      <c r="U412" s="3143">
        <v>16242</v>
      </c>
      <c r="V412" s="1651">
        <f t="shared" si="16"/>
        <v>92499430</v>
      </c>
      <c r="W412" s="1772">
        <v>0</v>
      </c>
      <c r="X412" s="1772">
        <v>5047018</v>
      </c>
      <c r="Y412" s="1772">
        <v>1166284</v>
      </c>
      <c r="Z412" s="1772">
        <v>404604</v>
      </c>
      <c r="AA412" s="1772">
        <v>0</v>
      </c>
      <c r="AB412" s="1772">
        <v>0</v>
      </c>
      <c r="AC412" s="1775">
        <v>0</v>
      </c>
      <c r="AD412" s="2359">
        <f t="shared" si="19"/>
        <v>113419900</v>
      </c>
      <c r="AE412" s="1775">
        <v>1126596</v>
      </c>
      <c r="AF412" s="1775">
        <v>0</v>
      </c>
      <c r="AG412" s="1775">
        <v>1131014</v>
      </c>
      <c r="AH412" s="1775">
        <v>34978</v>
      </c>
      <c r="AI412" s="1775">
        <v>0</v>
      </c>
      <c r="AJ412" s="1775">
        <v>0</v>
      </c>
      <c r="AK412" s="1775">
        <v>22447</v>
      </c>
      <c r="AL412" s="1775">
        <v>0</v>
      </c>
      <c r="AM412" s="1775">
        <v>0</v>
      </c>
      <c r="AN412" s="1775">
        <v>310000</v>
      </c>
      <c r="AO412" s="1775">
        <v>278536</v>
      </c>
      <c r="AP412" s="1775">
        <v>0</v>
      </c>
      <c r="AQ412" s="1775">
        <v>0</v>
      </c>
      <c r="AR412" s="1776">
        <v>0</v>
      </c>
      <c r="AS412" s="1775">
        <v>0</v>
      </c>
      <c r="AT412" s="1775">
        <v>288260</v>
      </c>
      <c r="AU412" s="1775">
        <v>0</v>
      </c>
      <c r="AV412" s="1775">
        <v>101421</v>
      </c>
      <c r="AW412" s="1775">
        <v>27779</v>
      </c>
      <c r="AX412" s="1775">
        <v>0</v>
      </c>
      <c r="AY412" s="1651">
        <f t="shared" si="5"/>
        <v>3321031</v>
      </c>
      <c r="AZ412" s="1772">
        <v>3430000</v>
      </c>
      <c r="BA412" s="1772">
        <v>391931</v>
      </c>
      <c r="BB412" s="1772">
        <v>0</v>
      </c>
      <c r="BC412" s="1772">
        <v>0</v>
      </c>
      <c r="BD412" s="1772">
        <v>0</v>
      </c>
      <c r="BE412" s="1772">
        <v>0</v>
      </c>
      <c r="BF412" s="1772">
        <v>3319086</v>
      </c>
      <c r="BG412" s="1772">
        <v>0</v>
      </c>
      <c r="BH412" s="1772">
        <v>18242203</v>
      </c>
      <c r="BI412" s="1772">
        <v>1986396</v>
      </c>
      <c r="BJ412" s="1772">
        <v>0</v>
      </c>
      <c r="BK412" s="1651">
        <f t="shared" si="6"/>
        <v>27369616</v>
      </c>
      <c r="BL412" s="2359">
        <f t="shared" si="7"/>
        <v>30690647</v>
      </c>
      <c r="BM412" s="1772">
        <v>84826083</v>
      </c>
      <c r="BN412" s="1772">
        <v>0</v>
      </c>
      <c r="BO412" s="1772">
        <v>0</v>
      </c>
      <c r="BP412" s="1772">
        <v>2184979</v>
      </c>
      <c r="BQ412" s="1772">
        <v>3697</v>
      </c>
      <c r="BR412" s="1772">
        <v>14153648</v>
      </c>
      <c r="BS412" s="1772">
        <v>0</v>
      </c>
      <c r="BT412" s="1772">
        <v>0</v>
      </c>
      <c r="BU412" s="1772">
        <v>-14074675</v>
      </c>
      <c r="BV412" s="1667">
        <f t="shared" si="17"/>
        <v>87093732</v>
      </c>
      <c r="BW412" s="2352">
        <v>0</v>
      </c>
      <c r="BX412" s="2352">
        <v>1218267</v>
      </c>
      <c r="BY412" s="2352">
        <v>808303</v>
      </c>
      <c r="BZ412" s="2352">
        <v>226857</v>
      </c>
      <c r="CA412" s="2352">
        <v>0</v>
      </c>
      <c r="CB412" s="1780">
        <v>0</v>
      </c>
      <c r="CC412" s="2357">
        <f t="shared" si="8"/>
        <v>87093732</v>
      </c>
      <c r="CD412" s="1772">
        <v>285957</v>
      </c>
      <c r="CE412" s="1772">
        <v>0</v>
      </c>
      <c r="CF412" s="1772"/>
      <c r="CG412" s="1772">
        <v>16960140</v>
      </c>
      <c r="CH412" s="1772">
        <v>19779</v>
      </c>
      <c r="CI412" s="1772">
        <v>30000</v>
      </c>
      <c r="CJ412" s="1772">
        <v>0</v>
      </c>
      <c r="CK412" s="1772">
        <v>0</v>
      </c>
      <c r="CL412" s="1772">
        <v>0</v>
      </c>
      <c r="CM412" s="1772">
        <v>0</v>
      </c>
      <c r="CN412" s="1772">
        <v>0</v>
      </c>
      <c r="CO412" s="1772">
        <v>42721</v>
      </c>
      <c r="CP412" s="1659">
        <f t="shared" si="9"/>
        <v>17338597</v>
      </c>
      <c r="CQ412" s="1772">
        <v>0</v>
      </c>
      <c r="CR412" s="1772">
        <v>0</v>
      </c>
      <c r="CS412" s="1772">
        <v>14483763</v>
      </c>
      <c r="CT412" s="1772">
        <v>65000</v>
      </c>
      <c r="CU412" s="1772">
        <v>0</v>
      </c>
      <c r="CV412" s="1772"/>
      <c r="CW412" s="1772">
        <v>0</v>
      </c>
      <c r="CX412" s="1651">
        <f t="shared" si="10"/>
        <v>14548763</v>
      </c>
      <c r="CY412" s="1780">
        <v>0</v>
      </c>
      <c r="CZ412" s="1780">
        <v>0</v>
      </c>
      <c r="DA412" s="1780">
        <v>0</v>
      </c>
      <c r="DB412" s="1780">
        <v>0</v>
      </c>
      <c r="DC412" s="1780">
        <v>0</v>
      </c>
      <c r="DD412" s="1780">
        <v>0</v>
      </c>
      <c r="DE412" s="1780">
        <v>0</v>
      </c>
      <c r="DF412" s="2355">
        <f t="shared" si="11"/>
        <v>31887360</v>
      </c>
      <c r="DG412" s="1773">
        <v>89531</v>
      </c>
      <c r="DH412" s="1773">
        <v>0</v>
      </c>
      <c r="DI412" s="1773">
        <v>0</v>
      </c>
      <c r="DJ412" s="1774">
        <v>0</v>
      </c>
      <c r="DK412" s="1775">
        <v>0</v>
      </c>
      <c r="DL412" s="1775">
        <v>0</v>
      </c>
      <c r="DM412" s="1774">
        <v>0</v>
      </c>
      <c r="DN412" s="1775">
        <v>0</v>
      </c>
      <c r="DO412" s="1775">
        <v>0</v>
      </c>
      <c r="DP412" s="1774">
        <v>0</v>
      </c>
      <c r="DQ412" s="1775">
        <v>24479</v>
      </c>
      <c r="DR412" s="1774">
        <v>0</v>
      </c>
      <c r="DS412" s="1775">
        <v>0</v>
      </c>
      <c r="DT412" s="1775">
        <v>0</v>
      </c>
      <c r="DU412" s="1774">
        <v>0</v>
      </c>
      <c r="DV412" s="1774">
        <v>0</v>
      </c>
      <c r="DW412" s="1774">
        <v>0</v>
      </c>
      <c r="DX412" s="1774">
        <v>0</v>
      </c>
      <c r="DY412" s="1774">
        <v>0</v>
      </c>
      <c r="DZ412" s="1775">
        <v>0</v>
      </c>
      <c r="EA412" s="1661">
        <f t="shared" si="12"/>
        <v>114010</v>
      </c>
      <c r="EB412" s="1774">
        <v>0</v>
      </c>
      <c r="EC412" s="1774">
        <v>31181</v>
      </c>
      <c r="ED412" s="1774">
        <v>0</v>
      </c>
      <c r="EE412" s="1775">
        <v>0</v>
      </c>
      <c r="EF412" s="1775">
        <v>0</v>
      </c>
      <c r="EG412" s="1774">
        <v>0</v>
      </c>
      <c r="EH412" s="1774">
        <v>0</v>
      </c>
      <c r="EI412" s="1774">
        <v>0</v>
      </c>
      <c r="EJ412" s="1774">
        <v>0</v>
      </c>
      <c r="EK412" s="1773">
        <v>0</v>
      </c>
      <c r="EL412" s="1775">
        <v>0</v>
      </c>
      <c r="EM412" s="1663">
        <f t="shared" si="13"/>
        <v>31181</v>
      </c>
      <c r="EN412" s="2354">
        <v>0</v>
      </c>
      <c r="EO412" s="2354">
        <v>0</v>
      </c>
      <c r="EP412" s="2354">
        <v>0</v>
      </c>
      <c r="EQ412" s="2354">
        <v>0</v>
      </c>
      <c r="ER412" s="2354">
        <v>0</v>
      </c>
      <c r="ES412" s="2354">
        <v>0</v>
      </c>
      <c r="ET412" s="2355">
        <f t="shared" si="14"/>
        <v>145191</v>
      </c>
      <c r="EU412" s="1775">
        <v>0</v>
      </c>
      <c r="EV412" s="1774">
        <v>14483763</v>
      </c>
      <c r="EW412" s="1774">
        <v>0</v>
      </c>
      <c r="EX412" s="1774">
        <v>0</v>
      </c>
      <c r="EY412" s="1775">
        <v>17258406</v>
      </c>
      <c r="EZ412" s="1775">
        <v>0</v>
      </c>
      <c r="FA412" s="1774">
        <v>0</v>
      </c>
      <c r="FB412" s="1774">
        <v>0</v>
      </c>
      <c r="FC412" s="1774">
        <v>0</v>
      </c>
      <c r="FD412" s="2356">
        <f t="shared" si="18"/>
        <v>31742169</v>
      </c>
      <c r="FE412" s="3162" t="s">
        <v>138</v>
      </c>
    </row>
    <row r="413" spans="1:161">
      <c r="A413" s="3886" t="str">
        <f>'Contact Information'!A55</f>
        <v>HILLSBOROUGH COMMUNITY COLLEGE</v>
      </c>
      <c r="B413" s="1775">
        <v>24227878</v>
      </c>
      <c r="C413" s="1775">
        <v>5003681</v>
      </c>
      <c r="D413" s="1774">
        <v>4347363</v>
      </c>
      <c r="E413" s="1774">
        <v>0</v>
      </c>
      <c r="F413" s="1775">
        <v>11569293</v>
      </c>
      <c r="G413" s="1774">
        <v>10960</v>
      </c>
      <c r="H413" s="3122">
        <v>2730633</v>
      </c>
      <c r="I413" s="1775">
        <v>412486</v>
      </c>
      <c r="J413" s="1775">
        <v>1785261</v>
      </c>
      <c r="K413" s="1775">
        <v>2064188</v>
      </c>
      <c r="L413" s="1774">
        <v>0</v>
      </c>
      <c r="M413" s="1774">
        <v>0</v>
      </c>
      <c r="N413" s="2365">
        <f t="shared" si="15"/>
        <v>52151743</v>
      </c>
      <c r="O413" s="1775">
        <v>27408574</v>
      </c>
      <c r="P413" s="3143">
        <v>4951171</v>
      </c>
      <c r="Q413" s="1775"/>
      <c r="R413" s="3143">
        <v>10117</v>
      </c>
      <c r="S413" s="1775">
        <v>147992775</v>
      </c>
      <c r="T413" s="1775">
        <v>29456019</v>
      </c>
      <c r="U413" s="3143">
        <v>137500</v>
      </c>
      <c r="V413" s="1651">
        <f t="shared" si="16"/>
        <v>209956156</v>
      </c>
      <c r="W413" s="1772">
        <v>0</v>
      </c>
      <c r="X413" s="1772">
        <v>18092014</v>
      </c>
      <c r="Y413" s="1772">
        <v>4030767</v>
      </c>
      <c r="Z413" s="1772">
        <v>946922</v>
      </c>
      <c r="AA413" s="1772">
        <v>0</v>
      </c>
      <c r="AB413" s="1772">
        <v>0</v>
      </c>
      <c r="AC413" s="1775">
        <v>0</v>
      </c>
      <c r="AD413" s="2359">
        <f t="shared" si="19"/>
        <v>262107899</v>
      </c>
      <c r="AE413" s="1775">
        <v>6135141</v>
      </c>
      <c r="AF413" s="1775">
        <v>0</v>
      </c>
      <c r="AG413" s="1775">
        <v>3543242</v>
      </c>
      <c r="AH413" s="1775">
        <v>0</v>
      </c>
      <c r="AI413" s="1775">
        <v>1120813</v>
      </c>
      <c r="AJ413" s="1775">
        <v>0</v>
      </c>
      <c r="AK413" s="1775">
        <v>8407</v>
      </c>
      <c r="AL413" s="1775">
        <v>1730541</v>
      </c>
      <c r="AM413" s="1775">
        <v>526853</v>
      </c>
      <c r="AN413" s="1775">
        <v>0</v>
      </c>
      <c r="AO413" s="1775">
        <v>1505000</v>
      </c>
      <c r="AP413" s="1775">
        <v>0</v>
      </c>
      <c r="AQ413" s="1775">
        <v>0</v>
      </c>
      <c r="AR413" s="1776">
        <v>0</v>
      </c>
      <c r="AS413" s="1775">
        <v>0</v>
      </c>
      <c r="AT413" s="1775">
        <v>400000</v>
      </c>
      <c r="AU413" s="1775">
        <v>0</v>
      </c>
      <c r="AV413" s="1775">
        <v>323047</v>
      </c>
      <c r="AW413" s="1775">
        <v>85485</v>
      </c>
      <c r="AX413" s="1775">
        <v>0</v>
      </c>
      <c r="AY413" s="1651">
        <f t="shared" si="5"/>
        <v>15378529</v>
      </c>
      <c r="AZ413" s="1772">
        <v>0</v>
      </c>
      <c r="BA413" s="1772">
        <v>10000000</v>
      </c>
      <c r="BB413" s="1772">
        <v>0</v>
      </c>
      <c r="BC413" s="1772">
        <v>0</v>
      </c>
      <c r="BD413" s="1772">
        <v>0</v>
      </c>
      <c r="BE413" s="1772">
        <v>0</v>
      </c>
      <c r="BF413" s="1772">
        <v>3737304</v>
      </c>
      <c r="BG413" s="1772">
        <v>0</v>
      </c>
      <c r="BH413" s="1772">
        <v>62057362</v>
      </c>
      <c r="BI413" s="1772">
        <v>1562017</v>
      </c>
      <c r="BJ413" s="1772">
        <v>0</v>
      </c>
      <c r="BK413" s="1651">
        <f t="shared" si="6"/>
        <v>77356683</v>
      </c>
      <c r="BL413" s="2359">
        <f t="shared" si="7"/>
        <v>92735212</v>
      </c>
      <c r="BM413" s="1772">
        <v>168029652</v>
      </c>
      <c r="BN413" s="1772">
        <v>0</v>
      </c>
      <c r="BO413" s="1772">
        <v>0</v>
      </c>
      <c r="BP413" s="1772">
        <v>3228529</v>
      </c>
      <c r="BQ413" s="1772">
        <v>391473</v>
      </c>
      <c r="BR413" s="1772">
        <v>27408574</v>
      </c>
      <c r="BS413" s="1772">
        <v>0</v>
      </c>
      <c r="BT413" s="1772">
        <v>0</v>
      </c>
      <c r="BU413" s="1772">
        <v>-12292257</v>
      </c>
      <c r="BV413" s="1667">
        <f t="shared" si="17"/>
        <v>186765971</v>
      </c>
      <c r="BW413" s="2352">
        <v>0</v>
      </c>
      <c r="BX413" s="2352">
        <v>3311127</v>
      </c>
      <c r="BY413" s="2352">
        <v>2091194</v>
      </c>
      <c r="BZ413" s="2352">
        <v>274098</v>
      </c>
      <c r="CA413" s="2352">
        <v>0</v>
      </c>
      <c r="CB413" s="1780">
        <v>0</v>
      </c>
      <c r="CC413" s="2357">
        <f t="shared" si="8"/>
        <v>186765971</v>
      </c>
      <c r="CD413" s="1772">
        <v>1051741</v>
      </c>
      <c r="CE413" s="1772">
        <v>0</v>
      </c>
      <c r="CF413" s="1772">
        <v>0</v>
      </c>
      <c r="CG413" s="1772">
        <v>0</v>
      </c>
      <c r="CH413" s="1772">
        <v>418966</v>
      </c>
      <c r="CI413" s="1772">
        <v>0</v>
      </c>
      <c r="CJ413" s="1772">
        <v>0</v>
      </c>
      <c r="CK413" s="1772">
        <v>0</v>
      </c>
      <c r="CL413" s="1772">
        <v>0</v>
      </c>
      <c r="CM413" s="1772">
        <v>39160</v>
      </c>
      <c r="CN413" s="1772">
        <v>0</v>
      </c>
      <c r="CO413" s="1772">
        <v>337648</v>
      </c>
      <c r="CP413" s="1659">
        <f t="shared" si="9"/>
        <v>1847515</v>
      </c>
      <c r="CQ413" s="1772">
        <v>3217401</v>
      </c>
      <c r="CR413" s="1772">
        <v>10773812</v>
      </c>
      <c r="CS413" s="1772">
        <v>0</v>
      </c>
      <c r="CT413" s="1772">
        <v>0</v>
      </c>
      <c r="CU413" s="1772">
        <v>9558965</v>
      </c>
      <c r="CV413" s="1772">
        <v>0</v>
      </c>
      <c r="CW413" s="1772">
        <v>1066164</v>
      </c>
      <c r="CX413" s="1651">
        <f t="shared" si="10"/>
        <v>24616342</v>
      </c>
      <c r="CY413" s="1780">
        <v>0</v>
      </c>
      <c r="CZ413" s="1780">
        <v>0</v>
      </c>
      <c r="DA413" s="1780">
        <v>0</v>
      </c>
      <c r="DB413" s="1780">
        <v>0</v>
      </c>
      <c r="DC413" s="1780">
        <v>0</v>
      </c>
      <c r="DD413" s="1780">
        <v>0</v>
      </c>
      <c r="DE413" s="1780">
        <v>0</v>
      </c>
      <c r="DF413" s="2355">
        <f t="shared" si="11"/>
        <v>26463857</v>
      </c>
      <c r="DG413" s="1773">
        <v>162500</v>
      </c>
      <c r="DH413" s="1773">
        <v>21282</v>
      </c>
      <c r="DI413" s="1773">
        <v>0</v>
      </c>
      <c r="DJ413" s="1774">
        <v>0</v>
      </c>
      <c r="DK413" s="1775">
        <v>0</v>
      </c>
      <c r="DL413" s="1775">
        <v>412486</v>
      </c>
      <c r="DM413" s="1774">
        <v>31850</v>
      </c>
      <c r="DN413" s="1775">
        <v>0</v>
      </c>
      <c r="DO413" s="1775">
        <v>0</v>
      </c>
      <c r="DP413" s="1775">
        <v>0</v>
      </c>
      <c r="DQ413" s="1775">
        <v>847000</v>
      </c>
      <c r="DR413" s="1774">
        <v>0</v>
      </c>
      <c r="DS413" s="1775">
        <v>0</v>
      </c>
      <c r="DT413" s="1775">
        <v>0</v>
      </c>
      <c r="DU413" s="1774">
        <v>0</v>
      </c>
      <c r="DV413" s="1774">
        <v>0</v>
      </c>
      <c r="DW413" s="1774">
        <v>0</v>
      </c>
      <c r="DX413" s="1774">
        <v>0</v>
      </c>
      <c r="DY413" s="1774">
        <v>0</v>
      </c>
      <c r="DZ413" s="1775">
        <v>0</v>
      </c>
      <c r="EA413" s="1661">
        <f t="shared" si="12"/>
        <v>1475118</v>
      </c>
      <c r="EB413" s="1774">
        <v>0</v>
      </c>
      <c r="EC413" s="1774">
        <v>11029636</v>
      </c>
      <c r="ED413" s="1774">
        <v>0</v>
      </c>
      <c r="EE413" s="1775">
        <v>0</v>
      </c>
      <c r="EF413" s="1775">
        <v>0</v>
      </c>
      <c r="EG413" s="1774">
        <v>0</v>
      </c>
      <c r="EH413" s="1774">
        <v>0</v>
      </c>
      <c r="EI413" s="1774">
        <v>0</v>
      </c>
      <c r="EJ413" s="1774">
        <v>0</v>
      </c>
      <c r="EK413" s="1773">
        <v>0</v>
      </c>
      <c r="EL413" s="1775">
        <v>0</v>
      </c>
      <c r="EM413" s="1663">
        <f t="shared" si="13"/>
        <v>11029636</v>
      </c>
      <c r="EN413" s="2354">
        <v>0</v>
      </c>
      <c r="EO413" s="2354">
        <v>0</v>
      </c>
      <c r="EP413" s="2354">
        <v>0</v>
      </c>
      <c r="EQ413" s="2354">
        <v>0</v>
      </c>
      <c r="ER413" s="2354">
        <v>0</v>
      </c>
      <c r="ES413" s="2354">
        <v>0</v>
      </c>
      <c r="ET413" s="2355">
        <f t="shared" si="14"/>
        <v>12504754</v>
      </c>
      <c r="EU413" s="1775">
        <v>-2317671</v>
      </c>
      <c r="EV413" s="1774">
        <v>4688340</v>
      </c>
      <c r="EW413" s="1774">
        <v>0</v>
      </c>
      <c r="EX413" s="1774">
        <v>2194689</v>
      </c>
      <c r="EY413" s="1775">
        <v>2921718</v>
      </c>
      <c r="EZ413" s="1775">
        <v>0</v>
      </c>
      <c r="FA413" s="1774">
        <v>0</v>
      </c>
      <c r="FB413" s="1774">
        <v>1738695</v>
      </c>
      <c r="FC413" s="1774">
        <v>4733332</v>
      </c>
      <c r="FD413" s="2356">
        <f t="shared" si="18"/>
        <v>13959103</v>
      </c>
      <c r="FE413" s="3162" t="s">
        <v>140</v>
      </c>
    </row>
    <row r="414" spans="1:161">
      <c r="A414" s="3886" t="str">
        <f>'Contact Information'!A56</f>
        <v>INDIAN RIVER STATE COLLEGE</v>
      </c>
      <c r="B414" s="1775">
        <v>3230637</v>
      </c>
      <c r="C414" s="1775">
        <v>4391196</v>
      </c>
      <c r="D414" s="1774">
        <v>0</v>
      </c>
      <c r="E414" s="1774">
        <v>0</v>
      </c>
      <c r="F414" s="1775">
        <v>4155575</v>
      </c>
      <c r="G414" s="1775">
        <v>8790</v>
      </c>
      <c r="H414" s="3122">
        <v>11089146</v>
      </c>
      <c r="I414" s="1775">
        <v>82606</v>
      </c>
      <c r="J414" s="1775">
        <v>2804228</v>
      </c>
      <c r="K414" s="1775">
        <v>1422462</v>
      </c>
      <c r="L414" s="1775">
        <v>10839</v>
      </c>
      <c r="M414" s="1774">
        <v>0</v>
      </c>
      <c r="N414" s="2365">
        <f t="shared" si="15"/>
        <v>27195479</v>
      </c>
      <c r="O414" s="1775">
        <v>1956592</v>
      </c>
      <c r="P414" s="1775">
        <v>11249385</v>
      </c>
      <c r="Q414" s="1775">
        <v>8162610</v>
      </c>
      <c r="R414" s="3143">
        <v>0</v>
      </c>
      <c r="S414" s="1775">
        <v>185527361</v>
      </c>
      <c r="T414" s="1775">
        <v>26387968</v>
      </c>
      <c r="U414" s="3143">
        <v>0</v>
      </c>
      <c r="V414" s="1651">
        <f t="shared" si="16"/>
        <v>233283916</v>
      </c>
      <c r="W414" s="1772">
        <v>0</v>
      </c>
      <c r="X414" s="1772">
        <v>15525572</v>
      </c>
      <c r="Y414" s="1772">
        <v>3408016</v>
      </c>
      <c r="Z414" s="1772">
        <v>624728</v>
      </c>
      <c r="AA414" s="1772">
        <v>0</v>
      </c>
      <c r="AB414" s="1772">
        <v>0</v>
      </c>
      <c r="AC414" s="1775">
        <v>0</v>
      </c>
      <c r="AD414" s="2359">
        <f t="shared" si="19"/>
        <v>260479395</v>
      </c>
      <c r="AE414" s="1775">
        <v>1063064</v>
      </c>
      <c r="AF414" s="1775">
        <v>0</v>
      </c>
      <c r="AG414" s="1775">
        <v>2490776</v>
      </c>
      <c r="AH414" s="1775">
        <v>11916</v>
      </c>
      <c r="AI414" s="1775">
        <v>0</v>
      </c>
      <c r="AJ414" s="1775">
        <v>0</v>
      </c>
      <c r="AK414" s="1775">
        <v>1310500</v>
      </c>
      <c r="AL414" s="1775">
        <v>0</v>
      </c>
      <c r="AM414" s="1775">
        <v>1261116</v>
      </c>
      <c r="AN414" s="1775">
        <v>145000</v>
      </c>
      <c r="AO414" s="1775">
        <v>0</v>
      </c>
      <c r="AP414" s="1775">
        <v>0</v>
      </c>
      <c r="AQ414" s="1775">
        <v>121431</v>
      </c>
      <c r="AR414" s="1776">
        <v>0</v>
      </c>
      <c r="AS414" s="1775">
        <v>0</v>
      </c>
      <c r="AT414" s="1775">
        <v>565851</v>
      </c>
      <c r="AU414" s="1775">
        <v>0</v>
      </c>
      <c r="AV414" s="1775">
        <v>303804</v>
      </c>
      <c r="AW414" s="1775">
        <v>115869</v>
      </c>
      <c r="AX414" s="1775">
        <v>0</v>
      </c>
      <c r="AY414" s="1651">
        <f t="shared" si="5"/>
        <v>7389327</v>
      </c>
      <c r="AZ414" s="1772">
        <v>320000</v>
      </c>
      <c r="BA414" s="1772">
        <v>0</v>
      </c>
      <c r="BB414" s="1772">
        <v>0</v>
      </c>
      <c r="BC414" s="1772">
        <v>115908</v>
      </c>
      <c r="BD414" s="1772">
        <v>0</v>
      </c>
      <c r="BE414" s="1772">
        <v>0</v>
      </c>
      <c r="BF414" s="1772">
        <v>10390805</v>
      </c>
      <c r="BG414" s="1772">
        <v>0</v>
      </c>
      <c r="BH414" s="1772">
        <v>55563317</v>
      </c>
      <c r="BI414" s="1772">
        <v>3489525</v>
      </c>
      <c r="BJ414" s="1772">
        <v>0</v>
      </c>
      <c r="BK414" s="1651">
        <f t="shared" si="6"/>
        <v>69879555</v>
      </c>
      <c r="BL414" s="2359">
        <f t="shared" si="7"/>
        <v>77268882</v>
      </c>
      <c r="BM414" s="1772">
        <v>211212990</v>
      </c>
      <c r="BN414" s="1772">
        <v>0</v>
      </c>
      <c r="BO414" s="1772">
        <v>0</v>
      </c>
      <c r="BP414" s="1772">
        <v>5599023</v>
      </c>
      <c r="BQ414" s="1772">
        <v>117382</v>
      </c>
      <c r="BR414" s="1772">
        <v>18419818</v>
      </c>
      <c r="BS414" s="1772">
        <v>8663</v>
      </c>
      <c r="BT414" s="1772">
        <v>0</v>
      </c>
      <c r="BU414" s="1772">
        <v>-38788338</v>
      </c>
      <c r="BV414" s="1667">
        <f t="shared" si="17"/>
        <v>196569538</v>
      </c>
      <c r="BW414" s="2352">
        <v>0</v>
      </c>
      <c r="BX414" s="2352">
        <v>3868770</v>
      </c>
      <c r="BY414" s="2352">
        <v>2103825</v>
      </c>
      <c r="BZ414" s="2352">
        <v>226696</v>
      </c>
      <c r="CA414" s="2352">
        <v>0</v>
      </c>
      <c r="CB414" s="1780">
        <v>0</v>
      </c>
      <c r="CC414" s="2357">
        <f t="shared" si="8"/>
        <v>196569538</v>
      </c>
      <c r="CD414" s="1772">
        <v>4618901</v>
      </c>
      <c r="CE414" s="1772">
        <v>0</v>
      </c>
      <c r="CF414" s="1772">
        <v>24086415</v>
      </c>
      <c r="CG414" s="1772">
        <v>0</v>
      </c>
      <c r="CH414" s="1772">
        <v>0</v>
      </c>
      <c r="CI414" s="1772">
        <v>0</v>
      </c>
      <c r="CJ414" s="1772">
        <v>0</v>
      </c>
      <c r="CK414" s="1772">
        <v>0</v>
      </c>
      <c r="CL414" s="1772">
        <v>0</v>
      </c>
      <c r="CM414" s="1772">
        <v>0</v>
      </c>
      <c r="CN414" s="1772">
        <v>54617</v>
      </c>
      <c r="CO414" s="1772">
        <v>7743523</v>
      </c>
      <c r="CP414" s="1659">
        <f t="shared" si="9"/>
        <v>36503456</v>
      </c>
      <c r="CQ414" s="1772">
        <v>0</v>
      </c>
      <c r="CR414" s="1772">
        <v>60956853</v>
      </c>
      <c r="CS414" s="1772">
        <v>0</v>
      </c>
      <c r="CT414" s="1772">
        <v>0</v>
      </c>
      <c r="CU414" s="1772">
        <v>5142413</v>
      </c>
      <c r="CV414" s="1772">
        <v>251407</v>
      </c>
      <c r="CW414" s="1772">
        <v>533100</v>
      </c>
      <c r="CX414" s="1651">
        <f t="shared" si="10"/>
        <v>66883773</v>
      </c>
      <c r="CY414" s="1780">
        <v>0</v>
      </c>
      <c r="CZ414" s="1780">
        <v>0</v>
      </c>
      <c r="DA414" s="1780">
        <v>0</v>
      </c>
      <c r="DB414" s="1780">
        <v>0</v>
      </c>
      <c r="DC414" s="1780">
        <v>0</v>
      </c>
      <c r="DD414" s="1780">
        <v>0</v>
      </c>
      <c r="DE414" s="1780">
        <v>0</v>
      </c>
      <c r="DF414" s="2355">
        <f t="shared" si="11"/>
        <v>103387229</v>
      </c>
      <c r="DG414" s="3908">
        <v>12309</v>
      </c>
      <c r="DH414" s="3908">
        <v>0</v>
      </c>
      <c r="DI414" s="3908">
        <v>0</v>
      </c>
      <c r="DJ414" s="3909">
        <v>0</v>
      </c>
      <c r="DK414" s="3910">
        <v>0</v>
      </c>
      <c r="DL414" s="3910">
        <v>0</v>
      </c>
      <c r="DM414" s="1774">
        <v>0</v>
      </c>
      <c r="DN414" s="3910">
        <v>0</v>
      </c>
      <c r="DO414" s="3910">
        <v>2519425</v>
      </c>
      <c r="DP414" s="1774">
        <v>0</v>
      </c>
      <c r="DQ414" s="1775">
        <v>229218</v>
      </c>
      <c r="DR414" s="1774">
        <v>0</v>
      </c>
      <c r="DS414" s="1775">
        <v>0</v>
      </c>
      <c r="DT414" s="1775">
        <v>0</v>
      </c>
      <c r="DU414" s="1774">
        <v>0</v>
      </c>
      <c r="DV414" s="1774">
        <v>0</v>
      </c>
      <c r="DW414" s="1774">
        <v>0</v>
      </c>
      <c r="DX414" s="1774">
        <v>0</v>
      </c>
      <c r="DY414" s="1774">
        <v>0</v>
      </c>
      <c r="DZ414" s="1775">
        <v>0</v>
      </c>
      <c r="EA414" s="1661">
        <f t="shared" si="12"/>
        <v>2760952</v>
      </c>
      <c r="EB414" s="1774">
        <v>0</v>
      </c>
      <c r="EC414" s="1775">
        <v>4630195</v>
      </c>
      <c r="ED414" s="1774">
        <v>0</v>
      </c>
      <c r="EE414" s="1775">
        <v>0</v>
      </c>
      <c r="EF414" s="1775">
        <v>0</v>
      </c>
      <c r="EG414" s="1774">
        <v>0</v>
      </c>
      <c r="EH414" s="1774">
        <v>0</v>
      </c>
      <c r="EI414" s="1774">
        <v>0</v>
      </c>
      <c r="EJ414" s="1774">
        <v>0</v>
      </c>
      <c r="EK414" s="1773">
        <v>0</v>
      </c>
      <c r="EL414" s="1775">
        <v>0</v>
      </c>
      <c r="EM414" s="1663">
        <f t="shared" si="13"/>
        <v>4630195</v>
      </c>
      <c r="EN414" s="2354">
        <v>0</v>
      </c>
      <c r="EO414" s="2354">
        <v>0</v>
      </c>
      <c r="EP414" s="2354">
        <v>0</v>
      </c>
      <c r="EQ414" s="2354">
        <v>0</v>
      </c>
      <c r="ER414" s="2354">
        <v>0</v>
      </c>
      <c r="ES414" s="2354">
        <v>0</v>
      </c>
      <c r="ET414" s="2355">
        <f t="shared" si="14"/>
        <v>7391147</v>
      </c>
      <c r="EU414" s="1775">
        <v>534407</v>
      </c>
      <c r="EV414" s="1774">
        <v>28005744</v>
      </c>
      <c r="EW414" s="1774">
        <v>0</v>
      </c>
      <c r="EX414" s="1774">
        <v>0</v>
      </c>
      <c r="EY414" s="1775">
        <v>32033713</v>
      </c>
      <c r="EZ414" s="1775">
        <v>0</v>
      </c>
      <c r="FA414" s="1774">
        <v>674997</v>
      </c>
      <c r="FB414" s="1774">
        <v>6571542</v>
      </c>
      <c r="FC414" s="1774">
        <v>28175679</v>
      </c>
      <c r="FD414" s="2356">
        <f t="shared" si="18"/>
        <v>95996082</v>
      </c>
      <c r="FE414" s="3162" t="s">
        <v>142</v>
      </c>
    </row>
    <row r="415" spans="1:161" s="1863" customFormat="1">
      <c r="A415" s="3886" t="str">
        <f>'Contact Information'!A57</f>
        <v>LAKE-SUMTER STATE COLLEGE</v>
      </c>
      <c r="B415" s="1775">
        <v>3383512</v>
      </c>
      <c r="C415" s="1775">
        <v>72526</v>
      </c>
      <c r="D415" s="1774">
        <v>0</v>
      </c>
      <c r="E415" s="1774">
        <v>0</v>
      </c>
      <c r="F415" s="1775">
        <v>774495</v>
      </c>
      <c r="G415" s="1775">
        <v>0</v>
      </c>
      <c r="H415" s="3122">
        <v>795084</v>
      </c>
      <c r="I415" s="1775">
        <v>53625</v>
      </c>
      <c r="J415" s="1775">
        <v>0</v>
      </c>
      <c r="K415" s="1775">
        <v>343632</v>
      </c>
      <c r="L415" s="1775">
        <v>0</v>
      </c>
      <c r="M415" s="1774">
        <v>0</v>
      </c>
      <c r="N415" s="2365">
        <f t="shared" si="15"/>
        <v>5422874</v>
      </c>
      <c r="O415" s="1775">
        <v>4358709</v>
      </c>
      <c r="P415" s="1775">
        <v>0</v>
      </c>
      <c r="Q415" s="1775">
        <v>0</v>
      </c>
      <c r="R415" s="3143">
        <v>0</v>
      </c>
      <c r="S415" s="1775">
        <v>57989302</v>
      </c>
      <c r="T415" s="1775">
        <v>6745696</v>
      </c>
      <c r="U415" s="3143">
        <v>2397</v>
      </c>
      <c r="V415" s="1651">
        <f t="shared" si="16"/>
        <v>69096104</v>
      </c>
      <c r="W415" s="1772">
        <v>0</v>
      </c>
      <c r="X415" s="1772">
        <v>2603778</v>
      </c>
      <c r="Y415" s="1772">
        <v>1026449</v>
      </c>
      <c r="Z415" s="1772">
        <v>17160</v>
      </c>
      <c r="AA415" s="1772">
        <v>0</v>
      </c>
      <c r="AB415" s="1772">
        <v>0</v>
      </c>
      <c r="AC415" s="1775">
        <v>0</v>
      </c>
      <c r="AD415" s="2359">
        <f t="shared" si="19"/>
        <v>74518978</v>
      </c>
      <c r="AE415" s="1775">
        <v>413863</v>
      </c>
      <c r="AF415" s="1775">
        <v>0</v>
      </c>
      <c r="AG415" s="1775">
        <v>966878</v>
      </c>
      <c r="AH415" s="1775">
        <v>0</v>
      </c>
      <c r="AI415" s="1775">
        <v>133971</v>
      </c>
      <c r="AJ415" s="1775">
        <v>0</v>
      </c>
      <c r="AK415" s="1775">
        <v>20253</v>
      </c>
      <c r="AL415" s="1775">
        <v>0</v>
      </c>
      <c r="AM415" s="1775">
        <v>142373</v>
      </c>
      <c r="AN415" s="1775">
        <v>0</v>
      </c>
      <c r="AO415" s="1775">
        <v>0</v>
      </c>
      <c r="AP415" s="1775">
        <v>0</v>
      </c>
      <c r="AQ415" s="1775">
        <v>0</v>
      </c>
      <c r="AR415" s="1776">
        <v>0</v>
      </c>
      <c r="AS415" s="1775">
        <v>0</v>
      </c>
      <c r="AT415" s="1775">
        <v>249281</v>
      </c>
      <c r="AU415" s="1775">
        <v>0</v>
      </c>
      <c r="AV415" s="1775">
        <v>68870</v>
      </c>
      <c r="AW415" s="1775">
        <v>17160</v>
      </c>
      <c r="AX415" s="1775">
        <v>0</v>
      </c>
      <c r="AY415" s="1651">
        <f t="shared" si="5"/>
        <v>2012649</v>
      </c>
      <c r="AZ415" s="1772">
        <v>0</v>
      </c>
      <c r="BA415" s="1772">
        <v>0</v>
      </c>
      <c r="BB415" s="1772">
        <v>0</v>
      </c>
      <c r="BC415" s="1772">
        <v>0</v>
      </c>
      <c r="BD415" s="1772">
        <v>0</v>
      </c>
      <c r="BE415" s="1772">
        <v>0</v>
      </c>
      <c r="BF415" s="1772">
        <v>1428629</v>
      </c>
      <c r="BG415" s="1772">
        <v>0</v>
      </c>
      <c r="BH415" s="1772">
        <v>12930893</v>
      </c>
      <c r="BI415" s="1772">
        <v>453005</v>
      </c>
      <c r="BJ415" s="1772">
        <v>0</v>
      </c>
      <c r="BK415" s="1651">
        <f t="shared" si="6"/>
        <v>14812527</v>
      </c>
      <c r="BL415" s="2359">
        <f t="shared" si="7"/>
        <v>16825176</v>
      </c>
      <c r="BM415" s="1772">
        <v>64734998</v>
      </c>
      <c r="BN415" s="1772">
        <v>0</v>
      </c>
      <c r="BO415" s="1772">
        <v>0</v>
      </c>
      <c r="BP415" s="1772">
        <v>456795</v>
      </c>
      <c r="BQ415" s="1772">
        <v>61819</v>
      </c>
      <c r="BR415" s="1772">
        <v>4359572</v>
      </c>
      <c r="BS415" s="1772">
        <v>0</v>
      </c>
      <c r="BT415" s="1772">
        <v>0</v>
      </c>
      <c r="BU415" s="1772">
        <v>-9920388</v>
      </c>
      <c r="BV415" s="1667">
        <f t="shared" si="17"/>
        <v>59692796</v>
      </c>
      <c r="BW415" s="2352">
        <v>0</v>
      </c>
      <c r="BX415" s="2352">
        <v>865150</v>
      </c>
      <c r="BY415" s="2352">
        <v>574860</v>
      </c>
      <c r="BZ415" s="2352">
        <v>208383</v>
      </c>
      <c r="CA415" s="2352">
        <v>0</v>
      </c>
      <c r="CB415" s="1780">
        <v>0</v>
      </c>
      <c r="CC415" s="2357">
        <f t="shared" si="8"/>
        <v>59692796</v>
      </c>
      <c r="CD415" s="1772">
        <v>1872532</v>
      </c>
      <c r="CE415" s="1772">
        <v>0</v>
      </c>
      <c r="CF415" s="1772">
        <v>12606438</v>
      </c>
      <c r="CG415" s="1772">
        <v>0</v>
      </c>
      <c r="CH415" s="1772">
        <v>23201</v>
      </c>
      <c r="CI415" s="1772">
        <v>0</v>
      </c>
      <c r="CJ415" s="1772">
        <v>0</v>
      </c>
      <c r="CK415" s="1772">
        <v>0</v>
      </c>
      <c r="CL415" s="1772">
        <v>0</v>
      </c>
      <c r="CM415" s="1772">
        <v>11500</v>
      </c>
      <c r="CN415" s="1772">
        <v>0</v>
      </c>
      <c r="CO415" s="1772">
        <v>0</v>
      </c>
      <c r="CP415" s="1659">
        <f t="shared" si="9"/>
        <v>14513671</v>
      </c>
      <c r="CQ415" s="1772">
        <v>0</v>
      </c>
      <c r="CR415" s="1772">
        <v>0</v>
      </c>
      <c r="CS415" s="1772">
        <v>6679694</v>
      </c>
      <c r="CT415" s="1772">
        <v>0</v>
      </c>
      <c r="CU415" s="1772"/>
      <c r="CV415" s="1772"/>
      <c r="CW415" s="1772">
        <v>1168761</v>
      </c>
      <c r="CX415" s="1651">
        <f t="shared" si="10"/>
        <v>7848455</v>
      </c>
      <c r="CY415" s="1780">
        <v>0</v>
      </c>
      <c r="CZ415" s="1780">
        <v>0</v>
      </c>
      <c r="DA415" s="1780">
        <v>0</v>
      </c>
      <c r="DB415" s="1780">
        <v>0</v>
      </c>
      <c r="DC415" s="1780">
        <v>0</v>
      </c>
      <c r="DD415" s="1780">
        <v>0</v>
      </c>
      <c r="DE415" s="1780">
        <v>0</v>
      </c>
      <c r="DF415" s="2355">
        <f t="shared" si="11"/>
        <v>22362126</v>
      </c>
      <c r="DG415" s="3908">
        <v>52042</v>
      </c>
      <c r="DH415" s="3908">
        <v>0</v>
      </c>
      <c r="DI415" s="3908">
        <v>0</v>
      </c>
      <c r="DJ415" s="3909">
        <v>0</v>
      </c>
      <c r="DK415" s="3910">
        <v>946</v>
      </c>
      <c r="DL415" s="3910">
        <v>0</v>
      </c>
      <c r="DM415" s="1774">
        <v>73272</v>
      </c>
      <c r="DN415" s="3910">
        <v>0</v>
      </c>
      <c r="DO415" s="3910">
        <v>0</v>
      </c>
      <c r="DP415" s="1774">
        <v>0</v>
      </c>
      <c r="DQ415" s="1775">
        <v>0</v>
      </c>
      <c r="DR415" s="1774">
        <v>0</v>
      </c>
      <c r="DS415" s="1775">
        <v>0</v>
      </c>
      <c r="DT415" s="1775">
        <v>0</v>
      </c>
      <c r="DU415" s="1774">
        <v>0</v>
      </c>
      <c r="DV415" s="1774">
        <v>0</v>
      </c>
      <c r="DW415" s="1774">
        <v>0</v>
      </c>
      <c r="DX415" s="1774">
        <v>0</v>
      </c>
      <c r="DY415" s="1774">
        <v>0</v>
      </c>
      <c r="DZ415" s="1775">
        <v>0</v>
      </c>
      <c r="EA415" s="1661">
        <f t="shared" si="12"/>
        <v>126260</v>
      </c>
      <c r="EB415" s="1774">
        <v>0</v>
      </c>
      <c r="EC415" s="1775">
        <v>0</v>
      </c>
      <c r="ED415" s="1774">
        <v>0</v>
      </c>
      <c r="EE415" s="1775">
        <v>0</v>
      </c>
      <c r="EF415" s="1775">
        <v>0</v>
      </c>
      <c r="EG415" s="1774">
        <v>0</v>
      </c>
      <c r="EH415" s="1774">
        <v>0</v>
      </c>
      <c r="EI415" s="1774">
        <v>0</v>
      </c>
      <c r="EJ415" s="1774">
        <v>0</v>
      </c>
      <c r="EK415" s="1773">
        <v>0</v>
      </c>
      <c r="EL415" s="1775">
        <v>0</v>
      </c>
      <c r="EM415" s="1663">
        <f t="shared" si="13"/>
        <v>0</v>
      </c>
      <c r="EN415" s="2354">
        <v>0</v>
      </c>
      <c r="EO415" s="2354">
        <v>0</v>
      </c>
      <c r="EP415" s="2354">
        <v>0</v>
      </c>
      <c r="EQ415" s="2354">
        <v>0</v>
      </c>
      <c r="ER415" s="2354">
        <v>1168761</v>
      </c>
      <c r="ES415" s="2354">
        <v>0</v>
      </c>
      <c r="ET415" s="2355">
        <f t="shared" si="14"/>
        <v>126260</v>
      </c>
      <c r="EU415" s="1775"/>
      <c r="EV415" s="1774">
        <v>6679694</v>
      </c>
      <c r="EW415" s="1774">
        <v>4332793</v>
      </c>
      <c r="EX415" s="1774">
        <v>0</v>
      </c>
      <c r="EY415" s="1775">
        <v>4835246</v>
      </c>
      <c r="EZ415" s="1775">
        <v>1989164</v>
      </c>
      <c r="FA415" s="1774">
        <v>0</v>
      </c>
      <c r="FB415" s="1774">
        <v>1837113</v>
      </c>
      <c r="FC415" s="1774">
        <v>1393095</v>
      </c>
      <c r="FD415" s="2356">
        <f t="shared" si="18"/>
        <v>21067105</v>
      </c>
      <c r="FE415" s="3162" t="s">
        <v>144</v>
      </c>
    </row>
    <row r="416" spans="1:161" s="1863" customFormat="1">
      <c r="A416" s="3886" t="str">
        <f>'Contact Information'!A58</f>
        <v>MIAMI DADE COLLEGE</v>
      </c>
      <c r="B416" s="1775">
        <v>63948884</v>
      </c>
      <c r="C416" s="1775">
        <v>47493147</v>
      </c>
      <c r="D416" s="1774">
        <v>0</v>
      </c>
      <c r="E416" s="1774"/>
      <c r="F416" s="1775">
        <v>21317675</v>
      </c>
      <c r="G416" s="1775">
        <v>420927</v>
      </c>
      <c r="H416" s="3122">
        <v>77972656</v>
      </c>
      <c r="I416" s="1775">
        <v>14636983</v>
      </c>
      <c r="J416" s="1775">
        <v>55315</v>
      </c>
      <c r="K416" s="1775">
        <v>1300076</v>
      </c>
      <c r="L416" s="1775">
        <v>80148</v>
      </c>
      <c r="M416" s="1774">
        <f>462+15357759</f>
        <v>15358221</v>
      </c>
      <c r="N416" s="2365">
        <f t="shared" si="15"/>
        <v>242584032</v>
      </c>
      <c r="O416" s="1775">
        <v>244788142</v>
      </c>
      <c r="P416" s="1775">
        <v>133954051</v>
      </c>
      <c r="Q416" s="1775">
        <f>300809922+34815680</f>
        <v>335625602</v>
      </c>
      <c r="R416" s="3143">
        <v>7165886</v>
      </c>
      <c r="S416" s="1775">
        <v>609922515</v>
      </c>
      <c r="T416" s="1775">
        <v>142493152</v>
      </c>
      <c r="U416" s="3143">
        <v>150</v>
      </c>
      <c r="V416" s="1651">
        <f t="shared" si="16"/>
        <v>1473949498</v>
      </c>
      <c r="W416" s="1772">
        <v>0</v>
      </c>
      <c r="X416" s="1772">
        <v>53737599</v>
      </c>
      <c r="Y416" s="1772">
        <v>11521249</v>
      </c>
      <c r="Z416" s="1772">
        <v>5675279</v>
      </c>
      <c r="AA416" s="1772">
        <v>0</v>
      </c>
      <c r="AB416" s="1772">
        <v>0</v>
      </c>
      <c r="AC416" s="1775">
        <v>0</v>
      </c>
      <c r="AD416" s="2359">
        <f t="shared" si="19"/>
        <v>1716533530</v>
      </c>
      <c r="AE416" s="1775">
        <v>18563073</v>
      </c>
      <c r="AF416" s="1775">
        <v>0</v>
      </c>
      <c r="AG416" s="1775">
        <v>15960388</v>
      </c>
      <c r="AH416" s="1775">
        <v>2791339</v>
      </c>
      <c r="AI416" s="1775">
        <v>744910</v>
      </c>
      <c r="AJ416" s="1775">
        <v>2791123</v>
      </c>
      <c r="AK416" s="1775">
        <v>4255587</v>
      </c>
      <c r="AL416" s="1775">
        <v>0</v>
      </c>
      <c r="AM416" s="1775">
        <v>33836280</v>
      </c>
      <c r="AN416" s="1775">
        <v>0</v>
      </c>
      <c r="AO416" s="1775">
        <v>0</v>
      </c>
      <c r="AP416" s="1775">
        <v>0</v>
      </c>
      <c r="AQ416" s="1775">
        <v>0</v>
      </c>
      <c r="AR416" s="1776">
        <v>0</v>
      </c>
      <c r="AS416" s="1775">
        <v>0</v>
      </c>
      <c r="AT416" s="1775">
        <v>17700274</v>
      </c>
      <c r="AU416" s="1775">
        <v>0</v>
      </c>
      <c r="AV416" s="1775">
        <v>1039164</v>
      </c>
      <c r="AW416" s="1775">
        <v>1037712</v>
      </c>
      <c r="AX416" s="1775">
        <v>15357759</v>
      </c>
      <c r="AY416" s="1651">
        <f t="shared" si="5"/>
        <v>114077609</v>
      </c>
      <c r="AZ416" s="1772">
        <v>0</v>
      </c>
      <c r="BA416" s="1772">
        <v>0</v>
      </c>
      <c r="BB416" s="1772">
        <v>0</v>
      </c>
      <c r="BC416" s="1772">
        <v>0</v>
      </c>
      <c r="BD416" s="1772">
        <v>0</v>
      </c>
      <c r="BE416" s="1772">
        <v>0</v>
      </c>
      <c r="BF416" s="1772">
        <v>11958362</v>
      </c>
      <c r="BG416" s="1772">
        <v>0</v>
      </c>
      <c r="BH416" s="1772">
        <v>188196942</v>
      </c>
      <c r="BI416" s="1772">
        <v>28849400</v>
      </c>
      <c r="BJ416" s="1772">
        <v>5000</v>
      </c>
      <c r="BK416" s="1651">
        <f t="shared" si="6"/>
        <v>229009704</v>
      </c>
      <c r="BL416" s="2359">
        <f t="shared" si="7"/>
        <v>343087313</v>
      </c>
      <c r="BM416" s="1772">
        <v>752415667</v>
      </c>
      <c r="BN416" s="1772">
        <v>0</v>
      </c>
      <c r="BO416" s="1772">
        <v>132099115</v>
      </c>
      <c r="BP416" s="1772">
        <v>46385730</v>
      </c>
      <c r="BQ416" s="1772">
        <v>10288150</v>
      </c>
      <c r="BR416" s="1772">
        <v>542114809</v>
      </c>
      <c r="BS416" s="1772">
        <v>0</v>
      </c>
      <c r="BT416" s="1772"/>
      <c r="BU416" s="1772">
        <v>-61093757</v>
      </c>
      <c r="BV416" s="1667">
        <f t="shared" si="17"/>
        <v>1422209714</v>
      </c>
      <c r="BW416" s="2352">
        <v>0</v>
      </c>
      <c r="BX416" s="2352">
        <v>12646600</v>
      </c>
      <c r="BY416" s="2352">
        <v>7826981</v>
      </c>
      <c r="BZ416" s="2352">
        <v>2666587</v>
      </c>
      <c r="CA416" s="2352">
        <v>0</v>
      </c>
      <c r="CB416" s="1780">
        <v>0</v>
      </c>
      <c r="CC416" s="2357">
        <f t="shared" si="8"/>
        <v>1422209714</v>
      </c>
      <c r="CD416" s="1772">
        <v>47864654</v>
      </c>
      <c r="CE416" s="1772">
        <v>0</v>
      </c>
      <c r="CF416" s="1772">
        <v>0</v>
      </c>
      <c r="CG416" s="1772">
        <v>0</v>
      </c>
      <c r="CH416" s="1772">
        <v>4382766</v>
      </c>
      <c r="CI416" s="1772">
        <v>0</v>
      </c>
      <c r="CJ416" s="1772">
        <v>0</v>
      </c>
      <c r="CK416" s="1772">
        <v>371754</v>
      </c>
      <c r="CL416" s="1772">
        <v>0</v>
      </c>
      <c r="CM416" s="1772">
        <v>0</v>
      </c>
      <c r="CN416" s="1772">
        <v>0</v>
      </c>
      <c r="CO416" s="1772">
        <f>11334945+499872</f>
        <v>11834817</v>
      </c>
      <c r="CP416" s="1659">
        <f t="shared" si="9"/>
        <v>64453991</v>
      </c>
      <c r="CQ416" s="1772">
        <v>5133023</v>
      </c>
      <c r="CR416" s="1772">
        <v>0</v>
      </c>
      <c r="CS416" s="1772">
        <v>77598555</v>
      </c>
      <c r="CT416" s="1772">
        <v>0</v>
      </c>
      <c r="CU416" s="1772">
        <v>0</v>
      </c>
      <c r="CV416" s="1772">
        <v>0</v>
      </c>
      <c r="CW416" s="1772">
        <v>55887411</v>
      </c>
      <c r="CX416" s="1651">
        <f t="shared" si="10"/>
        <v>138618989</v>
      </c>
      <c r="CY416" s="1780">
        <v>0</v>
      </c>
      <c r="CZ416" s="1780">
        <v>0</v>
      </c>
      <c r="DA416" s="1780">
        <v>0</v>
      </c>
      <c r="DB416" s="1780">
        <v>0</v>
      </c>
      <c r="DC416" s="1780">
        <v>0</v>
      </c>
      <c r="DD416" s="1780">
        <v>0</v>
      </c>
      <c r="DE416" s="1780">
        <v>0</v>
      </c>
      <c r="DF416" s="2355">
        <f t="shared" si="11"/>
        <v>203072980</v>
      </c>
      <c r="DG416" s="3908">
        <v>511492</v>
      </c>
      <c r="DH416" s="3908">
        <v>0</v>
      </c>
      <c r="DI416" s="3908">
        <v>0</v>
      </c>
      <c r="DJ416" s="3909">
        <v>0</v>
      </c>
      <c r="DK416" s="3910">
        <v>0</v>
      </c>
      <c r="DL416" s="3910">
        <v>14534831</v>
      </c>
      <c r="DM416" s="1774">
        <v>0</v>
      </c>
      <c r="DN416" s="3910">
        <v>0</v>
      </c>
      <c r="DO416" s="3910">
        <v>0</v>
      </c>
      <c r="DP416" s="1774">
        <v>0</v>
      </c>
      <c r="DQ416" s="1775">
        <v>0</v>
      </c>
      <c r="DR416" s="1774">
        <v>0</v>
      </c>
      <c r="DS416" s="1775">
        <v>0</v>
      </c>
      <c r="DT416" s="1775">
        <v>0</v>
      </c>
      <c r="DU416" s="1774">
        <v>0</v>
      </c>
      <c r="DV416" s="1774">
        <v>0</v>
      </c>
      <c r="DW416" s="1774">
        <v>0</v>
      </c>
      <c r="DX416" s="1774">
        <v>0</v>
      </c>
      <c r="DY416" s="1774">
        <v>0</v>
      </c>
      <c r="DZ416" s="1775">
        <v>11334945</v>
      </c>
      <c r="EA416" s="1661">
        <f t="shared" si="12"/>
        <v>26381268</v>
      </c>
      <c r="EB416" s="1774">
        <v>0</v>
      </c>
      <c r="EC416" s="1775">
        <v>0</v>
      </c>
      <c r="ED416" s="1774">
        <v>0</v>
      </c>
      <c r="EE416" s="1775">
        <v>0</v>
      </c>
      <c r="EF416" s="1775">
        <v>0</v>
      </c>
      <c r="EG416" s="1774">
        <v>0</v>
      </c>
      <c r="EH416" s="1774">
        <v>0</v>
      </c>
      <c r="EI416" s="1774">
        <v>0</v>
      </c>
      <c r="EJ416" s="1774">
        <v>0</v>
      </c>
      <c r="EK416" s="1773">
        <v>0</v>
      </c>
      <c r="EL416" s="1775">
        <v>0</v>
      </c>
      <c r="EM416" s="1663">
        <f t="shared" si="13"/>
        <v>0</v>
      </c>
      <c r="EN416" s="2354">
        <v>0</v>
      </c>
      <c r="EO416" s="2354">
        <v>0</v>
      </c>
      <c r="EP416" s="2354">
        <v>0</v>
      </c>
      <c r="EQ416" s="2354">
        <v>0</v>
      </c>
      <c r="ER416" s="2354">
        <v>0</v>
      </c>
      <c r="ES416" s="2354">
        <v>0</v>
      </c>
      <c r="ET416" s="2355">
        <f t="shared" si="14"/>
        <v>26381268</v>
      </c>
      <c r="EU416" s="1775">
        <v>0</v>
      </c>
      <c r="EV416" s="1774">
        <v>52671778</v>
      </c>
      <c r="EW416" s="1774">
        <v>0</v>
      </c>
      <c r="EX416" s="1774">
        <v>0</v>
      </c>
      <c r="EY416" s="1775">
        <v>96582616</v>
      </c>
      <c r="EZ416" s="1775">
        <v>0</v>
      </c>
      <c r="FA416" s="1774">
        <v>0</v>
      </c>
      <c r="FB416" s="1774">
        <v>0</v>
      </c>
      <c r="FC416" s="1774">
        <v>27437318</v>
      </c>
      <c r="FD416" s="2356">
        <f t="shared" si="18"/>
        <v>176691712</v>
      </c>
      <c r="FE416" s="3162" t="s">
        <v>146</v>
      </c>
    </row>
    <row r="417" spans="1:161" s="1863" customFormat="1">
      <c r="A417" s="3886" t="str">
        <f>'Contact Information'!A59</f>
        <v>NORTH FLORIDA COLLEGE</v>
      </c>
      <c r="B417" s="1775">
        <v>5526431</v>
      </c>
      <c r="C417" s="1775">
        <v>596994</v>
      </c>
      <c r="D417" s="1774">
        <v>0</v>
      </c>
      <c r="E417" s="1774">
        <v>0</v>
      </c>
      <c r="F417" s="1775">
        <v>53419</v>
      </c>
      <c r="G417" s="1775">
        <v>0</v>
      </c>
      <c r="H417" s="3122">
        <v>168688</v>
      </c>
      <c r="I417" s="1775">
        <v>85761</v>
      </c>
      <c r="J417" s="1775">
        <v>68116</v>
      </c>
      <c r="K417" s="1775"/>
      <c r="L417" s="1775">
        <v>0</v>
      </c>
      <c r="M417" s="1774">
        <v>0</v>
      </c>
      <c r="N417" s="2365">
        <f t="shared" si="15"/>
        <v>6499409</v>
      </c>
      <c r="O417" s="1775">
        <v>2393422</v>
      </c>
      <c r="P417" s="1775">
        <v>0</v>
      </c>
      <c r="Q417" s="1775">
        <v>0</v>
      </c>
      <c r="R417" s="3143">
        <v>0</v>
      </c>
      <c r="S417" s="1775">
        <v>19291535</v>
      </c>
      <c r="T417" s="1775">
        <v>1157392</v>
      </c>
      <c r="U417" s="3143">
        <v>0</v>
      </c>
      <c r="V417" s="1651">
        <f t="shared" si="16"/>
        <v>22842349</v>
      </c>
      <c r="W417" s="1772">
        <v>0</v>
      </c>
      <c r="X417" s="1772">
        <v>1809470</v>
      </c>
      <c r="Y417" s="1772">
        <v>406605</v>
      </c>
      <c r="Z417" s="1772">
        <v>65193</v>
      </c>
      <c r="AA417" s="1772">
        <v>0</v>
      </c>
      <c r="AB417" s="1772">
        <v>0</v>
      </c>
      <c r="AC417" s="1775">
        <v>0</v>
      </c>
      <c r="AD417" s="2359">
        <f t="shared" si="19"/>
        <v>29341758</v>
      </c>
      <c r="AE417" s="1775">
        <v>232627</v>
      </c>
      <c r="AF417" s="1775">
        <v>0</v>
      </c>
      <c r="AG417" s="1775">
        <v>205976</v>
      </c>
      <c r="AH417" s="1775">
        <v>0</v>
      </c>
      <c r="AI417" s="1775">
        <v>0</v>
      </c>
      <c r="AJ417" s="1775">
        <v>0</v>
      </c>
      <c r="AK417" s="1775">
        <v>0</v>
      </c>
      <c r="AL417" s="1775">
        <v>0</v>
      </c>
      <c r="AM417" s="1775">
        <v>318025</v>
      </c>
      <c r="AN417" s="1775">
        <v>0</v>
      </c>
      <c r="AO417" s="1775">
        <v>0</v>
      </c>
      <c r="AP417" s="1775">
        <v>0</v>
      </c>
      <c r="AQ417" s="1775">
        <v>0</v>
      </c>
      <c r="AR417" s="1776">
        <v>0</v>
      </c>
      <c r="AS417" s="1775">
        <v>0</v>
      </c>
      <c r="AT417" s="1775">
        <v>72960</v>
      </c>
      <c r="AU417" s="1775">
        <v>0</v>
      </c>
      <c r="AV417" s="1775">
        <v>29334</v>
      </c>
      <c r="AW417" s="1775">
        <v>8762</v>
      </c>
      <c r="AX417" s="1775">
        <v>0</v>
      </c>
      <c r="AY417" s="1651">
        <f t="shared" si="5"/>
        <v>867684</v>
      </c>
      <c r="AZ417" s="1772">
        <v>0</v>
      </c>
      <c r="BA417" s="1772">
        <v>0</v>
      </c>
      <c r="BB417" s="1772">
        <v>0</v>
      </c>
      <c r="BC417" s="1772">
        <v>0</v>
      </c>
      <c r="BD417" s="1772">
        <v>0</v>
      </c>
      <c r="BE417" s="1772">
        <v>0</v>
      </c>
      <c r="BF417" s="1772">
        <v>1019118</v>
      </c>
      <c r="BG417" s="1772">
        <v>0</v>
      </c>
      <c r="BH417" s="1772">
        <v>5903631</v>
      </c>
      <c r="BI417" s="1772">
        <v>161375</v>
      </c>
      <c r="BJ417" s="1772">
        <v>0</v>
      </c>
      <c r="BK417" s="1651">
        <f t="shared" si="6"/>
        <v>7084124</v>
      </c>
      <c r="BL417" s="2359">
        <f t="shared" si="7"/>
        <v>7951808</v>
      </c>
      <c r="BM417" s="1772">
        <v>20448927</v>
      </c>
      <c r="BN417" s="1772">
        <v>0</v>
      </c>
      <c r="BO417" s="1772">
        <v>0</v>
      </c>
      <c r="BP417" s="1772">
        <v>213877</v>
      </c>
      <c r="BQ417" s="1772">
        <v>29005</v>
      </c>
      <c r="BR417" s="1772">
        <v>2536895</v>
      </c>
      <c r="BS417" s="1772">
        <v>0</v>
      </c>
      <c r="BT417" s="1772">
        <v>0</v>
      </c>
      <c r="BU417" s="1772">
        <v>-357692</v>
      </c>
      <c r="BV417" s="1667">
        <f t="shared" si="17"/>
        <v>22871012</v>
      </c>
      <c r="BW417" s="2352">
        <v>0</v>
      </c>
      <c r="BX417" s="2352">
        <v>463180</v>
      </c>
      <c r="BY417" s="2352">
        <v>256343</v>
      </c>
      <c r="BZ417" s="2352">
        <v>80683</v>
      </c>
      <c r="CA417" s="2352">
        <v>0</v>
      </c>
      <c r="CB417" s="1780">
        <v>0</v>
      </c>
      <c r="CC417" s="2357">
        <f t="shared" si="8"/>
        <v>22871012</v>
      </c>
      <c r="CD417" s="1772">
        <v>421580</v>
      </c>
      <c r="CE417" s="1772"/>
      <c r="CF417" s="1772">
        <v>0</v>
      </c>
      <c r="CG417" s="1772">
        <v>0</v>
      </c>
      <c r="CH417" s="1772">
        <v>50000</v>
      </c>
      <c r="CI417" s="1772">
        <v>0</v>
      </c>
      <c r="CJ417" s="1772">
        <v>0</v>
      </c>
      <c r="CK417" s="1772">
        <v>0</v>
      </c>
      <c r="CL417" s="1772">
        <v>0</v>
      </c>
      <c r="CM417" s="1772">
        <v>0</v>
      </c>
      <c r="CN417" s="1772">
        <v>0</v>
      </c>
      <c r="CO417" s="1772">
        <v>9219</v>
      </c>
      <c r="CP417" s="1659">
        <f t="shared" si="9"/>
        <v>480799</v>
      </c>
      <c r="CQ417" s="1772">
        <v>0</v>
      </c>
      <c r="CR417" s="1772">
        <v>3571266</v>
      </c>
      <c r="CS417" s="1772">
        <v>0</v>
      </c>
      <c r="CT417" s="1772">
        <v>0</v>
      </c>
      <c r="CU417" s="1772">
        <v>0</v>
      </c>
      <c r="CV417" s="1772"/>
      <c r="CW417" s="1772">
        <v>0</v>
      </c>
      <c r="CX417" s="1651">
        <f t="shared" si="10"/>
        <v>3571266</v>
      </c>
      <c r="CY417" s="1780">
        <v>0</v>
      </c>
      <c r="CZ417" s="1780">
        <v>0</v>
      </c>
      <c r="DA417" s="1780">
        <v>0</v>
      </c>
      <c r="DB417" s="1780">
        <v>0</v>
      </c>
      <c r="DC417" s="1780">
        <v>0</v>
      </c>
      <c r="DD417" s="1780">
        <v>0</v>
      </c>
      <c r="DE417" s="1780">
        <v>0</v>
      </c>
      <c r="DF417" s="2355">
        <f t="shared" si="11"/>
        <v>4052065</v>
      </c>
      <c r="DG417" s="3908">
        <v>0</v>
      </c>
      <c r="DH417" s="3908">
        <v>0</v>
      </c>
      <c r="DI417" s="3908">
        <v>0</v>
      </c>
      <c r="DJ417" s="3909">
        <v>0</v>
      </c>
      <c r="DK417" s="3910">
        <v>0</v>
      </c>
      <c r="DL417" s="3910">
        <v>0</v>
      </c>
      <c r="DM417" s="1774">
        <v>0</v>
      </c>
      <c r="DN417" s="3910">
        <v>0</v>
      </c>
      <c r="DO417" s="3910">
        <v>0</v>
      </c>
      <c r="DP417" s="1774">
        <v>0</v>
      </c>
      <c r="DQ417" s="1775">
        <v>0</v>
      </c>
      <c r="DR417" s="1774">
        <v>0</v>
      </c>
      <c r="DS417" s="1775">
        <v>0</v>
      </c>
      <c r="DT417" s="1775">
        <v>0</v>
      </c>
      <c r="DU417" s="1774">
        <v>0</v>
      </c>
      <c r="DV417" s="1774">
        <v>0</v>
      </c>
      <c r="DW417" s="1774">
        <v>0</v>
      </c>
      <c r="DX417" s="1774">
        <v>0</v>
      </c>
      <c r="DY417" s="1774">
        <v>0</v>
      </c>
      <c r="DZ417" s="1775">
        <v>0</v>
      </c>
      <c r="EA417" s="1661">
        <f t="shared" si="12"/>
        <v>0</v>
      </c>
      <c r="EB417" s="1774">
        <v>0</v>
      </c>
      <c r="EC417" s="1775">
        <v>0</v>
      </c>
      <c r="ED417" s="1774">
        <v>0</v>
      </c>
      <c r="EE417" s="1775">
        <v>0</v>
      </c>
      <c r="EF417" s="1775">
        <v>0</v>
      </c>
      <c r="EG417" s="1774">
        <v>0</v>
      </c>
      <c r="EH417" s="1774">
        <v>0</v>
      </c>
      <c r="EI417" s="1774">
        <v>0</v>
      </c>
      <c r="EJ417" s="1774">
        <v>0</v>
      </c>
      <c r="EK417" s="1773">
        <v>0</v>
      </c>
      <c r="EL417" s="1775">
        <v>0</v>
      </c>
      <c r="EM417" s="1663">
        <f t="shared" si="13"/>
        <v>0</v>
      </c>
      <c r="EN417" s="2354">
        <v>0</v>
      </c>
      <c r="EO417" s="2354">
        <v>0</v>
      </c>
      <c r="EP417" s="2354">
        <v>0</v>
      </c>
      <c r="EQ417" s="2354">
        <v>0</v>
      </c>
      <c r="ER417" s="2354">
        <v>0</v>
      </c>
      <c r="ES417" s="2354">
        <v>0</v>
      </c>
      <c r="ET417" s="2355">
        <f t="shared" si="14"/>
        <v>0</v>
      </c>
      <c r="EU417" s="1775"/>
      <c r="EV417" s="1774">
        <v>3002113</v>
      </c>
      <c r="EW417" s="1774">
        <v>0</v>
      </c>
      <c r="EX417" s="1774">
        <v>0</v>
      </c>
      <c r="EY417" s="1775">
        <v>802143</v>
      </c>
      <c r="EZ417" s="1775">
        <v>0</v>
      </c>
      <c r="FA417" s="1774">
        <v>0</v>
      </c>
      <c r="FB417" s="1774">
        <v>0</v>
      </c>
      <c r="FC417" s="1774">
        <v>247809</v>
      </c>
      <c r="FD417" s="2356">
        <f t="shared" si="18"/>
        <v>4052065</v>
      </c>
      <c r="FE417" s="3162" t="s">
        <v>764</v>
      </c>
    </row>
    <row r="418" spans="1:161" s="1863" customFormat="1">
      <c r="A418" s="1771" t="str">
        <f>'Contact Information'!A60</f>
        <v>NORTHWEST FLORIDA STATE COLLEGE</v>
      </c>
      <c r="B418" s="1775">
        <v>2347310</v>
      </c>
      <c r="C418" s="1775">
        <v>3547278</v>
      </c>
      <c r="D418" s="1774">
        <v>0</v>
      </c>
      <c r="E418" s="1774">
        <v>12085</v>
      </c>
      <c r="F418" s="1775">
        <v>1083064</v>
      </c>
      <c r="G418" s="1775">
        <v>0</v>
      </c>
      <c r="H418" s="3122">
        <v>2273340</v>
      </c>
      <c r="I418" s="1775">
        <v>20751</v>
      </c>
      <c r="J418" s="1775">
        <v>19493</v>
      </c>
      <c r="K418" s="1775">
        <v>272276</v>
      </c>
      <c r="L418" s="1775">
        <v>0</v>
      </c>
      <c r="M418" s="1774">
        <v>0</v>
      </c>
      <c r="N418" s="2365">
        <f t="shared" si="15"/>
        <v>9575597</v>
      </c>
      <c r="O418" s="1775">
        <v>2324186</v>
      </c>
      <c r="P418" s="1775">
        <v>0</v>
      </c>
      <c r="Q418" s="1775">
        <v>0</v>
      </c>
      <c r="R418" s="3143">
        <v>0</v>
      </c>
      <c r="S418" s="1775">
        <v>127846847</v>
      </c>
      <c r="T418" s="1775">
        <v>5080620</v>
      </c>
      <c r="U418" s="3143">
        <v>0</v>
      </c>
      <c r="V418" s="1651">
        <f t="shared" si="16"/>
        <v>135251653</v>
      </c>
      <c r="W418" s="1772">
        <v>0</v>
      </c>
      <c r="X418" s="1772">
        <v>4331064</v>
      </c>
      <c r="Y418" s="1772">
        <v>956553</v>
      </c>
      <c r="Z418" s="1772">
        <v>109656</v>
      </c>
      <c r="AA418" s="1772">
        <v>0</v>
      </c>
      <c r="AB418" s="1772">
        <v>0</v>
      </c>
      <c r="AC418" s="1775">
        <v>0</v>
      </c>
      <c r="AD418" s="2359">
        <f t="shared" si="19"/>
        <v>144827250</v>
      </c>
      <c r="AE418" s="1775">
        <v>54640</v>
      </c>
      <c r="AF418" s="1775">
        <v>0</v>
      </c>
      <c r="AG418" s="1775">
        <v>288231</v>
      </c>
      <c r="AH418" s="1775">
        <v>0</v>
      </c>
      <c r="AI418" s="1775"/>
      <c r="AJ418" s="1775">
        <v>0</v>
      </c>
      <c r="AK418" s="1775">
        <v>90614</v>
      </c>
      <c r="AL418" s="1775">
        <v>0</v>
      </c>
      <c r="AM418" s="1775">
        <v>182846</v>
      </c>
      <c r="AN418" s="1775">
        <v>20000</v>
      </c>
      <c r="AO418" s="1775">
        <v>1191590</v>
      </c>
      <c r="AP418" s="1775">
        <v>30000</v>
      </c>
      <c r="AQ418" s="1775">
        <v>35365</v>
      </c>
      <c r="AR418" s="1776">
        <v>0</v>
      </c>
      <c r="AS418" s="1775">
        <v>200384</v>
      </c>
      <c r="AT418" s="1775">
        <v>63362</v>
      </c>
      <c r="AU418" s="1775">
        <v>0</v>
      </c>
      <c r="AV418" s="1775">
        <v>80853</v>
      </c>
      <c r="AW418" s="1775">
        <v>18649</v>
      </c>
      <c r="AX418" s="1775"/>
      <c r="AY418" s="1651">
        <f t="shared" si="5"/>
        <v>2256534</v>
      </c>
      <c r="AZ418" s="1772">
        <v>90000</v>
      </c>
      <c r="BA418" s="1772">
        <v>20650920</v>
      </c>
      <c r="BB418" s="1772">
        <v>175058</v>
      </c>
      <c r="BC418" s="1772">
        <v>96517</v>
      </c>
      <c r="BD418" s="1772">
        <v>0</v>
      </c>
      <c r="BE418" s="1772">
        <v>92449</v>
      </c>
      <c r="BF418" s="1772">
        <v>3104729</v>
      </c>
      <c r="BG418" s="1772">
        <v>0</v>
      </c>
      <c r="BH418" s="1772">
        <v>15461558</v>
      </c>
      <c r="BI418" s="1772">
        <v>487009</v>
      </c>
      <c r="BJ418" s="1772">
        <v>0</v>
      </c>
      <c r="BK418" s="1651">
        <f t="shared" si="6"/>
        <v>40158240</v>
      </c>
      <c r="BL418" s="2359">
        <f t="shared" si="7"/>
        <v>42414774</v>
      </c>
      <c r="BM418" s="1772">
        <v>110638016</v>
      </c>
      <c r="BN418" s="1772">
        <v>0</v>
      </c>
      <c r="BO418" s="1772">
        <v>0</v>
      </c>
      <c r="BP418" s="1772">
        <v>3752878</v>
      </c>
      <c r="BQ418" s="1772">
        <v>144092</v>
      </c>
      <c r="BR418" s="1772">
        <v>4336271</v>
      </c>
      <c r="BS418" s="1772">
        <v>16936</v>
      </c>
      <c r="BT418" s="1772">
        <v>0</v>
      </c>
      <c r="BU418" s="1772">
        <v>-13333379</v>
      </c>
      <c r="BV418" s="1667">
        <f t="shared" si="17"/>
        <v>105554814</v>
      </c>
      <c r="BW418" s="2352">
        <v>0</v>
      </c>
      <c r="BX418" s="2352">
        <v>1331057</v>
      </c>
      <c r="BY418" s="2352">
        <v>907149</v>
      </c>
      <c r="BZ418" s="2352">
        <v>16729</v>
      </c>
      <c r="CA418" s="2352">
        <v>0</v>
      </c>
      <c r="CB418" s="1780">
        <v>0</v>
      </c>
      <c r="CC418" s="2357">
        <f t="shared" si="8"/>
        <v>105554814</v>
      </c>
      <c r="CD418" s="1772">
        <v>645392</v>
      </c>
      <c r="CE418" s="1772">
        <v>0</v>
      </c>
      <c r="CF418" s="1772">
        <v>0</v>
      </c>
      <c r="CG418" s="1772">
        <v>13425726</v>
      </c>
      <c r="CH418" s="1772">
        <v>3000</v>
      </c>
      <c r="CI418" s="1772">
        <v>116318</v>
      </c>
      <c r="CJ418" s="1772">
        <v>0</v>
      </c>
      <c r="CK418" s="1772">
        <v>0</v>
      </c>
      <c r="CL418" s="1772">
        <v>0</v>
      </c>
      <c r="CM418" s="1772">
        <v>25145</v>
      </c>
      <c r="CN418" s="1772">
        <v>0</v>
      </c>
      <c r="CO418" s="1772">
        <v>0</v>
      </c>
      <c r="CP418" s="1659">
        <f t="shared" si="9"/>
        <v>14215581</v>
      </c>
      <c r="CQ418" s="1772">
        <v>0</v>
      </c>
      <c r="CR418" s="1772">
        <v>0</v>
      </c>
      <c r="CS418" s="1772">
        <v>34567526</v>
      </c>
      <c r="CT418" s="1772">
        <v>216186</v>
      </c>
      <c r="CU418" s="1772">
        <v>3357083</v>
      </c>
      <c r="CV418" s="1772">
        <v>254001</v>
      </c>
      <c r="CW418" s="1772">
        <v>0</v>
      </c>
      <c r="CX418" s="1651">
        <f t="shared" si="10"/>
        <v>38394796</v>
      </c>
      <c r="CY418" s="1780">
        <v>0</v>
      </c>
      <c r="CZ418" s="1780">
        <v>0</v>
      </c>
      <c r="DA418" s="1780">
        <v>0</v>
      </c>
      <c r="DB418" s="1780">
        <v>0</v>
      </c>
      <c r="DC418" s="1780">
        <v>0</v>
      </c>
      <c r="DD418" s="1780">
        <v>0</v>
      </c>
      <c r="DE418" s="1780">
        <v>0</v>
      </c>
      <c r="DF418" s="2355">
        <f t="shared" si="11"/>
        <v>52610377</v>
      </c>
      <c r="DG418" s="3908">
        <v>25783</v>
      </c>
      <c r="DH418" s="3908">
        <v>0</v>
      </c>
      <c r="DI418" s="3908">
        <v>0</v>
      </c>
      <c r="DJ418" s="3909">
        <v>0</v>
      </c>
      <c r="DK418" s="3910">
        <v>0</v>
      </c>
      <c r="DL418" s="3910">
        <v>20751</v>
      </c>
      <c r="DM418" s="1774">
        <v>0</v>
      </c>
      <c r="DN418" s="3910">
        <v>0</v>
      </c>
      <c r="DO418" s="3910">
        <v>0</v>
      </c>
      <c r="DP418" s="1774">
        <v>0</v>
      </c>
      <c r="DQ418" s="1775">
        <v>0</v>
      </c>
      <c r="DR418" s="1774">
        <v>0</v>
      </c>
      <c r="DS418" s="1775">
        <v>0</v>
      </c>
      <c r="DT418" s="1775">
        <v>0</v>
      </c>
      <c r="DU418" s="1774">
        <v>0</v>
      </c>
      <c r="DV418" s="1774">
        <v>0</v>
      </c>
      <c r="DW418" s="1774">
        <v>0</v>
      </c>
      <c r="DX418" s="1774">
        <v>0</v>
      </c>
      <c r="DY418" s="1774">
        <v>0</v>
      </c>
      <c r="DZ418" s="1775">
        <v>0</v>
      </c>
      <c r="EA418" s="1661">
        <f t="shared" si="12"/>
        <v>46534</v>
      </c>
      <c r="EB418" s="1774">
        <v>0</v>
      </c>
      <c r="EC418" s="1775">
        <v>0</v>
      </c>
      <c r="ED418" s="1774">
        <v>0</v>
      </c>
      <c r="EE418" s="1775">
        <v>0</v>
      </c>
      <c r="EF418" s="1775">
        <v>0</v>
      </c>
      <c r="EG418" s="1774">
        <v>0</v>
      </c>
      <c r="EH418" s="1774">
        <v>0</v>
      </c>
      <c r="EI418" s="1774">
        <v>0</v>
      </c>
      <c r="EJ418" s="1774">
        <v>0</v>
      </c>
      <c r="EK418" s="1773">
        <v>0</v>
      </c>
      <c r="EL418" s="1775">
        <v>0</v>
      </c>
      <c r="EM418" s="1663">
        <f t="shared" si="13"/>
        <v>0</v>
      </c>
      <c r="EN418" s="2354">
        <v>0</v>
      </c>
      <c r="EO418" s="2354">
        <v>0</v>
      </c>
      <c r="EP418" s="2354">
        <v>0</v>
      </c>
      <c r="EQ418" s="2354">
        <v>0</v>
      </c>
      <c r="ER418" s="2354">
        <v>0</v>
      </c>
      <c r="ES418" s="2354">
        <v>0</v>
      </c>
      <c r="ET418" s="2355">
        <f t="shared" si="14"/>
        <v>46534</v>
      </c>
      <c r="EU418" s="1775">
        <v>3611084</v>
      </c>
      <c r="EV418" s="1774">
        <v>37168340</v>
      </c>
      <c r="EW418" s="1774">
        <v>0</v>
      </c>
      <c r="EX418" s="1774">
        <v>0</v>
      </c>
      <c r="EY418" s="1775">
        <v>0</v>
      </c>
      <c r="EZ418" s="1775">
        <v>0</v>
      </c>
      <c r="FA418" s="1774">
        <v>0</v>
      </c>
      <c r="FB418" s="1774">
        <v>13425726</v>
      </c>
      <c r="FC418" s="1774">
        <v>-1641307</v>
      </c>
      <c r="FD418" s="2356">
        <f t="shared" si="18"/>
        <v>52563843</v>
      </c>
      <c r="FE418" s="3162" t="s">
        <v>150</v>
      </c>
    </row>
    <row r="419" spans="1:161" s="1863" customFormat="1">
      <c r="A419" s="1771" t="str">
        <f>'Contact Information'!A61</f>
        <v>PALM BEACH STATE COLLEGE</v>
      </c>
      <c r="B419" s="1775">
        <v>7742999</v>
      </c>
      <c r="C419" s="1775">
        <v>0</v>
      </c>
      <c r="D419" s="1774">
        <v>0</v>
      </c>
      <c r="E419" s="1774">
        <v>0</v>
      </c>
      <c r="F419" s="1775">
        <v>7056865</v>
      </c>
      <c r="G419" s="1775">
        <v>0</v>
      </c>
      <c r="H419" s="3122">
        <v>7381832</v>
      </c>
      <c r="I419" s="1775">
        <v>140581</v>
      </c>
      <c r="J419" s="1775">
        <v>0</v>
      </c>
      <c r="K419" s="1775">
        <v>349445</v>
      </c>
      <c r="L419" s="1775">
        <v>84744</v>
      </c>
      <c r="M419" s="1774">
        <v>0</v>
      </c>
      <c r="N419" s="2365">
        <f t="shared" si="15"/>
        <v>22756466</v>
      </c>
      <c r="O419" s="1775">
        <v>24096054</v>
      </c>
      <c r="P419" s="1775"/>
      <c r="Q419" s="1775">
        <v>0</v>
      </c>
      <c r="R419" s="3143">
        <v>0</v>
      </c>
      <c r="S419" s="1775">
        <v>223021518</v>
      </c>
      <c r="T419" s="1775">
        <v>10813951</v>
      </c>
      <c r="U419" s="3143">
        <v>0</v>
      </c>
      <c r="V419" s="1651">
        <f t="shared" si="16"/>
        <v>257931523</v>
      </c>
      <c r="W419" s="1772">
        <v>0</v>
      </c>
      <c r="X419" s="1772">
        <v>23231028</v>
      </c>
      <c r="Y419" s="1772">
        <v>6152403</v>
      </c>
      <c r="Z419" s="1772">
        <v>457393</v>
      </c>
      <c r="AA419" s="1772">
        <v>0</v>
      </c>
      <c r="AB419" s="1772">
        <v>0</v>
      </c>
      <c r="AC419" s="1775">
        <v>0</v>
      </c>
      <c r="AD419" s="2359">
        <f t="shared" si="19"/>
        <v>280687989</v>
      </c>
      <c r="AE419" s="1775">
        <v>815110</v>
      </c>
      <c r="AF419" s="1775">
        <v>0</v>
      </c>
      <c r="AG419" s="1775">
        <v>3038120</v>
      </c>
      <c r="AH419" s="1775">
        <v>0</v>
      </c>
      <c r="AI419" s="1775">
        <v>0</v>
      </c>
      <c r="AJ419" s="1775">
        <v>0</v>
      </c>
      <c r="AK419" s="1775">
        <v>46043</v>
      </c>
      <c r="AL419" s="1775">
        <v>0</v>
      </c>
      <c r="AM419" s="1775">
        <v>1087519</v>
      </c>
      <c r="AN419" s="1775">
        <v>1016000</v>
      </c>
      <c r="AO419" s="1775">
        <v>0</v>
      </c>
      <c r="AP419" s="1775">
        <v>0</v>
      </c>
      <c r="AQ419" s="1775">
        <v>0</v>
      </c>
      <c r="AR419" s="1776">
        <v>0</v>
      </c>
      <c r="AS419" s="1775">
        <v>0</v>
      </c>
      <c r="AT419" s="1775">
        <v>891634</v>
      </c>
      <c r="AU419" s="1775">
        <v>0</v>
      </c>
      <c r="AV419" s="1775">
        <v>405035</v>
      </c>
      <c r="AW419" s="1775">
        <v>54793</v>
      </c>
      <c r="AX419" s="1775"/>
      <c r="AY419" s="1651">
        <f t="shared" si="5"/>
        <v>7354254</v>
      </c>
      <c r="AZ419" s="1772">
        <v>10364000</v>
      </c>
      <c r="BA419" s="1772">
        <v>0</v>
      </c>
      <c r="BB419" s="1772">
        <v>0</v>
      </c>
      <c r="BC419" s="1772"/>
      <c r="BD419" s="1772"/>
      <c r="BE419" s="1772"/>
      <c r="BF419" s="1772">
        <v>8415598</v>
      </c>
      <c r="BG419" s="1772">
        <v>0</v>
      </c>
      <c r="BH419" s="1772">
        <v>75719289</v>
      </c>
      <c r="BI419" s="1772">
        <v>1318585</v>
      </c>
      <c r="BJ419" s="1772">
        <v>286478</v>
      </c>
      <c r="BK419" s="1651">
        <f t="shared" si="6"/>
        <v>96103950</v>
      </c>
      <c r="BL419" s="2359">
        <f t="shared" si="7"/>
        <v>103458204</v>
      </c>
      <c r="BM419" s="1772">
        <v>222455469</v>
      </c>
      <c r="BN419" s="1772">
        <v>0</v>
      </c>
      <c r="BO419" s="1772">
        <v>0</v>
      </c>
      <c r="BP419" s="1772">
        <v>1474421</v>
      </c>
      <c r="BQ419" s="1772"/>
      <c r="BR419" s="1772">
        <v>28380380</v>
      </c>
      <c r="BS419" s="1772">
        <v>0</v>
      </c>
      <c r="BT419" s="1772">
        <v>0</v>
      </c>
      <c r="BU419" s="1772">
        <v>-51065195</v>
      </c>
      <c r="BV419" s="1667">
        <f t="shared" si="17"/>
        <v>201245075</v>
      </c>
      <c r="BW419" s="2352">
        <v>0</v>
      </c>
      <c r="BX419" s="2352">
        <v>3407479</v>
      </c>
      <c r="BY419" s="2352">
        <v>1980312</v>
      </c>
      <c r="BZ419" s="2352">
        <v>437743</v>
      </c>
      <c r="CA419" s="2352">
        <v>0</v>
      </c>
      <c r="CB419" s="1780">
        <v>0</v>
      </c>
      <c r="CC419" s="2357">
        <f t="shared" si="8"/>
        <v>201245075</v>
      </c>
      <c r="CD419" s="1772">
        <v>3984250</v>
      </c>
      <c r="CE419" s="1772">
        <v>0</v>
      </c>
      <c r="CF419" s="1772">
        <v>0</v>
      </c>
      <c r="CG419" s="1772">
        <v>17390693</v>
      </c>
      <c r="CH419" s="1772">
        <v>1213134</v>
      </c>
      <c r="CI419" s="1772">
        <v>0</v>
      </c>
      <c r="CJ419" s="1772">
        <v>0</v>
      </c>
      <c r="CK419" s="1772">
        <v>0</v>
      </c>
      <c r="CL419" s="1772">
        <v>0</v>
      </c>
      <c r="CM419" s="1772">
        <v>75902</v>
      </c>
      <c r="CN419" s="1772">
        <v>0</v>
      </c>
      <c r="CO419" s="1772">
        <v>0</v>
      </c>
      <c r="CP419" s="1659">
        <f t="shared" si="9"/>
        <v>22663979</v>
      </c>
      <c r="CQ419" s="1772">
        <v>0</v>
      </c>
      <c r="CR419" s="1772">
        <v>19698917</v>
      </c>
      <c r="CS419" s="1772">
        <v>0</v>
      </c>
      <c r="CT419" s="1772">
        <v>0</v>
      </c>
      <c r="CU419" s="1772">
        <v>0</v>
      </c>
      <c r="CV419" s="1772">
        <v>0</v>
      </c>
      <c r="CW419" s="1772">
        <v>0</v>
      </c>
      <c r="CX419" s="1651">
        <f t="shared" si="10"/>
        <v>19698917</v>
      </c>
      <c r="CY419" s="1780">
        <v>0</v>
      </c>
      <c r="CZ419" s="1780">
        <v>0</v>
      </c>
      <c r="DA419" s="1780">
        <v>0</v>
      </c>
      <c r="DB419" s="1780">
        <v>0</v>
      </c>
      <c r="DC419" s="1780">
        <v>0</v>
      </c>
      <c r="DD419" s="1780">
        <v>0</v>
      </c>
      <c r="DE419" s="1780">
        <v>0</v>
      </c>
      <c r="DF419" s="2355">
        <f t="shared" si="11"/>
        <v>42362896</v>
      </c>
      <c r="DG419" s="3908">
        <v>406575</v>
      </c>
      <c r="DH419" s="3908">
        <v>0</v>
      </c>
      <c r="DI419" s="3908">
        <v>0</v>
      </c>
      <c r="DJ419" s="3909">
        <v>0</v>
      </c>
      <c r="DK419" s="3910">
        <v>0</v>
      </c>
      <c r="DL419" s="3910">
        <v>0</v>
      </c>
      <c r="DM419" s="1774">
        <v>36354</v>
      </c>
      <c r="DN419" s="3910">
        <v>0</v>
      </c>
      <c r="DO419" s="3910">
        <v>0</v>
      </c>
      <c r="DP419" s="1774">
        <v>0</v>
      </c>
      <c r="DQ419" s="1775">
        <v>0</v>
      </c>
      <c r="DR419" s="1774">
        <v>0</v>
      </c>
      <c r="DS419" s="1775">
        <v>0</v>
      </c>
      <c r="DT419" s="1775">
        <v>0</v>
      </c>
      <c r="DU419" s="1774">
        <v>0</v>
      </c>
      <c r="DV419" s="1774">
        <v>0</v>
      </c>
      <c r="DW419" s="1774">
        <v>0</v>
      </c>
      <c r="DX419" s="1774">
        <v>0</v>
      </c>
      <c r="DY419" s="1774">
        <v>0</v>
      </c>
      <c r="DZ419" s="1775">
        <v>65665</v>
      </c>
      <c r="EA419" s="1661">
        <f t="shared" si="12"/>
        <v>508594</v>
      </c>
      <c r="EB419" s="1774">
        <v>0</v>
      </c>
      <c r="EC419" s="1775">
        <v>0</v>
      </c>
      <c r="ED419" s="1774">
        <v>0</v>
      </c>
      <c r="EE419" s="1775">
        <v>0</v>
      </c>
      <c r="EF419" s="1775">
        <v>0</v>
      </c>
      <c r="EG419" s="1774">
        <v>0</v>
      </c>
      <c r="EH419" s="1774">
        <v>0</v>
      </c>
      <c r="EI419" s="1774">
        <v>0</v>
      </c>
      <c r="EJ419" s="1774">
        <v>0</v>
      </c>
      <c r="EK419" s="1773">
        <v>0</v>
      </c>
      <c r="EL419" s="1775">
        <v>781395</v>
      </c>
      <c r="EM419" s="1663">
        <f t="shared" si="13"/>
        <v>781395</v>
      </c>
      <c r="EN419" s="2354">
        <v>0</v>
      </c>
      <c r="EO419" s="2354">
        <v>0</v>
      </c>
      <c r="EP419" s="2354">
        <v>0</v>
      </c>
      <c r="EQ419" s="2354">
        <v>0</v>
      </c>
      <c r="ER419" s="2354">
        <v>0</v>
      </c>
      <c r="ES419" s="2354">
        <v>0</v>
      </c>
      <c r="ET419" s="2355">
        <f t="shared" si="14"/>
        <v>1289989</v>
      </c>
      <c r="EU419" s="1775">
        <v>0</v>
      </c>
      <c r="EV419" s="1774">
        <v>19698917</v>
      </c>
      <c r="EW419" s="1774">
        <v>0</v>
      </c>
      <c r="EX419" s="1774">
        <v>0</v>
      </c>
      <c r="EY419" s="1775">
        <v>17634495</v>
      </c>
      <c r="EZ419" s="1775">
        <v>0</v>
      </c>
      <c r="FA419" s="1774">
        <v>0</v>
      </c>
      <c r="FB419" s="1774">
        <v>0</v>
      </c>
      <c r="FC419" s="1774">
        <v>3739495</v>
      </c>
      <c r="FD419" s="2356">
        <f t="shared" si="18"/>
        <v>41072907</v>
      </c>
      <c r="FE419" s="3162" t="s">
        <v>152</v>
      </c>
    </row>
    <row r="420" spans="1:161" s="1863" customFormat="1">
      <c r="A420" s="1771" t="str">
        <f>'Contact Information'!A62</f>
        <v>PASCO-HERNANDO STATE COLLEGE</v>
      </c>
      <c r="B420" s="1775">
        <v>19389857</v>
      </c>
      <c r="C420" s="1775">
        <v>3796892</v>
      </c>
      <c r="D420" s="1774">
        <v>0</v>
      </c>
      <c r="E420" s="1774">
        <v>0</v>
      </c>
      <c r="F420" s="1775">
        <v>574536</v>
      </c>
      <c r="G420" s="1775">
        <v>0</v>
      </c>
      <c r="H420" s="3122">
        <v>8171302</v>
      </c>
      <c r="I420" s="1775">
        <v>176632</v>
      </c>
      <c r="J420" s="1775">
        <v>1021217</v>
      </c>
      <c r="K420" s="1775">
        <v>959757</v>
      </c>
      <c r="L420" s="1775">
        <v>19248</v>
      </c>
      <c r="M420" s="1774">
        <v>0</v>
      </c>
      <c r="N420" s="2365">
        <f t="shared" si="15"/>
        <v>34109441</v>
      </c>
      <c r="O420" s="1775">
        <v>17657438</v>
      </c>
      <c r="P420" s="1775">
        <v>0</v>
      </c>
      <c r="Q420" s="1775">
        <v>30823</v>
      </c>
      <c r="R420" s="3143">
        <v>0</v>
      </c>
      <c r="S420" s="1775">
        <v>131885274</v>
      </c>
      <c r="T420" s="1775">
        <v>19283240</v>
      </c>
      <c r="U420" s="3143">
        <v>177653</v>
      </c>
      <c r="V420" s="1651">
        <f t="shared" si="16"/>
        <v>169034428</v>
      </c>
      <c r="W420" s="1772">
        <v>0</v>
      </c>
      <c r="X420" s="1772">
        <v>8291904</v>
      </c>
      <c r="Y420" s="1772">
        <v>1894374</v>
      </c>
      <c r="Z420" s="1772">
        <v>88723</v>
      </c>
      <c r="AA420" s="1772">
        <v>0</v>
      </c>
      <c r="AB420" s="1772">
        <v>0</v>
      </c>
      <c r="AC420" s="1775">
        <v>0</v>
      </c>
      <c r="AD420" s="2359">
        <f t="shared" si="19"/>
        <v>203143869</v>
      </c>
      <c r="AE420" s="1775">
        <v>2086603</v>
      </c>
      <c r="AF420" s="1775">
        <v>0</v>
      </c>
      <c r="AG420" s="1775">
        <v>2945242</v>
      </c>
      <c r="AH420" s="1775">
        <v>878564</v>
      </c>
      <c r="AI420" s="1775">
        <v>27746</v>
      </c>
      <c r="AJ420" s="1775">
        <v>0</v>
      </c>
      <c r="AK420" s="1775">
        <v>634504</v>
      </c>
      <c r="AL420" s="1775">
        <v>0</v>
      </c>
      <c r="AM420" s="1775">
        <v>523611</v>
      </c>
      <c r="AN420" s="1775">
        <v>109000</v>
      </c>
      <c r="AO420" s="1775"/>
      <c r="AP420" s="1775">
        <v>0</v>
      </c>
      <c r="AQ420" s="1775">
        <v>0</v>
      </c>
      <c r="AR420" s="1776">
        <v>0</v>
      </c>
      <c r="AS420" s="1775">
        <v>0</v>
      </c>
      <c r="AT420" s="1775">
        <v>691448</v>
      </c>
      <c r="AU420" s="1775">
        <v>0</v>
      </c>
      <c r="AV420" s="1775">
        <v>141744</v>
      </c>
      <c r="AW420" s="1775">
        <v>8323</v>
      </c>
      <c r="AX420" s="1775">
        <v>0</v>
      </c>
      <c r="AY420" s="1651">
        <f t="shared" si="5"/>
        <v>8046785</v>
      </c>
      <c r="AZ420" s="1772">
        <v>1207000</v>
      </c>
      <c r="BA420" s="1772"/>
      <c r="BB420" s="1772">
        <v>0</v>
      </c>
      <c r="BC420" s="1772"/>
      <c r="BD420" s="1772">
        <v>0</v>
      </c>
      <c r="BE420" s="1772">
        <v>0</v>
      </c>
      <c r="BF420" s="1772">
        <v>3145551</v>
      </c>
      <c r="BG420" s="1772">
        <v>0</v>
      </c>
      <c r="BH420" s="1772">
        <v>27399160</v>
      </c>
      <c r="BI420" s="1772">
        <v>427173</v>
      </c>
      <c r="BJ420" s="1772">
        <v>0</v>
      </c>
      <c r="BK420" s="1651">
        <f t="shared" si="6"/>
        <v>32178884</v>
      </c>
      <c r="BL420" s="2359">
        <f t="shared" si="7"/>
        <v>40225669</v>
      </c>
      <c r="BM420" s="1772">
        <v>151168514</v>
      </c>
      <c r="BN420" s="1772">
        <v>0</v>
      </c>
      <c r="BO420" s="1772">
        <v>0</v>
      </c>
      <c r="BP420" s="1772">
        <v>293649</v>
      </c>
      <c r="BQ420" s="1772">
        <v>436136</v>
      </c>
      <c r="BR420" s="1772">
        <v>24077499</v>
      </c>
      <c r="BS420" s="1772">
        <v>30823</v>
      </c>
      <c r="BT420" s="1772">
        <v>0</v>
      </c>
      <c r="BU420" s="1772">
        <v>-5539262</v>
      </c>
      <c r="BV420" s="1667">
        <f t="shared" si="17"/>
        <v>170467359</v>
      </c>
      <c r="BW420" s="2352">
        <v>0</v>
      </c>
      <c r="BX420" s="2352">
        <v>1598841</v>
      </c>
      <c r="BY420" s="2352">
        <v>1106702</v>
      </c>
      <c r="BZ420" s="2352">
        <v>20299</v>
      </c>
      <c r="CA420" s="2352">
        <v>0</v>
      </c>
      <c r="CB420" s="1780">
        <v>0</v>
      </c>
      <c r="CC420" s="2357">
        <f t="shared" si="8"/>
        <v>170467359</v>
      </c>
      <c r="CD420" s="1772">
        <v>4193449</v>
      </c>
      <c r="CE420" s="1772">
        <v>0</v>
      </c>
      <c r="CF420" s="1772">
        <v>90708</v>
      </c>
      <c r="CG420" s="1772">
        <v>0</v>
      </c>
      <c r="CH420" s="1772">
        <v>0</v>
      </c>
      <c r="CI420" s="1772">
        <v>6875</v>
      </c>
      <c r="CJ420" s="1772">
        <v>33955</v>
      </c>
      <c r="CK420" s="1772">
        <v>0</v>
      </c>
      <c r="CL420" s="1772">
        <v>0</v>
      </c>
      <c r="CM420" s="1772">
        <v>9601</v>
      </c>
      <c r="CN420" s="1772">
        <v>0</v>
      </c>
      <c r="CO420" s="1772">
        <v>0</v>
      </c>
      <c r="CP420" s="1659">
        <f t="shared" si="9"/>
        <v>4334588</v>
      </c>
      <c r="CQ420" s="1772">
        <v>0</v>
      </c>
      <c r="CR420" s="1772">
        <v>10984048</v>
      </c>
      <c r="CS420" s="1772">
        <v>43855290</v>
      </c>
      <c r="CT420" s="1772">
        <v>1</v>
      </c>
      <c r="CU420" s="1772"/>
      <c r="CV420" s="1772">
        <v>288863</v>
      </c>
      <c r="CW420" s="1772">
        <v>371419</v>
      </c>
      <c r="CX420" s="1651">
        <f t="shared" si="10"/>
        <v>55499621</v>
      </c>
      <c r="CY420" s="1780">
        <v>0</v>
      </c>
      <c r="CZ420" s="1780">
        <v>0</v>
      </c>
      <c r="DA420" s="1780">
        <v>0</v>
      </c>
      <c r="DB420" s="1780">
        <v>0</v>
      </c>
      <c r="DC420" s="1780">
        <v>0</v>
      </c>
      <c r="DD420" s="1780">
        <v>0</v>
      </c>
      <c r="DE420" s="1780">
        <v>0</v>
      </c>
      <c r="DF420" s="2355">
        <f t="shared" si="11"/>
        <v>59834209</v>
      </c>
      <c r="DG420" s="3908">
        <v>53529</v>
      </c>
      <c r="DH420" s="3908">
        <v>0</v>
      </c>
      <c r="DI420" s="3908">
        <v>0</v>
      </c>
      <c r="DJ420" s="3909">
        <v>0</v>
      </c>
      <c r="DK420" s="3910">
        <v>0</v>
      </c>
      <c r="DL420" s="3910">
        <v>257811</v>
      </c>
      <c r="DM420" s="1774">
        <v>84269</v>
      </c>
      <c r="DN420" s="3910">
        <v>0</v>
      </c>
      <c r="DO420" s="3910">
        <v>371419</v>
      </c>
      <c r="DP420" s="1774">
        <v>0</v>
      </c>
      <c r="DQ420" s="1775">
        <v>0</v>
      </c>
      <c r="DR420" s="1774">
        <v>0</v>
      </c>
      <c r="DS420" s="1775">
        <v>0</v>
      </c>
      <c r="DT420" s="1775">
        <v>0</v>
      </c>
      <c r="DU420" s="1774">
        <v>0</v>
      </c>
      <c r="DV420" s="1774">
        <v>0</v>
      </c>
      <c r="DW420" s="1774">
        <v>0</v>
      </c>
      <c r="DX420" s="1774">
        <v>0</v>
      </c>
      <c r="DY420" s="1774">
        <v>0</v>
      </c>
      <c r="DZ420" s="1775">
        <v>0</v>
      </c>
      <c r="EA420" s="1661">
        <f t="shared" si="12"/>
        <v>767028</v>
      </c>
      <c r="EB420" s="1774">
        <v>0</v>
      </c>
      <c r="EC420" s="1775">
        <v>0</v>
      </c>
      <c r="ED420" s="1774">
        <v>0</v>
      </c>
      <c r="EE420" s="1775">
        <v>0</v>
      </c>
      <c r="EF420" s="1775">
        <v>0</v>
      </c>
      <c r="EG420" s="1774">
        <v>0</v>
      </c>
      <c r="EH420" s="1774">
        <v>0</v>
      </c>
      <c r="EI420" s="1774">
        <v>0</v>
      </c>
      <c r="EJ420" s="1774">
        <v>0</v>
      </c>
      <c r="EK420" s="1773">
        <v>0</v>
      </c>
      <c r="EL420" s="1775">
        <v>0</v>
      </c>
      <c r="EM420" s="1663">
        <f t="shared" si="13"/>
        <v>0</v>
      </c>
      <c r="EN420" s="2354">
        <v>0</v>
      </c>
      <c r="EO420" s="2354">
        <v>0</v>
      </c>
      <c r="EP420" s="2354">
        <v>0</v>
      </c>
      <c r="EQ420" s="2354">
        <v>0</v>
      </c>
      <c r="ER420" s="2354">
        <v>0</v>
      </c>
      <c r="ES420" s="2354">
        <v>0</v>
      </c>
      <c r="ET420" s="2355">
        <f t="shared" si="14"/>
        <v>767028</v>
      </c>
      <c r="EU420" s="1775"/>
      <c r="EV420" s="1774">
        <v>27262685</v>
      </c>
      <c r="EW420" s="1774">
        <v>0</v>
      </c>
      <c r="EX420" s="1774">
        <v>13248499</v>
      </c>
      <c r="EY420" s="1775">
        <v>16026761</v>
      </c>
      <c r="EZ420" s="1775">
        <v>0</v>
      </c>
      <c r="FA420" s="1774">
        <v>0</v>
      </c>
      <c r="FB420" s="1774">
        <v>0</v>
      </c>
      <c r="FC420" s="1774">
        <v>2529236</v>
      </c>
      <c r="FD420" s="2356">
        <f t="shared" si="18"/>
        <v>59067181</v>
      </c>
      <c r="FE420" s="3162" t="s">
        <v>154</v>
      </c>
    </row>
    <row r="421" spans="1:161" s="1863" customFormat="1">
      <c r="A421" s="1771" t="str">
        <f>'Contact Information'!A63</f>
        <v>PENSACOLA STATE COLLEGE</v>
      </c>
      <c r="B421" s="1775">
        <v>4859815</v>
      </c>
      <c r="C421" s="1775">
        <v>5398325</v>
      </c>
      <c r="D421" s="1774">
        <v>0</v>
      </c>
      <c r="E421" s="1774">
        <v>0</v>
      </c>
      <c r="F421" s="1775">
        <v>383847</v>
      </c>
      <c r="G421" s="1775">
        <v>77720</v>
      </c>
      <c r="H421" s="3122">
        <v>1737771</v>
      </c>
      <c r="I421" s="1775">
        <v>3983</v>
      </c>
      <c r="J421" s="1775">
        <v>0</v>
      </c>
      <c r="K421" s="1775">
        <v>724523</v>
      </c>
      <c r="L421" s="1775">
        <v>400</v>
      </c>
      <c r="M421" s="1774">
        <v>0</v>
      </c>
      <c r="N421" s="2365">
        <f t="shared" si="15"/>
        <v>13186384</v>
      </c>
      <c r="O421" s="1775">
        <v>15096717</v>
      </c>
      <c r="P421" s="1775">
        <v>0</v>
      </c>
      <c r="Q421" s="1775">
        <v>0</v>
      </c>
      <c r="R421" s="3143">
        <v>0</v>
      </c>
      <c r="S421" s="1775">
        <v>36053988</v>
      </c>
      <c r="T421" s="1775">
        <v>27035427</v>
      </c>
      <c r="U421" s="3143">
        <v>1715720</v>
      </c>
      <c r="V421" s="1651">
        <f t="shared" si="16"/>
        <v>79901852</v>
      </c>
      <c r="W421" s="1772">
        <v>0</v>
      </c>
      <c r="X421" s="1772">
        <v>8852044</v>
      </c>
      <c r="Y421" s="1772">
        <v>1476610</v>
      </c>
      <c r="Z421" s="1772">
        <v>293826</v>
      </c>
      <c r="AA421" s="1772">
        <v>0</v>
      </c>
      <c r="AB421" s="1772">
        <v>0</v>
      </c>
      <c r="AC421" s="1775">
        <v>0</v>
      </c>
      <c r="AD421" s="2359">
        <f t="shared" si="19"/>
        <v>93088236</v>
      </c>
      <c r="AE421" s="1775">
        <v>700667</v>
      </c>
      <c r="AF421" s="1775">
        <v>0</v>
      </c>
      <c r="AG421" s="1775">
        <v>2007568</v>
      </c>
      <c r="AH421" s="1775">
        <v>1011704</v>
      </c>
      <c r="AI421" s="3163"/>
      <c r="AJ421" s="1775">
        <v>0</v>
      </c>
      <c r="AK421" s="1775">
        <v>1696756</v>
      </c>
      <c r="AL421" s="1775">
        <v>0</v>
      </c>
      <c r="AM421" s="1775">
        <v>221392</v>
      </c>
      <c r="AN421" s="1775">
        <v>0</v>
      </c>
      <c r="AO421" s="1775">
        <v>0</v>
      </c>
      <c r="AP421" s="1775">
        <v>0</v>
      </c>
      <c r="AQ421" s="1775">
        <v>0</v>
      </c>
      <c r="AR421" s="1776">
        <v>0</v>
      </c>
      <c r="AS421" s="1775">
        <v>0</v>
      </c>
      <c r="AT421" s="1775">
        <v>445319</v>
      </c>
      <c r="AU421" s="1775">
        <v>0</v>
      </c>
      <c r="AV421" s="1775">
        <v>139303</v>
      </c>
      <c r="AW421" s="1775">
        <v>4936</v>
      </c>
      <c r="AX421" s="1775">
        <v>0</v>
      </c>
      <c r="AY421" s="1651">
        <f t="shared" si="5"/>
        <v>6227645</v>
      </c>
      <c r="AZ421" s="1772">
        <v>0</v>
      </c>
      <c r="BA421" s="1772">
        <v>0</v>
      </c>
      <c r="BB421" s="1772">
        <v>0</v>
      </c>
      <c r="BC421" s="1772">
        <v>0</v>
      </c>
      <c r="BD421" s="1772">
        <v>0</v>
      </c>
      <c r="BE421" s="1772">
        <v>0</v>
      </c>
      <c r="BF421" s="1772">
        <v>4833799</v>
      </c>
      <c r="BG421" s="1772">
        <v>0</v>
      </c>
      <c r="BH421" s="1772">
        <v>29229826</v>
      </c>
      <c r="BI421" s="1772">
        <v>1157149</v>
      </c>
      <c r="BJ421" s="1775">
        <v>0</v>
      </c>
      <c r="BK421" s="1651">
        <f>SUM(AZ421:BJ421)</f>
        <v>35220774</v>
      </c>
      <c r="BL421" s="2359">
        <f t="shared" si="7"/>
        <v>41448419</v>
      </c>
      <c r="BM421" s="1772">
        <v>63089415</v>
      </c>
      <c r="BN421" s="1772">
        <v>0</v>
      </c>
      <c r="BO421" s="1772">
        <v>0</v>
      </c>
      <c r="BP421" s="1772">
        <v>1829013</v>
      </c>
      <c r="BQ421" s="1772">
        <v>241737</v>
      </c>
      <c r="BR421" s="1772">
        <v>17388677</v>
      </c>
      <c r="BS421" s="1772"/>
      <c r="BT421" s="1772">
        <v>0</v>
      </c>
      <c r="BU421" s="1772">
        <v>-23793745</v>
      </c>
      <c r="BV421" s="1667">
        <f t="shared" si="17"/>
        <v>58755097</v>
      </c>
      <c r="BW421" s="2352">
        <v>0</v>
      </c>
      <c r="BX421" s="2352">
        <v>2031426</v>
      </c>
      <c r="BY421" s="2352">
        <v>1423745</v>
      </c>
      <c r="BZ421" s="2352">
        <v>52029</v>
      </c>
      <c r="CA421" s="2352">
        <v>0</v>
      </c>
      <c r="CB421" s="1780">
        <v>0</v>
      </c>
      <c r="CC421" s="2357">
        <f t="shared" si="8"/>
        <v>58755097</v>
      </c>
      <c r="CD421" s="1772">
        <v>1481211</v>
      </c>
      <c r="CE421" s="1772">
        <v>0</v>
      </c>
      <c r="CF421" s="1772">
        <v>17127700</v>
      </c>
      <c r="CG421" s="1772">
        <v>0</v>
      </c>
      <c r="CH421" s="1772">
        <v>195192</v>
      </c>
      <c r="CI421" s="1772">
        <v>0</v>
      </c>
      <c r="CJ421" s="1772">
        <v>0</v>
      </c>
      <c r="CK421" s="1772">
        <v>0</v>
      </c>
      <c r="CL421" s="1772">
        <v>0</v>
      </c>
      <c r="CM421" s="1772">
        <v>82956</v>
      </c>
      <c r="CN421" s="1772">
        <v>0</v>
      </c>
      <c r="CO421" s="1772">
        <v>25000</v>
      </c>
      <c r="CP421" s="1659">
        <f t="shared" si="9"/>
        <v>18912059</v>
      </c>
      <c r="CQ421" s="1772">
        <v>0</v>
      </c>
      <c r="CR421" s="1772">
        <v>13534280</v>
      </c>
      <c r="CS421" s="1772">
        <v>0</v>
      </c>
      <c r="CT421" s="1772"/>
      <c r="CU421" s="1772">
        <v>181431</v>
      </c>
      <c r="CV421" s="1772">
        <v>0</v>
      </c>
      <c r="CW421" s="1772">
        <v>780675</v>
      </c>
      <c r="CX421" s="1651">
        <f t="shared" si="10"/>
        <v>14496386</v>
      </c>
      <c r="CY421" s="1780">
        <v>0</v>
      </c>
      <c r="CZ421" s="1780">
        <v>0</v>
      </c>
      <c r="DA421" s="1780">
        <v>0</v>
      </c>
      <c r="DB421" s="1780">
        <v>0</v>
      </c>
      <c r="DC421" s="1780">
        <v>0</v>
      </c>
      <c r="DD421" s="1780">
        <v>0</v>
      </c>
      <c r="DE421" s="1780">
        <v>0</v>
      </c>
      <c r="DF421" s="2355">
        <f t="shared" si="11"/>
        <v>33408445</v>
      </c>
      <c r="DG421" s="3908">
        <v>91687</v>
      </c>
      <c r="DH421" s="3908">
        <v>0</v>
      </c>
      <c r="DI421" s="3908">
        <v>0</v>
      </c>
      <c r="DJ421" s="3909">
        <v>0</v>
      </c>
      <c r="DK421" s="3910">
        <v>0</v>
      </c>
      <c r="DL421" s="3910">
        <v>0</v>
      </c>
      <c r="DM421" s="1774">
        <v>151846</v>
      </c>
      <c r="DN421" s="3910">
        <v>0</v>
      </c>
      <c r="DO421" s="3910">
        <v>0</v>
      </c>
      <c r="DP421" s="1774">
        <v>0</v>
      </c>
      <c r="DQ421" s="1775">
        <v>0</v>
      </c>
      <c r="DR421" s="1774">
        <v>0</v>
      </c>
      <c r="DS421" s="1775">
        <v>0</v>
      </c>
      <c r="DT421" s="1775">
        <v>0</v>
      </c>
      <c r="DU421" s="1774">
        <v>0</v>
      </c>
      <c r="DV421" s="1774">
        <v>0</v>
      </c>
      <c r="DW421" s="1774">
        <v>0</v>
      </c>
      <c r="DX421" s="1774">
        <v>0</v>
      </c>
      <c r="DY421" s="1774">
        <v>0</v>
      </c>
      <c r="DZ421" s="1775">
        <v>0</v>
      </c>
      <c r="EA421" s="1661">
        <f t="shared" si="12"/>
        <v>243533</v>
      </c>
      <c r="EB421" s="1774"/>
      <c r="EC421" s="1775">
        <v>0</v>
      </c>
      <c r="ED421" s="1774">
        <v>0</v>
      </c>
      <c r="EE421" s="1775">
        <v>0</v>
      </c>
      <c r="EF421" s="1775">
        <v>0</v>
      </c>
      <c r="EG421" s="1774">
        <v>0</v>
      </c>
      <c r="EH421" s="1774">
        <v>0</v>
      </c>
      <c r="EI421" s="1774">
        <v>0</v>
      </c>
      <c r="EJ421" s="1774">
        <v>0</v>
      </c>
      <c r="EK421" s="1773">
        <v>0</v>
      </c>
      <c r="EL421" s="1775">
        <v>130953</v>
      </c>
      <c r="EM421" s="1663">
        <f t="shared" si="13"/>
        <v>130953</v>
      </c>
      <c r="EN421" s="2354">
        <v>0</v>
      </c>
      <c r="EO421" s="2354">
        <v>0</v>
      </c>
      <c r="EP421" s="2354">
        <v>0</v>
      </c>
      <c r="EQ421" s="2354">
        <v>0</v>
      </c>
      <c r="ER421" s="2354">
        <v>184088</v>
      </c>
      <c r="ES421" s="2354">
        <v>0</v>
      </c>
      <c r="ET421" s="2355">
        <f t="shared" si="14"/>
        <v>374486</v>
      </c>
      <c r="EU421" s="1775">
        <v>181431</v>
      </c>
      <c r="EV421" s="1774">
        <v>11275985</v>
      </c>
      <c r="EW421" s="1774">
        <v>1285935</v>
      </c>
      <c r="EX421" s="1774">
        <v>0</v>
      </c>
      <c r="EY421" s="1775">
        <v>0</v>
      </c>
      <c r="EZ421" s="1775">
        <v>0</v>
      </c>
      <c r="FA421" s="1774">
        <v>0</v>
      </c>
      <c r="FB421" s="1774">
        <v>17077339</v>
      </c>
      <c r="FC421" s="1774">
        <v>3029181</v>
      </c>
      <c r="FD421" s="2356">
        <f t="shared" si="18"/>
        <v>32849871</v>
      </c>
      <c r="FE421" s="3162" t="s">
        <v>156</v>
      </c>
    </row>
    <row r="422" spans="1:161" s="1863" customFormat="1">
      <c r="A422" s="1771" t="str">
        <f>'Contact Information'!A64</f>
        <v>POLK STATE COLLEGE</v>
      </c>
      <c r="B422" s="1775">
        <v>4152589</v>
      </c>
      <c r="C422" s="1775">
        <v>4494268</v>
      </c>
      <c r="D422" s="1774">
        <v>0</v>
      </c>
      <c r="E422" s="1774">
        <v>0</v>
      </c>
      <c r="F422" s="1775">
        <v>2762096</v>
      </c>
      <c r="G422" s="1775">
        <v>0</v>
      </c>
      <c r="H422" s="3122">
        <v>2792884</v>
      </c>
      <c r="I422" s="1775">
        <v>67226</v>
      </c>
      <c r="J422" s="1775">
        <v>0</v>
      </c>
      <c r="K422" s="1775">
        <v>0</v>
      </c>
      <c r="L422" s="1775">
        <v>0</v>
      </c>
      <c r="M422" s="1774">
        <v>118581</v>
      </c>
      <c r="N422" s="2365">
        <f t="shared" si="15"/>
        <v>14387644</v>
      </c>
      <c r="O422" s="1775">
        <v>1924011</v>
      </c>
      <c r="P422" s="1775">
        <v>0</v>
      </c>
      <c r="Q422" s="1775">
        <v>0</v>
      </c>
      <c r="R422" s="3143">
        <v>0</v>
      </c>
      <c r="S422" s="1775">
        <v>77389684</v>
      </c>
      <c r="T422" s="1775">
        <v>10866527</v>
      </c>
      <c r="U422" s="3143">
        <v>0</v>
      </c>
      <c r="V422" s="1651">
        <f t="shared" si="16"/>
        <v>90180222</v>
      </c>
      <c r="W422" s="1772">
        <v>0</v>
      </c>
      <c r="X422" s="1772">
        <v>8200487</v>
      </c>
      <c r="Y422" s="1772">
        <v>1761590</v>
      </c>
      <c r="Z422" s="1772">
        <v>113164</v>
      </c>
      <c r="AA422" s="1772">
        <v>0</v>
      </c>
      <c r="AB422" s="1772">
        <v>0</v>
      </c>
      <c r="AC422" s="1775">
        <v>0</v>
      </c>
      <c r="AD422" s="2359">
        <f t="shared" si="19"/>
        <v>104567866</v>
      </c>
      <c r="AE422" s="1775">
        <v>673329</v>
      </c>
      <c r="AF422" s="1775">
        <v>0</v>
      </c>
      <c r="AG422" s="1775">
        <v>2225153</v>
      </c>
      <c r="AH422" s="1775">
        <v>0</v>
      </c>
      <c r="AI422" s="1775">
        <v>0</v>
      </c>
      <c r="AJ422" s="1775">
        <v>0</v>
      </c>
      <c r="AK422" s="1775">
        <v>267072</v>
      </c>
      <c r="AL422" s="1775">
        <v>0</v>
      </c>
      <c r="AM422" s="1775">
        <v>489520</v>
      </c>
      <c r="AN422" s="1775"/>
      <c r="AO422" s="1775">
        <v>20000</v>
      </c>
      <c r="AP422" s="1775">
        <v>0</v>
      </c>
      <c r="AQ422" s="1775">
        <v>0</v>
      </c>
      <c r="AR422" s="1776">
        <v>0</v>
      </c>
      <c r="AS422" s="1775">
        <v>0</v>
      </c>
      <c r="AT422" s="1775">
        <v>125974</v>
      </c>
      <c r="AU422" s="1775">
        <v>0</v>
      </c>
      <c r="AV422" s="1775">
        <v>233087</v>
      </c>
      <c r="AW422" s="1775">
        <v>34587</v>
      </c>
      <c r="AX422" s="1775">
        <v>0</v>
      </c>
      <c r="AY422" s="1651">
        <f t="shared" si="5"/>
        <v>4068722</v>
      </c>
      <c r="AZ422" s="1772">
        <v>0</v>
      </c>
      <c r="BA422" s="1772">
        <v>63333</v>
      </c>
      <c r="BB422" s="1772">
        <v>0</v>
      </c>
      <c r="BC422" s="1772">
        <v>0</v>
      </c>
      <c r="BD422" s="1772">
        <v>0</v>
      </c>
      <c r="BE422" s="1772">
        <v>0</v>
      </c>
      <c r="BF422" s="1772">
        <v>4201990</v>
      </c>
      <c r="BG422" s="1772">
        <v>0</v>
      </c>
      <c r="BH422" s="1772">
        <v>27920907</v>
      </c>
      <c r="BI422" s="1772">
        <v>956355</v>
      </c>
      <c r="BJ422" s="1772">
        <v>0</v>
      </c>
      <c r="BK422" s="1651">
        <f t="shared" si="6"/>
        <v>33142585</v>
      </c>
      <c r="BL422" s="2359">
        <f t="shared" si="7"/>
        <v>37211307</v>
      </c>
      <c r="BM422" s="1772">
        <v>88256211</v>
      </c>
      <c r="BN422" s="1772">
        <v>0</v>
      </c>
      <c r="BO422" s="1772">
        <v>0</v>
      </c>
      <c r="BP422" s="1772">
        <v>4618290</v>
      </c>
      <c r="BQ422" s="1772">
        <v>1552035</v>
      </c>
      <c r="BR422" s="1772">
        <v>1960787</v>
      </c>
      <c r="BS422" s="1772">
        <v>0</v>
      </c>
      <c r="BT422" s="1772">
        <v>0</v>
      </c>
      <c r="BU422" s="1772">
        <v>-21492120</v>
      </c>
      <c r="BV422" s="1667">
        <f t="shared" si="17"/>
        <v>74895203</v>
      </c>
      <c r="BW422" s="2352">
        <v>0</v>
      </c>
      <c r="BX422" s="2352">
        <v>1570930</v>
      </c>
      <c r="BY422" s="2352">
        <v>887935</v>
      </c>
      <c r="BZ422" s="2352">
        <v>77732</v>
      </c>
      <c r="CA422" s="2352">
        <v>0</v>
      </c>
      <c r="CB422" s="1780">
        <v>0</v>
      </c>
      <c r="CC422" s="2357">
        <f t="shared" si="8"/>
        <v>74895203</v>
      </c>
      <c r="CD422" s="1772">
        <v>1945337</v>
      </c>
      <c r="CE422" s="1772">
        <v>0</v>
      </c>
      <c r="CF422" s="1772">
        <v>0</v>
      </c>
      <c r="CG422" s="1772">
        <v>0</v>
      </c>
      <c r="CH422" s="1772">
        <v>75944</v>
      </c>
      <c r="CI422" s="1772">
        <v>43153</v>
      </c>
      <c r="CJ422" s="1772">
        <v>0</v>
      </c>
      <c r="CK422" s="1772">
        <v>0</v>
      </c>
      <c r="CL422" s="1772">
        <v>0</v>
      </c>
      <c r="CM422" s="1772">
        <v>0</v>
      </c>
      <c r="CN422" s="1772">
        <v>0</v>
      </c>
      <c r="CO422" s="1772">
        <v>18547</v>
      </c>
      <c r="CP422" s="1659">
        <f t="shared" si="9"/>
        <v>2082981</v>
      </c>
      <c r="CQ422" s="1772"/>
      <c r="CR422" s="1772">
        <v>0</v>
      </c>
      <c r="CS422" s="1772">
        <v>34100945</v>
      </c>
      <c r="CT422" s="1772">
        <f>186133+80132</f>
        <v>266265</v>
      </c>
      <c r="CU422" s="1772">
        <v>0</v>
      </c>
      <c r="CV422" s="1772">
        <v>32782</v>
      </c>
      <c r="CW422" s="1772">
        <v>300000</v>
      </c>
      <c r="CX422" s="1651">
        <f t="shared" si="10"/>
        <v>34699992</v>
      </c>
      <c r="CY422" s="1780">
        <v>0</v>
      </c>
      <c r="CZ422" s="1780">
        <v>0</v>
      </c>
      <c r="DA422" s="1780">
        <v>0</v>
      </c>
      <c r="DB422" s="1780">
        <v>0</v>
      </c>
      <c r="DC422" s="1780">
        <v>0</v>
      </c>
      <c r="DD422" s="1780">
        <v>0</v>
      </c>
      <c r="DE422" s="1780">
        <v>0</v>
      </c>
      <c r="DF422" s="2355">
        <f t="shared" si="11"/>
        <v>36782973</v>
      </c>
      <c r="DG422" s="3908">
        <v>48224</v>
      </c>
      <c r="DH422" s="3908">
        <v>0</v>
      </c>
      <c r="DI422" s="3908">
        <v>0</v>
      </c>
      <c r="DJ422" s="3909">
        <v>0</v>
      </c>
      <c r="DK422" s="3910">
        <v>0</v>
      </c>
      <c r="DL422" s="3910">
        <v>0</v>
      </c>
      <c r="DM422" s="1774">
        <v>0</v>
      </c>
      <c r="DN422" s="3910">
        <v>0</v>
      </c>
      <c r="DO422" s="3910">
        <v>0</v>
      </c>
      <c r="DP422" s="1774">
        <v>0</v>
      </c>
      <c r="DQ422" s="1775">
        <v>0</v>
      </c>
      <c r="DR422" s="1774">
        <v>0</v>
      </c>
      <c r="DS422" s="1775">
        <v>0</v>
      </c>
      <c r="DT422" s="1775">
        <v>0</v>
      </c>
      <c r="DU422" s="1774">
        <v>0</v>
      </c>
      <c r="DV422" s="1774">
        <v>0</v>
      </c>
      <c r="DW422" s="1774">
        <v>0</v>
      </c>
      <c r="DX422" s="1774">
        <v>0</v>
      </c>
      <c r="DY422" s="1774">
        <v>0</v>
      </c>
      <c r="DZ422" s="1775">
        <v>0</v>
      </c>
      <c r="EA422" s="1661">
        <f t="shared" si="12"/>
        <v>48224</v>
      </c>
      <c r="EB422" s="1774">
        <v>0</v>
      </c>
      <c r="EC422" s="1775">
        <v>0</v>
      </c>
      <c r="ED422" s="1774">
        <v>0</v>
      </c>
      <c r="EE422" s="1775">
        <v>0</v>
      </c>
      <c r="EF422" s="1775">
        <v>0</v>
      </c>
      <c r="EG422" s="1774">
        <v>0</v>
      </c>
      <c r="EH422" s="1774">
        <v>0</v>
      </c>
      <c r="EI422" s="1774">
        <v>0</v>
      </c>
      <c r="EJ422" s="1774">
        <v>0</v>
      </c>
      <c r="EK422" s="1773">
        <v>0</v>
      </c>
      <c r="EL422" s="1775">
        <v>0</v>
      </c>
      <c r="EM422" s="1663">
        <f t="shared" si="13"/>
        <v>0</v>
      </c>
      <c r="EN422" s="2354">
        <v>0</v>
      </c>
      <c r="EO422" s="2354">
        <v>0</v>
      </c>
      <c r="EP422" s="2354">
        <v>0</v>
      </c>
      <c r="EQ422" s="2354">
        <v>0</v>
      </c>
      <c r="ER422" s="2354">
        <v>0</v>
      </c>
      <c r="ES422" s="2354">
        <v>0</v>
      </c>
      <c r="ET422" s="2355">
        <f t="shared" si="14"/>
        <v>48224</v>
      </c>
      <c r="EU422" s="1775">
        <v>32782</v>
      </c>
      <c r="EV422" s="1774">
        <v>18670604</v>
      </c>
      <c r="EW422" s="1774">
        <v>0</v>
      </c>
      <c r="EX422" s="1774">
        <v>1311000</v>
      </c>
      <c r="EY422" s="1775">
        <v>10841713</v>
      </c>
      <c r="EZ422" s="1775">
        <v>11625</v>
      </c>
      <c r="FA422" s="1774">
        <v>0</v>
      </c>
      <c r="FB422" s="1774">
        <v>4194904</v>
      </c>
      <c r="FC422" s="1774">
        <v>1672121</v>
      </c>
      <c r="FD422" s="2356">
        <f t="shared" si="18"/>
        <v>36734749</v>
      </c>
      <c r="FE422" s="3162" t="s">
        <v>158</v>
      </c>
    </row>
    <row r="423" spans="1:161" s="1863" customFormat="1">
      <c r="A423" s="1771" t="str">
        <f>'Contact Information'!A65</f>
        <v>SANTA FE COLLEGE</v>
      </c>
      <c r="B423" s="1775">
        <f>22662669+78232412</f>
        <v>100895081</v>
      </c>
      <c r="C423" s="1775">
        <v>3983360</v>
      </c>
      <c r="D423" s="1774">
        <f>783873+510768</f>
        <v>1294641</v>
      </c>
      <c r="E423" s="1774"/>
      <c r="F423" s="1775">
        <v>992572</v>
      </c>
      <c r="G423" s="1775">
        <v>0</v>
      </c>
      <c r="H423" s="3122">
        <v>13156599</v>
      </c>
      <c r="I423" s="1775">
        <v>8910</v>
      </c>
      <c r="J423" s="1775">
        <v>100955</v>
      </c>
      <c r="K423" s="1775">
        <v>153357</v>
      </c>
      <c r="L423" s="1775">
        <v>90956</v>
      </c>
      <c r="M423" s="1774"/>
      <c r="N423" s="2365">
        <f t="shared" si="15"/>
        <v>120676431</v>
      </c>
      <c r="O423" s="1775">
        <v>37839247</v>
      </c>
      <c r="P423" s="1775">
        <v>8327653</v>
      </c>
      <c r="Q423" s="1775">
        <v>17548967</v>
      </c>
      <c r="R423" s="3143">
        <v>0</v>
      </c>
      <c r="S423" s="1775">
        <v>71179105</v>
      </c>
      <c r="T423" s="1775">
        <v>9382574</v>
      </c>
      <c r="U423" s="3143">
        <v>2680289</v>
      </c>
      <c r="V423" s="1651">
        <f t="shared" si="16"/>
        <v>146957835</v>
      </c>
      <c r="W423" s="1772">
        <v>0</v>
      </c>
      <c r="X423" s="1772">
        <v>13197531</v>
      </c>
      <c r="Y423" s="1772">
        <v>2613956</v>
      </c>
      <c r="Z423" s="1772">
        <v>446723</v>
      </c>
      <c r="AA423" s="1772">
        <v>0</v>
      </c>
      <c r="AB423" s="1772">
        <v>0</v>
      </c>
      <c r="AC423" s="1775">
        <v>0</v>
      </c>
      <c r="AD423" s="2359">
        <f t="shared" si="19"/>
        <v>267634266</v>
      </c>
      <c r="AE423" s="1775">
        <v>1501514</v>
      </c>
      <c r="AF423" s="1775">
        <v>0</v>
      </c>
      <c r="AG423" s="1775">
        <v>4702434</v>
      </c>
      <c r="AH423" s="1775">
        <v>84747</v>
      </c>
      <c r="AI423" s="1775">
        <v>26712</v>
      </c>
      <c r="AJ423" s="1775">
        <v>0</v>
      </c>
      <c r="AK423" s="1775">
        <v>1345102</v>
      </c>
      <c r="AL423" s="1775">
        <v>0</v>
      </c>
      <c r="AM423" s="1775">
        <f>1644799+78743180</f>
        <v>80387979</v>
      </c>
      <c r="AN423" s="1775">
        <v>730000</v>
      </c>
      <c r="AO423" s="1775">
        <v>0</v>
      </c>
      <c r="AP423" s="1775">
        <v>0</v>
      </c>
      <c r="AQ423" s="1775">
        <v>0</v>
      </c>
      <c r="AR423" s="1776">
        <v>0</v>
      </c>
      <c r="AS423" s="1775">
        <v>0</v>
      </c>
      <c r="AT423" s="1775">
        <v>816558</v>
      </c>
      <c r="AU423" s="1775">
        <v>0</v>
      </c>
      <c r="AV423" s="1775">
        <v>213429</v>
      </c>
      <c r="AW423" s="1775">
        <v>92653</v>
      </c>
      <c r="AX423" s="1775">
        <v>0</v>
      </c>
      <c r="AY423" s="1651">
        <f t="shared" si="5"/>
        <v>89901128</v>
      </c>
      <c r="AZ423" s="1772">
        <v>5220000</v>
      </c>
      <c r="BA423" s="1772">
        <v>0</v>
      </c>
      <c r="BB423" s="1772">
        <v>0</v>
      </c>
      <c r="BC423" s="1772">
        <v>0</v>
      </c>
      <c r="BD423" s="1772">
        <v>0</v>
      </c>
      <c r="BE423" s="1772">
        <v>0</v>
      </c>
      <c r="BF423" s="1772">
        <v>9163488</v>
      </c>
      <c r="BG423" s="1772">
        <v>0</v>
      </c>
      <c r="BH423" s="1772">
        <v>43530965</v>
      </c>
      <c r="BI423" s="1772">
        <v>1650191</v>
      </c>
      <c r="BJ423" s="1772">
        <v>20229256</v>
      </c>
      <c r="BK423" s="1651">
        <f t="shared" si="6"/>
        <v>79793900</v>
      </c>
      <c r="BL423" s="2359">
        <f t="shared" si="7"/>
        <v>169695028</v>
      </c>
      <c r="BM423" s="1772">
        <v>74611679</v>
      </c>
      <c r="BN423" s="1772">
        <v>0</v>
      </c>
      <c r="BO423" s="1772">
        <v>0</v>
      </c>
      <c r="BP423" s="1772">
        <f>1449941+563036</f>
        <v>2012977</v>
      </c>
      <c r="BQ423" s="1772">
        <v>0</v>
      </c>
      <c r="BR423" s="1772">
        <v>49949392</v>
      </c>
      <c r="BS423" s="1772">
        <v>0</v>
      </c>
      <c r="BT423" s="1772">
        <v>0</v>
      </c>
      <c r="BU423" s="1772">
        <v>-16370254</v>
      </c>
      <c r="BV423" s="1667">
        <f t="shared" si="17"/>
        <v>110203794</v>
      </c>
      <c r="BW423" s="2352">
        <v>0</v>
      </c>
      <c r="BX423" s="2352">
        <v>2682332</v>
      </c>
      <c r="BY423" s="2352">
        <v>1258471</v>
      </c>
      <c r="BZ423" s="2352">
        <v>52851</v>
      </c>
      <c r="CA423" s="2352">
        <v>0</v>
      </c>
      <c r="CB423" s="1780">
        <v>0</v>
      </c>
      <c r="CC423" s="2357">
        <f t="shared" si="8"/>
        <v>110203794</v>
      </c>
      <c r="CD423" s="1772">
        <v>11067</v>
      </c>
      <c r="CE423" s="1772">
        <v>1060014</v>
      </c>
      <c r="CF423" s="1772">
        <v>316000</v>
      </c>
      <c r="CG423" s="1772">
        <v>20799569</v>
      </c>
      <c r="CH423" s="1772">
        <v>30598</v>
      </c>
      <c r="CI423" s="1772">
        <v>0</v>
      </c>
      <c r="CJ423" s="1772">
        <v>0</v>
      </c>
      <c r="CK423" s="1772">
        <v>0</v>
      </c>
      <c r="CL423" s="1772">
        <v>0</v>
      </c>
      <c r="CM423" s="1772">
        <v>0</v>
      </c>
      <c r="CN423" s="1772">
        <v>0</v>
      </c>
      <c r="CO423" s="1772">
        <v>0</v>
      </c>
      <c r="CP423" s="1659">
        <f t="shared" si="9"/>
        <v>22217248</v>
      </c>
      <c r="CQ423" s="1772">
        <v>0</v>
      </c>
      <c r="CR423" s="1772">
        <v>1218949</v>
      </c>
      <c r="CS423" s="1772">
        <f>7110869+19553828</f>
        <v>26664697</v>
      </c>
      <c r="CT423" s="1772">
        <v>0</v>
      </c>
      <c r="CU423" s="1772">
        <v>5193228</v>
      </c>
      <c r="CV423" s="1772">
        <v>3285027</v>
      </c>
      <c r="CW423" s="1772">
        <v>0</v>
      </c>
      <c r="CX423" s="1651">
        <f t="shared" si="10"/>
        <v>36361901</v>
      </c>
      <c r="CY423" s="1780">
        <v>0</v>
      </c>
      <c r="CZ423" s="1780">
        <v>0</v>
      </c>
      <c r="DA423" s="1780">
        <v>0</v>
      </c>
      <c r="DB423" s="1780">
        <v>0</v>
      </c>
      <c r="DC423" s="1780">
        <v>0</v>
      </c>
      <c r="DD423" s="1780">
        <v>0</v>
      </c>
      <c r="DE423" s="1780">
        <v>0</v>
      </c>
      <c r="DF423" s="2355">
        <f t="shared" si="11"/>
        <v>58579149</v>
      </c>
      <c r="DG423" s="3908">
        <v>8186</v>
      </c>
      <c r="DH423" s="3908">
        <v>0</v>
      </c>
      <c r="DI423" s="3908">
        <v>0</v>
      </c>
      <c r="DJ423" s="3909">
        <v>0</v>
      </c>
      <c r="DK423" s="3910">
        <v>0</v>
      </c>
      <c r="DL423" s="3910">
        <v>0</v>
      </c>
      <c r="DM423" s="1774">
        <v>0</v>
      </c>
      <c r="DN423" s="3910">
        <v>68221</v>
      </c>
      <c r="DO423" s="3910">
        <v>0</v>
      </c>
      <c r="DP423" s="1774">
        <v>0</v>
      </c>
      <c r="DQ423" s="1775">
        <v>0</v>
      </c>
      <c r="DR423" s="1774">
        <v>0</v>
      </c>
      <c r="DS423" s="1775">
        <v>0</v>
      </c>
      <c r="DT423" s="1775">
        <v>0</v>
      </c>
      <c r="DU423" s="1774">
        <v>0</v>
      </c>
      <c r="DV423" s="1774">
        <v>0</v>
      </c>
      <c r="DW423" s="1774">
        <v>0</v>
      </c>
      <c r="DX423" s="1774">
        <v>0</v>
      </c>
      <c r="DY423" s="1774">
        <v>0</v>
      </c>
      <c r="DZ423" s="1775"/>
      <c r="EA423" s="1661">
        <f t="shared" si="12"/>
        <v>76407</v>
      </c>
      <c r="EB423" s="1774">
        <v>0</v>
      </c>
      <c r="EC423" s="1775">
        <v>0</v>
      </c>
      <c r="ED423" s="1774">
        <v>0</v>
      </c>
      <c r="EE423" s="1775">
        <v>0</v>
      </c>
      <c r="EF423" s="1775">
        <v>0</v>
      </c>
      <c r="EG423" s="1774">
        <v>0</v>
      </c>
      <c r="EH423" s="1774">
        <v>0</v>
      </c>
      <c r="EI423" s="1774">
        <v>0</v>
      </c>
      <c r="EJ423" s="1774">
        <v>0</v>
      </c>
      <c r="EK423" s="1773">
        <v>0</v>
      </c>
      <c r="EL423" s="1775">
        <v>341622</v>
      </c>
      <c r="EM423" s="1663">
        <f t="shared" si="13"/>
        <v>341622</v>
      </c>
      <c r="EN423" s="2354">
        <v>0</v>
      </c>
      <c r="EO423" s="2354">
        <v>0</v>
      </c>
      <c r="EP423" s="2354">
        <v>0</v>
      </c>
      <c r="EQ423" s="2354">
        <v>0</v>
      </c>
      <c r="ER423" s="2354"/>
      <c r="ES423" s="2354">
        <v>0</v>
      </c>
      <c r="ET423" s="2355">
        <f t="shared" si="14"/>
        <v>418029</v>
      </c>
      <c r="EU423" s="1775">
        <v>8478255</v>
      </c>
      <c r="EV423" s="1774">
        <v>33602844</v>
      </c>
      <c r="EW423" s="1774">
        <v>0</v>
      </c>
      <c r="EX423" s="1774">
        <v>0</v>
      </c>
      <c r="EY423" s="1775">
        <v>4107515</v>
      </c>
      <c r="EZ423" s="1775">
        <v>0</v>
      </c>
      <c r="FA423" s="1774">
        <v>0</v>
      </c>
      <c r="FB423" s="1774">
        <v>9736763</v>
      </c>
      <c r="FC423" s="1774">
        <v>1550178</v>
      </c>
      <c r="FD423" s="2356">
        <f>SUM(EU423:FC423)</f>
        <v>57475555</v>
      </c>
      <c r="FE423" s="3162" t="s">
        <v>160</v>
      </c>
    </row>
    <row r="424" spans="1:161" s="1863" customFormat="1">
      <c r="A424" s="1771" t="str">
        <f>'Contact Information'!A66</f>
        <v>SEMINOLE STATE COLLEGE OF FLORIDA</v>
      </c>
      <c r="B424" s="1775">
        <v>12691600</v>
      </c>
      <c r="C424" s="1775">
        <v>2818037</v>
      </c>
      <c r="D424" s="1774">
        <v>0</v>
      </c>
      <c r="E424" s="1774">
        <v>0</v>
      </c>
      <c r="F424" s="1775">
        <v>6298668</v>
      </c>
      <c r="G424" s="1775">
        <v>0</v>
      </c>
      <c r="H424" s="3122">
        <v>782342</v>
      </c>
      <c r="I424" s="1775">
        <v>350928</v>
      </c>
      <c r="J424" s="1775">
        <v>0</v>
      </c>
      <c r="K424" s="1775">
        <v>205525</v>
      </c>
      <c r="L424" s="1775">
        <v>16061</v>
      </c>
      <c r="M424" s="1774">
        <v>0</v>
      </c>
      <c r="N424" s="2365">
        <f t="shared" si="15"/>
        <v>23163161</v>
      </c>
      <c r="O424" s="1775">
        <v>12732840</v>
      </c>
      <c r="P424" s="1775">
        <v>0</v>
      </c>
      <c r="Q424" s="1775">
        <v>13153</v>
      </c>
      <c r="R424" s="3143">
        <v>0</v>
      </c>
      <c r="S424" s="1775">
        <v>164227417</v>
      </c>
      <c r="T424" s="1775">
        <v>36450128</v>
      </c>
      <c r="U424" s="3143">
        <v>24277</v>
      </c>
      <c r="V424" s="1651">
        <f t="shared" si="16"/>
        <v>213447815</v>
      </c>
      <c r="W424" s="1772">
        <v>0</v>
      </c>
      <c r="X424" s="1772">
        <v>13570135</v>
      </c>
      <c r="Y424" s="1772">
        <v>3120483</v>
      </c>
      <c r="Z424" s="1772">
        <v>44112</v>
      </c>
      <c r="AA424" s="1772">
        <v>0</v>
      </c>
      <c r="AB424" s="1772">
        <v>0</v>
      </c>
      <c r="AC424" s="1775">
        <v>0</v>
      </c>
      <c r="AD424" s="2359">
        <f t="shared" si="19"/>
        <v>236610976</v>
      </c>
      <c r="AE424" s="1775">
        <v>2025989</v>
      </c>
      <c r="AF424" s="1775">
        <v>282</v>
      </c>
      <c r="AG424" s="1775">
        <v>1572937</v>
      </c>
      <c r="AH424" s="1775">
        <v>296518</v>
      </c>
      <c r="AI424" s="1775">
        <v>0</v>
      </c>
      <c r="AJ424" s="1775">
        <v>0</v>
      </c>
      <c r="AK424" s="1775">
        <v>4636086</v>
      </c>
      <c r="AL424" s="1775">
        <v>0</v>
      </c>
      <c r="AM424" s="1775">
        <v>127784</v>
      </c>
      <c r="AN424" s="1775">
        <v>352000</v>
      </c>
      <c r="AO424" s="1775">
        <v>0</v>
      </c>
      <c r="AP424" s="1775">
        <v>0</v>
      </c>
      <c r="AQ424" s="1775">
        <v>294267</v>
      </c>
      <c r="AR424" s="1776">
        <v>0</v>
      </c>
      <c r="AS424" s="1775">
        <v>0</v>
      </c>
      <c r="AT424" s="1775">
        <v>166923</v>
      </c>
      <c r="AU424" s="1775">
        <v>0</v>
      </c>
      <c r="AV424" s="1775">
        <v>240261</v>
      </c>
      <c r="AW424" s="1775">
        <v>44112</v>
      </c>
      <c r="AX424" s="1775">
        <v>0</v>
      </c>
      <c r="AY424" s="1651">
        <f t="shared" si="5"/>
        <v>9757159</v>
      </c>
      <c r="AZ424" s="1772">
        <v>2188000</v>
      </c>
      <c r="BA424" s="1772">
        <v>0</v>
      </c>
      <c r="BB424" s="1772">
        <v>0</v>
      </c>
      <c r="BC424" s="1772">
        <v>1115687</v>
      </c>
      <c r="BD424" s="1772">
        <v>0</v>
      </c>
      <c r="BE424" s="1772">
        <v>0</v>
      </c>
      <c r="BF424" s="1772">
        <v>6840252</v>
      </c>
      <c r="BG424" s="1772">
        <v>0</v>
      </c>
      <c r="BH424" s="1772">
        <v>46594329</v>
      </c>
      <c r="BI424" s="1772">
        <v>1912974</v>
      </c>
      <c r="BJ424" s="1772">
        <v>0</v>
      </c>
      <c r="BK424" s="1651">
        <f t="shared" si="6"/>
        <v>58651242</v>
      </c>
      <c r="BL424" s="2359">
        <f t="shared" si="7"/>
        <v>68408401</v>
      </c>
      <c r="BM424" s="1772">
        <v>196727591</v>
      </c>
      <c r="BN424" s="1772">
        <v>0</v>
      </c>
      <c r="BO424" s="1772">
        <v>0</v>
      </c>
      <c r="BP424" s="1772">
        <v>736936</v>
      </c>
      <c r="BQ424" s="1772">
        <v>694946</v>
      </c>
      <c r="BR424" s="1772">
        <v>12778319</v>
      </c>
      <c r="BS424" s="1772">
        <v>12871</v>
      </c>
      <c r="BT424" s="1772">
        <v>0</v>
      </c>
      <c r="BU424" s="1772">
        <v>-30433450</v>
      </c>
      <c r="BV424" s="1667">
        <f t="shared" si="17"/>
        <v>180517213</v>
      </c>
      <c r="BW424" s="2352">
        <v>0</v>
      </c>
      <c r="BX424" s="2352">
        <v>2314912</v>
      </c>
      <c r="BY424" s="2352">
        <v>1496828</v>
      </c>
      <c r="BZ424" s="2352">
        <v>608352</v>
      </c>
      <c r="CA424" s="2352">
        <v>0</v>
      </c>
      <c r="CB424" s="1780">
        <v>0</v>
      </c>
      <c r="CC424" s="2357">
        <f t="shared" si="8"/>
        <v>180517213</v>
      </c>
      <c r="CD424" s="1772">
        <v>708607</v>
      </c>
      <c r="CE424" s="1772">
        <v>1676586</v>
      </c>
      <c r="CF424" s="1772">
        <v>0</v>
      </c>
      <c r="CG424" s="1772">
        <v>0</v>
      </c>
      <c r="CH424" s="1772">
        <v>825731</v>
      </c>
      <c r="CI424" s="1772">
        <v>0</v>
      </c>
      <c r="CJ424" s="1772">
        <v>0</v>
      </c>
      <c r="CK424" s="1772"/>
      <c r="CL424" s="1772">
        <v>0</v>
      </c>
      <c r="CM424" s="1772">
        <v>0</v>
      </c>
      <c r="CN424" s="1772">
        <v>0</v>
      </c>
      <c r="CO424" s="1772">
        <v>0</v>
      </c>
      <c r="CP424" s="1659">
        <f t="shared" si="9"/>
        <v>3210924</v>
      </c>
      <c r="CQ424" s="1772">
        <v>0</v>
      </c>
      <c r="CR424" s="1772">
        <v>1895767</v>
      </c>
      <c r="CS424" s="1772">
        <v>20893897</v>
      </c>
      <c r="CT424" s="1772">
        <v>0</v>
      </c>
      <c r="CU424" s="1772">
        <v>1777004</v>
      </c>
      <c r="CV424" s="1772">
        <v>3328049</v>
      </c>
      <c r="CW424" s="1772">
        <v>1462229</v>
      </c>
      <c r="CX424" s="1651">
        <f t="shared" si="10"/>
        <v>29356946</v>
      </c>
      <c r="CY424" s="1780">
        <v>0</v>
      </c>
      <c r="CZ424" s="1780">
        <v>0</v>
      </c>
      <c r="DA424" s="1780">
        <v>0</v>
      </c>
      <c r="DB424" s="1780">
        <v>0</v>
      </c>
      <c r="DC424" s="1780">
        <v>0</v>
      </c>
      <c r="DD424" s="1780">
        <v>0</v>
      </c>
      <c r="DE424" s="1780">
        <v>0</v>
      </c>
      <c r="DF424" s="2355">
        <f t="shared" si="11"/>
        <v>32567870</v>
      </c>
      <c r="DG424" s="3908">
        <v>46521</v>
      </c>
      <c r="DH424" s="3908">
        <v>0</v>
      </c>
      <c r="DI424" s="3908">
        <v>0</v>
      </c>
      <c r="DJ424" s="3909">
        <v>0</v>
      </c>
      <c r="DK424" s="3910">
        <v>0</v>
      </c>
      <c r="DL424" s="3910">
        <v>350928</v>
      </c>
      <c r="DM424" s="1774">
        <v>0</v>
      </c>
      <c r="DN424" s="3910">
        <v>0</v>
      </c>
      <c r="DO424" s="3910">
        <v>19360</v>
      </c>
      <c r="DP424" s="1774">
        <v>0</v>
      </c>
      <c r="DQ424" s="1775">
        <v>0</v>
      </c>
      <c r="DR424" s="1774">
        <v>0</v>
      </c>
      <c r="DS424" s="1775">
        <v>0</v>
      </c>
      <c r="DT424" s="1775">
        <v>0</v>
      </c>
      <c r="DU424" s="1774">
        <v>0</v>
      </c>
      <c r="DV424" s="1774">
        <v>0</v>
      </c>
      <c r="DW424" s="1774">
        <v>0</v>
      </c>
      <c r="DX424" s="1774">
        <v>0</v>
      </c>
      <c r="DY424" s="1774">
        <v>0</v>
      </c>
      <c r="DZ424" s="1775">
        <v>0</v>
      </c>
      <c r="EA424" s="1661">
        <f t="shared" si="12"/>
        <v>416809</v>
      </c>
      <c r="EB424" s="1774">
        <v>0</v>
      </c>
      <c r="EC424" s="1775"/>
      <c r="ED424" s="1774">
        <v>0</v>
      </c>
      <c r="EE424" s="1775">
        <v>0</v>
      </c>
      <c r="EF424" s="1775">
        <v>0</v>
      </c>
      <c r="EG424" s="1774">
        <v>0</v>
      </c>
      <c r="EH424" s="1774">
        <v>0</v>
      </c>
      <c r="EI424" s="1774">
        <v>0</v>
      </c>
      <c r="EJ424" s="1774">
        <v>0</v>
      </c>
      <c r="EK424" s="1773">
        <v>0</v>
      </c>
      <c r="EL424" s="1775">
        <v>0</v>
      </c>
      <c r="EM424" s="1663">
        <f t="shared" si="13"/>
        <v>0</v>
      </c>
      <c r="EN424" s="2354">
        <v>0</v>
      </c>
      <c r="EO424" s="2354">
        <v>0</v>
      </c>
      <c r="EP424" s="2354">
        <v>0</v>
      </c>
      <c r="EQ424" s="2354">
        <v>0</v>
      </c>
      <c r="ER424" s="2354">
        <v>0</v>
      </c>
      <c r="ES424" s="2354">
        <v>0</v>
      </c>
      <c r="ET424" s="2355">
        <f t="shared" si="14"/>
        <v>416809</v>
      </c>
      <c r="EU424" s="1775">
        <v>5105053</v>
      </c>
      <c r="EV424" s="1774">
        <v>12320918</v>
      </c>
      <c r="EW424" s="1774">
        <v>0</v>
      </c>
      <c r="EX424" s="1774">
        <v>0</v>
      </c>
      <c r="EY424" s="1775">
        <v>12253539</v>
      </c>
      <c r="EZ424" s="1775">
        <v>0</v>
      </c>
      <c r="FA424" s="1774">
        <v>0</v>
      </c>
      <c r="FB424" s="1774">
        <v>0</v>
      </c>
      <c r="FC424" s="1774">
        <v>2471551</v>
      </c>
      <c r="FD424" s="2356">
        <f t="shared" si="18"/>
        <v>32151061</v>
      </c>
      <c r="FE424" s="3162" t="s">
        <v>162</v>
      </c>
    </row>
    <row r="425" spans="1:161" s="1863" customFormat="1">
      <c r="A425" s="1771" t="str">
        <f>'Contact Information'!A67</f>
        <v>SOUTH FLORIDA STATE COLLEGE</v>
      </c>
      <c r="B425" s="1775">
        <v>4173879</v>
      </c>
      <c r="C425" s="1775">
        <v>2751119</v>
      </c>
      <c r="D425" s="1774">
        <v>0</v>
      </c>
      <c r="E425" s="1774">
        <v>0</v>
      </c>
      <c r="F425" s="1775">
        <v>459852</v>
      </c>
      <c r="G425" s="1775">
        <v>0</v>
      </c>
      <c r="H425" s="3122">
        <v>477373</v>
      </c>
      <c r="I425" s="1775">
        <v>124415</v>
      </c>
      <c r="J425" s="1775">
        <v>48097</v>
      </c>
      <c r="K425" s="1775">
        <v>387435</v>
      </c>
      <c r="L425" s="1775">
        <v>27996</v>
      </c>
      <c r="M425" s="1774">
        <v>0</v>
      </c>
      <c r="N425" s="2365">
        <f t="shared" si="15"/>
        <v>8450166</v>
      </c>
      <c r="O425" s="1775">
        <v>4004216</v>
      </c>
      <c r="P425" s="1775">
        <v>0</v>
      </c>
      <c r="Q425" s="1775">
        <v>0</v>
      </c>
      <c r="R425" s="3143">
        <v>0</v>
      </c>
      <c r="S425" s="1775">
        <v>48505467</v>
      </c>
      <c r="T425" s="1775">
        <v>3624423</v>
      </c>
      <c r="U425" s="3143">
        <v>0</v>
      </c>
      <c r="V425" s="1651">
        <f t="shared" si="16"/>
        <v>56134106</v>
      </c>
      <c r="W425" s="1772">
        <v>0</v>
      </c>
      <c r="X425" s="1772">
        <v>4437927</v>
      </c>
      <c r="Y425" s="1772">
        <v>767311</v>
      </c>
      <c r="Z425" s="1772">
        <v>29557</v>
      </c>
      <c r="AA425" s="1772">
        <v>0</v>
      </c>
      <c r="AB425" s="1772">
        <v>0</v>
      </c>
      <c r="AC425" s="1775">
        <v>0</v>
      </c>
      <c r="AD425" s="2359">
        <f t="shared" si="19"/>
        <v>64584272</v>
      </c>
      <c r="AE425" s="1775">
        <v>273635</v>
      </c>
      <c r="AF425" s="1775"/>
      <c r="AG425" s="1775">
        <v>993841</v>
      </c>
      <c r="AH425" s="1775">
        <v>0</v>
      </c>
      <c r="AI425" s="1775">
        <v>422</v>
      </c>
      <c r="AJ425" s="1775">
        <v>0</v>
      </c>
      <c r="AK425" s="1775">
        <v>1597967</v>
      </c>
      <c r="AL425" s="1775">
        <v>0</v>
      </c>
      <c r="AM425" s="1775">
        <v>247688</v>
      </c>
      <c r="AN425" s="1775">
        <v>0</v>
      </c>
      <c r="AO425" s="1775">
        <v>0</v>
      </c>
      <c r="AP425" s="1775">
        <v>0</v>
      </c>
      <c r="AQ425" s="1775">
        <v>0</v>
      </c>
      <c r="AR425" s="1776">
        <v>0</v>
      </c>
      <c r="AS425" s="1775">
        <v>0</v>
      </c>
      <c r="AT425" s="1775">
        <v>227213</v>
      </c>
      <c r="AU425" s="1775">
        <v>0</v>
      </c>
      <c r="AV425" s="1775">
        <v>73738</v>
      </c>
      <c r="AW425" s="1775">
        <v>27327</v>
      </c>
      <c r="AX425" s="1775">
        <v>0</v>
      </c>
      <c r="AY425" s="1651">
        <f t="shared" si="5"/>
        <v>3441831</v>
      </c>
      <c r="AZ425" s="1772">
        <v>0</v>
      </c>
      <c r="BA425" s="1772">
        <v>0</v>
      </c>
      <c r="BB425" s="1772">
        <v>0</v>
      </c>
      <c r="BC425" s="1772">
        <v>0</v>
      </c>
      <c r="BD425" s="1772">
        <v>0</v>
      </c>
      <c r="BE425" s="1772">
        <v>0</v>
      </c>
      <c r="BF425" s="1772">
        <v>2415824</v>
      </c>
      <c r="BG425" s="1772">
        <v>0</v>
      </c>
      <c r="BH425" s="1772">
        <v>14821846</v>
      </c>
      <c r="BI425" s="1772">
        <v>143069</v>
      </c>
      <c r="BJ425" s="1772">
        <v>0</v>
      </c>
      <c r="BK425" s="1651">
        <f t="shared" si="6"/>
        <v>17380739</v>
      </c>
      <c r="BL425" s="2359">
        <f t="shared" si="7"/>
        <v>20822570</v>
      </c>
      <c r="BM425" s="1772">
        <v>52129890</v>
      </c>
      <c r="BN425" s="1772">
        <v>0</v>
      </c>
      <c r="BO425" s="1772">
        <v>0</v>
      </c>
      <c r="BP425" s="1772">
        <v>242852</v>
      </c>
      <c r="BQ425" s="1772">
        <v>229356</v>
      </c>
      <c r="BR425" s="1772">
        <v>4139630</v>
      </c>
      <c r="BS425" s="1772">
        <v>0</v>
      </c>
      <c r="BT425" s="1772">
        <v>0</v>
      </c>
      <c r="BU425" s="1772">
        <v>-9578491</v>
      </c>
      <c r="BV425" s="1667">
        <f t="shared" si="17"/>
        <v>47163237</v>
      </c>
      <c r="BW425" s="2352">
        <v>0</v>
      </c>
      <c r="BX425" s="2352">
        <v>1161273</v>
      </c>
      <c r="BY425" s="2352">
        <v>599399</v>
      </c>
      <c r="BZ425" s="2352">
        <v>72588</v>
      </c>
      <c r="CA425" s="2352">
        <v>0</v>
      </c>
      <c r="CB425" s="1780">
        <v>0</v>
      </c>
      <c r="CC425" s="2357">
        <f t="shared" si="8"/>
        <v>47163237</v>
      </c>
      <c r="CD425" s="1772">
        <v>786867</v>
      </c>
      <c r="CE425" s="1772">
        <v>0</v>
      </c>
      <c r="CF425" s="1772">
        <v>1437768</v>
      </c>
      <c r="CG425" s="1772">
        <v>0</v>
      </c>
      <c r="CH425" s="1772">
        <v>35037</v>
      </c>
      <c r="CI425" s="1772">
        <v>0</v>
      </c>
      <c r="CJ425" s="1772">
        <v>0</v>
      </c>
      <c r="CK425" s="1772">
        <v>0</v>
      </c>
      <c r="CL425" s="1772">
        <v>0</v>
      </c>
      <c r="CM425" s="1772">
        <v>51991</v>
      </c>
      <c r="CN425" s="1772">
        <v>0</v>
      </c>
      <c r="CO425" s="1772">
        <v>0</v>
      </c>
      <c r="CP425" s="1659">
        <f t="shared" si="9"/>
        <v>2311663</v>
      </c>
      <c r="CQ425" s="1772">
        <v>596070</v>
      </c>
      <c r="CR425" s="1772">
        <v>0</v>
      </c>
      <c r="CS425" s="1772">
        <v>12334026</v>
      </c>
      <c r="CT425" s="1772">
        <v>100050</v>
      </c>
      <c r="CU425" s="1772">
        <v>653964</v>
      </c>
      <c r="CV425" s="1772">
        <v>303220</v>
      </c>
      <c r="CW425" s="1772">
        <v>0</v>
      </c>
      <c r="CX425" s="1651">
        <f t="shared" si="10"/>
        <v>13987330</v>
      </c>
      <c r="CY425" s="1780">
        <v>0</v>
      </c>
      <c r="CZ425" s="1780">
        <v>0</v>
      </c>
      <c r="DA425" s="1780">
        <v>0</v>
      </c>
      <c r="DB425" s="1780">
        <v>0</v>
      </c>
      <c r="DC425" s="1780">
        <v>0</v>
      </c>
      <c r="DD425" s="1780">
        <v>0</v>
      </c>
      <c r="DE425" s="1780">
        <v>0</v>
      </c>
      <c r="DF425" s="2355">
        <f t="shared" si="11"/>
        <v>16298993</v>
      </c>
      <c r="DG425" s="3908">
        <v>174911</v>
      </c>
      <c r="DH425" s="3908">
        <v>0</v>
      </c>
      <c r="DI425" s="3908">
        <v>0</v>
      </c>
      <c r="DJ425" s="3909">
        <v>0</v>
      </c>
      <c r="DK425" s="3910">
        <v>0</v>
      </c>
      <c r="DL425" s="3910">
        <v>0</v>
      </c>
      <c r="DM425" s="1774">
        <v>469817</v>
      </c>
      <c r="DN425" s="3910">
        <v>0</v>
      </c>
      <c r="DO425" s="3910"/>
      <c r="DP425" s="1774">
        <v>0</v>
      </c>
      <c r="DQ425" s="1775">
        <v>0</v>
      </c>
      <c r="DR425" s="1774">
        <v>0</v>
      </c>
      <c r="DS425" s="1775">
        <v>0</v>
      </c>
      <c r="DT425" s="1775">
        <v>0</v>
      </c>
      <c r="DU425" s="1774">
        <v>0</v>
      </c>
      <c r="DV425" s="1774">
        <v>0</v>
      </c>
      <c r="DW425" s="1774">
        <v>0</v>
      </c>
      <c r="DX425" s="1774">
        <v>0</v>
      </c>
      <c r="DY425" s="1774">
        <v>0</v>
      </c>
      <c r="DZ425" s="1775">
        <v>0</v>
      </c>
      <c r="EA425" s="1661">
        <f t="shared" si="12"/>
        <v>644728</v>
      </c>
      <c r="EB425" s="1774">
        <v>0</v>
      </c>
      <c r="EC425" s="1775">
        <v>0</v>
      </c>
      <c r="ED425" s="1774">
        <v>0</v>
      </c>
      <c r="EE425" s="1775">
        <v>0</v>
      </c>
      <c r="EF425" s="1775">
        <v>0</v>
      </c>
      <c r="EG425" s="1774">
        <v>0</v>
      </c>
      <c r="EH425" s="1774">
        <v>0</v>
      </c>
      <c r="EI425" s="1774">
        <v>0</v>
      </c>
      <c r="EJ425" s="1774">
        <v>0</v>
      </c>
      <c r="EK425" s="1773">
        <v>0</v>
      </c>
      <c r="EL425" s="1775">
        <v>0</v>
      </c>
      <c r="EM425" s="1663">
        <f t="shared" si="13"/>
        <v>0</v>
      </c>
      <c r="EN425" s="2354">
        <v>0</v>
      </c>
      <c r="EO425" s="2354">
        <v>0</v>
      </c>
      <c r="EP425" s="2354">
        <v>0</v>
      </c>
      <c r="EQ425" s="2354">
        <v>0</v>
      </c>
      <c r="ER425" s="2354"/>
      <c r="ES425" s="2354">
        <v>0</v>
      </c>
      <c r="ET425" s="2355">
        <f t="shared" si="14"/>
        <v>644728</v>
      </c>
      <c r="EU425" s="1775">
        <v>957184</v>
      </c>
      <c r="EV425" s="1774">
        <v>13030144</v>
      </c>
      <c r="EW425" s="1774">
        <v>0</v>
      </c>
      <c r="EX425" s="1774">
        <v>0</v>
      </c>
      <c r="EY425" s="1775"/>
      <c r="EZ425" s="1775">
        <v>0</v>
      </c>
      <c r="FA425" s="1774">
        <v>0</v>
      </c>
      <c r="FB425" s="1774">
        <v>0</v>
      </c>
      <c r="FC425" s="1774">
        <v>1666937</v>
      </c>
      <c r="FD425" s="2356">
        <f t="shared" si="18"/>
        <v>15654265</v>
      </c>
      <c r="FE425" s="3162" t="s">
        <v>164</v>
      </c>
    </row>
    <row r="426" spans="1:161" s="1863" customFormat="1">
      <c r="A426" s="1771" t="str">
        <f>'Contact Information'!A68</f>
        <v>ST. JOHNS RIVER STATE COLLEGE</v>
      </c>
      <c r="B426" s="1775">
        <v>16177288</v>
      </c>
      <c r="C426" s="1775">
        <v>407717</v>
      </c>
      <c r="D426" s="1774">
        <v>0</v>
      </c>
      <c r="E426" s="1774">
        <v>0</v>
      </c>
      <c r="F426" s="1775">
        <v>938313</v>
      </c>
      <c r="G426" s="1775">
        <v>0</v>
      </c>
      <c r="H426" s="3122">
        <v>5004333</v>
      </c>
      <c r="I426" s="1775">
        <v>26302</v>
      </c>
      <c r="J426" s="1775">
        <v>678619</v>
      </c>
      <c r="K426" s="1775">
        <v>8494</v>
      </c>
      <c r="L426" s="1775">
        <v>7241</v>
      </c>
      <c r="M426" s="1774">
        <v>0</v>
      </c>
      <c r="N426" s="2365">
        <f t="shared" si="15"/>
        <v>23248307</v>
      </c>
      <c r="O426" s="1775">
        <v>8958759</v>
      </c>
      <c r="P426" s="1775">
        <v>0</v>
      </c>
      <c r="Q426" s="1775">
        <v>0</v>
      </c>
      <c r="R426" s="3143">
        <v>0</v>
      </c>
      <c r="S426" s="1775">
        <v>46740564</v>
      </c>
      <c r="T426" s="1775">
        <v>1741073</v>
      </c>
      <c r="U426" s="3143">
        <v>0</v>
      </c>
      <c r="V426" s="1651">
        <f t="shared" si="16"/>
        <v>57440396</v>
      </c>
      <c r="W426" s="1772">
        <v>0</v>
      </c>
      <c r="X426" s="1772">
        <v>6089364</v>
      </c>
      <c r="Y426" s="1772">
        <v>1160899</v>
      </c>
      <c r="Z426" s="1772">
        <v>437766</v>
      </c>
      <c r="AA426" s="1772">
        <v>0</v>
      </c>
      <c r="AB426" s="1772">
        <v>0</v>
      </c>
      <c r="AC426" s="1775">
        <v>0</v>
      </c>
      <c r="AD426" s="2359">
        <f t="shared" si="19"/>
        <v>80688703</v>
      </c>
      <c r="AE426" s="1775">
        <v>130981</v>
      </c>
      <c r="AF426" s="1775">
        <v>0</v>
      </c>
      <c r="AG426" s="1775">
        <v>1447499</v>
      </c>
      <c r="AH426" s="1775">
        <v>76436</v>
      </c>
      <c r="AI426" s="1775">
        <v>0</v>
      </c>
      <c r="AJ426" s="1775">
        <v>0</v>
      </c>
      <c r="AK426" s="1775">
        <v>116823</v>
      </c>
      <c r="AL426" s="1775">
        <v>0</v>
      </c>
      <c r="AM426" s="1775">
        <v>25716</v>
      </c>
      <c r="AN426" s="1775">
        <v>0</v>
      </c>
      <c r="AO426" s="1775">
        <v>0</v>
      </c>
      <c r="AP426" s="1775">
        <v>0</v>
      </c>
      <c r="AQ426" s="1775">
        <v>0</v>
      </c>
      <c r="AR426" s="1776">
        <v>0</v>
      </c>
      <c r="AS426" s="1775">
        <v>0</v>
      </c>
      <c r="AT426" s="1775">
        <v>229727</v>
      </c>
      <c r="AU426" s="1775">
        <v>0</v>
      </c>
      <c r="AV426" s="1775">
        <v>105157</v>
      </c>
      <c r="AW426" s="1775">
        <v>59644</v>
      </c>
      <c r="AX426" s="1775">
        <v>0</v>
      </c>
      <c r="AY426" s="1651">
        <f t="shared" si="5"/>
        <v>2191983</v>
      </c>
      <c r="AZ426" s="1772">
        <v>0</v>
      </c>
      <c r="BA426" s="1772">
        <v>0</v>
      </c>
      <c r="BB426" s="1772">
        <v>0</v>
      </c>
      <c r="BC426" s="1772">
        <v>0</v>
      </c>
      <c r="BD426" s="1772">
        <v>0</v>
      </c>
      <c r="BE426" s="1772">
        <v>0</v>
      </c>
      <c r="BF426" s="1772">
        <v>2013758</v>
      </c>
      <c r="BG426" s="1772">
        <v>0</v>
      </c>
      <c r="BH426" s="1772">
        <v>20652352</v>
      </c>
      <c r="BI426" s="1772">
        <v>1942553</v>
      </c>
      <c r="BJ426" s="1772">
        <v>0</v>
      </c>
      <c r="BK426" s="1651">
        <f t="shared" si="6"/>
        <v>24608663</v>
      </c>
      <c r="BL426" s="2359">
        <f t="shared" si="7"/>
        <v>26800646</v>
      </c>
      <c r="BM426" s="1772">
        <v>48481637</v>
      </c>
      <c r="BN426" s="1772">
        <v>0</v>
      </c>
      <c r="BO426" s="1772">
        <v>0</v>
      </c>
      <c r="BP426" s="1772">
        <v>172054</v>
      </c>
      <c r="BQ426" s="1772">
        <v>189305</v>
      </c>
      <c r="BR426" s="1772">
        <v>14000271</v>
      </c>
      <c r="BS426" s="1772">
        <v>0</v>
      </c>
      <c r="BT426" s="1772">
        <v>0</v>
      </c>
      <c r="BU426" s="1772">
        <v>-3425297</v>
      </c>
      <c r="BV426" s="1667">
        <f t="shared" si="17"/>
        <v>59417970</v>
      </c>
      <c r="BW426" s="2352">
        <v>0</v>
      </c>
      <c r="BX426" s="2352">
        <v>1178328</v>
      </c>
      <c r="BY426" s="2352">
        <v>814621</v>
      </c>
      <c r="BZ426" s="2352">
        <v>165167</v>
      </c>
      <c r="CA426" s="2352">
        <v>0</v>
      </c>
      <c r="CB426" s="1780">
        <v>0</v>
      </c>
      <c r="CC426" s="2357">
        <f t="shared" si="8"/>
        <v>59417970</v>
      </c>
      <c r="CD426" s="1772">
        <v>1663562</v>
      </c>
      <c r="CE426" s="1772">
        <v>0</v>
      </c>
      <c r="CF426" s="1772">
        <v>1204798</v>
      </c>
      <c r="CG426" s="1772">
        <v>0</v>
      </c>
      <c r="CH426" s="1772">
        <v>0</v>
      </c>
      <c r="CI426" s="1772">
        <v>0</v>
      </c>
      <c r="CJ426" s="1772">
        <v>0</v>
      </c>
      <c r="CK426" s="1772">
        <v>0</v>
      </c>
      <c r="CL426" s="1772">
        <v>0</v>
      </c>
      <c r="CM426" s="1772">
        <v>0</v>
      </c>
      <c r="CN426" s="1772">
        <v>0</v>
      </c>
      <c r="CO426" s="1772">
        <v>0</v>
      </c>
      <c r="CP426" s="1659">
        <f t="shared" si="9"/>
        <v>2868360</v>
      </c>
      <c r="CQ426" s="1772">
        <v>0</v>
      </c>
      <c r="CR426" s="1772">
        <v>0</v>
      </c>
      <c r="CS426" s="1772">
        <v>3126887</v>
      </c>
      <c r="CT426" s="1772">
        <v>0</v>
      </c>
      <c r="CU426" s="1772">
        <v>0</v>
      </c>
      <c r="CV426" s="1772">
        <v>0</v>
      </c>
      <c r="CW426" s="1772">
        <v>96050</v>
      </c>
      <c r="CX426" s="1651">
        <f t="shared" si="10"/>
        <v>3222937</v>
      </c>
      <c r="CY426" s="1780">
        <v>0</v>
      </c>
      <c r="CZ426" s="1780">
        <v>0</v>
      </c>
      <c r="DA426" s="1780">
        <v>0</v>
      </c>
      <c r="DB426" s="1780">
        <v>0</v>
      </c>
      <c r="DC426" s="1780">
        <v>0</v>
      </c>
      <c r="DD426" s="1780">
        <v>0</v>
      </c>
      <c r="DE426" s="1780">
        <v>0</v>
      </c>
      <c r="DF426" s="2355">
        <f t="shared" si="11"/>
        <v>6091297</v>
      </c>
      <c r="DG426" s="3908">
        <v>136486</v>
      </c>
      <c r="DH426" s="3908">
        <v>0</v>
      </c>
      <c r="DI426" s="3908">
        <v>0</v>
      </c>
      <c r="DJ426" s="3909">
        <v>0</v>
      </c>
      <c r="DK426" s="3910">
        <v>0</v>
      </c>
      <c r="DL426" s="3910">
        <v>0</v>
      </c>
      <c r="DM426" s="1774">
        <v>0</v>
      </c>
      <c r="DN426" s="3910">
        <v>0</v>
      </c>
      <c r="DO426" s="3910">
        <v>0</v>
      </c>
      <c r="DP426" s="1774">
        <v>0</v>
      </c>
      <c r="DQ426" s="1775">
        <v>0</v>
      </c>
      <c r="DR426" s="1774">
        <v>0</v>
      </c>
      <c r="DS426" s="1775">
        <v>0</v>
      </c>
      <c r="DT426" s="1775">
        <v>0</v>
      </c>
      <c r="DU426" s="1774">
        <v>0</v>
      </c>
      <c r="DV426" s="1774">
        <v>0</v>
      </c>
      <c r="DW426" s="1774">
        <v>0</v>
      </c>
      <c r="DX426" s="1774">
        <v>0</v>
      </c>
      <c r="DY426" s="1774">
        <v>0</v>
      </c>
      <c r="DZ426" s="1775">
        <v>10600</v>
      </c>
      <c r="EA426" s="1661">
        <f t="shared" si="12"/>
        <v>147086</v>
      </c>
      <c r="EB426" s="1774">
        <v>0</v>
      </c>
      <c r="EC426" s="1775">
        <v>0</v>
      </c>
      <c r="ED426" s="1774">
        <v>0</v>
      </c>
      <c r="EE426" s="1775">
        <v>0</v>
      </c>
      <c r="EF426" s="1775">
        <v>0</v>
      </c>
      <c r="EG426" s="1774">
        <v>0</v>
      </c>
      <c r="EH426" s="1774">
        <v>0</v>
      </c>
      <c r="EI426" s="1774">
        <v>0</v>
      </c>
      <c r="EJ426" s="1774">
        <v>0</v>
      </c>
      <c r="EK426" s="1773">
        <v>0</v>
      </c>
      <c r="EL426" s="1775">
        <v>92128</v>
      </c>
      <c r="EM426" s="1663">
        <f t="shared" si="13"/>
        <v>92128</v>
      </c>
      <c r="EN426" s="2354">
        <v>0</v>
      </c>
      <c r="EO426" s="2354">
        <v>0</v>
      </c>
      <c r="EP426" s="2354">
        <v>0</v>
      </c>
      <c r="EQ426" s="2354">
        <v>0</v>
      </c>
      <c r="ER426" s="2354">
        <v>106323</v>
      </c>
      <c r="ES426" s="2354">
        <v>0</v>
      </c>
      <c r="ET426" s="2355">
        <f t="shared" si="14"/>
        <v>239214</v>
      </c>
      <c r="EU426" s="1775">
        <v>0</v>
      </c>
      <c r="EV426" s="1774">
        <v>3013886</v>
      </c>
      <c r="EW426" s="1774">
        <v>0</v>
      </c>
      <c r="EX426" s="1774">
        <v>0</v>
      </c>
      <c r="EY426" s="1775">
        <v>1478924</v>
      </c>
      <c r="EZ426" s="1775">
        <v>0</v>
      </c>
      <c r="FA426" s="1774">
        <v>0</v>
      </c>
      <c r="FB426" s="1774">
        <v>0</v>
      </c>
      <c r="FC426" s="1774">
        <v>1252950</v>
      </c>
      <c r="FD426" s="2356">
        <f t="shared" si="18"/>
        <v>5745760</v>
      </c>
      <c r="FE426" s="3162" t="s">
        <v>166</v>
      </c>
    </row>
    <row r="427" spans="1:161" s="1863" customFormat="1">
      <c r="A427" s="1771" t="str">
        <f>'Contact Information'!A69</f>
        <v>ST. PETERSBURG COLLEGE</v>
      </c>
      <c r="B427" s="1775">
        <v>27540493</v>
      </c>
      <c r="C427" s="1775">
        <v>11828177</v>
      </c>
      <c r="D427" s="1774">
        <v>229255</v>
      </c>
      <c r="E427" s="1774">
        <v>721195</v>
      </c>
      <c r="F427" s="1775">
        <v>1989671</v>
      </c>
      <c r="G427" s="1775">
        <v>0</v>
      </c>
      <c r="H427" s="3122">
        <v>6875824</v>
      </c>
      <c r="I427" s="1775">
        <v>194814</v>
      </c>
      <c r="J427" s="1775">
        <v>72144</v>
      </c>
      <c r="K427" s="1775">
        <v>32721</v>
      </c>
      <c r="L427" s="1775">
        <v>0</v>
      </c>
      <c r="M427" s="1774">
        <v>0</v>
      </c>
      <c r="N427" s="2365">
        <f t="shared" si="15"/>
        <v>49484294</v>
      </c>
      <c r="O427" s="1775">
        <v>9490325</v>
      </c>
      <c r="P427" s="1775">
        <v>1746215</v>
      </c>
      <c r="Q427" s="1775">
        <v>3000489</v>
      </c>
      <c r="R427" s="3143">
        <v>0</v>
      </c>
      <c r="S427" s="1775">
        <v>227815978</v>
      </c>
      <c r="T427" s="1775">
        <v>47722851</v>
      </c>
      <c r="U427" s="3143">
        <v>0</v>
      </c>
      <c r="V427" s="1651">
        <f t="shared" si="16"/>
        <v>289775858</v>
      </c>
      <c r="W427" s="1772">
        <v>0</v>
      </c>
      <c r="X427" s="1772">
        <v>21192011</v>
      </c>
      <c r="Y427" s="1772">
        <v>4466898</v>
      </c>
      <c r="Z427" s="1772">
        <v>1025969</v>
      </c>
      <c r="AA427" s="1772">
        <v>0</v>
      </c>
      <c r="AB427" s="1772">
        <v>0</v>
      </c>
      <c r="AC427" s="1775">
        <v>0</v>
      </c>
      <c r="AD427" s="2359">
        <f t="shared" si="19"/>
        <v>339260152</v>
      </c>
      <c r="AE427" s="1775">
        <v>2375526</v>
      </c>
      <c r="AF427" s="1775">
        <v>0</v>
      </c>
      <c r="AG427" s="1775">
        <v>2308746</v>
      </c>
      <c r="AH427" s="1775">
        <v>1282797</v>
      </c>
      <c r="AI427" s="1775">
        <v>0</v>
      </c>
      <c r="AJ427" s="1775">
        <v>0</v>
      </c>
      <c r="AK427" s="1775">
        <v>251172</v>
      </c>
      <c r="AL427" s="1775">
        <v>1482807</v>
      </c>
      <c r="AM427" s="1775">
        <v>1660590</v>
      </c>
      <c r="AN427" s="1775">
        <v>1575000</v>
      </c>
      <c r="AO427" s="1775"/>
      <c r="AP427" s="1775">
        <v>0</v>
      </c>
      <c r="AQ427" s="1775">
        <v>533114</v>
      </c>
      <c r="AR427" s="1776">
        <v>0</v>
      </c>
      <c r="AS427" s="1775">
        <v>0</v>
      </c>
      <c r="AT427" s="1775">
        <v>1147078</v>
      </c>
      <c r="AU427" s="1775">
        <v>0</v>
      </c>
      <c r="AV427" s="1775">
        <v>1108442</v>
      </c>
      <c r="AW427" s="1775">
        <v>169865</v>
      </c>
      <c r="AX427" s="1775">
        <v>0</v>
      </c>
      <c r="AY427" s="1651">
        <f t="shared" si="5"/>
        <v>13895137</v>
      </c>
      <c r="AZ427" s="1772">
        <v>13393000</v>
      </c>
      <c r="BA427" s="1772">
        <v>0</v>
      </c>
      <c r="BB427" s="1772">
        <v>0</v>
      </c>
      <c r="BC427" s="1772">
        <v>2063627</v>
      </c>
      <c r="BD427" s="1772">
        <v>0</v>
      </c>
      <c r="BE427" s="1772">
        <v>0</v>
      </c>
      <c r="BF427" s="1772">
        <v>10323700</v>
      </c>
      <c r="BG427" s="1772"/>
      <c r="BH427" s="1772">
        <v>72993550</v>
      </c>
      <c r="BI427" s="1772">
        <v>32479324</v>
      </c>
      <c r="BJ427" s="1772">
        <v>6338905</v>
      </c>
      <c r="BK427" s="1651">
        <f t="shared" si="6"/>
        <v>137592106</v>
      </c>
      <c r="BL427" s="2359">
        <f t="shared" si="7"/>
        <v>151487243</v>
      </c>
      <c r="BM427" s="1772">
        <v>257974089</v>
      </c>
      <c r="BN427" s="1772">
        <v>0</v>
      </c>
      <c r="BO427" s="1772">
        <v>0</v>
      </c>
      <c r="BP427" s="1772">
        <v>5768667</v>
      </c>
      <c r="BQ427" s="1772">
        <v>115116</v>
      </c>
      <c r="BR427" s="1772">
        <v>16732677</v>
      </c>
      <c r="BS427" s="1772">
        <v>298628</v>
      </c>
      <c r="BT427" s="1772">
        <v>0</v>
      </c>
      <c r="BU427" s="1772">
        <v>-85159035</v>
      </c>
      <c r="BV427" s="1667">
        <f t="shared" si="17"/>
        <v>195730142</v>
      </c>
      <c r="BW427" s="2352">
        <v>0</v>
      </c>
      <c r="BX427" s="2352">
        <v>6368037</v>
      </c>
      <c r="BY427" s="2352">
        <v>4680595</v>
      </c>
      <c r="BZ427" s="2352">
        <v>7679013</v>
      </c>
      <c r="CA427" s="2352">
        <v>0</v>
      </c>
      <c r="CB427" s="1780">
        <v>0</v>
      </c>
      <c r="CC427" s="2357">
        <f t="shared" si="8"/>
        <v>195730142</v>
      </c>
      <c r="CD427" s="1772">
        <v>2318110</v>
      </c>
      <c r="CE427" s="1772">
        <v>0</v>
      </c>
      <c r="CF427" s="1772">
        <v>28361819</v>
      </c>
      <c r="CG427" s="1772">
        <v>0</v>
      </c>
      <c r="CH427" s="1772">
        <v>1676</v>
      </c>
      <c r="CI427" s="1772">
        <v>0</v>
      </c>
      <c r="CJ427" s="1772">
        <v>0</v>
      </c>
      <c r="CK427" s="1772">
        <v>242343</v>
      </c>
      <c r="CL427" s="1772">
        <v>6904</v>
      </c>
      <c r="CM427" s="1772">
        <v>0</v>
      </c>
      <c r="CN427" s="1772">
        <v>0</v>
      </c>
      <c r="CO427" s="1772">
        <v>0</v>
      </c>
      <c r="CP427" s="1659">
        <f t="shared" si="9"/>
        <v>30930852</v>
      </c>
      <c r="CQ427" s="1772">
        <v>0</v>
      </c>
      <c r="CR427" s="1772">
        <v>31489971</v>
      </c>
      <c r="CS427" s="1772">
        <v>0</v>
      </c>
      <c r="CT427" s="1772">
        <f>6338905+1034464</f>
        <v>7373369</v>
      </c>
      <c r="CU427" s="1772">
        <v>0</v>
      </c>
      <c r="CV427" s="1772">
        <v>0</v>
      </c>
      <c r="CW427" s="1772">
        <v>48969</v>
      </c>
      <c r="CX427" s="1651">
        <f t="shared" si="10"/>
        <v>38912309</v>
      </c>
      <c r="CY427" s="1780">
        <v>0</v>
      </c>
      <c r="CZ427" s="1780">
        <v>0</v>
      </c>
      <c r="DA427" s="1780">
        <v>0</v>
      </c>
      <c r="DB427" s="1780">
        <v>0</v>
      </c>
      <c r="DC427" s="1780">
        <v>0</v>
      </c>
      <c r="DD427" s="1780">
        <v>0</v>
      </c>
      <c r="DE427" s="1780">
        <v>0</v>
      </c>
      <c r="DF427" s="2355">
        <f t="shared" si="11"/>
        <v>69843161</v>
      </c>
      <c r="DG427" s="3908">
        <v>31623</v>
      </c>
      <c r="DH427" s="3908">
        <v>0</v>
      </c>
      <c r="DI427" s="3908">
        <v>0</v>
      </c>
      <c r="DJ427" s="3909">
        <v>0</v>
      </c>
      <c r="DK427" s="3910">
        <v>0</v>
      </c>
      <c r="DL427" s="3910">
        <v>0</v>
      </c>
      <c r="DM427" s="1774">
        <v>17516</v>
      </c>
      <c r="DN427" s="3910">
        <v>0</v>
      </c>
      <c r="DO427" s="3910">
        <v>0</v>
      </c>
      <c r="DP427" s="1774">
        <v>0</v>
      </c>
      <c r="DQ427" s="1775">
        <v>0</v>
      </c>
      <c r="DR427" s="1774">
        <v>0</v>
      </c>
      <c r="DS427" s="1775">
        <v>0</v>
      </c>
      <c r="DT427" s="1775">
        <v>0</v>
      </c>
      <c r="DU427" s="1774">
        <v>0</v>
      </c>
      <c r="DV427" s="1774">
        <v>0</v>
      </c>
      <c r="DW427" s="1774">
        <v>0</v>
      </c>
      <c r="DX427" s="1774">
        <v>0</v>
      </c>
      <c r="DY427" s="1774">
        <v>0</v>
      </c>
      <c r="DZ427" s="1775">
        <v>0</v>
      </c>
      <c r="EA427" s="1661">
        <f t="shared" si="12"/>
        <v>49139</v>
      </c>
      <c r="EB427" s="1774">
        <v>0</v>
      </c>
      <c r="EC427" s="1775">
        <v>0</v>
      </c>
      <c r="ED427" s="1774">
        <v>0</v>
      </c>
      <c r="EE427" s="1775">
        <v>0</v>
      </c>
      <c r="EF427" s="1775">
        <v>0</v>
      </c>
      <c r="EG427" s="1774">
        <v>0</v>
      </c>
      <c r="EH427" s="1774">
        <v>0</v>
      </c>
      <c r="EI427" s="1774">
        <v>0</v>
      </c>
      <c r="EJ427" s="1774">
        <v>0</v>
      </c>
      <c r="EK427" s="1773">
        <v>0</v>
      </c>
      <c r="EL427" s="1775">
        <v>0</v>
      </c>
      <c r="EM427" s="1663">
        <f t="shared" si="13"/>
        <v>0</v>
      </c>
      <c r="EN427" s="2354">
        <v>0</v>
      </c>
      <c r="EO427" s="2354">
        <v>0</v>
      </c>
      <c r="EP427" s="2354">
        <v>0</v>
      </c>
      <c r="EQ427" s="2354">
        <v>0</v>
      </c>
      <c r="ER427" s="2354">
        <v>0</v>
      </c>
      <c r="ES427" s="2354">
        <v>0</v>
      </c>
      <c r="ET427" s="2355">
        <f t="shared" si="14"/>
        <v>49139</v>
      </c>
      <c r="EU427" s="1775">
        <v>0</v>
      </c>
      <c r="EV427" s="1774">
        <v>31830512</v>
      </c>
      <c r="EW427" s="1774">
        <v>0</v>
      </c>
      <c r="EX427" s="1774">
        <v>24546853</v>
      </c>
      <c r="EY427" s="1775">
        <v>8460156</v>
      </c>
      <c r="EZ427" s="1775">
        <v>0</v>
      </c>
      <c r="FA427" s="1774"/>
      <c r="FB427" s="1774">
        <v>92873</v>
      </c>
      <c r="FC427" s="1774">
        <v>4863628</v>
      </c>
      <c r="FD427" s="2356">
        <f t="shared" si="18"/>
        <v>69794022</v>
      </c>
      <c r="FE427" s="3162" t="s">
        <v>168</v>
      </c>
    </row>
    <row r="428" spans="1:161" s="1863" customFormat="1">
      <c r="A428" s="1771" t="str">
        <f>'Contact Information'!A70</f>
        <v>STATE COLLEGE OF FLORIDA, MANATEE-SARASOTA</v>
      </c>
      <c r="B428" s="1775">
        <v>15498850</v>
      </c>
      <c r="C428" s="1775">
        <v>7749104</v>
      </c>
      <c r="D428" s="1774">
        <v>0</v>
      </c>
      <c r="E428" s="1774">
        <v>0</v>
      </c>
      <c r="F428" s="1775">
        <v>2860225</v>
      </c>
      <c r="G428" s="1775">
        <v>0</v>
      </c>
      <c r="H428" s="3122">
        <v>6637283</v>
      </c>
      <c r="I428" s="1775">
        <v>1619093</v>
      </c>
      <c r="J428" s="1775">
        <v>15105</v>
      </c>
      <c r="K428" s="1775">
        <v>959163</v>
      </c>
      <c r="L428" s="1775">
        <v>0</v>
      </c>
      <c r="M428" s="1774">
        <v>0</v>
      </c>
      <c r="N428" s="2365">
        <f t="shared" si="15"/>
        <v>35338823</v>
      </c>
      <c r="O428" s="1775">
        <v>21196987</v>
      </c>
      <c r="P428" s="1775">
        <v>0</v>
      </c>
      <c r="Q428" s="1775">
        <v>0</v>
      </c>
      <c r="R428" s="3143">
        <v>0</v>
      </c>
      <c r="S428" s="1775">
        <v>75733794</v>
      </c>
      <c r="T428" s="1775">
        <v>12067882</v>
      </c>
      <c r="U428" s="3143">
        <v>4307</v>
      </c>
      <c r="V428" s="1651">
        <f t="shared" si="16"/>
        <v>109002970</v>
      </c>
      <c r="W428" s="1772">
        <v>0</v>
      </c>
      <c r="X428" s="1772">
        <v>6745632</v>
      </c>
      <c r="Y428" s="1772">
        <v>1652634</v>
      </c>
      <c r="Z428" s="1772">
        <v>10233</v>
      </c>
      <c r="AA428" s="1772">
        <v>0</v>
      </c>
      <c r="AB428" s="1772">
        <v>0</v>
      </c>
      <c r="AC428" s="1775">
        <v>0</v>
      </c>
      <c r="AD428" s="2359">
        <f t="shared" si="19"/>
        <v>144341793</v>
      </c>
      <c r="AE428" s="1775">
        <v>3170325</v>
      </c>
      <c r="AF428" s="1775">
        <v>0</v>
      </c>
      <c r="AG428" s="1775">
        <v>3082365</v>
      </c>
      <c r="AH428" s="1775">
        <v>417345</v>
      </c>
      <c r="AI428" s="1775">
        <v>50505</v>
      </c>
      <c r="AJ428" s="1775">
        <v>0</v>
      </c>
      <c r="AK428" s="1775">
        <v>107714</v>
      </c>
      <c r="AL428" s="1775">
        <v>0</v>
      </c>
      <c r="AM428" s="1775">
        <v>557225</v>
      </c>
      <c r="AN428" s="1775">
        <v>0</v>
      </c>
      <c r="AO428" s="1775"/>
      <c r="AP428" s="1775">
        <v>0</v>
      </c>
      <c r="AQ428" s="1775">
        <v>0</v>
      </c>
      <c r="AR428" s="1776">
        <v>0</v>
      </c>
      <c r="AS428" s="1775">
        <v>95940</v>
      </c>
      <c r="AT428" s="1775">
        <v>75428</v>
      </c>
      <c r="AU428" s="1775">
        <v>0</v>
      </c>
      <c r="AV428" s="1775">
        <v>135608</v>
      </c>
      <c r="AW428" s="1775">
        <v>10233</v>
      </c>
      <c r="AX428" s="1775">
        <v>0</v>
      </c>
      <c r="AY428" s="1651">
        <f t="shared" si="5"/>
        <v>7702688</v>
      </c>
      <c r="AZ428" s="1772">
        <v>0</v>
      </c>
      <c r="BA428" s="1772">
        <v>0</v>
      </c>
      <c r="BB428" s="1772">
        <v>0</v>
      </c>
      <c r="BC428" s="1772">
        <v>0</v>
      </c>
      <c r="BD428" s="1772">
        <v>0</v>
      </c>
      <c r="BE428" s="1772">
        <v>143348</v>
      </c>
      <c r="BF428" s="1772">
        <v>3018691</v>
      </c>
      <c r="BG428" s="1772">
        <v>0</v>
      </c>
      <c r="BH428" s="1772">
        <v>24251521</v>
      </c>
      <c r="BI428" s="1772">
        <v>1072101</v>
      </c>
      <c r="BJ428" s="1772">
        <v>0</v>
      </c>
      <c r="BK428" s="1651">
        <f t="shared" si="6"/>
        <v>28485661</v>
      </c>
      <c r="BL428" s="2359">
        <f t="shared" si="7"/>
        <v>36188349</v>
      </c>
      <c r="BM428" s="1772">
        <v>87801676</v>
      </c>
      <c r="BN428" s="1772">
        <v>0</v>
      </c>
      <c r="BO428" s="1772">
        <v>0</v>
      </c>
      <c r="BP428" s="1772">
        <v>3912549</v>
      </c>
      <c r="BQ428" s="1772">
        <v>49806</v>
      </c>
      <c r="BR428" s="1772">
        <v>27069921</v>
      </c>
      <c r="BS428" s="1772">
        <v>0</v>
      </c>
      <c r="BT428" s="1772">
        <v>0</v>
      </c>
      <c r="BU428" s="1772">
        <v>-4902034</v>
      </c>
      <c r="BV428" s="1667">
        <f t="shared" si="17"/>
        <v>113931918</v>
      </c>
      <c r="BW428" s="2352"/>
      <c r="BX428" s="2352">
        <v>1307743</v>
      </c>
      <c r="BY428" s="2352">
        <v>860478</v>
      </c>
      <c r="BZ428" s="2352">
        <v>461804</v>
      </c>
      <c r="CA428" s="2352">
        <v>0</v>
      </c>
      <c r="CB428" s="1780">
        <v>0</v>
      </c>
      <c r="CC428" s="2357">
        <f t="shared" si="8"/>
        <v>113931918</v>
      </c>
      <c r="CD428" s="1772">
        <v>739711</v>
      </c>
      <c r="CE428" s="1772">
        <v>0</v>
      </c>
      <c r="CF428" s="1772">
        <v>0</v>
      </c>
      <c r="CG428" s="1772">
        <v>0</v>
      </c>
      <c r="CH428" s="1772">
        <v>6000</v>
      </c>
      <c r="CI428" s="1772">
        <v>0</v>
      </c>
      <c r="CJ428" s="1772">
        <v>0</v>
      </c>
      <c r="CK428" s="1772">
        <v>0</v>
      </c>
      <c r="CL428" s="1772"/>
      <c r="CM428" s="1772">
        <v>56774</v>
      </c>
      <c r="CN428" s="1772">
        <v>0</v>
      </c>
      <c r="CO428" s="1772"/>
      <c r="CP428" s="1659">
        <f t="shared" si="9"/>
        <v>802485</v>
      </c>
      <c r="CQ428" s="1772">
        <v>0</v>
      </c>
      <c r="CR428" s="1772">
        <v>61752362</v>
      </c>
      <c r="CS428" s="1772">
        <v>0</v>
      </c>
      <c r="CT428" s="1772">
        <v>0</v>
      </c>
      <c r="CU428" s="1772">
        <v>0</v>
      </c>
      <c r="CV428" s="1772">
        <v>0</v>
      </c>
      <c r="CW428" s="1772">
        <v>2618570</v>
      </c>
      <c r="CX428" s="1651">
        <f t="shared" si="10"/>
        <v>64370932</v>
      </c>
      <c r="CY428" s="1780">
        <v>0</v>
      </c>
      <c r="CZ428" s="1780">
        <v>0</v>
      </c>
      <c r="DA428" s="1780">
        <v>0</v>
      </c>
      <c r="DB428" s="1780">
        <v>0</v>
      </c>
      <c r="DC428" s="1780">
        <v>0</v>
      </c>
      <c r="DD428" s="1780">
        <v>0</v>
      </c>
      <c r="DE428" s="1780">
        <v>0</v>
      </c>
      <c r="DF428" s="2355">
        <f t="shared" si="11"/>
        <v>65173417</v>
      </c>
      <c r="DG428" s="3908">
        <v>24896</v>
      </c>
      <c r="DH428" s="3908">
        <v>0</v>
      </c>
      <c r="DI428" s="3908">
        <v>0</v>
      </c>
      <c r="DJ428" s="3909">
        <v>0</v>
      </c>
      <c r="DK428" s="3910">
        <v>0</v>
      </c>
      <c r="DL428" s="3910">
        <v>46002</v>
      </c>
      <c r="DM428" s="1774">
        <v>74271</v>
      </c>
      <c r="DN428" s="3910">
        <v>0</v>
      </c>
      <c r="DO428" s="3910">
        <v>0</v>
      </c>
      <c r="DP428" s="1774">
        <v>0</v>
      </c>
      <c r="DQ428" s="1775">
        <v>0</v>
      </c>
      <c r="DR428" s="1774">
        <v>0</v>
      </c>
      <c r="DS428" s="1775">
        <v>0</v>
      </c>
      <c r="DT428" s="1775">
        <v>0</v>
      </c>
      <c r="DU428" s="1774">
        <v>0</v>
      </c>
      <c r="DV428" s="1774">
        <v>0</v>
      </c>
      <c r="DW428" s="1774">
        <v>0</v>
      </c>
      <c r="DX428" s="1774">
        <v>0</v>
      </c>
      <c r="DY428" s="1774">
        <v>0</v>
      </c>
      <c r="DZ428" s="1775">
        <v>0</v>
      </c>
      <c r="EA428" s="1661">
        <f t="shared" si="12"/>
        <v>145169</v>
      </c>
      <c r="EB428" s="1774">
        <v>0</v>
      </c>
      <c r="EC428" s="1775">
        <v>0</v>
      </c>
      <c r="ED428" s="1774">
        <v>0</v>
      </c>
      <c r="EE428" s="1775">
        <v>0</v>
      </c>
      <c r="EF428" s="1775">
        <v>0</v>
      </c>
      <c r="EG428" s="1774">
        <v>0</v>
      </c>
      <c r="EH428" s="1774">
        <v>0</v>
      </c>
      <c r="EI428" s="1774">
        <v>0</v>
      </c>
      <c r="EJ428" s="1774">
        <v>0</v>
      </c>
      <c r="EK428" s="1773">
        <v>0</v>
      </c>
      <c r="EL428" s="1775">
        <v>0</v>
      </c>
      <c r="EM428" s="1663">
        <f t="shared" si="13"/>
        <v>0</v>
      </c>
      <c r="EN428" s="2354">
        <v>0</v>
      </c>
      <c r="EO428" s="2354">
        <v>0</v>
      </c>
      <c r="EP428" s="2354">
        <v>0</v>
      </c>
      <c r="EQ428" s="2354">
        <v>0</v>
      </c>
      <c r="ER428" s="2354">
        <v>0</v>
      </c>
      <c r="ES428" s="2354">
        <v>0</v>
      </c>
      <c r="ET428" s="2355">
        <f t="shared" si="14"/>
        <v>145169</v>
      </c>
      <c r="EU428" s="1775">
        <v>0</v>
      </c>
      <c r="EV428" s="1774">
        <v>12135845</v>
      </c>
      <c r="EW428" s="1774">
        <v>32387675</v>
      </c>
      <c r="EX428" s="1774">
        <v>0</v>
      </c>
      <c r="EY428" s="1775">
        <v>10148532</v>
      </c>
      <c r="EZ428" s="1775">
        <v>0</v>
      </c>
      <c r="FA428" s="1774">
        <v>0</v>
      </c>
      <c r="FB428" s="1774">
        <v>0</v>
      </c>
      <c r="FC428" s="1774">
        <v>10356196</v>
      </c>
      <c r="FD428" s="2356">
        <f t="shared" si="18"/>
        <v>65028248</v>
      </c>
      <c r="FE428" s="3162" t="s">
        <v>170</v>
      </c>
    </row>
    <row r="429" spans="1:161" s="1863" customFormat="1">
      <c r="A429" s="1771" t="str">
        <f>'Contact Information'!A71</f>
        <v>TALLAHASSEE COMMUNITY COLLEGE</v>
      </c>
      <c r="B429" s="1775">
        <v>10383841</v>
      </c>
      <c r="C429" s="1775">
        <v>1045067</v>
      </c>
      <c r="D429" s="3911">
        <v>580628</v>
      </c>
      <c r="E429" s="1774">
        <v>0</v>
      </c>
      <c r="F429" s="1775">
        <v>2587244</v>
      </c>
      <c r="G429" s="1775">
        <v>27465</v>
      </c>
      <c r="H429" s="3122">
        <v>1064877</v>
      </c>
      <c r="I429" s="1775">
        <v>0</v>
      </c>
      <c r="J429" s="1775">
        <v>50334</v>
      </c>
      <c r="K429" s="1775">
        <v>0</v>
      </c>
      <c r="L429" s="1775">
        <v>1000</v>
      </c>
      <c r="M429" s="1774">
        <v>0</v>
      </c>
      <c r="N429" s="2365">
        <f t="shared" si="15"/>
        <v>15740456</v>
      </c>
      <c r="O429" s="1775">
        <v>11337528</v>
      </c>
      <c r="P429" s="1775">
        <v>0</v>
      </c>
      <c r="Q429" s="1775">
        <v>49462</v>
      </c>
      <c r="R429" s="3143">
        <v>0</v>
      </c>
      <c r="S429" s="1775">
        <v>106552734</v>
      </c>
      <c r="T429" s="1775">
        <v>16263604</v>
      </c>
      <c r="U429" s="3143">
        <v>0</v>
      </c>
      <c r="V429" s="1651">
        <f t="shared" si="16"/>
        <v>134203328</v>
      </c>
      <c r="W429" s="1772">
        <v>0</v>
      </c>
      <c r="X429" s="1772">
        <v>11857998</v>
      </c>
      <c r="Y429" s="1772">
        <v>2185491</v>
      </c>
      <c r="Z429" s="1772">
        <v>4263517</v>
      </c>
      <c r="AA429" s="1772">
        <v>0</v>
      </c>
      <c r="AB429" s="1772">
        <v>0</v>
      </c>
      <c r="AC429" s="1775">
        <v>0</v>
      </c>
      <c r="AD429" s="2359">
        <f t="shared" si="19"/>
        <v>149943784</v>
      </c>
      <c r="AE429" s="1775">
        <v>516347</v>
      </c>
      <c r="AF429" s="1775">
        <v>0</v>
      </c>
      <c r="AG429" s="1775">
        <v>2602007</v>
      </c>
      <c r="AH429" s="1775"/>
      <c r="AI429" s="1775">
        <v>0</v>
      </c>
      <c r="AJ429" s="1775">
        <v>0</v>
      </c>
      <c r="AK429" s="1775">
        <v>420518</v>
      </c>
      <c r="AL429" s="1775">
        <v>0</v>
      </c>
      <c r="AM429" s="1775">
        <v>841497</v>
      </c>
      <c r="AN429" s="1775">
        <v>792000</v>
      </c>
      <c r="AO429" s="1775">
        <v>151000</v>
      </c>
      <c r="AP429" s="1775">
        <v>0</v>
      </c>
      <c r="AQ429" s="1775">
        <v>399153</v>
      </c>
      <c r="AR429" s="1776">
        <v>0</v>
      </c>
      <c r="AS429" s="1775">
        <v>146137</v>
      </c>
      <c r="AT429" s="1775">
        <v>723390</v>
      </c>
      <c r="AU429" s="1775">
        <v>0</v>
      </c>
      <c r="AV429" s="1775">
        <v>208321</v>
      </c>
      <c r="AW429" s="1775">
        <v>166758</v>
      </c>
      <c r="AX429" s="1775">
        <v>0</v>
      </c>
      <c r="AY429" s="1651">
        <f t="shared" si="5"/>
        <v>6967128</v>
      </c>
      <c r="AZ429" s="1772">
        <v>6440000</v>
      </c>
      <c r="BA429" s="1772">
        <v>312000</v>
      </c>
      <c r="BB429" s="1772">
        <v>0</v>
      </c>
      <c r="BC429" s="1772">
        <v>5848150</v>
      </c>
      <c r="BD429" s="1772">
        <v>0</v>
      </c>
      <c r="BE429" s="1772">
        <v>312621</v>
      </c>
      <c r="BF429" s="1772">
        <v>4223135</v>
      </c>
      <c r="BG429" s="1772">
        <v>0</v>
      </c>
      <c r="BH429" s="1772">
        <v>41558662</v>
      </c>
      <c r="BI429" s="1772">
        <v>7371860</v>
      </c>
      <c r="BJ429" s="1772">
        <v>0</v>
      </c>
      <c r="BK429" s="1651">
        <f t="shared" si="6"/>
        <v>66066428</v>
      </c>
      <c r="BL429" s="2359">
        <f t="shared" si="7"/>
        <v>73033556</v>
      </c>
      <c r="BM429" s="1772">
        <v>108393643</v>
      </c>
      <c r="BN429" s="1772">
        <v>0</v>
      </c>
      <c r="BO429" s="1772">
        <v>0</v>
      </c>
      <c r="BP429" s="1772">
        <v>783875</v>
      </c>
      <c r="BQ429" s="1772">
        <v>516339</v>
      </c>
      <c r="BR429" s="1772">
        <v>11885308</v>
      </c>
      <c r="BS429" s="1772">
        <v>78905</v>
      </c>
      <c r="BT429" s="1772">
        <v>0</v>
      </c>
      <c r="BU429" s="1772">
        <v>-34285014</v>
      </c>
      <c r="BV429" s="1667">
        <f t="shared" si="17"/>
        <v>87373056</v>
      </c>
      <c r="BW429" s="2352">
        <v>0</v>
      </c>
      <c r="BX429" s="2352">
        <v>3219727</v>
      </c>
      <c r="BY429" s="2352">
        <v>2067507</v>
      </c>
      <c r="BZ429" s="2352">
        <v>2526944</v>
      </c>
      <c r="CA429" s="2352">
        <v>0</v>
      </c>
      <c r="CB429" s="1780">
        <v>0</v>
      </c>
      <c r="CC429" s="2357">
        <f t="shared" si="8"/>
        <v>87373056</v>
      </c>
      <c r="CD429" s="1772">
        <v>110293</v>
      </c>
      <c r="CE429" s="1772">
        <v>0</v>
      </c>
      <c r="CF429" s="1772">
        <v>1988729</v>
      </c>
      <c r="CG429" s="1772">
        <v>0</v>
      </c>
      <c r="CH429" s="1772">
        <v>1074297</v>
      </c>
      <c r="CI429" s="1772">
        <v>0</v>
      </c>
      <c r="CJ429" s="1772">
        <v>0</v>
      </c>
      <c r="CK429" s="1772">
        <v>0</v>
      </c>
      <c r="CL429" s="1772">
        <v>0</v>
      </c>
      <c r="CM429" s="1772">
        <v>2400</v>
      </c>
      <c r="CN429" s="1772">
        <v>0</v>
      </c>
      <c r="CO429" s="1772">
        <v>0</v>
      </c>
      <c r="CP429" s="1659">
        <f t="shared" si="9"/>
        <v>3175719</v>
      </c>
      <c r="CQ429" s="1772">
        <v>43291</v>
      </c>
      <c r="CR429" s="1772">
        <v>0</v>
      </c>
      <c r="CS429" s="1772">
        <v>12111165</v>
      </c>
      <c r="CT429" s="1772">
        <v>0</v>
      </c>
      <c r="CU429" s="1772">
        <v>5436642</v>
      </c>
      <c r="CV429" s="1772">
        <v>0</v>
      </c>
      <c r="CW429" s="1772">
        <v>350655</v>
      </c>
      <c r="CX429" s="1651">
        <f t="shared" si="10"/>
        <v>17941753</v>
      </c>
      <c r="CY429" s="1780">
        <v>0</v>
      </c>
      <c r="CZ429" s="1780">
        <v>0</v>
      </c>
      <c r="DA429" s="1780">
        <v>0</v>
      </c>
      <c r="DB429" s="1780">
        <v>0</v>
      </c>
      <c r="DC429" s="1780">
        <v>0</v>
      </c>
      <c r="DD429" s="1780">
        <v>0</v>
      </c>
      <c r="DE429" s="1780">
        <v>0</v>
      </c>
      <c r="DF429" s="2355">
        <f t="shared" si="11"/>
        <v>21117472</v>
      </c>
      <c r="DG429" s="3908">
        <v>44654</v>
      </c>
      <c r="DH429" s="3908">
        <v>0</v>
      </c>
      <c r="DI429" s="3908">
        <v>0</v>
      </c>
      <c r="DJ429" s="3909">
        <v>0</v>
      </c>
      <c r="DK429" s="3910">
        <v>0</v>
      </c>
      <c r="DL429" s="3910">
        <v>0</v>
      </c>
      <c r="DM429" s="1774">
        <v>0</v>
      </c>
      <c r="DN429" s="3910">
        <v>0</v>
      </c>
      <c r="DO429" s="3910">
        <v>0</v>
      </c>
      <c r="DP429" s="1774">
        <v>0</v>
      </c>
      <c r="DQ429" s="1775">
        <v>598881</v>
      </c>
      <c r="DR429" s="1774">
        <v>0</v>
      </c>
      <c r="DS429" s="1775">
        <v>0</v>
      </c>
      <c r="DT429" s="1775">
        <v>0</v>
      </c>
      <c r="DU429" s="1774">
        <v>0</v>
      </c>
      <c r="DV429" s="1774">
        <v>0</v>
      </c>
      <c r="DW429" s="1774">
        <v>0</v>
      </c>
      <c r="DX429" s="1774">
        <v>0</v>
      </c>
      <c r="DY429" s="1774">
        <v>0</v>
      </c>
      <c r="DZ429" s="1775">
        <v>0</v>
      </c>
      <c r="EA429" s="1661">
        <f t="shared" si="12"/>
        <v>643535</v>
      </c>
      <c r="EB429" s="1774">
        <v>0</v>
      </c>
      <c r="EC429" s="1775">
        <v>2930062</v>
      </c>
      <c r="ED429" s="1774">
        <v>0</v>
      </c>
      <c r="EE429" s="1775">
        <v>0</v>
      </c>
      <c r="EF429" s="1775">
        <v>0</v>
      </c>
      <c r="EG429" s="1774">
        <v>0</v>
      </c>
      <c r="EH429" s="1774">
        <v>0</v>
      </c>
      <c r="EI429" s="1774">
        <v>0</v>
      </c>
      <c r="EJ429" s="1774">
        <v>0</v>
      </c>
      <c r="EK429" s="1773">
        <v>0</v>
      </c>
      <c r="EL429" s="1775">
        <v>0</v>
      </c>
      <c r="EM429" s="1663">
        <f t="shared" si="13"/>
        <v>2930062</v>
      </c>
      <c r="EN429" s="2354">
        <v>0</v>
      </c>
      <c r="EO429" s="2354">
        <v>0</v>
      </c>
      <c r="EP429" s="2354">
        <v>0</v>
      </c>
      <c r="EQ429" s="2354">
        <v>0</v>
      </c>
      <c r="ER429" s="2354">
        <v>0</v>
      </c>
      <c r="ES429" s="2354">
        <v>0</v>
      </c>
      <c r="ET429" s="2355">
        <f t="shared" si="14"/>
        <v>3573597</v>
      </c>
      <c r="EU429" s="1775">
        <v>1907699</v>
      </c>
      <c r="EV429" s="1774">
        <v>11291385</v>
      </c>
      <c r="EW429" s="1774">
        <v>0</v>
      </c>
      <c r="EX429" s="1774">
        <v>0</v>
      </c>
      <c r="EY429" s="1775">
        <v>3449912</v>
      </c>
      <c r="EZ429" s="1775">
        <v>0</v>
      </c>
      <c r="FA429" s="1774">
        <v>0</v>
      </c>
      <c r="FB429" s="1774">
        <v>0</v>
      </c>
      <c r="FC429" s="1774">
        <v>894879</v>
      </c>
      <c r="FD429" s="2356">
        <f t="shared" si="18"/>
        <v>17543875</v>
      </c>
      <c r="FE429" s="3162" t="s">
        <v>172</v>
      </c>
    </row>
    <row r="430" spans="1:161" s="1863" customFormat="1">
      <c r="A430" s="1771" t="str">
        <f>'Contact Information'!A72</f>
        <v>VALENCIA COLLEGE</v>
      </c>
      <c r="B430" s="1775">
        <v>40288448</v>
      </c>
      <c r="C430" s="1775">
        <v>1867238</v>
      </c>
      <c r="D430" s="1774">
        <v>4175868</v>
      </c>
      <c r="E430" s="1774">
        <v>0</v>
      </c>
      <c r="F430" s="1775">
        <v>5987021</v>
      </c>
      <c r="G430" s="1775">
        <v>0</v>
      </c>
      <c r="H430" s="3122">
        <v>5045643</v>
      </c>
      <c r="I430" s="1775">
        <v>603426</v>
      </c>
      <c r="J430" s="1775">
        <v>1916654</v>
      </c>
      <c r="K430" s="1775">
        <v>2290124</v>
      </c>
      <c r="L430" s="1775">
        <v>170</v>
      </c>
      <c r="M430" s="1774">
        <v>0</v>
      </c>
      <c r="N430" s="2365">
        <f t="shared" si="15"/>
        <v>62174592</v>
      </c>
      <c r="O430" s="1775">
        <v>19620201</v>
      </c>
      <c r="P430" s="1775">
        <v>10849090</v>
      </c>
      <c r="Q430" s="1775">
        <v>37659</v>
      </c>
      <c r="R430" s="3143">
        <v>0</v>
      </c>
      <c r="S430" s="1775">
        <v>232950161</v>
      </c>
      <c r="T430" s="1775">
        <v>49061271</v>
      </c>
      <c r="U430" s="3143">
        <v>0</v>
      </c>
      <c r="V430" s="1651">
        <f t="shared" si="16"/>
        <v>312518382</v>
      </c>
      <c r="W430" s="1772">
        <v>0</v>
      </c>
      <c r="X430" s="1772">
        <v>31135280</v>
      </c>
      <c r="Y430" s="1772">
        <v>10190688</v>
      </c>
      <c r="Z430" s="1772">
        <v>2938969</v>
      </c>
      <c r="AA430" s="1772">
        <v>0</v>
      </c>
      <c r="AB430" s="1772">
        <v>0</v>
      </c>
      <c r="AC430" s="1775">
        <v>0</v>
      </c>
      <c r="AD430" s="2359">
        <f t="shared" si="19"/>
        <v>374692974</v>
      </c>
      <c r="AE430" s="1775">
        <v>1639249</v>
      </c>
      <c r="AF430" s="1775">
        <v>0</v>
      </c>
      <c r="AG430" s="1775">
        <v>5697903</v>
      </c>
      <c r="AH430" s="1775">
        <v>670306</v>
      </c>
      <c r="AI430" s="1775">
        <v>1431513</v>
      </c>
      <c r="AJ430" s="1775">
        <v>12163</v>
      </c>
      <c r="AK430" s="1775">
        <v>483493</v>
      </c>
      <c r="AL430" s="1775">
        <v>12329579</v>
      </c>
      <c r="AM430" s="1775">
        <v>520156</v>
      </c>
      <c r="AN430" s="1775">
        <v>132000</v>
      </c>
      <c r="AO430" s="1775">
        <v>0</v>
      </c>
      <c r="AP430" s="1775">
        <v>0</v>
      </c>
      <c r="AQ430" s="1775">
        <v>395261</v>
      </c>
      <c r="AR430" s="1776">
        <v>0</v>
      </c>
      <c r="AS430" s="1775">
        <v>32987</v>
      </c>
      <c r="AT430" s="1775">
        <v>1313759</v>
      </c>
      <c r="AU430" s="1775">
        <v>0</v>
      </c>
      <c r="AV430" s="1775">
        <v>613564</v>
      </c>
      <c r="AW430" s="1775">
        <v>358974</v>
      </c>
      <c r="AX430" s="1775">
        <v>0</v>
      </c>
      <c r="AY430" s="1651">
        <f t="shared" si="5"/>
        <v>25630907</v>
      </c>
      <c r="AZ430" s="1772">
        <v>1463000</v>
      </c>
      <c r="BA430" s="1772">
        <v>0</v>
      </c>
      <c r="BB430" s="1772">
        <v>0</v>
      </c>
      <c r="BC430" s="1772">
        <v>14442947</v>
      </c>
      <c r="BD430" s="1772">
        <v>0</v>
      </c>
      <c r="BE430" s="1772">
        <v>341849</v>
      </c>
      <c r="BF430" s="1772">
        <v>8961673</v>
      </c>
      <c r="BG430" s="1772">
        <v>0</v>
      </c>
      <c r="BH430" s="1772">
        <v>106232050</v>
      </c>
      <c r="BI430" s="1772">
        <v>6574129</v>
      </c>
      <c r="BJ430" s="1772">
        <v>0</v>
      </c>
      <c r="BK430" s="1651">
        <f t="shared" si="6"/>
        <v>138015648</v>
      </c>
      <c r="BL430" s="2359">
        <f t="shared" si="7"/>
        <v>163646555</v>
      </c>
      <c r="BM430" s="1772">
        <v>265578224</v>
      </c>
      <c r="BN430" s="1772">
        <v>0</v>
      </c>
      <c r="BO430" s="1772">
        <v>0</v>
      </c>
      <c r="BP430" s="1772">
        <v>11755481</v>
      </c>
      <c r="BQ430" s="1772">
        <v>1998542</v>
      </c>
      <c r="BR430" s="1772">
        <v>19622481</v>
      </c>
      <c r="BS430" s="1772">
        <v>37659</v>
      </c>
      <c r="BT430" s="1772">
        <v>0</v>
      </c>
      <c r="BU430" s="1772">
        <v>-51266277</v>
      </c>
      <c r="BV430" s="1667">
        <f t="shared" si="17"/>
        <v>247726110</v>
      </c>
      <c r="BW430" s="2352">
        <v>0</v>
      </c>
      <c r="BX430" s="2352">
        <v>4284264</v>
      </c>
      <c r="BY430" s="2352">
        <v>2999860</v>
      </c>
      <c r="BZ430" s="2352">
        <v>301122</v>
      </c>
      <c r="CA430" s="2352">
        <v>0</v>
      </c>
      <c r="CB430" s="1780">
        <v>0</v>
      </c>
      <c r="CC430" s="2357">
        <f t="shared" si="8"/>
        <v>247726110</v>
      </c>
      <c r="CD430" s="1772">
        <v>2018500</v>
      </c>
      <c r="CE430" s="1772">
        <v>0</v>
      </c>
      <c r="CF430" s="1772">
        <v>0</v>
      </c>
      <c r="CG430" s="1772">
        <v>0</v>
      </c>
      <c r="CH430" s="1772">
        <v>1842492</v>
      </c>
      <c r="CI430" s="1772">
        <v>0</v>
      </c>
      <c r="CJ430" s="1772">
        <v>0</v>
      </c>
      <c r="CK430" s="1772">
        <v>73314</v>
      </c>
      <c r="CL430" s="1772">
        <v>0</v>
      </c>
      <c r="CM430" s="1772">
        <v>0</v>
      </c>
      <c r="CN430" s="1772">
        <v>0</v>
      </c>
      <c r="CO430" s="1772">
        <v>5381366</v>
      </c>
      <c r="CP430" s="1659">
        <f t="shared" si="9"/>
        <v>9315672</v>
      </c>
      <c r="CQ430" s="1772">
        <v>0</v>
      </c>
      <c r="CR430" s="1772">
        <v>0</v>
      </c>
      <c r="CS430" s="1772">
        <v>69517388</v>
      </c>
      <c r="CT430" s="1772">
        <v>0</v>
      </c>
      <c r="CU430" s="1772">
        <v>5247823</v>
      </c>
      <c r="CV430" s="1772">
        <v>3084064</v>
      </c>
      <c r="CW430" s="1772">
        <v>0</v>
      </c>
      <c r="CX430" s="1651">
        <f t="shared" si="10"/>
        <v>77849275</v>
      </c>
      <c r="CY430" s="1780">
        <v>0</v>
      </c>
      <c r="CZ430" s="1780">
        <v>0</v>
      </c>
      <c r="DA430" s="1780">
        <v>0</v>
      </c>
      <c r="DB430" s="1780">
        <v>0</v>
      </c>
      <c r="DC430" s="1780">
        <v>0</v>
      </c>
      <c r="DD430" s="1780">
        <v>0</v>
      </c>
      <c r="DE430" s="1780">
        <v>0</v>
      </c>
      <c r="DF430" s="2355">
        <f t="shared" si="11"/>
        <v>87164947</v>
      </c>
      <c r="DG430" s="3908">
        <v>122073</v>
      </c>
      <c r="DH430" s="3908">
        <v>0</v>
      </c>
      <c r="DI430" s="3908">
        <v>0</v>
      </c>
      <c r="DJ430" s="3909">
        <v>0</v>
      </c>
      <c r="DK430" s="3910">
        <v>0</v>
      </c>
      <c r="DL430" s="3910">
        <v>360803</v>
      </c>
      <c r="DM430" s="1774">
        <v>114115</v>
      </c>
      <c r="DN430" s="3910">
        <v>0</v>
      </c>
      <c r="DO430" s="3910">
        <v>0</v>
      </c>
      <c r="DP430" s="1774">
        <v>0</v>
      </c>
      <c r="DQ430" s="1775">
        <v>0</v>
      </c>
      <c r="DR430" s="1774">
        <v>0</v>
      </c>
      <c r="DS430" s="1775">
        <v>0</v>
      </c>
      <c r="DT430" s="1775">
        <v>0</v>
      </c>
      <c r="DU430" s="1774">
        <v>0</v>
      </c>
      <c r="DV430" s="1774">
        <v>0</v>
      </c>
      <c r="DW430" s="1774">
        <v>0</v>
      </c>
      <c r="DX430" s="1774">
        <v>0</v>
      </c>
      <c r="DY430" s="1774">
        <v>0</v>
      </c>
      <c r="DZ430" s="1775">
        <v>0</v>
      </c>
      <c r="EA430" s="1661">
        <f t="shared" si="12"/>
        <v>596991</v>
      </c>
      <c r="EB430" s="1774">
        <v>0</v>
      </c>
      <c r="EC430" s="1775">
        <v>0</v>
      </c>
      <c r="ED430" s="1774">
        <v>0</v>
      </c>
      <c r="EE430" s="1775">
        <v>0</v>
      </c>
      <c r="EF430" s="1775">
        <v>0</v>
      </c>
      <c r="EG430" s="1774">
        <v>0</v>
      </c>
      <c r="EH430" s="1774">
        <v>0</v>
      </c>
      <c r="EI430" s="1774">
        <v>0</v>
      </c>
      <c r="EJ430" s="1774">
        <v>0</v>
      </c>
      <c r="EK430" s="1773">
        <v>0</v>
      </c>
      <c r="EL430" s="1775">
        <v>0</v>
      </c>
      <c r="EM430" s="1663">
        <f t="shared" si="13"/>
        <v>0</v>
      </c>
      <c r="EN430" s="2354">
        <v>0</v>
      </c>
      <c r="EO430" s="2354">
        <v>0</v>
      </c>
      <c r="EP430" s="2354">
        <v>0</v>
      </c>
      <c r="EQ430" s="2354">
        <v>0</v>
      </c>
      <c r="ER430" s="2354">
        <v>0</v>
      </c>
      <c r="ES430" s="2354">
        <v>0</v>
      </c>
      <c r="ET430" s="2355">
        <f t="shared" si="14"/>
        <v>596991</v>
      </c>
      <c r="EU430" s="1775">
        <v>8331887</v>
      </c>
      <c r="EV430" s="1774">
        <v>34889113</v>
      </c>
      <c r="EW430" s="1774">
        <v>0</v>
      </c>
      <c r="EX430" s="1774">
        <v>35875169</v>
      </c>
      <c r="EY430" s="1775">
        <v>0</v>
      </c>
      <c r="EZ430" s="1775">
        <v>0</v>
      </c>
      <c r="FA430" s="1774">
        <v>0</v>
      </c>
      <c r="FB430" s="1774">
        <v>0</v>
      </c>
      <c r="FC430" s="1774">
        <v>7471787</v>
      </c>
      <c r="FD430" s="2356">
        <f t="shared" si="18"/>
        <v>86567956</v>
      </c>
      <c r="FE430" s="3162" t="s">
        <v>174</v>
      </c>
    </row>
    <row r="431" spans="1:161">
      <c r="A431" s="910"/>
      <c r="B431" s="910"/>
      <c r="C431" s="948"/>
      <c r="D431" s="910"/>
      <c r="E431" s="910"/>
      <c r="F431" s="910"/>
      <c r="G431" s="910"/>
      <c r="H431" s="3118"/>
      <c r="I431" s="4265"/>
      <c r="J431" s="910"/>
      <c r="K431" s="910"/>
      <c r="L431" s="910"/>
      <c r="M431" s="910"/>
      <c r="N431" s="910"/>
      <c r="O431" s="948"/>
      <c r="P431" s="948"/>
      <c r="Q431" s="948"/>
      <c r="R431" s="948"/>
      <c r="S431" s="948"/>
      <c r="T431" s="948"/>
      <c r="U431" s="948"/>
      <c r="V431" s="910"/>
      <c r="W431" s="910"/>
      <c r="X431" s="910"/>
      <c r="Y431" s="910"/>
      <c r="Z431" s="910"/>
      <c r="AA431" s="910"/>
      <c r="AB431" s="910"/>
      <c r="AC431" s="910"/>
      <c r="AD431" s="910"/>
      <c r="AE431" s="910"/>
      <c r="AF431" s="910"/>
      <c r="AG431" s="910"/>
      <c r="AH431" s="910"/>
      <c r="AI431" s="910"/>
      <c r="AJ431" s="910"/>
      <c r="AK431" s="910"/>
      <c r="AL431" s="910"/>
      <c r="AM431" s="910"/>
      <c r="AN431" s="910"/>
      <c r="AO431" s="910"/>
      <c r="AP431" s="910"/>
      <c r="AQ431" s="910"/>
      <c r="AR431" s="910"/>
      <c r="AS431" s="910"/>
      <c r="AT431" s="910"/>
      <c r="AU431" s="910"/>
      <c r="AV431" s="910"/>
      <c r="AW431" s="910"/>
      <c r="AX431" s="910"/>
      <c r="AY431" s="910"/>
      <c r="AZ431" s="948"/>
      <c r="BA431" s="948"/>
      <c r="BB431" s="948"/>
      <c r="BC431" s="948"/>
      <c r="BD431" s="948"/>
      <c r="BE431" s="948"/>
      <c r="BF431" s="948"/>
      <c r="BG431" s="948"/>
      <c r="BH431" s="948"/>
      <c r="BI431" s="948"/>
      <c r="BJ431" s="948"/>
      <c r="BK431" s="910"/>
      <c r="BL431" s="910"/>
      <c r="BM431" s="948"/>
      <c r="BN431" s="948"/>
      <c r="BO431" s="948"/>
      <c r="BP431" s="948"/>
      <c r="BQ431" s="948"/>
      <c r="BR431" s="948"/>
      <c r="BS431" s="948"/>
      <c r="BT431" s="948"/>
      <c r="BU431" s="948"/>
      <c r="BV431" s="910"/>
      <c r="BW431" s="948"/>
      <c r="BX431" s="948"/>
      <c r="BY431" s="948"/>
      <c r="BZ431" s="948"/>
      <c r="CA431" s="948"/>
      <c r="CB431" s="948"/>
      <c r="CC431" s="910"/>
      <c r="CD431" s="948"/>
      <c r="CE431" s="948"/>
      <c r="CF431" s="948"/>
      <c r="CG431" s="948"/>
      <c r="CH431" s="948"/>
      <c r="CI431" s="948"/>
      <c r="CJ431" s="948"/>
      <c r="CK431" s="948"/>
      <c r="CL431" s="948"/>
      <c r="CM431" s="948"/>
      <c r="CN431" s="948"/>
      <c r="CO431" s="948"/>
      <c r="CP431" s="910"/>
      <c r="CQ431" s="910"/>
      <c r="CR431" s="910"/>
      <c r="CS431" s="910"/>
      <c r="CT431" s="910"/>
      <c r="CU431" s="910"/>
      <c r="CV431" s="910"/>
      <c r="CW431" s="910"/>
      <c r="CX431" s="910"/>
      <c r="CY431" s="948"/>
      <c r="CZ431" s="948"/>
      <c r="DA431" s="948"/>
      <c r="DB431" s="948"/>
      <c r="DC431" s="948"/>
      <c r="DD431" s="948"/>
      <c r="DE431" s="948"/>
      <c r="DF431" s="910"/>
      <c r="DG431" s="948"/>
      <c r="DH431" s="948"/>
      <c r="DI431" s="948"/>
      <c r="DJ431" s="948"/>
      <c r="DK431" s="948"/>
      <c r="DL431" s="948"/>
      <c r="DM431" s="948"/>
      <c r="DN431" s="948"/>
      <c r="DO431" s="948"/>
      <c r="DP431" s="948"/>
      <c r="DQ431" s="948"/>
      <c r="DR431" s="948"/>
      <c r="DS431" s="1789"/>
      <c r="DT431" s="1789"/>
      <c r="DU431" s="1789"/>
      <c r="DV431" s="1789"/>
      <c r="DW431" s="1789"/>
      <c r="DX431" s="1789"/>
      <c r="DY431" s="1789"/>
      <c r="DZ431" s="1789"/>
      <c r="EA431" s="1863"/>
      <c r="EB431" s="1789"/>
      <c r="EC431" s="1789"/>
      <c r="ED431" s="1789"/>
      <c r="EE431" s="1789"/>
      <c r="EF431" s="1789"/>
      <c r="EG431" s="1789"/>
      <c r="EH431" s="1789"/>
      <c r="EI431" s="1789"/>
      <c r="EJ431" s="1789"/>
      <c r="EK431" s="1789"/>
      <c r="EL431" s="1789"/>
      <c r="EM431" s="1863"/>
      <c r="EN431" s="1789"/>
      <c r="EO431" s="1789"/>
      <c r="EP431" s="1789"/>
      <c r="EQ431" s="1789"/>
      <c r="ER431" s="1789"/>
      <c r="ES431" s="1789"/>
      <c r="ET431" s="1863"/>
      <c r="EU431" s="1789"/>
      <c r="EV431" s="1789"/>
      <c r="EW431" s="1789"/>
      <c r="EX431" s="1789"/>
      <c r="EY431" s="1789"/>
      <c r="EZ431" s="1789"/>
      <c r="FA431" s="1789"/>
      <c r="FB431" s="1789"/>
      <c r="FC431" s="1789"/>
      <c r="FD431" s="1863"/>
      <c r="FE431" s="393"/>
    </row>
    <row r="432" spans="1:161">
      <c r="A432" s="1863"/>
      <c r="B432" s="1740"/>
      <c r="C432" s="948"/>
      <c r="D432" s="910"/>
      <c r="E432" s="910"/>
      <c r="F432" s="910"/>
      <c r="G432" s="910"/>
      <c r="H432" s="3118"/>
      <c r="I432" s="4265"/>
      <c r="J432" s="910"/>
      <c r="K432" s="910"/>
      <c r="L432" s="910"/>
      <c r="M432" s="910"/>
      <c r="N432" s="910"/>
      <c r="O432" s="910"/>
      <c r="P432" s="910"/>
      <c r="Q432" s="910"/>
      <c r="R432" s="910"/>
      <c r="S432" s="910"/>
      <c r="T432" s="910"/>
      <c r="U432" s="910"/>
      <c r="V432" s="910"/>
      <c r="W432" s="910"/>
      <c r="X432" s="910"/>
      <c r="Y432" s="910"/>
      <c r="Z432" s="910"/>
      <c r="AA432" s="910"/>
      <c r="AB432" s="910"/>
      <c r="AC432" s="910"/>
      <c r="AD432" s="910"/>
      <c r="AE432" s="910"/>
      <c r="AF432" s="910"/>
      <c r="AG432" s="910"/>
      <c r="AH432" s="910"/>
      <c r="AI432" s="910"/>
      <c r="AJ432" s="910"/>
      <c r="AK432" s="910"/>
      <c r="AL432" s="910"/>
      <c r="AM432" s="910"/>
      <c r="AN432" s="910"/>
      <c r="AO432" s="910"/>
      <c r="AP432" s="910"/>
      <c r="AQ432" s="910"/>
      <c r="AR432" s="910"/>
      <c r="AS432" s="910"/>
      <c r="AT432" s="910"/>
      <c r="AU432" s="910"/>
      <c r="AV432" s="910"/>
      <c r="AW432" s="910"/>
      <c r="AX432" s="910"/>
      <c r="AY432" s="910"/>
      <c r="AZ432" s="910"/>
      <c r="BA432" s="910"/>
      <c r="BB432" s="910"/>
      <c r="BC432" s="910"/>
      <c r="BD432" s="910"/>
      <c r="BE432" s="910"/>
      <c r="BF432" s="910"/>
      <c r="BG432" s="910"/>
      <c r="BH432" s="910"/>
      <c r="BI432" s="910"/>
      <c r="BJ432" s="910"/>
      <c r="BK432" s="910"/>
      <c r="BL432" s="910"/>
      <c r="BM432" s="910"/>
      <c r="BN432" s="910"/>
      <c r="BO432" s="910"/>
      <c r="BP432" s="910"/>
      <c r="BQ432" s="910"/>
      <c r="BR432" s="910"/>
      <c r="BS432" s="910"/>
      <c r="BT432" s="910"/>
      <c r="BU432" s="910"/>
      <c r="BV432" s="910"/>
      <c r="BW432" s="910"/>
      <c r="BX432" s="910"/>
      <c r="BY432" s="910"/>
      <c r="BZ432" s="1863"/>
      <c r="CA432" s="1863"/>
      <c r="CB432" s="1863"/>
      <c r="CC432" s="1863"/>
      <c r="CD432" s="1863"/>
      <c r="CE432" s="1863"/>
      <c r="CF432" s="1863"/>
      <c r="CG432" s="1863"/>
      <c r="CH432" s="1863"/>
      <c r="CI432" s="1863"/>
      <c r="CJ432" s="1863"/>
      <c r="CK432" s="1863"/>
      <c r="CL432" s="1863"/>
      <c r="CM432" s="1863"/>
      <c r="CN432" s="1863"/>
      <c r="CO432" s="1863"/>
      <c r="CP432" s="1863"/>
      <c r="CQ432" s="1863"/>
      <c r="CR432" s="1863"/>
      <c r="CS432" s="1863"/>
      <c r="CT432" s="1863"/>
      <c r="CU432" s="1863"/>
      <c r="CV432" s="1863"/>
      <c r="CW432" s="1863"/>
      <c r="CX432" s="1863"/>
      <c r="CY432" s="1863"/>
      <c r="CZ432" s="1863"/>
      <c r="DA432" s="1863"/>
      <c r="DB432" s="1863"/>
      <c r="DC432" s="1863"/>
      <c r="DD432" s="1863"/>
      <c r="DE432" s="1863"/>
      <c r="DF432" s="1863"/>
      <c r="DG432" s="1789"/>
      <c r="DH432" s="1789"/>
      <c r="DI432" s="1789"/>
      <c r="DJ432" s="1789"/>
      <c r="DK432" s="1789"/>
      <c r="DL432" s="1789"/>
      <c r="DM432" s="1789"/>
      <c r="DN432" s="1789"/>
      <c r="DO432" s="1789"/>
      <c r="DP432" s="1789"/>
      <c r="DQ432" s="1789"/>
      <c r="DR432" s="1789"/>
      <c r="DS432" s="1789"/>
      <c r="DT432" s="1789"/>
      <c r="DU432" s="1789"/>
      <c r="DV432" s="1789"/>
      <c r="DW432" s="1789"/>
      <c r="DX432" s="1789"/>
      <c r="DY432" s="1789"/>
      <c r="DZ432" s="1789"/>
      <c r="EA432" s="1863"/>
      <c r="EB432" s="1789"/>
      <c r="EC432" s="1789"/>
      <c r="ED432" s="1789"/>
      <c r="EE432" s="1789"/>
      <c r="EF432" s="1789"/>
      <c r="EG432" s="1789"/>
      <c r="EH432" s="1789"/>
      <c r="EI432" s="1789"/>
      <c r="EJ432" s="1789"/>
      <c r="EK432" s="1789"/>
      <c r="EL432" s="1789"/>
      <c r="EM432" s="1863"/>
      <c r="EN432" s="1863"/>
      <c r="EO432" s="1863"/>
      <c r="EP432" s="1863"/>
      <c r="EQ432" s="1863"/>
      <c r="ER432" s="1863"/>
      <c r="ES432" s="1863"/>
      <c r="ET432" s="1863"/>
      <c r="EU432" s="1789"/>
      <c r="EV432" s="1789"/>
      <c r="EW432" s="1789"/>
      <c r="EX432" s="1789"/>
      <c r="EY432" s="1789"/>
      <c r="EZ432" s="1789"/>
      <c r="FA432" s="1789"/>
      <c r="FB432" s="1789"/>
      <c r="FC432" s="1789"/>
      <c r="FD432" s="1863"/>
      <c r="FE432" s="1863"/>
    </row>
    <row r="433" spans="1:142">
      <c r="A433" s="1644">
        <v>1</v>
      </c>
      <c r="B433" s="1645">
        <v>2</v>
      </c>
      <c r="C433" s="1645">
        <v>3</v>
      </c>
      <c r="D433" s="1645">
        <v>4</v>
      </c>
      <c r="E433" s="1645">
        <v>5</v>
      </c>
      <c r="F433" s="1645">
        <v>6</v>
      </c>
      <c r="G433" s="1645">
        <v>7</v>
      </c>
      <c r="H433" s="3123">
        <v>8</v>
      </c>
      <c r="I433" s="4271">
        <v>9</v>
      </c>
      <c r="J433" s="1645">
        <v>10</v>
      </c>
      <c r="K433" s="1645">
        <v>11</v>
      </c>
      <c r="L433" s="1645">
        <v>12</v>
      </c>
      <c r="M433" s="1645">
        <v>13</v>
      </c>
      <c r="N433" s="1645">
        <v>14</v>
      </c>
      <c r="O433" s="1645">
        <v>15</v>
      </c>
      <c r="P433" s="1645">
        <v>16</v>
      </c>
      <c r="Q433" s="1645">
        <v>17</v>
      </c>
      <c r="R433" s="1645">
        <v>18</v>
      </c>
      <c r="S433" s="1645">
        <v>19</v>
      </c>
      <c r="T433" s="1645">
        <v>20</v>
      </c>
      <c r="U433" s="1645">
        <v>21</v>
      </c>
      <c r="V433" s="1645">
        <v>22</v>
      </c>
      <c r="W433" s="1645">
        <v>23</v>
      </c>
      <c r="X433" s="1645">
        <v>24</v>
      </c>
      <c r="Y433" s="1645">
        <v>25</v>
      </c>
      <c r="Z433" s="1645">
        <v>26</v>
      </c>
      <c r="AA433" s="1645">
        <v>27</v>
      </c>
      <c r="AB433" s="1645">
        <v>28</v>
      </c>
      <c r="AC433" s="1645">
        <v>29</v>
      </c>
      <c r="AD433" s="1645">
        <v>30</v>
      </c>
      <c r="AE433" s="1645">
        <v>31</v>
      </c>
      <c r="AF433" s="1645">
        <v>32</v>
      </c>
      <c r="AG433" s="1645">
        <v>33</v>
      </c>
      <c r="AH433" s="1645">
        <v>34</v>
      </c>
      <c r="AI433" s="1645">
        <v>35</v>
      </c>
      <c r="AJ433" s="1645">
        <v>36</v>
      </c>
      <c r="AK433" s="1645">
        <v>37</v>
      </c>
      <c r="AL433" s="1645">
        <v>38</v>
      </c>
      <c r="AM433" s="1645">
        <v>39</v>
      </c>
      <c r="AN433" s="1645">
        <v>40</v>
      </c>
      <c r="AO433" s="1645">
        <v>41</v>
      </c>
      <c r="AP433" s="1645">
        <v>42</v>
      </c>
      <c r="AQ433" s="1645">
        <v>43</v>
      </c>
      <c r="AR433" s="1645">
        <v>44</v>
      </c>
      <c r="AS433" s="1645">
        <v>45</v>
      </c>
      <c r="AT433" s="1645">
        <v>46</v>
      </c>
      <c r="AU433" s="1645">
        <v>47</v>
      </c>
      <c r="AV433" s="1645">
        <v>48</v>
      </c>
      <c r="AW433" s="1645">
        <v>49</v>
      </c>
      <c r="AX433" s="1645">
        <v>50</v>
      </c>
      <c r="AY433" s="1645">
        <v>51</v>
      </c>
      <c r="AZ433" s="1645">
        <v>52</v>
      </c>
      <c r="BA433" s="1645">
        <v>53</v>
      </c>
      <c r="BB433" s="1645">
        <v>54</v>
      </c>
      <c r="BC433" s="1645">
        <v>55</v>
      </c>
      <c r="BD433" s="1645">
        <v>56</v>
      </c>
      <c r="BE433" s="1645">
        <v>57</v>
      </c>
      <c r="BF433" s="1645">
        <v>58</v>
      </c>
      <c r="BG433" s="1645">
        <v>59</v>
      </c>
      <c r="BH433" s="1645">
        <v>60</v>
      </c>
      <c r="BI433" s="1645">
        <v>61</v>
      </c>
      <c r="BJ433" s="1645">
        <v>62</v>
      </c>
      <c r="BK433" s="1645">
        <v>63</v>
      </c>
      <c r="BL433" s="1645">
        <v>64</v>
      </c>
      <c r="BM433" s="1645">
        <v>65</v>
      </c>
      <c r="BN433" s="1645">
        <v>66</v>
      </c>
      <c r="BO433" s="1645">
        <v>67</v>
      </c>
      <c r="BP433" s="1645">
        <v>68</v>
      </c>
      <c r="BQ433" s="1645">
        <v>69</v>
      </c>
      <c r="BR433" s="1645">
        <v>70</v>
      </c>
      <c r="BS433" s="1645">
        <v>71</v>
      </c>
      <c r="BT433" s="1645">
        <v>72</v>
      </c>
      <c r="BU433" s="1645">
        <v>73</v>
      </c>
      <c r="BV433" s="1645">
        <v>74</v>
      </c>
      <c r="BW433" s="1645">
        <v>75</v>
      </c>
      <c r="BX433" s="1645">
        <v>76</v>
      </c>
      <c r="BY433" s="1645">
        <v>77</v>
      </c>
      <c r="BZ433" s="1863"/>
      <c r="EB433" s="1789"/>
      <c r="EC433" s="1789"/>
      <c r="ED433" s="1789"/>
      <c r="EE433" s="1789"/>
      <c r="EF433" s="1789"/>
      <c r="EG433" s="1789"/>
      <c r="EH433" s="1789"/>
      <c r="EI433" s="1789"/>
      <c r="EJ433" s="1789"/>
      <c r="EK433" s="1789"/>
      <c r="EL433" s="1789"/>
    </row>
    <row r="434" spans="1:142">
      <c r="A434" s="3517" t="s">
        <v>3996</v>
      </c>
      <c r="B434" s="4593" t="s">
        <v>3997</v>
      </c>
      <c r="C434" s="4593"/>
      <c r="D434" s="4593"/>
      <c r="E434" s="4593"/>
      <c r="F434" s="4593"/>
      <c r="G434" s="4593"/>
      <c r="H434" s="4593"/>
      <c r="I434" s="4272"/>
      <c r="J434" s="4536" t="s">
        <v>3998</v>
      </c>
      <c r="K434" s="4536"/>
      <c r="L434" s="4536"/>
      <c r="M434" s="4536"/>
      <c r="N434" s="4536"/>
      <c r="O434" s="4536"/>
      <c r="P434" s="4536"/>
      <c r="Q434" s="1863"/>
      <c r="R434" s="1863"/>
      <c r="S434" s="4590" t="s">
        <v>3999</v>
      </c>
      <c r="T434" s="4590"/>
      <c r="U434" s="4590"/>
      <c r="V434" s="4590"/>
      <c r="W434" s="4590"/>
      <c r="X434" s="4590"/>
      <c r="Y434" s="4590"/>
      <c r="Z434" s="4590"/>
      <c r="AA434" s="3703"/>
      <c r="AB434" s="1789"/>
      <c r="AC434" s="1789"/>
      <c r="AD434" s="1789"/>
      <c r="AE434" s="1789"/>
      <c r="AF434" s="1789"/>
      <c r="AG434" s="1789"/>
      <c r="AH434" s="1789"/>
      <c r="AI434" s="1789"/>
      <c r="AJ434" s="1654"/>
      <c r="AK434" s="1654"/>
      <c r="AL434" s="1654"/>
      <c r="AM434" s="1654"/>
      <c r="AN434" s="4593" t="s">
        <v>3997</v>
      </c>
      <c r="AO434" s="4593"/>
      <c r="AP434" s="4593"/>
      <c r="AQ434" s="4593"/>
      <c r="AR434" s="4593"/>
      <c r="AS434" s="4593"/>
      <c r="AT434" s="4593"/>
      <c r="AU434" s="1649"/>
      <c r="AV434" s="4536" t="s">
        <v>3998</v>
      </c>
      <c r="AW434" s="4536"/>
      <c r="AX434" s="4536"/>
      <c r="AY434" s="4536"/>
      <c r="AZ434" s="4536"/>
      <c r="BA434" s="4536"/>
      <c r="BB434" s="4536"/>
      <c r="BC434" s="1863"/>
      <c r="BD434" s="1863"/>
      <c r="BE434" s="4590" t="s">
        <v>3999</v>
      </c>
      <c r="BF434" s="4590"/>
      <c r="BG434" s="4590"/>
      <c r="BH434" s="4590"/>
      <c r="BI434" s="4590"/>
      <c r="BJ434" s="4590"/>
      <c r="BK434" s="4590"/>
      <c r="BL434" s="4590"/>
      <c r="BM434" s="3703"/>
      <c r="BN434" s="1789"/>
      <c r="BO434" s="1789"/>
      <c r="BP434" s="1789"/>
      <c r="BQ434" s="1789"/>
      <c r="BR434" s="1789"/>
      <c r="BS434" s="1789"/>
      <c r="BT434" s="1789"/>
      <c r="BU434" s="1789"/>
      <c r="BV434" s="1654"/>
      <c r="BW434" s="1654"/>
      <c r="BX434" s="1654"/>
      <c r="BY434" s="1654"/>
      <c r="BZ434" s="1863"/>
      <c r="EB434" s="1789"/>
      <c r="EC434" s="1789"/>
      <c r="ED434" s="1789"/>
      <c r="EE434" s="1789"/>
      <c r="EF434" s="1789"/>
      <c r="EG434" s="1789"/>
      <c r="EH434" s="1789"/>
      <c r="EI434" s="1789"/>
      <c r="EJ434" s="1789"/>
      <c r="EK434" s="1789"/>
      <c r="EL434" s="1789"/>
    </row>
    <row r="435" spans="1:142">
      <c r="A435" s="1918" t="s">
        <v>4102</v>
      </c>
      <c r="B435" s="1647" t="s">
        <v>3962</v>
      </c>
      <c r="C435" s="1647" t="s">
        <v>3962</v>
      </c>
      <c r="D435" s="1647" t="s">
        <v>3962</v>
      </c>
      <c r="E435" s="1647" t="s">
        <v>3962</v>
      </c>
      <c r="F435" s="1647" t="s">
        <v>3962</v>
      </c>
      <c r="G435" s="1647" t="s">
        <v>3962</v>
      </c>
      <c r="H435" s="3121" t="s">
        <v>3962</v>
      </c>
      <c r="I435" s="4268" t="s">
        <v>2303</v>
      </c>
      <c r="J435" s="1647" t="s">
        <v>2303</v>
      </c>
      <c r="K435" s="1647" t="s">
        <v>2303</v>
      </c>
      <c r="L435" s="1647" t="s">
        <v>2303</v>
      </c>
      <c r="M435" s="1647" t="s">
        <v>2303</v>
      </c>
      <c r="N435" s="1647" t="s">
        <v>2303</v>
      </c>
      <c r="O435" s="1647" t="s">
        <v>2303</v>
      </c>
      <c r="P435" s="1647" t="s">
        <v>2303</v>
      </c>
      <c r="Q435" s="1863"/>
      <c r="R435" s="1863"/>
      <c r="S435" s="1647" t="s">
        <v>2303</v>
      </c>
      <c r="T435" s="1647" t="s">
        <v>2303</v>
      </c>
      <c r="U435" s="1647" t="s">
        <v>2303</v>
      </c>
      <c r="V435" s="1647" t="s">
        <v>2303</v>
      </c>
      <c r="W435" s="1647" t="s">
        <v>2303</v>
      </c>
      <c r="X435" s="1647" t="s">
        <v>2303</v>
      </c>
      <c r="Y435" s="1647" t="s">
        <v>2303</v>
      </c>
      <c r="Z435" s="1647" t="s">
        <v>2303</v>
      </c>
      <c r="AA435" s="1647" t="s">
        <v>2303</v>
      </c>
      <c r="AB435" s="1789"/>
      <c r="AC435" s="1789"/>
      <c r="AD435" s="1647" t="s">
        <v>2303</v>
      </c>
      <c r="AE435" s="1647" t="s">
        <v>2303</v>
      </c>
      <c r="AF435" s="1647" t="s">
        <v>2303</v>
      </c>
      <c r="AG435" s="1647" t="s">
        <v>2303</v>
      </c>
      <c r="AH435" s="1789"/>
      <c r="AI435" s="1789"/>
      <c r="AJ435" s="1647" t="s">
        <v>2303</v>
      </c>
      <c r="AK435" s="1647" t="s">
        <v>2303</v>
      </c>
      <c r="AL435" s="1654"/>
      <c r="AM435" s="1654"/>
      <c r="AN435" s="1647" t="s">
        <v>2314</v>
      </c>
      <c r="AO435" s="1647" t="s">
        <v>2314</v>
      </c>
      <c r="AP435" s="1647" t="s">
        <v>2314</v>
      </c>
      <c r="AQ435" s="1647" t="s">
        <v>2314</v>
      </c>
      <c r="AR435" s="1647" t="s">
        <v>2314</v>
      </c>
      <c r="AS435" s="1647" t="s">
        <v>2314</v>
      </c>
      <c r="AT435" s="1647" t="s">
        <v>2314</v>
      </c>
      <c r="AU435" s="1647" t="s">
        <v>2314</v>
      </c>
      <c r="AV435" s="1647" t="s">
        <v>2314</v>
      </c>
      <c r="AW435" s="1647" t="s">
        <v>2314</v>
      </c>
      <c r="AX435" s="1647" t="s">
        <v>2314</v>
      </c>
      <c r="AY435" s="1647" t="s">
        <v>2314</v>
      </c>
      <c r="AZ435" s="1647" t="s">
        <v>2314</v>
      </c>
      <c r="BA435" s="1647" t="s">
        <v>2314</v>
      </c>
      <c r="BB435" s="1647" t="s">
        <v>2314</v>
      </c>
      <c r="BC435" s="1647" t="s">
        <v>2314</v>
      </c>
      <c r="BD435" s="1647" t="s">
        <v>2314</v>
      </c>
      <c r="BE435" s="1647" t="s">
        <v>2314</v>
      </c>
      <c r="BF435" s="1647" t="s">
        <v>2314</v>
      </c>
      <c r="BG435" s="1647" t="s">
        <v>2314</v>
      </c>
      <c r="BH435" s="1647" t="s">
        <v>2314</v>
      </c>
      <c r="BI435" s="1647" t="s">
        <v>2314</v>
      </c>
      <c r="BJ435" s="1647" t="s">
        <v>2314</v>
      </c>
      <c r="BK435" s="1647" t="s">
        <v>2314</v>
      </c>
      <c r="BL435" s="1647" t="s">
        <v>2314</v>
      </c>
      <c r="BM435" s="1647" t="s">
        <v>2314</v>
      </c>
      <c r="BN435" s="1647" t="s">
        <v>2314</v>
      </c>
      <c r="BO435" s="1647" t="s">
        <v>2314</v>
      </c>
      <c r="BP435" s="1647" t="s">
        <v>2314</v>
      </c>
      <c r="BQ435" s="1647" t="s">
        <v>2314</v>
      </c>
      <c r="BR435" s="1647" t="s">
        <v>2314</v>
      </c>
      <c r="BS435" s="1647" t="s">
        <v>2314</v>
      </c>
      <c r="BT435" s="1647" t="s">
        <v>2314</v>
      </c>
      <c r="BU435" s="1647" t="s">
        <v>2314</v>
      </c>
      <c r="BV435" s="1647" t="s">
        <v>2314</v>
      </c>
      <c r="BW435" s="1647" t="s">
        <v>2314</v>
      </c>
      <c r="BX435" s="1647" t="s">
        <v>2314</v>
      </c>
      <c r="BY435" s="1647" t="s">
        <v>2314</v>
      </c>
      <c r="BZ435" s="1863"/>
      <c r="EB435" s="1789"/>
      <c r="EC435" s="1789"/>
      <c r="ED435" s="1789"/>
      <c r="EE435" s="1789"/>
      <c r="EF435" s="1789"/>
      <c r="EG435" s="1789"/>
      <c r="EH435" s="1789"/>
      <c r="EI435" s="1789"/>
      <c r="EJ435" s="1789"/>
      <c r="EK435" s="1789"/>
      <c r="EL435" s="1789"/>
    </row>
    <row r="436" spans="1:142" s="1777" customFormat="1" ht="48.75" customHeight="1">
      <c r="A436" s="1653"/>
      <c r="B436" s="1653" t="s">
        <v>4000</v>
      </c>
      <c r="C436" s="1653" t="s">
        <v>369</v>
      </c>
      <c r="D436" s="1653" t="s">
        <v>371</v>
      </c>
      <c r="E436" s="1653" t="s">
        <v>373</v>
      </c>
      <c r="F436" s="1653" t="s">
        <v>375</v>
      </c>
      <c r="G436" s="1653" t="s">
        <v>4001</v>
      </c>
      <c r="H436" s="3161" t="s">
        <v>379</v>
      </c>
      <c r="I436" s="4273" t="s">
        <v>383</v>
      </c>
      <c r="J436" s="1653" t="s">
        <v>385</v>
      </c>
      <c r="K436" s="1653" t="s">
        <v>387</v>
      </c>
      <c r="L436" s="1653" t="s">
        <v>389</v>
      </c>
      <c r="M436" s="1653" t="s">
        <v>391</v>
      </c>
      <c r="N436" s="1653" t="s">
        <v>393</v>
      </c>
      <c r="O436" s="1653" t="s">
        <v>395</v>
      </c>
      <c r="P436" s="1653" t="s">
        <v>397</v>
      </c>
      <c r="Q436" s="2364" t="s">
        <v>401</v>
      </c>
      <c r="R436" s="2366" t="s">
        <v>4002</v>
      </c>
      <c r="S436" s="1653" t="s">
        <v>4003</v>
      </c>
      <c r="T436" s="1653" t="s">
        <v>405</v>
      </c>
      <c r="U436" s="1653" t="s">
        <v>407</v>
      </c>
      <c r="V436" s="1653" t="s">
        <v>409</v>
      </c>
      <c r="W436" s="1653" t="s">
        <v>411</v>
      </c>
      <c r="X436" s="1653" t="s">
        <v>413</v>
      </c>
      <c r="Y436" s="1653" t="s">
        <v>4004</v>
      </c>
      <c r="Z436" s="1653" t="s">
        <v>4005</v>
      </c>
      <c r="AA436" s="1653" t="s">
        <v>419</v>
      </c>
      <c r="AB436" s="2364" t="s">
        <v>423</v>
      </c>
      <c r="AC436" s="2366" t="s">
        <v>4006</v>
      </c>
      <c r="AD436" s="1653" t="s">
        <v>4007</v>
      </c>
      <c r="AE436" s="1653" t="s">
        <v>4008</v>
      </c>
      <c r="AF436" s="1653" t="s">
        <v>104</v>
      </c>
      <c r="AG436" s="1653" t="s">
        <v>430</v>
      </c>
      <c r="AH436" s="2366" t="s">
        <v>4009</v>
      </c>
      <c r="AI436" s="2366" t="s">
        <v>4010</v>
      </c>
      <c r="AJ436" s="1655" t="s">
        <v>2374</v>
      </c>
      <c r="AK436" s="1655" t="s">
        <v>2375</v>
      </c>
      <c r="AL436" s="1656" t="s">
        <v>3745</v>
      </c>
      <c r="AM436" s="1656" t="s">
        <v>3746</v>
      </c>
      <c r="AN436" s="1653" t="s">
        <v>4000</v>
      </c>
      <c r="AO436" s="1653" t="s">
        <v>369</v>
      </c>
      <c r="AP436" s="1653" t="s">
        <v>371</v>
      </c>
      <c r="AQ436" s="1653" t="s">
        <v>373</v>
      </c>
      <c r="AR436" s="1653" t="s">
        <v>375</v>
      </c>
      <c r="AS436" s="1653" t="s">
        <v>4001</v>
      </c>
      <c r="AT436" s="1653" t="s">
        <v>379</v>
      </c>
      <c r="AU436" s="2364" t="s">
        <v>383</v>
      </c>
      <c r="AV436" s="1653" t="s">
        <v>385</v>
      </c>
      <c r="AW436" s="1653" t="s">
        <v>387</v>
      </c>
      <c r="AX436" s="1653" t="s">
        <v>389</v>
      </c>
      <c r="AY436" s="1653" t="s">
        <v>391</v>
      </c>
      <c r="AZ436" s="1653" t="s">
        <v>393</v>
      </c>
      <c r="BA436" s="1653" t="s">
        <v>395</v>
      </c>
      <c r="BB436" s="1653" t="s">
        <v>397</v>
      </c>
      <c r="BC436" s="2364" t="s">
        <v>401</v>
      </c>
      <c r="BD436" s="2366" t="s">
        <v>4002</v>
      </c>
      <c r="BE436" s="1653" t="s">
        <v>4003</v>
      </c>
      <c r="BF436" s="1653" t="s">
        <v>405</v>
      </c>
      <c r="BG436" s="1653" t="s">
        <v>407</v>
      </c>
      <c r="BH436" s="1653" t="s">
        <v>4011</v>
      </c>
      <c r="BI436" s="1653" t="s">
        <v>411</v>
      </c>
      <c r="BJ436" s="1653" t="s">
        <v>413</v>
      </c>
      <c r="BK436" s="1653" t="s">
        <v>415</v>
      </c>
      <c r="BL436" s="1653" t="s">
        <v>4005</v>
      </c>
      <c r="BM436" s="1653" t="s">
        <v>419</v>
      </c>
      <c r="BN436" s="2364" t="s">
        <v>423</v>
      </c>
      <c r="BO436" s="2366" t="s">
        <v>4006</v>
      </c>
      <c r="BP436" s="1653" t="s">
        <v>4007</v>
      </c>
      <c r="BQ436" s="1653" t="s">
        <v>4008</v>
      </c>
      <c r="BR436" s="1653" t="s">
        <v>104</v>
      </c>
      <c r="BS436" s="1653" t="s">
        <v>430</v>
      </c>
      <c r="BT436" s="2366" t="s">
        <v>4009</v>
      </c>
      <c r="BU436" s="2366" t="s">
        <v>4010</v>
      </c>
      <c r="BV436" s="1655" t="s">
        <v>436</v>
      </c>
      <c r="BW436" s="1655" t="s">
        <v>2375</v>
      </c>
      <c r="BX436" s="1656" t="s">
        <v>3745</v>
      </c>
      <c r="BY436" s="1656" t="s">
        <v>3746</v>
      </c>
      <c r="EB436" s="3903"/>
      <c r="EC436" s="3903"/>
      <c r="ED436" s="3903"/>
      <c r="EE436" s="3903"/>
      <c r="EF436" s="3903"/>
      <c r="EG436" s="3903"/>
      <c r="EH436" s="3903"/>
      <c r="EI436" s="3903"/>
      <c r="EJ436" s="3903"/>
      <c r="EK436" s="3903"/>
      <c r="EL436" s="3903"/>
    </row>
    <row r="437" spans="1:142">
      <c r="A437" s="1771" t="str">
        <f>'Contact Information'!A45</f>
        <v>BROWARD COLLEGE</v>
      </c>
      <c r="B437" s="3896">
        <v>45851023</v>
      </c>
      <c r="C437" s="3895">
        <v>7089978</v>
      </c>
      <c r="D437" s="3895">
        <v>2528003</v>
      </c>
      <c r="E437" s="3896">
        <v>9706123</v>
      </c>
      <c r="F437" s="3896">
        <v>368116</v>
      </c>
      <c r="G437" s="3896">
        <v>2442830</v>
      </c>
      <c r="H437" s="3896">
        <v>3096233</v>
      </c>
      <c r="I437" s="4274">
        <f t="shared" ref="I437:I464" si="20">SUM(B437:H437)</f>
        <v>71082306</v>
      </c>
      <c r="J437" s="3896">
        <v>159962200</v>
      </c>
      <c r="K437" s="3896">
        <v>57032233</v>
      </c>
      <c r="L437" s="3896">
        <v>3092900</v>
      </c>
      <c r="M437" s="3895">
        <v>20348906</v>
      </c>
      <c r="N437" s="3896">
        <v>16650134</v>
      </c>
      <c r="O437" s="3896">
        <v>9834454</v>
      </c>
      <c r="P437" s="3896">
        <v>9924234</v>
      </c>
      <c r="Q437" s="2365">
        <f t="shared" ref="Q437:Q464" si="21">SUM(J437:P437)</f>
        <v>276845061</v>
      </c>
      <c r="R437" s="2359">
        <f t="shared" ref="R437:R464" si="22">I437-Q437</f>
        <v>-205762755</v>
      </c>
      <c r="S437" s="3896">
        <v>92814074</v>
      </c>
      <c r="T437" s="3896">
        <v>93143748</v>
      </c>
      <c r="U437" s="3896">
        <v>3433759</v>
      </c>
      <c r="V437" s="3896">
        <v>2292885</v>
      </c>
      <c r="W437" s="3896">
        <v>288619</v>
      </c>
      <c r="X437" s="3896">
        <v>38336</v>
      </c>
      <c r="Y437" s="3896">
        <v>0</v>
      </c>
      <c r="Z437" s="3896">
        <v>-604898</v>
      </c>
      <c r="AA437" s="3896">
        <v>0</v>
      </c>
      <c r="AB437" s="2365">
        <f t="shared" ref="AB437:AB464" si="23">SUM(S437:AA437)</f>
        <v>191406523</v>
      </c>
      <c r="AC437" s="2367">
        <f t="shared" ref="AC437:AC464" si="24">R437+AB437</f>
        <v>-14356232</v>
      </c>
      <c r="AD437" s="3899">
        <v>954400</v>
      </c>
      <c r="AE437" s="3899">
        <v>10133797</v>
      </c>
      <c r="AF437" s="3899">
        <v>0</v>
      </c>
      <c r="AG437" s="3899">
        <v>27746</v>
      </c>
      <c r="AH437" s="2367">
        <f t="shared" ref="AH437:AH464" si="25">SUM(AD437:AG437)</f>
        <v>11115943</v>
      </c>
      <c r="AI437" s="2367">
        <f t="shared" ref="AI437:AI464" si="26">AC437+AH437</f>
        <v>-3240289</v>
      </c>
      <c r="AJ437" s="3900">
        <v>239220789</v>
      </c>
      <c r="AK437" s="3900">
        <v>0</v>
      </c>
      <c r="AL437" s="1657">
        <f t="shared" ref="AL437:AL464" si="27">SUM(AJ437:AK437)</f>
        <v>239220789</v>
      </c>
      <c r="AM437" s="1657">
        <f t="shared" ref="AM437:AM464" si="28">AI437+AL437</f>
        <v>235980500</v>
      </c>
      <c r="AN437" s="1775">
        <v>0</v>
      </c>
      <c r="AO437" s="1775">
        <v>0</v>
      </c>
      <c r="AP437" s="3894">
        <v>0</v>
      </c>
      <c r="AQ437" s="1775">
        <v>0</v>
      </c>
      <c r="AR437" s="1775">
        <v>0</v>
      </c>
      <c r="AS437" s="1775">
        <v>0</v>
      </c>
      <c r="AT437" s="1775">
        <v>13218733</v>
      </c>
      <c r="AU437" s="2365">
        <f t="shared" ref="AU437:AU464" si="29">SUM(AN437:AT437)</f>
        <v>13218733</v>
      </c>
      <c r="AV437" s="3896">
        <v>0</v>
      </c>
      <c r="AW437" s="3896">
        <v>0</v>
      </c>
      <c r="AX437" s="3895">
        <v>0</v>
      </c>
      <c r="AY437" s="3895">
        <v>10475901</v>
      </c>
      <c r="AZ437" s="3895">
        <v>0</v>
      </c>
      <c r="BA437" s="3895">
        <v>0</v>
      </c>
      <c r="BB437" s="3895">
        <v>0</v>
      </c>
      <c r="BC437" s="2365">
        <f t="shared" ref="BC437:BC464" si="30">SUM(AV437:BB437)</f>
        <v>10475901</v>
      </c>
      <c r="BD437" s="2359">
        <f t="shared" ref="BD437:BD464" si="31">AU437-BC437</f>
        <v>2742832</v>
      </c>
      <c r="BE437" s="3896">
        <v>0</v>
      </c>
      <c r="BF437" s="3896">
        <v>0</v>
      </c>
      <c r="BG437" s="3896">
        <v>0</v>
      </c>
      <c r="BH437" s="3896">
        <v>11690630</v>
      </c>
      <c r="BI437" s="3896">
        <v>0</v>
      </c>
      <c r="BJ437" s="3896">
        <v>0</v>
      </c>
      <c r="BK437" s="3896">
        <v>0</v>
      </c>
      <c r="BL437" s="3896">
        <v>0</v>
      </c>
      <c r="BM437" s="3896">
        <v>0</v>
      </c>
      <c r="BN437" s="2365">
        <f t="shared" ref="BN437:BN463" si="32">SUM(BE437:BM437)</f>
        <v>11690630</v>
      </c>
      <c r="BO437" s="2367">
        <f t="shared" ref="BO437:BO464" si="33">BD437+BN437</f>
        <v>14433462</v>
      </c>
      <c r="BP437" s="3899">
        <v>0</v>
      </c>
      <c r="BQ437" s="3899">
        <v>0</v>
      </c>
      <c r="BR437" s="3899">
        <v>0</v>
      </c>
      <c r="BS437" s="3899">
        <v>-2322000</v>
      </c>
      <c r="BT437" s="2367">
        <f t="shared" ref="BT437:BT464" si="34">SUM(BP437:BS437)</f>
        <v>-2322000</v>
      </c>
      <c r="BU437" s="2367">
        <f t="shared" ref="BU437:BU464" si="35">BO437+BT437</f>
        <v>12111462</v>
      </c>
      <c r="BV437" s="3902">
        <v>76034622</v>
      </c>
      <c r="BW437" s="3902">
        <v>0</v>
      </c>
      <c r="BX437" s="1657">
        <f t="shared" ref="BX437:BX464" si="36">SUM(BV437:BW437)</f>
        <v>76034622</v>
      </c>
      <c r="BY437" s="1657">
        <f t="shared" ref="BY437:BY464" si="37">BU437+BX437</f>
        <v>88146084</v>
      </c>
      <c r="BZ437" s="1789" t="s">
        <v>120</v>
      </c>
      <c r="EB437" s="1789"/>
      <c r="EC437" s="1789"/>
      <c r="ED437" s="1789"/>
      <c r="EE437" s="1789"/>
      <c r="EF437" s="1789"/>
      <c r="EG437" s="1789"/>
      <c r="EH437" s="1789"/>
      <c r="EI437" s="1789"/>
      <c r="EJ437" s="1789"/>
      <c r="EK437" s="1789"/>
      <c r="EL437" s="1789"/>
    </row>
    <row r="438" spans="1:142">
      <c r="A438" s="1771" t="str">
        <f>'Contact Information'!A46</f>
        <v>CHIPOLA COLLEGE</v>
      </c>
      <c r="B438" s="3896">
        <v>2369456</v>
      </c>
      <c r="C438" s="3895">
        <v>566022</v>
      </c>
      <c r="D438" s="3895">
        <v>63296</v>
      </c>
      <c r="E438" s="3896">
        <v>295800</v>
      </c>
      <c r="F438" s="3896">
        <v>36618</v>
      </c>
      <c r="G438" s="3896">
        <v>243720</v>
      </c>
      <c r="H438" s="3895">
        <v>36475</v>
      </c>
      <c r="I438" s="4274">
        <f t="shared" si="20"/>
        <v>3611387</v>
      </c>
      <c r="J438" s="3896">
        <v>13017462</v>
      </c>
      <c r="K438" s="3895">
        <v>3717445</v>
      </c>
      <c r="L438" s="3895">
        <v>1163164</v>
      </c>
      <c r="M438" s="3895">
        <v>951828</v>
      </c>
      <c r="N438" s="3896">
        <v>1272277</v>
      </c>
      <c r="O438" s="3896">
        <v>1803964</v>
      </c>
      <c r="P438" s="3895">
        <v>2398428</v>
      </c>
      <c r="Q438" s="2365">
        <f t="shared" si="21"/>
        <v>24324568</v>
      </c>
      <c r="R438" s="2359">
        <f t="shared" si="22"/>
        <v>-20713181</v>
      </c>
      <c r="S438" s="3896">
        <v>12529208</v>
      </c>
      <c r="T438" s="3896">
        <v>4074279</v>
      </c>
      <c r="U438" s="3896">
        <v>757460</v>
      </c>
      <c r="V438" s="3896">
        <v>102285</v>
      </c>
      <c r="W438" s="3896">
        <v>0</v>
      </c>
      <c r="X438" s="3896">
        <v>548445</v>
      </c>
      <c r="Y438" s="3896">
        <v>0</v>
      </c>
      <c r="Z438" s="3896">
        <v>0</v>
      </c>
      <c r="AA438" s="3896">
        <v>0</v>
      </c>
      <c r="AB438" s="2365">
        <f t="shared" si="23"/>
        <v>18011677</v>
      </c>
      <c r="AC438" s="2367">
        <f>R438+AB438</f>
        <v>-2701504</v>
      </c>
      <c r="AD438" s="3899">
        <v>340375</v>
      </c>
      <c r="AE438" s="3899">
        <v>0</v>
      </c>
      <c r="AF438" s="3899">
        <v>0</v>
      </c>
      <c r="AG438" s="3899">
        <v>0</v>
      </c>
      <c r="AH438" s="2367">
        <f t="shared" si="25"/>
        <v>340375</v>
      </c>
      <c r="AI438" s="2367">
        <f t="shared" si="26"/>
        <v>-2361129</v>
      </c>
      <c r="AJ438" s="3900">
        <v>54208953</v>
      </c>
      <c r="AK438" s="3900">
        <v>0</v>
      </c>
      <c r="AL438" s="1657">
        <f t="shared" si="27"/>
        <v>54208953</v>
      </c>
      <c r="AM438" s="1657">
        <f t="shared" si="28"/>
        <v>51847824</v>
      </c>
      <c r="AN438" s="1775">
        <v>0</v>
      </c>
      <c r="AO438" s="1775">
        <v>0</v>
      </c>
      <c r="AP438" s="3894">
        <v>0</v>
      </c>
      <c r="AQ438" s="1775">
        <v>1126339</v>
      </c>
      <c r="AR438" s="1775">
        <v>0</v>
      </c>
      <c r="AS438" s="1775">
        <v>0</v>
      </c>
      <c r="AT438" s="3894">
        <v>0</v>
      </c>
      <c r="AU438" s="2365">
        <f t="shared" si="29"/>
        <v>1126339</v>
      </c>
      <c r="AV438" s="3896">
        <v>0</v>
      </c>
      <c r="AW438" s="3895">
        <v>841365</v>
      </c>
      <c r="AX438" s="3895">
        <v>0</v>
      </c>
      <c r="AY438" s="3895">
        <v>0</v>
      </c>
      <c r="AZ438" s="3896">
        <v>628233</v>
      </c>
      <c r="BA438" s="3895">
        <v>0</v>
      </c>
      <c r="BB438" s="3895">
        <v>0</v>
      </c>
      <c r="BC438" s="2365">
        <f t="shared" si="30"/>
        <v>1469598</v>
      </c>
      <c r="BD438" s="2359">
        <f t="shared" si="31"/>
        <v>-343259</v>
      </c>
      <c r="BE438" s="3896">
        <v>0</v>
      </c>
      <c r="BF438" s="3896">
        <v>0</v>
      </c>
      <c r="BG438" s="3896">
        <v>0</v>
      </c>
      <c r="BH438" s="3896">
        <v>451476</v>
      </c>
      <c r="BI438" s="3896">
        <v>-596430</v>
      </c>
      <c r="BJ438" s="3896">
        <v>0</v>
      </c>
      <c r="BK438" s="3896">
        <v>0</v>
      </c>
      <c r="BL438" s="3896">
        <v>0</v>
      </c>
      <c r="BM438" s="3896">
        <v>0</v>
      </c>
      <c r="BN438" s="2365">
        <f t="shared" si="32"/>
        <v>-144954</v>
      </c>
      <c r="BO438" s="2367">
        <f t="shared" si="33"/>
        <v>-488213</v>
      </c>
      <c r="BP438" s="3899">
        <v>0</v>
      </c>
      <c r="BQ438" s="3899">
        <v>0</v>
      </c>
      <c r="BR438" s="3899">
        <v>75910</v>
      </c>
      <c r="BS438" s="3899">
        <v>0</v>
      </c>
      <c r="BT438" s="2367">
        <f t="shared" si="34"/>
        <v>75910</v>
      </c>
      <c r="BU438" s="2367">
        <f t="shared" si="35"/>
        <v>-412303</v>
      </c>
      <c r="BV438" s="3902">
        <v>20429564</v>
      </c>
      <c r="BW438" s="3902">
        <v>0</v>
      </c>
      <c r="BX438" s="1657">
        <f t="shared" si="36"/>
        <v>20429564</v>
      </c>
      <c r="BY438" s="1657">
        <f t="shared" si="37"/>
        <v>20017261</v>
      </c>
      <c r="BZ438" s="1789" t="s">
        <v>122</v>
      </c>
      <c r="EB438" s="1789"/>
      <c r="EC438" s="1789"/>
      <c r="ED438" s="1789"/>
      <c r="EE438" s="1789"/>
      <c r="EF438" s="1789"/>
      <c r="EG438" s="1789"/>
      <c r="EH438" s="1789"/>
      <c r="EI438" s="1789"/>
      <c r="EJ438" s="1789"/>
      <c r="EK438" s="1789"/>
      <c r="EL438" s="1789"/>
    </row>
    <row r="439" spans="1:142">
      <c r="A439" s="3886" t="str">
        <f>'Contact Information'!A47</f>
        <v>COLLEGE OF CENTRAL FLORIDA</v>
      </c>
      <c r="B439" s="3896">
        <v>7150374</v>
      </c>
      <c r="C439" s="3895">
        <v>2155068</v>
      </c>
      <c r="D439" s="3895">
        <v>192535</v>
      </c>
      <c r="E439" s="3896">
        <v>273930</v>
      </c>
      <c r="F439" s="3895">
        <v>685839</v>
      </c>
      <c r="G439" s="3896">
        <v>863037</v>
      </c>
      <c r="H439" s="3896">
        <v>1784925</v>
      </c>
      <c r="I439" s="4274">
        <f t="shared" si="20"/>
        <v>13105708</v>
      </c>
      <c r="J439" s="3896">
        <v>35989861</v>
      </c>
      <c r="K439" s="3896">
        <v>11701465</v>
      </c>
      <c r="L439" s="3896">
        <v>2070943</v>
      </c>
      <c r="M439" s="3895">
        <v>4616282</v>
      </c>
      <c r="N439" s="3896">
        <v>5089723</v>
      </c>
      <c r="O439" s="3896">
        <v>3283662</v>
      </c>
      <c r="P439" s="3895">
        <v>4068230</v>
      </c>
      <c r="Q439" s="2365">
        <f t="shared" si="21"/>
        <v>66820166</v>
      </c>
      <c r="R439" s="2359">
        <f t="shared" si="22"/>
        <v>-53714458</v>
      </c>
      <c r="S439" s="3896">
        <v>24306287</v>
      </c>
      <c r="T439" s="3896">
        <v>19607685</v>
      </c>
      <c r="U439" s="3896">
        <v>2379439</v>
      </c>
      <c r="V439" s="3896">
        <v>530472</v>
      </c>
      <c r="W439" s="3896">
        <v>0</v>
      </c>
      <c r="X439" s="3896">
        <v>12224</v>
      </c>
      <c r="Y439" s="3896">
        <v>6716</v>
      </c>
      <c r="Z439" s="3896">
        <v>0</v>
      </c>
      <c r="AA439" s="3896">
        <v>0</v>
      </c>
      <c r="AB439" s="2365">
        <f t="shared" si="23"/>
        <v>46842823</v>
      </c>
      <c r="AC439" s="2367">
        <f t="shared" si="24"/>
        <v>-6871635</v>
      </c>
      <c r="AD439" s="3899">
        <v>201986</v>
      </c>
      <c r="AE439" s="3899">
        <v>3103474</v>
      </c>
      <c r="AF439" s="3899">
        <v>537881</v>
      </c>
      <c r="AG439" s="3899">
        <v>0</v>
      </c>
      <c r="AH439" s="2367">
        <f t="shared" si="25"/>
        <v>3843341</v>
      </c>
      <c r="AI439" s="2367">
        <f t="shared" si="26"/>
        <v>-3028294</v>
      </c>
      <c r="AJ439" s="3900">
        <v>89252803</v>
      </c>
      <c r="AK439" s="3900">
        <v>0</v>
      </c>
      <c r="AL439" s="1657">
        <f t="shared" si="27"/>
        <v>89252803</v>
      </c>
      <c r="AM439" s="1657">
        <f t="shared" si="28"/>
        <v>86224509</v>
      </c>
      <c r="AN439" s="1775">
        <v>0</v>
      </c>
      <c r="AO439" s="1775">
        <v>0</v>
      </c>
      <c r="AP439" s="3894">
        <v>0</v>
      </c>
      <c r="AQ439" s="1775">
        <v>0</v>
      </c>
      <c r="AR439" s="1775">
        <v>0</v>
      </c>
      <c r="AS439" s="1775">
        <v>1766022</v>
      </c>
      <c r="AT439" s="3894">
        <v>0</v>
      </c>
      <c r="AU439" s="2365">
        <f t="shared" si="29"/>
        <v>1766022</v>
      </c>
      <c r="AV439" s="3896">
        <v>0</v>
      </c>
      <c r="AW439" s="3896">
        <v>1229240</v>
      </c>
      <c r="AX439" s="3895">
        <v>0</v>
      </c>
      <c r="AY439" s="3895">
        <v>0</v>
      </c>
      <c r="AZ439" s="3896">
        <v>4041547</v>
      </c>
      <c r="BA439" s="3895">
        <v>0</v>
      </c>
      <c r="BB439" s="3895">
        <v>0</v>
      </c>
      <c r="BC439" s="2365">
        <f t="shared" si="30"/>
        <v>5270787</v>
      </c>
      <c r="BD439" s="2359">
        <f t="shared" si="31"/>
        <v>-3504765</v>
      </c>
      <c r="BE439" s="3896">
        <v>0</v>
      </c>
      <c r="BF439" s="3896">
        <v>0</v>
      </c>
      <c r="BG439" s="3896">
        <v>1098213</v>
      </c>
      <c r="BH439" s="3896">
        <v>12167517</v>
      </c>
      <c r="BI439" s="3896">
        <v>0</v>
      </c>
      <c r="BJ439" s="3896">
        <v>0</v>
      </c>
      <c r="BK439" s="3896">
        <v>-38536</v>
      </c>
      <c r="BL439" s="3896">
        <v>-56349</v>
      </c>
      <c r="BM439" s="3896">
        <v>-846351</v>
      </c>
      <c r="BN439" s="2365">
        <f t="shared" si="32"/>
        <v>12324494</v>
      </c>
      <c r="BO439" s="2367">
        <f t="shared" si="33"/>
        <v>8819729</v>
      </c>
      <c r="BP439" s="3899">
        <v>0</v>
      </c>
      <c r="BQ439" s="3899">
        <v>0</v>
      </c>
      <c r="BR439" s="3899">
        <v>834410</v>
      </c>
      <c r="BS439" s="3899">
        <v>0</v>
      </c>
      <c r="BT439" s="2367">
        <f t="shared" si="34"/>
        <v>834410</v>
      </c>
      <c r="BU439" s="2367">
        <f t="shared" si="35"/>
        <v>9654139</v>
      </c>
      <c r="BV439" s="3902">
        <v>93209650</v>
      </c>
      <c r="BW439" s="3902">
        <v>0</v>
      </c>
      <c r="BX439" s="1657">
        <f t="shared" si="36"/>
        <v>93209650</v>
      </c>
      <c r="BY439" s="1657">
        <f t="shared" si="37"/>
        <v>102863789</v>
      </c>
      <c r="BZ439" s="1789" t="s">
        <v>124</v>
      </c>
      <c r="EB439" s="1789"/>
      <c r="EC439" s="1789"/>
      <c r="ED439" s="1789"/>
      <c r="EE439" s="1789"/>
      <c r="EF439" s="1789"/>
      <c r="EG439" s="1789"/>
      <c r="EH439" s="1789"/>
      <c r="EI439" s="1789"/>
      <c r="EJ439" s="1789"/>
      <c r="EK439" s="1789"/>
      <c r="EL439" s="1789"/>
    </row>
    <row r="440" spans="1:142">
      <c r="A440" s="3886" t="str">
        <f>'Contact Information'!A48</f>
        <v>DAYTONA STATE COLLEGE</v>
      </c>
      <c r="B440" s="3896">
        <v>19244341</v>
      </c>
      <c r="C440" s="3895">
        <v>4184965</v>
      </c>
      <c r="D440" s="3895">
        <v>1010917</v>
      </c>
      <c r="E440" s="3896">
        <v>1195600</v>
      </c>
      <c r="F440" s="3896">
        <v>169074</v>
      </c>
      <c r="G440" s="3896">
        <v>952995</v>
      </c>
      <c r="H440" s="3895">
        <v>1171164</v>
      </c>
      <c r="I440" s="4274">
        <f t="shared" si="20"/>
        <v>27929056</v>
      </c>
      <c r="J440" s="3896">
        <v>70119972</v>
      </c>
      <c r="K440" s="3895">
        <v>17624708</v>
      </c>
      <c r="L440" s="3896">
        <v>3826704</v>
      </c>
      <c r="M440" s="3895">
        <v>6551470</v>
      </c>
      <c r="N440" s="3896">
        <v>4837323</v>
      </c>
      <c r="O440" s="3896">
        <v>9945231</v>
      </c>
      <c r="P440" s="3895">
        <v>9251632</v>
      </c>
      <c r="Q440" s="2365">
        <f>SUM(J440:P440)</f>
        <v>122157040</v>
      </c>
      <c r="R440" s="2359">
        <f t="shared" si="22"/>
        <v>-94227984</v>
      </c>
      <c r="S440" s="3896">
        <v>52263208</v>
      </c>
      <c r="T440" s="3896">
        <v>29251372</v>
      </c>
      <c r="U440" s="3896">
        <v>3156761</v>
      </c>
      <c r="V440" s="3896">
        <v>1673897</v>
      </c>
      <c r="W440" s="3896">
        <v>1082027</v>
      </c>
      <c r="X440" s="3896">
        <v>0</v>
      </c>
      <c r="Y440" s="3896">
        <v>-2604419</v>
      </c>
      <c r="Z440" s="3896">
        <v>-302477</v>
      </c>
      <c r="AA440" s="3896">
        <v>18168</v>
      </c>
      <c r="AB440" s="2365">
        <f t="shared" si="23"/>
        <v>84538537</v>
      </c>
      <c r="AC440" s="2367">
        <f>R440+AB440</f>
        <v>-9689447</v>
      </c>
      <c r="AD440" s="3899">
        <v>5654361</v>
      </c>
      <c r="AE440" s="3899">
        <v>2450879</v>
      </c>
      <c r="AF440" s="3899">
        <v>0</v>
      </c>
      <c r="AG440" s="3899">
        <v>0</v>
      </c>
      <c r="AH440" s="2367">
        <f t="shared" si="25"/>
        <v>8105240</v>
      </c>
      <c r="AI440" s="2367">
        <f t="shared" si="26"/>
        <v>-1584207</v>
      </c>
      <c r="AJ440" s="3900">
        <v>198459559</v>
      </c>
      <c r="AK440" s="3900">
        <v>0</v>
      </c>
      <c r="AL440" s="1657">
        <f t="shared" si="27"/>
        <v>198459559</v>
      </c>
      <c r="AM440" s="1657">
        <f t="shared" si="28"/>
        <v>196875352</v>
      </c>
      <c r="AN440" s="1775">
        <v>0</v>
      </c>
      <c r="AO440" s="1775">
        <v>0</v>
      </c>
      <c r="AP440" s="3894">
        <v>325248</v>
      </c>
      <c r="AQ440" s="1775">
        <v>0</v>
      </c>
      <c r="AR440" s="1775">
        <v>0</v>
      </c>
      <c r="AS440" s="1775">
        <v>0</v>
      </c>
      <c r="AT440" s="3894">
        <v>5543505</v>
      </c>
      <c r="AU440" s="2365">
        <f t="shared" si="29"/>
        <v>5868753</v>
      </c>
      <c r="AV440" s="3896">
        <v>325248</v>
      </c>
      <c r="AW440" s="3895">
        <v>961105</v>
      </c>
      <c r="AX440" s="3895">
        <v>0</v>
      </c>
      <c r="AY440" s="3895">
        <v>29198</v>
      </c>
      <c r="AZ440" s="3896">
        <v>1270746</v>
      </c>
      <c r="BA440" s="3896">
        <v>21724</v>
      </c>
      <c r="BB440" s="3895">
        <v>0</v>
      </c>
      <c r="BC440" s="2365">
        <f t="shared" si="30"/>
        <v>2608021</v>
      </c>
      <c r="BD440" s="2359">
        <f t="shared" si="31"/>
        <v>3260732</v>
      </c>
      <c r="BE440" s="3896">
        <v>0</v>
      </c>
      <c r="BF440" s="3896">
        <v>0</v>
      </c>
      <c r="BG440" s="3896">
        <v>1368023</v>
      </c>
      <c r="BH440" s="3896">
        <v>810485</v>
      </c>
      <c r="BI440" s="3896">
        <v>3530416</v>
      </c>
      <c r="BJ440" s="3896">
        <v>0</v>
      </c>
      <c r="BK440" s="3896">
        <v>0</v>
      </c>
      <c r="BL440" s="3896">
        <v>0</v>
      </c>
      <c r="BM440" s="3896">
        <v>0</v>
      </c>
      <c r="BN440" s="2365">
        <f t="shared" si="32"/>
        <v>5708924</v>
      </c>
      <c r="BO440" s="2367">
        <f t="shared" si="33"/>
        <v>8969656</v>
      </c>
      <c r="BP440" s="3899">
        <v>0</v>
      </c>
      <c r="BQ440" s="3899">
        <v>0</v>
      </c>
      <c r="BR440" s="3899">
        <v>0</v>
      </c>
      <c r="BS440" s="3899">
        <v>0</v>
      </c>
      <c r="BT440" s="2367">
        <f t="shared" si="34"/>
        <v>0</v>
      </c>
      <c r="BU440" s="2367">
        <f t="shared" si="35"/>
        <v>8969656</v>
      </c>
      <c r="BV440" s="3902">
        <v>27945081</v>
      </c>
      <c r="BW440" s="3902">
        <v>0</v>
      </c>
      <c r="BX440" s="1657">
        <f t="shared" si="36"/>
        <v>27945081</v>
      </c>
      <c r="BY440" s="1657">
        <f t="shared" si="37"/>
        <v>36914737</v>
      </c>
      <c r="BZ440" s="1789" t="s">
        <v>126</v>
      </c>
      <c r="EB440" s="1789"/>
      <c r="EC440" s="1789"/>
      <c r="ED440" s="1789"/>
      <c r="EE440" s="1789"/>
      <c r="EF440" s="1789"/>
      <c r="EG440" s="1789"/>
      <c r="EH440" s="1789"/>
      <c r="EI440" s="1789"/>
      <c r="EJ440" s="1789"/>
      <c r="EK440" s="1789"/>
      <c r="EL440" s="1789"/>
    </row>
    <row r="441" spans="1:142">
      <c r="A441" s="3886" t="str">
        <f>'Contact Information'!A49</f>
        <v>EASTERN FLORIDA STATE COLLEGE</v>
      </c>
      <c r="B441" s="3897">
        <v>18618382</v>
      </c>
      <c r="C441" s="3897">
        <v>1706027</v>
      </c>
      <c r="D441" s="3895">
        <v>4240410</v>
      </c>
      <c r="E441" s="3896">
        <v>499629</v>
      </c>
      <c r="F441" s="3896">
        <v>94904</v>
      </c>
      <c r="G441" s="3896">
        <v>1613032</v>
      </c>
      <c r="H441" s="3896">
        <v>985335</v>
      </c>
      <c r="I441" s="4274">
        <f t="shared" si="20"/>
        <v>27757719</v>
      </c>
      <c r="J441" s="3896">
        <v>70183210</v>
      </c>
      <c r="K441" s="3895">
        <v>21137272</v>
      </c>
      <c r="L441" s="3895">
        <v>3248589</v>
      </c>
      <c r="M441" s="3895">
        <v>7235552</v>
      </c>
      <c r="N441" s="3896">
        <v>5895914</v>
      </c>
      <c r="O441" s="3896">
        <v>4086269</v>
      </c>
      <c r="P441" s="3895">
        <v>8799092</v>
      </c>
      <c r="Q441" s="2365">
        <f>SUM(J441:P441)</f>
        <v>120585898</v>
      </c>
      <c r="R441" s="2359">
        <f t="shared" si="22"/>
        <v>-92828179</v>
      </c>
      <c r="S441" s="3896">
        <v>44490446</v>
      </c>
      <c r="T441" s="3896">
        <v>29199450</v>
      </c>
      <c r="U441" s="3896">
        <v>6426753</v>
      </c>
      <c r="V441" s="3896">
        <v>846737</v>
      </c>
      <c r="W441" s="3896">
        <v>0</v>
      </c>
      <c r="X441" s="3896">
        <v>0</v>
      </c>
      <c r="Y441" s="3896">
        <v>73944</v>
      </c>
      <c r="Z441" s="3896">
        <v>-62115</v>
      </c>
      <c r="AA441" s="3896">
        <v>0</v>
      </c>
      <c r="AB441" s="2365">
        <f>SUM(S441:AA441)</f>
        <v>80975215</v>
      </c>
      <c r="AC441" s="2367">
        <f>R441+AB441</f>
        <v>-11852964</v>
      </c>
      <c r="AD441" s="3899">
        <v>605340</v>
      </c>
      <c r="AE441" s="3899">
        <v>7618777</v>
      </c>
      <c r="AF441" s="3899">
        <v>0</v>
      </c>
      <c r="AG441" s="3899">
        <v>0</v>
      </c>
      <c r="AH441" s="2367">
        <f>SUM(AD441:AG441)</f>
        <v>8224117</v>
      </c>
      <c r="AI441" s="2367">
        <f>AC441+AH441</f>
        <v>-3628847</v>
      </c>
      <c r="AJ441" s="3900">
        <v>123223792</v>
      </c>
      <c r="AK441" s="3900">
        <v>0</v>
      </c>
      <c r="AL441" s="1657">
        <f>SUM(AJ441:AK441)</f>
        <v>123223792</v>
      </c>
      <c r="AM441" s="1657">
        <f>AI441+AL441</f>
        <v>119594945</v>
      </c>
      <c r="AN441" s="1775">
        <v>0</v>
      </c>
      <c r="AO441" s="1775">
        <v>0</v>
      </c>
      <c r="AP441" s="1775">
        <v>0</v>
      </c>
      <c r="AQ441" s="1775">
        <v>0</v>
      </c>
      <c r="AR441" s="1775">
        <v>0</v>
      </c>
      <c r="AS441" s="1775">
        <v>0</v>
      </c>
      <c r="AT441" s="1775">
        <v>149882</v>
      </c>
      <c r="AU441" s="2365">
        <f>SUM(AN441:AT441)</f>
        <v>149882</v>
      </c>
      <c r="AV441" s="3896">
        <v>201721</v>
      </c>
      <c r="AW441" s="3895">
        <v>814775</v>
      </c>
      <c r="AX441" s="3895">
        <v>2030</v>
      </c>
      <c r="AY441" s="3895">
        <v>260820</v>
      </c>
      <c r="AZ441" s="3896">
        <v>161709</v>
      </c>
      <c r="BA441" s="3896">
        <v>68704</v>
      </c>
      <c r="BB441" s="3895">
        <v>1960</v>
      </c>
      <c r="BC441" s="2365">
        <f>SUM(AV441:BB441)</f>
        <v>1511719</v>
      </c>
      <c r="BD441" s="2359">
        <f>AU441-BC441</f>
        <v>-1361837</v>
      </c>
      <c r="BE441" s="3896">
        <v>0</v>
      </c>
      <c r="BF441" s="3896">
        <v>0</v>
      </c>
      <c r="BG441" s="3896">
        <v>1073119</v>
      </c>
      <c r="BH441" s="3896">
        <v>1092386</v>
      </c>
      <c r="BI441" s="3896">
        <v>-8335</v>
      </c>
      <c r="BJ441" s="3896">
        <v>0</v>
      </c>
      <c r="BK441" s="3896">
        <v>0</v>
      </c>
      <c r="BL441" s="3896">
        <v>0</v>
      </c>
      <c r="BM441" s="3896">
        <v>-973</v>
      </c>
      <c r="BN441" s="2365">
        <f>SUM(BE441:BM441)</f>
        <v>2156197</v>
      </c>
      <c r="BO441" s="2367">
        <f>BD441+BN441</f>
        <v>794360</v>
      </c>
      <c r="BP441" s="3899">
        <v>0</v>
      </c>
      <c r="BQ441" s="3899">
        <v>0</v>
      </c>
      <c r="BR441" s="3899">
        <v>342415</v>
      </c>
      <c r="BS441" s="3899">
        <v>0</v>
      </c>
      <c r="BT441" s="2367">
        <f>SUM(BP441:BS441)</f>
        <v>342415</v>
      </c>
      <c r="BU441" s="2367">
        <f>BO441+BT441</f>
        <v>1136775</v>
      </c>
      <c r="BV441" s="3902">
        <v>22494472</v>
      </c>
      <c r="BW441" s="3902">
        <v>0</v>
      </c>
      <c r="BX441" s="1657">
        <f>SUM(BV441:BW441)</f>
        <v>22494472</v>
      </c>
      <c r="BY441" s="1657">
        <f>BU441+BX441</f>
        <v>23631247</v>
      </c>
      <c r="BZ441" s="1789" t="s">
        <v>128</v>
      </c>
    </row>
    <row r="442" spans="1:142">
      <c r="A442" s="3886" t="str">
        <f>'Contact Information'!A52</f>
        <v>FLORIDA SOUTHWESTERN STATE COLLEGE</v>
      </c>
      <c r="B442" s="3896">
        <v>16533570</v>
      </c>
      <c r="C442" s="3895">
        <v>883999</v>
      </c>
      <c r="D442" s="3895">
        <v>3532131</v>
      </c>
      <c r="E442" s="3896">
        <v>2809360</v>
      </c>
      <c r="F442" s="3896">
        <v>880073</v>
      </c>
      <c r="G442" s="3896">
        <v>4657259</v>
      </c>
      <c r="H442" s="3895">
        <v>630224</v>
      </c>
      <c r="I442" s="4274">
        <f t="shared" si="20"/>
        <v>29926616</v>
      </c>
      <c r="J442" s="3896">
        <v>67523383</v>
      </c>
      <c r="K442" s="3896">
        <v>16350911</v>
      </c>
      <c r="L442" s="3896">
        <v>2829388</v>
      </c>
      <c r="M442" s="3895">
        <v>12092647</v>
      </c>
      <c r="N442" s="3896">
        <v>6770263</v>
      </c>
      <c r="O442" s="3896">
        <v>4600870</v>
      </c>
      <c r="P442" s="3896">
        <v>6891373</v>
      </c>
      <c r="Q442" s="2365">
        <f t="shared" si="21"/>
        <v>117058835</v>
      </c>
      <c r="R442" s="2359">
        <f t="shared" si="22"/>
        <v>-87132219</v>
      </c>
      <c r="S442" s="3896">
        <v>39346252</v>
      </c>
      <c r="T442" s="3896">
        <v>30208840</v>
      </c>
      <c r="U442" s="3896">
        <v>6154310</v>
      </c>
      <c r="V442" s="3896">
        <v>423983</v>
      </c>
      <c r="W442" s="3896">
        <v>275783</v>
      </c>
      <c r="X442" s="3896">
        <v>610879</v>
      </c>
      <c r="Y442" s="3896">
        <v>0</v>
      </c>
      <c r="Z442" s="3896">
        <v>-1177434</v>
      </c>
      <c r="AA442" s="3896">
        <v>0</v>
      </c>
      <c r="AB442" s="2365">
        <f t="shared" si="23"/>
        <v>75842613</v>
      </c>
      <c r="AC442" s="2367">
        <f t="shared" si="24"/>
        <v>-11289606</v>
      </c>
      <c r="AD442" s="3899">
        <v>813603</v>
      </c>
      <c r="AE442" s="3899">
        <v>4465344</v>
      </c>
      <c r="AF442" s="3899">
        <v>0</v>
      </c>
      <c r="AG442" s="3899">
        <v>0</v>
      </c>
      <c r="AH442" s="2367">
        <f t="shared" si="25"/>
        <v>5278947</v>
      </c>
      <c r="AI442" s="2367">
        <f t="shared" si="26"/>
        <v>-6010659</v>
      </c>
      <c r="AJ442" s="3900">
        <v>145290642</v>
      </c>
      <c r="AK442" s="3900">
        <v>0</v>
      </c>
      <c r="AL442" s="1657">
        <f t="shared" si="27"/>
        <v>145290642</v>
      </c>
      <c r="AM442" s="1657">
        <f t="shared" si="28"/>
        <v>139279983</v>
      </c>
      <c r="AN442" s="1775">
        <v>0</v>
      </c>
      <c r="AO442" s="1775">
        <v>0</v>
      </c>
      <c r="AP442" s="1775">
        <v>0</v>
      </c>
      <c r="AQ442" s="1775">
        <v>2665885</v>
      </c>
      <c r="AR442" s="1775">
        <v>0</v>
      </c>
      <c r="AS442" s="1775">
        <v>0</v>
      </c>
      <c r="AT442" s="3894">
        <v>0</v>
      </c>
      <c r="AU442" s="2365">
        <f t="shared" si="29"/>
        <v>2665885</v>
      </c>
      <c r="AV442" s="3896">
        <v>0</v>
      </c>
      <c r="AW442" s="3896">
        <v>2528901</v>
      </c>
      <c r="AX442" s="3895">
        <v>0</v>
      </c>
      <c r="AY442" s="3895">
        <v>623465</v>
      </c>
      <c r="AZ442" s="3896">
        <v>1012856</v>
      </c>
      <c r="BA442" s="3896">
        <v>0</v>
      </c>
      <c r="BB442" s="3896">
        <v>0</v>
      </c>
      <c r="BC442" s="2365">
        <f t="shared" si="30"/>
        <v>4165222</v>
      </c>
      <c r="BD442" s="2359">
        <f t="shared" si="31"/>
        <v>-1499337</v>
      </c>
      <c r="BE442" s="3896">
        <v>0</v>
      </c>
      <c r="BF442" s="3896">
        <v>0</v>
      </c>
      <c r="BG442" s="3896">
        <v>0</v>
      </c>
      <c r="BH442" s="3896">
        <v>1554998</v>
      </c>
      <c r="BI442" s="3896">
        <v>-2913145</v>
      </c>
      <c r="BJ442" s="3896">
        <v>0</v>
      </c>
      <c r="BK442" s="3896">
        <v>0</v>
      </c>
      <c r="BL442" s="3896">
        <v>0</v>
      </c>
      <c r="BM442" s="3896">
        <v>0</v>
      </c>
      <c r="BN442" s="2365">
        <f t="shared" si="32"/>
        <v>-1358147</v>
      </c>
      <c r="BO442" s="2367">
        <f t="shared" si="33"/>
        <v>-2857484</v>
      </c>
      <c r="BP442" s="3899">
        <v>0</v>
      </c>
      <c r="BQ442" s="3899">
        <v>0</v>
      </c>
      <c r="BR442" s="3899">
        <v>33775</v>
      </c>
      <c r="BS442" s="3899">
        <v>0</v>
      </c>
      <c r="BT442" s="2367">
        <f t="shared" si="34"/>
        <v>33775</v>
      </c>
      <c r="BU442" s="2367">
        <f t="shared" si="35"/>
        <v>-2823709</v>
      </c>
      <c r="BV442" s="3902">
        <v>44454458</v>
      </c>
      <c r="BW442" s="3902">
        <v>0</v>
      </c>
      <c r="BX442" s="1657">
        <f t="shared" si="36"/>
        <v>44454458</v>
      </c>
      <c r="BY442" s="1657">
        <f t="shared" si="37"/>
        <v>41630749</v>
      </c>
      <c r="BZ442" s="1789" t="s">
        <v>130</v>
      </c>
    </row>
    <row r="443" spans="1:142">
      <c r="A443" s="3886" t="str">
        <f>'Contact Information'!A50</f>
        <v>FLORIDA GATEWAY COLLEGE</v>
      </c>
      <c r="B443" s="3896">
        <v>2578237.86</v>
      </c>
      <c r="C443" s="3895">
        <v>440947.96</v>
      </c>
      <c r="D443" s="3895">
        <v>35040</v>
      </c>
      <c r="E443" s="3896">
        <v>290925.38</v>
      </c>
      <c r="F443" s="3896">
        <v>10325.51</v>
      </c>
      <c r="G443" s="3896">
        <v>212021.84</v>
      </c>
      <c r="H443" s="3896">
        <v>153152.25</v>
      </c>
      <c r="I443" s="4274">
        <f t="shared" si="20"/>
        <v>3720650.7999999993</v>
      </c>
      <c r="J443" s="3896">
        <v>18334856.449999999</v>
      </c>
      <c r="K443" s="3896">
        <v>4273725.74</v>
      </c>
      <c r="L443" s="3895">
        <v>739632.53</v>
      </c>
      <c r="M443" s="3895">
        <v>1684240.05</v>
      </c>
      <c r="N443" s="3896">
        <v>1667542.52</v>
      </c>
      <c r="O443" s="3896">
        <v>1350537.01</v>
      </c>
      <c r="P443" s="3895">
        <v>2449796.02</v>
      </c>
      <c r="Q443" s="2365">
        <f t="shared" si="21"/>
        <v>30500330.32</v>
      </c>
      <c r="R443" s="2359">
        <f t="shared" si="22"/>
        <v>-26779679.52</v>
      </c>
      <c r="S443" s="3896">
        <v>14581018.970000001</v>
      </c>
      <c r="T443" s="3896">
        <v>7850625.5300000003</v>
      </c>
      <c r="U443" s="3896">
        <v>618164.68000000005</v>
      </c>
      <c r="V443" s="3896">
        <v>109386.56</v>
      </c>
      <c r="W443" s="3896">
        <v>0</v>
      </c>
      <c r="X443" s="3896">
        <v>72094.84</v>
      </c>
      <c r="Y443" s="3896">
        <v>0</v>
      </c>
      <c r="Z443" s="3896">
        <v>-268201.40999999997</v>
      </c>
      <c r="AA443" s="3896">
        <v>0</v>
      </c>
      <c r="AB443" s="2365">
        <f t="shared" si="23"/>
        <v>22963089.169999998</v>
      </c>
      <c r="AC443" s="2367">
        <f t="shared" si="24"/>
        <v>-3816590.3500000015</v>
      </c>
      <c r="AD443" s="3899">
        <v>91600</v>
      </c>
      <c r="AE443" s="3899">
        <v>927709.78</v>
      </c>
      <c r="AF443" s="3899">
        <v>0</v>
      </c>
      <c r="AG443" s="3899">
        <v>0</v>
      </c>
      <c r="AH443" s="2367">
        <f t="shared" si="25"/>
        <v>1019309.78</v>
      </c>
      <c r="AI443" s="2367">
        <f t="shared" si="26"/>
        <v>-2797280.5700000012</v>
      </c>
      <c r="AJ443" s="3900">
        <v>31630425.370000001</v>
      </c>
      <c r="AK443" s="3900">
        <v>0</v>
      </c>
      <c r="AL443" s="1657">
        <f t="shared" si="27"/>
        <v>31630425.370000001</v>
      </c>
      <c r="AM443" s="1657">
        <f t="shared" si="28"/>
        <v>28833144.800000001</v>
      </c>
      <c r="AN443" s="1775">
        <v>0</v>
      </c>
      <c r="AO443" s="1775">
        <v>0</v>
      </c>
      <c r="AP443" s="1775">
        <v>0</v>
      </c>
      <c r="AQ443" s="1775">
        <v>0</v>
      </c>
      <c r="AR443" s="1775">
        <v>0</v>
      </c>
      <c r="AS443" s="1775">
        <v>0</v>
      </c>
      <c r="AT443" s="1775">
        <v>1779931</v>
      </c>
      <c r="AU443" s="2365">
        <f t="shared" si="29"/>
        <v>1779931</v>
      </c>
      <c r="AV443" s="3896">
        <v>0</v>
      </c>
      <c r="AW443" s="3896">
        <v>616157</v>
      </c>
      <c r="AX443" s="3895">
        <v>0</v>
      </c>
      <c r="AY443" s="3895">
        <v>825307</v>
      </c>
      <c r="AZ443" s="3896">
        <v>248216</v>
      </c>
      <c r="BA443" s="3896">
        <v>0</v>
      </c>
      <c r="BB443" s="3895">
        <v>5954</v>
      </c>
      <c r="BC443" s="2365">
        <f t="shared" si="30"/>
        <v>1695634</v>
      </c>
      <c r="BD443" s="2359">
        <f t="shared" si="31"/>
        <v>84297</v>
      </c>
      <c r="BE443" s="3896">
        <v>0</v>
      </c>
      <c r="BF443" s="3896">
        <v>0</v>
      </c>
      <c r="BG443" s="3896">
        <v>0</v>
      </c>
      <c r="BH443" s="3896">
        <v>321342</v>
      </c>
      <c r="BI443" s="3896">
        <v>-757236</v>
      </c>
      <c r="BJ443" s="3896">
        <v>0</v>
      </c>
      <c r="BK443" s="3896"/>
      <c r="BL443" s="3896">
        <v>0</v>
      </c>
      <c r="BM443" s="3896">
        <v>-51634</v>
      </c>
      <c r="BN443" s="2365">
        <f t="shared" si="32"/>
        <v>-487528</v>
      </c>
      <c r="BO443" s="2367">
        <f t="shared" si="33"/>
        <v>-403231</v>
      </c>
      <c r="BP443" s="3899">
        <v>0</v>
      </c>
      <c r="BQ443" s="3899">
        <v>195551</v>
      </c>
      <c r="BR443" s="3899">
        <v>0</v>
      </c>
      <c r="BS443" s="3899">
        <v>0</v>
      </c>
      <c r="BT443" s="2367">
        <f t="shared" si="34"/>
        <v>195551</v>
      </c>
      <c r="BU443" s="2367">
        <f t="shared" si="35"/>
        <v>-207680</v>
      </c>
      <c r="BV443" s="3902">
        <v>18371446</v>
      </c>
      <c r="BW443" s="3902">
        <v>0</v>
      </c>
      <c r="BX443" s="1657">
        <f t="shared" si="36"/>
        <v>18371446</v>
      </c>
      <c r="BY443" s="1657">
        <f t="shared" si="37"/>
        <v>18163766</v>
      </c>
      <c r="BZ443" s="1789" t="s">
        <v>132</v>
      </c>
    </row>
    <row r="444" spans="1:142">
      <c r="A444" s="3886" t="str">
        <f>'Contact Information'!A51</f>
        <v>THE COLLEGE OF THE FLORIDA KEYS</v>
      </c>
      <c r="B444" s="3896">
        <v>1939041</v>
      </c>
      <c r="C444" s="3895">
        <v>153769</v>
      </c>
      <c r="D444" s="3895">
        <v>16234</v>
      </c>
      <c r="E444" s="3896">
        <v>169210</v>
      </c>
      <c r="F444" s="3895">
        <v>0</v>
      </c>
      <c r="G444" s="3896">
        <v>82685</v>
      </c>
      <c r="H444" s="3896">
        <v>94887</v>
      </c>
      <c r="I444" s="4274">
        <f t="shared" si="20"/>
        <v>2455826</v>
      </c>
      <c r="J444" s="3896">
        <v>9736722</v>
      </c>
      <c r="K444" s="3895">
        <v>549525</v>
      </c>
      <c r="L444" s="3896">
        <v>634431</v>
      </c>
      <c r="M444" s="3895">
        <v>1257827</v>
      </c>
      <c r="N444" s="3896">
        <v>882522</v>
      </c>
      <c r="O444" s="3896">
        <v>470050</v>
      </c>
      <c r="P444" s="3895">
        <v>1368042</v>
      </c>
      <c r="Q444" s="2365">
        <f t="shared" si="21"/>
        <v>14899119</v>
      </c>
      <c r="R444" s="2359">
        <f t="shared" si="22"/>
        <v>-12443293</v>
      </c>
      <c r="S444" s="3896">
        <v>7635723</v>
      </c>
      <c r="T444" s="3896">
        <v>1464248</v>
      </c>
      <c r="U444" s="3896">
        <v>3874104</v>
      </c>
      <c r="V444" s="3896">
        <v>76305</v>
      </c>
      <c r="W444" s="3896">
        <v>0</v>
      </c>
      <c r="X444" s="3896">
        <v>0</v>
      </c>
      <c r="Y444" s="3896">
        <v>0</v>
      </c>
      <c r="Z444" s="3896">
        <v>-50</v>
      </c>
      <c r="AA444" s="3896">
        <v>0</v>
      </c>
      <c r="AB444" s="2365">
        <f t="shared" si="23"/>
        <v>13050330</v>
      </c>
      <c r="AC444" s="2367">
        <f t="shared" si="24"/>
        <v>607037</v>
      </c>
      <c r="AD444" s="3899">
        <v>34800</v>
      </c>
      <c r="AE444" s="3899">
        <v>266795</v>
      </c>
      <c r="AF444" s="3899">
        <v>0</v>
      </c>
      <c r="AG444" s="3899">
        <v>0</v>
      </c>
      <c r="AH444" s="2367">
        <f t="shared" si="25"/>
        <v>301595</v>
      </c>
      <c r="AI444" s="2367">
        <f t="shared" si="26"/>
        <v>908632</v>
      </c>
      <c r="AJ444" s="3900">
        <v>36363278</v>
      </c>
      <c r="AK444" s="3900">
        <v>0</v>
      </c>
      <c r="AL444" s="1657">
        <f t="shared" si="27"/>
        <v>36363278</v>
      </c>
      <c r="AM444" s="1657">
        <f t="shared" si="28"/>
        <v>37271910</v>
      </c>
      <c r="AN444" s="1775">
        <v>0</v>
      </c>
      <c r="AO444" s="1775">
        <v>0</v>
      </c>
      <c r="AP444" s="1775">
        <v>0</v>
      </c>
      <c r="AQ444" s="1775">
        <v>0</v>
      </c>
      <c r="AR444" s="1775">
        <v>0</v>
      </c>
      <c r="AS444" s="1775">
        <v>0</v>
      </c>
      <c r="AT444" s="1775">
        <v>803979</v>
      </c>
      <c r="AU444" s="2365">
        <f t="shared" si="29"/>
        <v>803979</v>
      </c>
      <c r="AV444" s="3896">
        <v>0</v>
      </c>
      <c r="AW444" s="3895">
        <v>167882</v>
      </c>
      <c r="AX444" s="3895">
        <v>0</v>
      </c>
      <c r="AY444" s="3895">
        <v>0</v>
      </c>
      <c r="AZ444" s="3896">
        <v>1397532</v>
      </c>
      <c r="BA444" s="3896">
        <v>0</v>
      </c>
      <c r="BB444" s="3895">
        <v>2720</v>
      </c>
      <c r="BC444" s="2365">
        <f t="shared" si="30"/>
        <v>1568134</v>
      </c>
      <c r="BD444" s="2359">
        <f t="shared" si="31"/>
        <v>-764155</v>
      </c>
      <c r="BE444" s="3896">
        <v>0</v>
      </c>
      <c r="BF444" s="3896">
        <v>0</v>
      </c>
      <c r="BG444" s="3896">
        <v>0</v>
      </c>
      <c r="BH444" s="3896">
        <v>-675103</v>
      </c>
      <c r="BI444" s="3896">
        <v>0</v>
      </c>
      <c r="BJ444" s="3896">
        <v>0</v>
      </c>
      <c r="BK444" s="3896">
        <v>0</v>
      </c>
      <c r="BL444" s="3896">
        <v>0</v>
      </c>
      <c r="BM444" s="3896">
        <v>0</v>
      </c>
      <c r="BN444" s="2365">
        <f t="shared" si="32"/>
        <v>-675103</v>
      </c>
      <c r="BO444" s="2367">
        <f t="shared" si="33"/>
        <v>-1439258</v>
      </c>
      <c r="BP444" s="3899">
        <v>0</v>
      </c>
      <c r="BQ444" s="3899">
        <v>0</v>
      </c>
      <c r="BR444" s="3899">
        <v>0</v>
      </c>
      <c r="BS444" s="3899">
        <v>0</v>
      </c>
      <c r="BT444" s="2367">
        <f t="shared" si="34"/>
        <v>0</v>
      </c>
      <c r="BU444" s="2367">
        <f t="shared" si="35"/>
        <v>-1439258</v>
      </c>
      <c r="BV444" s="3902">
        <v>6022913</v>
      </c>
      <c r="BW444" s="3902">
        <v>0</v>
      </c>
      <c r="BX444" s="1657">
        <f t="shared" si="36"/>
        <v>6022913</v>
      </c>
      <c r="BY444" s="1657">
        <f t="shared" si="37"/>
        <v>4583655</v>
      </c>
      <c r="BZ444" s="1789" t="s">
        <v>763</v>
      </c>
    </row>
    <row r="445" spans="1:142">
      <c r="A445" s="3886" t="str">
        <f>'Contact Information'!A53</f>
        <v>FLORIDA STATE COLLEGE AT JACKSONVILLE</v>
      </c>
      <c r="B445" s="3895">
        <v>38053849</v>
      </c>
      <c r="C445" s="3896">
        <v>0</v>
      </c>
      <c r="D445" s="3896">
        <v>1257950</v>
      </c>
      <c r="E445" s="3896">
        <v>175792</v>
      </c>
      <c r="F445" s="3896">
        <v>226850</v>
      </c>
      <c r="G445" s="3896">
        <v>1200023</v>
      </c>
      <c r="H445" s="3896">
        <v>61824</v>
      </c>
      <c r="I445" s="4274">
        <f t="shared" si="20"/>
        <v>40976288</v>
      </c>
      <c r="J445" s="3896">
        <v>118220214</v>
      </c>
      <c r="K445" s="3896">
        <v>35246444</v>
      </c>
      <c r="L445" s="3896">
        <v>3998536</v>
      </c>
      <c r="M445" s="3895">
        <v>13321556</v>
      </c>
      <c r="N445" s="3896">
        <v>4926107</v>
      </c>
      <c r="O445" s="3896">
        <v>16355411</v>
      </c>
      <c r="P445" s="3895">
        <v>12306749</v>
      </c>
      <c r="Q445" s="2365">
        <f t="shared" si="21"/>
        <v>204375017</v>
      </c>
      <c r="R445" s="2359">
        <f t="shared" si="22"/>
        <v>-163398729</v>
      </c>
      <c r="S445" s="3896">
        <v>79373679</v>
      </c>
      <c r="T445" s="3896">
        <v>51073683</v>
      </c>
      <c r="U445" s="3896">
        <v>12189776</v>
      </c>
      <c r="V445" s="3896">
        <v>2257381</v>
      </c>
      <c r="W445" s="3896">
        <v>0</v>
      </c>
      <c r="X445" s="3896">
        <v>14027</v>
      </c>
      <c r="Y445" s="3896">
        <v>-80787</v>
      </c>
      <c r="Z445" s="3896">
        <v>-613673</v>
      </c>
      <c r="AA445" s="3896">
        <v>0</v>
      </c>
      <c r="AB445" s="2365">
        <f t="shared" si="23"/>
        <v>144214086</v>
      </c>
      <c r="AC445" s="2367">
        <f t="shared" si="24"/>
        <v>-19184643</v>
      </c>
      <c r="AD445" s="3899">
        <v>1111600</v>
      </c>
      <c r="AE445" s="3899">
        <v>4763682</v>
      </c>
      <c r="AF445" s="3899">
        <v>0</v>
      </c>
      <c r="AG445" s="3899">
        <v>0</v>
      </c>
      <c r="AH445" s="2367">
        <f t="shared" si="25"/>
        <v>5875282</v>
      </c>
      <c r="AI445" s="2367">
        <f t="shared" si="26"/>
        <v>-13309361</v>
      </c>
      <c r="AJ445" s="3900">
        <v>199011952</v>
      </c>
      <c r="AK445" s="3900">
        <v>0</v>
      </c>
      <c r="AL445" s="1657">
        <f>SUM(AJ445:AK445)</f>
        <v>199011952</v>
      </c>
      <c r="AM445" s="1657">
        <f t="shared" si="28"/>
        <v>185702591</v>
      </c>
      <c r="AN445" s="1775">
        <v>0</v>
      </c>
      <c r="AO445" s="1775">
        <v>0</v>
      </c>
      <c r="AP445" s="1775">
        <v>0</v>
      </c>
      <c r="AQ445" s="1775">
        <v>0</v>
      </c>
      <c r="AR445" s="1775">
        <v>0</v>
      </c>
      <c r="AS445" s="1775">
        <v>5853562</v>
      </c>
      <c r="AT445" s="1775">
        <v>9270</v>
      </c>
      <c r="AU445" s="2365">
        <f t="shared" si="29"/>
        <v>5862832</v>
      </c>
      <c r="AV445" s="3896">
        <v>1570345</v>
      </c>
      <c r="AW445" s="3896">
        <v>691665</v>
      </c>
      <c r="AX445" s="3895">
        <v>0</v>
      </c>
      <c r="AY445" s="3895">
        <v>4987515</v>
      </c>
      <c r="AZ445" s="3896">
        <v>679613</v>
      </c>
      <c r="BA445" s="3896">
        <v>323483</v>
      </c>
      <c r="BB445" s="3895">
        <v>0</v>
      </c>
      <c r="BC445" s="2365">
        <f t="shared" si="30"/>
        <v>8252621</v>
      </c>
      <c r="BD445" s="2359">
        <f t="shared" si="31"/>
        <v>-2389789</v>
      </c>
      <c r="BE445" s="3896">
        <v>0</v>
      </c>
      <c r="BF445" s="3896">
        <v>0</v>
      </c>
      <c r="BG445" s="3896">
        <v>1137895</v>
      </c>
      <c r="BH445" s="3896">
        <v>2774866</v>
      </c>
      <c r="BI445" s="3896">
        <v>0</v>
      </c>
      <c r="BJ445" s="3896">
        <v>0</v>
      </c>
      <c r="BK445" s="3896">
        <v>0</v>
      </c>
      <c r="BL445" s="3896">
        <v>0</v>
      </c>
      <c r="BM445" s="3896">
        <v>0</v>
      </c>
      <c r="BN445" s="2365">
        <f t="shared" si="32"/>
        <v>3912761</v>
      </c>
      <c r="BO445" s="2367">
        <f t="shared" si="33"/>
        <v>1522972</v>
      </c>
      <c r="BP445" s="3899">
        <v>0</v>
      </c>
      <c r="BQ445" s="3899">
        <v>0</v>
      </c>
      <c r="BR445" s="3899">
        <v>168240</v>
      </c>
      <c r="BS445" s="3899">
        <v>0</v>
      </c>
      <c r="BT445" s="2367">
        <f t="shared" si="34"/>
        <v>168240</v>
      </c>
      <c r="BU445" s="2367">
        <f t="shared" si="35"/>
        <v>1691212</v>
      </c>
      <c r="BV445" s="3902">
        <v>54893354</v>
      </c>
      <c r="BW445" s="3902">
        <v>0</v>
      </c>
      <c r="BX445" s="1657">
        <f t="shared" si="36"/>
        <v>54893354</v>
      </c>
      <c r="BY445" s="1657">
        <f t="shared" si="37"/>
        <v>56584566</v>
      </c>
      <c r="BZ445" s="1789" t="s">
        <v>136</v>
      </c>
    </row>
    <row r="446" spans="1:142">
      <c r="A446" s="3886" t="str">
        <f>'Contact Information'!A54</f>
        <v>GULF COAST STATE COLLEGE</v>
      </c>
      <c r="B446" s="3897">
        <v>4505273</v>
      </c>
      <c r="C446" s="3898">
        <v>3131370</v>
      </c>
      <c r="D446" s="3898">
        <v>108000</v>
      </c>
      <c r="E446" s="3897">
        <v>2184922</v>
      </c>
      <c r="F446" s="3897">
        <v>18057</v>
      </c>
      <c r="G446" s="3897">
        <v>1384663</v>
      </c>
      <c r="H446" s="3897">
        <v>230793</v>
      </c>
      <c r="I446" s="4274">
        <f t="shared" si="20"/>
        <v>11563078</v>
      </c>
      <c r="J446" s="3896">
        <v>28169014</v>
      </c>
      <c r="K446" s="3895">
        <v>5664492</v>
      </c>
      <c r="L446" s="3896">
        <v>1896305</v>
      </c>
      <c r="M446" s="3895">
        <v>4265681</v>
      </c>
      <c r="N446" s="3896">
        <v>3476746</v>
      </c>
      <c r="O446" s="3896">
        <v>32015215</v>
      </c>
      <c r="P446" s="3895">
        <v>4835072</v>
      </c>
      <c r="Q446" s="2365">
        <f t="shared" si="21"/>
        <v>80322525</v>
      </c>
      <c r="R446" s="2359">
        <f t="shared" si="22"/>
        <v>-68759447</v>
      </c>
      <c r="S446" s="3896">
        <v>22975111</v>
      </c>
      <c r="T446" s="3896">
        <v>9850273</v>
      </c>
      <c r="U446" s="3896">
        <v>2493905</v>
      </c>
      <c r="V446" s="3896">
        <v>124002</v>
      </c>
      <c r="W446" s="3896">
        <v>0</v>
      </c>
      <c r="X446" s="3896">
        <v>31599284</v>
      </c>
      <c r="Y446" s="3896">
        <v>0</v>
      </c>
      <c r="Z446" s="3896">
        <v>-174188</v>
      </c>
      <c r="AA446" s="3896">
        <v>0</v>
      </c>
      <c r="AB446" s="2365">
        <f t="shared" si="23"/>
        <v>66868387</v>
      </c>
      <c r="AC446" s="2367">
        <f t="shared" si="24"/>
        <v>-1891060</v>
      </c>
      <c r="AD446" s="3899">
        <v>133200</v>
      </c>
      <c r="AE446" s="3899">
        <v>950072</v>
      </c>
      <c r="AF446" s="3899">
        <v>0</v>
      </c>
      <c r="AG446" s="3899">
        <v>0</v>
      </c>
      <c r="AH446" s="2367">
        <f t="shared" si="25"/>
        <v>1083272</v>
      </c>
      <c r="AI446" s="2367">
        <f t="shared" si="26"/>
        <v>-807788</v>
      </c>
      <c r="AJ446" s="3900">
        <v>87901520</v>
      </c>
      <c r="AK446" s="3900">
        <v>0</v>
      </c>
      <c r="AL446" s="1657">
        <f t="shared" si="27"/>
        <v>87901520</v>
      </c>
      <c r="AM446" s="1657">
        <f t="shared" si="28"/>
        <v>87093732</v>
      </c>
      <c r="AN446" s="1775">
        <v>0</v>
      </c>
      <c r="AO446" s="1775">
        <v>0</v>
      </c>
      <c r="AP446" s="1775">
        <v>0</v>
      </c>
      <c r="AQ446" s="1775">
        <v>0</v>
      </c>
      <c r="AR446" s="1775">
        <v>0</v>
      </c>
      <c r="AS446" s="1775">
        <v>0</v>
      </c>
      <c r="AT446" s="1775">
        <v>776181</v>
      </c>
      <c r="AU446" s="2365">
        <f t="shared" si="29"/>
        <v>776181</v>
      </c>
      <c r="AV446" s="3896">
        <v>0</v>
      </c>
      <c r="AW446" s="3895">
        <v>1373969</v>
      </c>
      <c r="AX446" s="3895">
        <v>0</v>
      </c>
      <c r="AY446" s="3895">
        <v>0</v>
      </c>
      <c r="AZ446" s="3896">
        <v>1383831</v>
      </c>
      <c r="BA446" s="3896">
        <v>0</v>
      </c>
      <c r="BB446" s="3895">
        <v>0</v>
      </c>
      <c r="BC446" s="2365">
        <f t="shared" si="30"/>
        <v>2757800</v>
      </c>
      <c r="BD446" s="2359">
        <f t="shared" si="31"/>
        <v>-1981619</v>
      </c>
      <c r="BE446" s="3896">
        <v>0</v>
      </c>
      <c r="BF446" s="3896">
        <v>0</v>
      </c>
      <c r="BG446" s="3896">
        <v>0</v>
      </c>
      <c r="BH446" s="3896">
        <v>358795</v>
      </c>
      <c r="BI446" s="3896">
        <v>0</v>
      </c>
      <c r="BJ446" s="3896">
        <v>0</v>
      </c>
      <c r="BK446" s="3896">
        <v>0</v>
      </c>
      <c r="BL446" s="3896">
        <v>0</v>
      </c>
      <c r="BM446" s="3896">
        <v>0</v>
      </c>
      <c r="BN446" s="2365">
        <f t="shared" si="32"/>
        <v>358795</v>
      </c>
      <c r="BO446" s="2367">
        <f t="shared" si="33"/>
        <v>-1622824</v>
      </c>
      <c r="BP446" s="3899">
        <v>0</v>
      </c>
      <c r="BQ446" s="3899">
        <v>0</v>
      </c>
      <c r="BR446" s="3899">
        <v>0</v>
      </c>
      <c r="BS446" s="3899">
        <v>0</v>
      </c>
      <c r="BT446" s="2367">
        <f t="shared" si="34"/>
        <v>0</v>
      </c>
      <c r="BU446" s="2367">
        <f t="shared" si="35"/>
        <v>-1622824</v>
      </c>
      <c r="BV446" s="3902">
        <v>33364993</v>
      </c>
      <c r="BW446" s="3902">
        <v>0</v>
      </c>
      <c r="BX446" s="1657">
        <f t="shared" si="36"/>
        <v>33364993</v>
      </c>
      <c r="BY446" s="1657">
        <f t="shared" si="37"/>
        <v>31742169</v>
      </c>
      <c r="BZ446" s="1789" t="s">
        <v>138</v>
      </c>
    </row>
    <row r="447" spans="1:142">
      <c r="A447" s="3886" t="str">
        <f>'Contact Information'!A55</f>
        <v>HILLSBOROUGH COMMUNITY COLLEGE</v>
      </c>
      <c r="B447" s="3896">
        <v>39401961</v>
      </c>
      <c r="C447" s="3895">
        <v>4186620</v>
      </c>
      <c r="D447" s="3895">
        <v>2738558</v>
      </c>
      <c r="E447" s="3896">
        <v>715380</v>
      </c>
      <c r="F447" s="3895">
        <v>271111</v>
      </c>
      <c r="G447" s="3896">
        <v>6113993</v>
      </c>
      <c r="H447" s="3896">
        <v>1130108</v>
      </c>
      <c r="I447" s="4274">
        <f t="shared" si="20"/>
        <v>54557731</v>
      </c>
      <c r="J447" s="3896">
        <v>109475642</v>
      </c>
      <c r="K447" s="3895">
        <v>44853097</v>
      </c>
      <c r="L447" s="3896">
        <v>4169710</v>
      </c>
      <c r="M447" s="3895">
        <v>14553331</v>
      </c>
      <c r="N447" s="3896">
        <v>10883982</v>
      </c>
      <c r="O447" s="3896">
        <v>13981196</v>
      </c>
      <c r="P447" s="3895">
        <v>10319544</v>
      </c>
      <c r="Q447" s="2365">
        <f t="shared" si="21"/>
        <v>208236502</v>
      </c>
      <c r="R447" s="2359">
        <f t="shared" si="22"/>
        <v>-153678771</v>
      </c>
      <c r="S447" s="3896">
        <v>69925679</v>
      </c>
      <c r="T447" s="3896">
        <v>64945208</v>
      </c>
      <c r="U447" s="3896">
        <v>573527</v>
      </c>
      <c r="V447" s="3896">
        <v>863100</v>
      </c>
      <c r="W447" s="3896">
        <v>88143</v>
      </c>
      <c r="X447" s="3896">
        <v>0</v>
      </c>
      <c r="Y447" s="3896">
        <v>-253559</v>
      </c>
      <c r="Z447" s="3896">
        <v>-307496</v>
      </c>
      <c r="AA447" s="3896">
        <v>-981085</v>
      </c>
      <c r="AB447" s="2365">
        <f t="shared" si="23"/>
        <v>134853517</v>
      </c>
      <c r="AC447" s="2367">
        <f t="shared" si="24"/>
        <v>-18825254</v>
      </c>
      <c r="AD447" s="3899">
        <v>717200</v>
      </c>
      <c r="AE447" s="3899">
        <v>5093222</v>
      </c>
      <c r="AF447" s="3899">
        <v>0</v>
      </c>
      <c r="AG447" s="3899">
        <v>0</v>
      </c>
      <c r="AH447" s="2367">
        <f t="shared" si="25"/>
        <v>5810422</v>
      </c>
      <c r="AI447" s="2367">
        <f t="shared" si="26"/>
        <v>-13014832</v>
      </c>
      <c r="AJ447" s="3900">
        <v>199780803</v>
      </c>
      <c r="AK447" s="3900">
        <v>0</v>
      </c>
      <c r="AL447" s="1657">
        <f>SUM(AJ447:AK447)</f>
        <v>199780803</v>
      </c>
      <c r="AM447" s="1657">
        <f t="shared" si="28"/>
        <v>186765971</v>
      </c>
      <c r="AN447" s="1775">
        <v>0</v>
      </c>
      <c r="AO447" s="1775">
        <v>0</v>
      </c>
      <c r="AP447" s="1775">
        <v>0</v>
      </c>
      <c r="AQ447" s="1775">
        <v>1750716</v>
      </c>
      <c r="AR447" s="1775">
        <v>0</v>
      </c>
      <c r="AS447" s="1775">
        <v>0</v>
      </c>
      <c r="AT447" s="1775">
        <v>4020108</v>
      </c>
      <c r="AU447" s="2365">
        <f t="shared" si="29"/>
        <v>5770824</v>
      </c>
      <c r="AV447" s="3896">
        <v>639990</v>
      </c>
      <c r="AW447" s="3895">
        <v>3832653</v>
      </c>
      <c r="AX447" s="3895">
        <v>0</v>
      </c>
      <c r="AY447" s="3895">
        <v>0</v>
      </c>
      <c r="AZ447" s="3896">
        <v>1980046</v>
      </c>
      <c r="BA447" s="3896">
        <v>0</v>
      </c>
      <c r="BB447" s="3895">
        <v>978682</v>
      </c>
      <c r="BC447" s="2365">
        <f t="shared" si="30"/>
        <v>7431371</v>
      </c>
      <c r="BD447" s="2359">
        <f t="shared" si="31"/>
        <v>-1660547</v>
      </c>
      <c r="BE447" s="3896">
        <v>0</v>
      </c>
      <c r="BF447" s="3896">
        <v>0</v>
      </c>
      <c r="BG447" s="3896">
        <v>2148594</v>
      </c>
      <c r="BH447" s="3896">
        <v>357801</v>
      </c>
      <c r="BI447" s="3896">
        <f>11283+79214</f>
        <v>90497</v>
      </c>
      <c r="BJ447" s="3896">
        <v>0</v>
      </c>
      <c r="BK447" s="3896">
        <v>0</v>
      </c>
      <c r="BL447" s="3896">
        <v>0</v>
      </c>
      <c r="BM447" s="3896">
        <v>0</v>
      </c>
      <c r="BN447" s="2365">
        <f t="shared" si="32"/>
        <v>2596892</v>
      </c>
      <c r="BO447" s="2367">
        <f t="shared" si="33"/>
        <v>936345</v>
      </c>
      <c r="BP447" s="3899">
        <v>0</v>
      </c>
      <c r="BQ447" s="3899">
        <v>0</v>
      </c>
      <c r="BR447" s="3899"/>
      <c r="BS447" s="3899">
        <v>0</v>
      </c>
      <c r="BT447" s="2367">
        <f t="shared" si="34"/>
        <v>0</v>
      </c>
      <c r="BU447" s="2367">
        <f t="shared" si="35"/>
        <v>936345</v>
      </c>
      <c r="BV447" s="3902">
        <v>13022758</v>
      </c>
      <c r="BW447" s="3902">
        <v>0</v>
      </c>
      <c r="BX447" s="1657">
        <f t="shared" si="36"/>
        <v>13022758</v>
      </c>
      <c r="BY447" s="1657">
        <f t="shared" si="37"/>
        <v>13959103</v>
      </c>
      <c r="BZ447" s="1789" t="s">
        <v>140</v>
      </c>
    </row>
    <row r="448" spans="1:142">
      <c r="A448" s="3886" t="str">
        <f>'Contact Information'!A56</f>
        <v>INDIAN RIVER STATE COLLEGE</v>
      </c>
      <c r="B448" s="3896">
        <v>16948200</v>
      </c>
      <c r="C448" s="3895">
        <v>509685</v>
      </c>
      <c r="D448" s="3895">
        <v>252538</v>
      </c>
      <c r="E448" s="3896">
        <v>0</v>
      </c>
      <c r="F448" s="3896">
        <v>181758</v>
      </c>
      <c r="G448" s="3896">
        <v>4860788</v>
      </c>
      <c r="H448" s="3896">
        <v>557171</v>
      </c>
      <c r="I448" s="4274">
        <f t="shared" si="20"/>
        <v>23310140</v>
      </c>
      <c r="J448" s="3896">
        <v>88590123</v>
      </c>
      <c r="K448" s="3896">
        <v>24630363</v>
      </c>
      <c r="L448" s="3896">
        <v>4036364</v>
      </c>
      <c r="M448" s="3895">
        <v>4816817</v>
      </c>
      <c r="N448" s="3896">
        <v>5898624</v>
      </c>
      <c r="O448" s="3896">
        <v>10780478</v>
      </c>
      <c r="P448" s="3895">
        <v>8920524</v>
      </c>
      <c r="Q448" s="2365">
        <f t="shared" si="21"/>
        <v>147673293</v>
      </c>
      <c r="R448" s="2359">
        <f t="shared" si="22"/>
        <v>-124363153</v>
      </c>
      <c r="S448" s="3896">
        <v>51732378</v>
      </c>
      <c r="T448" s="3896">
        <v>35348283</v>
      </c>
      <c r="U448" s="3896">
        <v>17918502</v>
      </c>
      <c r="V448" s="3896">
        <v>906013</v>
      </c>
      <c r="W448" s="3896">
        <v>0</v>
      </c>
      <c r="X448" s="3896">
        <v>0</v>
      </c>
      <c r="Y448" s="3896">
        <v>0</v>
      </c>
      <c r="Z448" s="3896">
        <v>-52125</v>
      </c>
      <c r="AA448" s="3896">
        <v>0</v>
      </c>
      <c r="AB448" s="2365">
        <f t="shared" si="23"/>
        <v>105853051</v>
      </c>
      <c r="AC448" s="2367">
        <f t="shared" si="24"/>
        <v>-18510102</v>
      </c>
      <c r="AD448" s="3899">
        <v>5042940</v>
      </c>
      <c r="AE448" s="3899">
        <v>3026262</v>
      </c>
      <c r="AF448" s="3899">
        <v>0</v>
      </c>
      <c r="AG448" s="3899">
        <v>0</v>
      </c>
      <c r="AH448" s="2367">
        <f t="shared" si="25"/>
        <v>8069202</v>
      </c>
      <c r="AI448" s="2367">
        <f t="shared" si="26"/>
        <v>-10440900</v>
      </c>
      <c r="AJ448" s="3900">
        <v>207010438</v>
      </c>
      <c r="AK448" s="3900">
        <v>0</v>
      </c>
      <c r="AL448" s="1657">
        <f t="shared" si="27"/>
        <v>207010438</v>
      </c>
      <c r="AM448" s="1657">
        <f t="shared" si="28"/>
        <v>196569538</v>
      </c>
      <c r="AN448" s="1775">
        <v>0</v>
      </c>
      <c r="AO448" s="1775">
        <v>0</v>
      </c>
      <c r="AP448" s="1775">
        <v>154002</v>
      </c>
      <c r="AQ448" s="1775">
        <v>2705728</v>
      </c>
      <c r="AR448" s="1775">
        <v>0</v>
      </c>
      <c r="AS448" s="1775">
        <v>0</v>
      </c>
      <c r="AT448" s="1775">
        <v>0</v>
      </c>
      <c r="AU448" s="2365">
        <f t="shared" si="29"/>
        <v>2859730</v>
      </c>
      <c r="AV448" s="3896">
        <v>470663</v>
      </c>
      <c r="AW448" s="3896">
        <v>3554789</v>
      </c>
      <c r="AX448" s="3895">
        <v>0</v>
      </c>
      <c r="AY448" s="3895">
        <v>0</v>
      </c>
      <c r="AZ448" s="3896">
        <v>6169415</v>
      </c>
      <c r="BA448" s="3896">
        <v>0</v>
      </c>
      <c r="BB448" s="3895">
        <v>427828</v>
      </c>
      <c r="BC448" s="2365">
        <f t="shared" si="30"/>
        <v>10622695</v>
      </c>
      <c r="BD448" s="2359">
        <f t="shared" si="31"/>
        <v>-7762965</v>
      </c>
      <c r="BE448" s="3896">
        <v>0</v>
      </c>
      <c r="BF448" s="3896">
        <v>0</v>
      </c>
      <c r="BG448" s="3896">
        <v>0</v>
      </c>
      <c r="BH448" s="3896">
        <v>1441718</v>
      </c>
      <c r="BI448" s="3896">
        <v>-8319948</v>
      </c>
      <c r="BJ448" s="3896">
        <v>1846975</v>
      </c>
      <c r="BK448" s="3896">
        <v>0</v>
      </c>
      <c r="BL448" s="3896">
        <v>-85779</v>
      </c>
      <c r="BM448" s="3896">
        <v>0</v>
      </c>
      <c r="BN448" s="2365">
        <f t="shared" si="32"/>
        <v>-5117034</v>
      </c>
      <c r="BO448" s="2367">
        <f t="shared" si="33"/>
        <v>-12879999</v>
      </c>
      <c r="BP448" s="3899">
        <v>196916</v>
      </c>
      <c r="BQ448" s="3899">
        <v>0</v>
      </c>
      <c r="BR448" s="3899">
        <v>0</v>
      </c>
      <c r="BS448" s="3899">
        <v>0</v>
      </c>
      <c r="BT448" s="2367">
        <f t="shared" si="34"/>
        <v>196916</v>
      </c>
      <c r="BU448" s="2367">
        <f t="shared" si="35"/>
        <v>-12683083</v>
      </c>
      <c r="BV448" s="3902">
        <v>108679165</v>
      </c>
      <c r="BW448" s="3902">
        <v>0</v>
      </c>
      <c r="BX448" s="1657">
        <f t="shared" si="36"/>
        <v>108679165</v>
      </c>
      <c r="BY448" s="1657">
        <f t="shared" si="37"/>
        <v>95996082</v>
      </c>
      <c r="BZ448" s="1789" t="s">
        <v>142</v>
      </c>
    </row>
    <row r="449" spans="1:78">
      <c r="A449" s="3886" t="str">
        <f>'Contact Information'!A57</f>
        <v>LAKE-SUMTER STATE COLLEGE</v>
      </c>
      <c r="B449" s="3896">
        <v>6663497</v>
      </c>
      <c r="C449" s="3895">
        <v>78956</v>
      </c>
      <c r="D449" s="3895">
        <v>1932292</v>
      </c>
      <c r="E449" s="3896">
        <v>35400</v>
      </c>
      <c r="F449" s="3895">
        <v>6696</v>
      </c>
      <c r="G449" s="3896">
        <v>342107</v>
      </c>
      <c r="H449" s="3896">
        <v>42140</v>
      </c>
      <c r="I449" s="4274">
        <f t="shared" si="20"/>
        <v>9101088</v>
      </c>
      <c r="J449" s="3896">
        <v>22498542</v>
      </c>
      <c r="K449" s="3895">
        <v>5624075</v>
      </c>
      <c r="L449" s="3895">
        <v>1224861</v>
      </c>
      <c r="M449" s="3895">
        <v>2803439</v>
      </c>
      <c r="N449" s="3896">
        <v>1854787</v>
      </c>
      <c r="O449" s="3896">
        <v>1711860</v>
      </c>
      <c r="P449" s="3895">
        <v>2682901</v>
      </c>
      <c r="Q449" s="2365">
        <f t="shared" si="21"/>
        <v>38400465</v>
      </c>
      <c r="R449" s="2359">
        <f t="shared" si="22"/>
        <v>-29299377</v>
      </c>
      <c r="S449" s="3896">
        <v>14890712</v>
      </c>
      <c r="T449" s="3896">
        <v>7999214</v>
      </c>
      <c r="U449" s="3896">
        <v>1638625</v>
      </c>
      <c r="V449" s="3896">
        <v>136805</v>
      </c>
      <c r="W449" s="3896">
        <v>0</v>
      </c>
      <c r="X449" s="3896">
        <v>200</v>
      </c>
      <c r="Y449" s="3896">
        <v>0</v>
      </c>
      <c r="Z449" s="3896">
        <v>-120</v>
      </c>
      <c r="AA449" s="3896">
        <v>0</v>
      </c>
      <c r="AB449" s="2365">
        <f t="shared" si="23"/>
        <v>24665436</v>
      </c>
      <c r="AC449" s="2367">
        <f t="shared" si="24"/>
        <v>-4633941</v>
      </c>
      <c r="AD449" s="3899">
        <v>130800</v>
      </c>
      <c r="AE449" s="3899">
        <v>842189</v>
      </c>
      <c r="AF449" s="3899">
        <v>0</v>
      </c>
      <c r="AG449" s="3899">
        <v>0</v>
      </c>
      <c r="AH449" s="2367">
        <f t="shared" si="25"/>
        <v>972989</v>
      </c>
      <c r="AI449" s="2367">
        <f t="shared" si="26"/>
        <v>-3660952</v>
      </c>
      <c r="AJ449" s="3900">
        <v>63353748</v>
      </c>
      <c r="AK449" s="3900">
        <v>0</v>
      </c>
      <c r="AL449" s="1657">
        <f t="shared" si="27"/>
        <v>63353748</v>
      </c>
      <c r="AM449" s="1657">
        <f>AI449+AL449</f>
        <v>59692796</v>
      </c>
      <c r="AN449" s="1775">
        <v>0</v>
      </c>
      <c r="AO449" s="1775">
        <v>0</v>
      </c>
      <c r="AP449" s="1775">
        <v>0</v>
      </c>
      <c r="AQ449" s="1775">
        <v>0</v>
      </c>
      <c r="AR449" s="1775">
        <v>0</v>
      </c>
      <c r="AS449" s="1775">
        <v>0</v>
      </c>
      <c r="AT449" s="1775">
        <v>1505371</v>
      </c>
      <c r="AU449" s="2365">
        <f t="shared" si="29"/>
        <v>1505371</v>
      </c>
      <c r="AV449" s="3896">
        <v>288925</v>
      </c>
      <c r="AW449" s="3895">
        <v>626489</v>
      </c>
      <c r="AX449" s="3895">
        <v>0</v>
      </c>
      <c r="AY449" s="3895">
        <v>76351</v>
      </c>
      <c r="AZ449" s="3896">
        <v>581378</v>
      </c>
      <c r="BA449" s="3896">
        <v>65488</v>
      </c>
      <c r="BB449" s="3895">
        <v>0</v>
      </c>
      <c r="BC449" s="2365">
        <f t="shared" si="30"/>
        <v>1638631</v>
      </c>
      <c r="BD449" s="2359">
        <f t="shared" si="31"/>
        <v>-133260</v>
      </c>
      <c r="BE449" s="3896">
        <v>0</v>
      </c>
      <c r="BF449" s="3896">
        <v>0</v>
      </c>
      <c r="BG449" s="3896">
        <v>0</v>
      </c>
      <c r="BH449" s="3896">
        <v>284248</v>
      </c>
      <c r="BI449" s="3896">
        <v>3356271</v>
      </c>
      <c r="BJ449" s="3896">
        <v>0</v>
      </c>
      <c r="BK449" s="3896">
        <v>0</v>
      </c>
      <c r="BL449" s="3896">
        <v>0</v>
      </c>
      <c r="BM449" s="3896">
        <v>0</v>
      </c>
      <c r="BN449" s="2365">
        <f t="shared" si="32"/>
        <v>3640519</v>
      </c>
      <c r="BO449" s="2367">
        <f t="shared" si="33"/>
        <v>3507259</v>
      </c>
      <c r="BP449" s="3899">
        <v>0</v>
      </c>
      <c r="BQ449" s="3899">
        <v>0</v>
      </c>
      <c r="BR449" s="3899">
        <v>56469</v>
      </c>
      <c r="BS449" s="3899">
        <v>0</v>
      </c>
      <c r="BT449" s="2367">
        <f t="shared" si="34"/>
        <v>56469</v>
      </c>
      <c r="BU449" s="2367">
        <f t="shared" si="35"/>
        <v>3563728</v>
      </c>
      <c r="BV449" s="3902">
        <v>17503377</v>
      </c>
      <c r="BW449" s="3902">
        <v>0</v>
      </c>
      <c r="BX449" s="1657">
        <f t="shared" si="36"/>
        <v>17503377</v>
      </c>
      <c r="BY449" s="1657">
        <f t="shared" si="37"/>
        <v>21067105</v>
      </c>
      <c r="BZ449" s="1789" t="s">
        <v>144</v>
      </c>
    </row>
    <row r="450" spans="1:78">
      <c r="A450" s="3886" t="str">
        <f>'Contact Information'!A58</f>
        <v>MIAMI DADE COLLEGE</v>
      </c>
      <c r="B450" s="3896">
        <v>73003913</v>
      </c>
      <c r="C450" s="3895">
        <v>25576111</v>
      </c>
      <c r="D450" s="3895">
        <v>3661593</v>
      </c>
      <c r="E450" s="3896">
        <v>9813240</v>
      </c>
      <c r="F450" s="3896">
        <v>5163367</v>
      </c>
      <c r="G450" s="3896">
        <v>3768427</v>
      </c>
      <c r="H450" s="3896">
        <v>2853279</v>
      </c>
      <c r="I450" s="4274">
        <f t="shared" si="20"/>
        <v>123839930</v>
      </c>
      <c r="J450" s="3896">
        <v>321027646</v>
      </c>
      <c r="K450" s="3896">
        <v>88187563</v>
      </c>
      <c r="L450" s="3896">
        <v>11680249</v>
      </c>
      <c r="M450" s="3896">
        <v>25972693</v>
      </c>
      <c r="N450" s="3896">
        <v>23270360</v>
      </c>
      <c r="O450" s="3896">
        <v>28017274</v>
      </c>
      <c r="P450" s="3895">
        <v>33791133</v>
      </c>
      <c r="Q450" s="2365">
        <f t="shared" si="21"/>
        <v>531946918</v>
      </c>
      <c r="R450" s="2359">
        <f t="shared" si="22"/>
        <v>-408106988</v>
      </c>
      <c r="S450" s="3896">
        <v>179273202</v>
      </c>
      <c r="T450" s="3896">
        <v>169528817</v>
      </c>
      <c r="U450" s="3896">
        <v>0</v>
      </c>
      <c r="V450" s="3896">
        <v>15159608</v>
      </c>
      <c r="W450" s="3896">
        <v>1638290</v>
      </c>
      <c r="X450" s="3896">
        <v>1145897</v>
      </c>
      <c r="Y450" s="3896">
        <v>0</v>
      </c>
      <c r="Z450" s="3896">
        <v>-300</v>
      </c>
      <c r="AA450" s="3896">
        <v>0</v>
      </c>
      <c r="AB450" s="2365">
        <f t="shared" si="23"/>
        <v>366745514</v>
      </c>
      <c r="AC450" s="2367">
        <f t="shared" si="24"/>
        <v>-41361474</v>
      </c>
      <c r="AD450" s="3899">
        <v>1679600</v>
      </c>
      <c r="AE450" s="3899">
        <v>20706584</v>
      </c>
      <c r="AF450" s="3899">
        <v>0</v>
      </c>
      <c r="AG450" s="3899">
        <v>0</v>
      </c>
      <c r="AH450" s="2367">
        <f t="shared" si="25"/>
        <v>22386184</v>
      </c>
      <c r="AI450" s="2367">
        <f t="shared" si="26"/>
        <v>-18975290</v>
      </c>
      <c r="AJ450" s="3900">
        <v>1455576647</v>
      </c>
      <c r="AK450" s="3900">
        <v>-14391643</v>
      </c>
      <c r="AL450" s="1657">
        <f t="shared" si="27"/>
        <v>1441185004</v>
      </c>
      <c r="AM450" s="1657">
        <f t="shared" si="28"/>
        <v>1422209714</v>
      </c>
      <c r="AN450" s="1775">
        <v>0</v>
      </c>
      <c r="AO450" s="1775">
        <v>0</v>
      </c>
      <c r="AP450" s="1775">
        <v>0</v>
      </c>
      <c r="AQ450" s="1775">
        <v>0</v>
      </c>
      <c r="AR450" s="1775">
        <v>0</v>
      </c>
      <c r="AS450" s="1775">
        <v>0</v>
      </c>
      <c r="AT450" s="1775">
        <v>21371022</v>
      </c>
      <c r="AU450" s="2365">
        <f t="shared" si="29"/>
        <v>21371022</v>
      </c>
      <c r="AV450" s="3896">
        <v>2239637</v>
      </c>
      <c r="AW450" s="3896">
        <v>8518060</v>
      </c>
      <c r="AX450" s="3895">
        <v>0</v>
      </c>
      <c r="AY450" s="3895">
        <v>0</v>
      </c>
      <c r="AZ450" s="3896">
        <v>8117330</v>
      </c>
      <c r="BA450" s="3896">
        <v>0</v>
      </c>
      <c r="BB450" s="3895">
        <v>0</v>
      </c>
      <c r="BC450" s="2365">
        <f t="shared" si="30"/>
        <v>18875027</v>
      </c>
      <c r="BD450" s="2359">
        <f t="shared" si="31"/>
        <v>2495995</v>
      </c>
      <c r="BE450" s="3896">
        <v>0</v>
      </c>
      <c r="BF450" s="3896">
        <v>0</v>
      </c>
      <c r="BG450" s="3896">
        <v>0</v>
      </c>
      <c r="BH450" s="3896">
        <v>0</v>
      </c>
      <c r="BI450" s="3896">
        <v>-7068877</v>
      </c>
      <c r="BJ450" s="3896">
        <v>0</v>
      </c>
      <c r="BK450" s="3896">
        <v>0</v>
      </c>
      <c r="BL450" s="3896">
        <v>0</v>
      </c>
      <c r="BM450" s="3896">
        <v>0</v>
      </c>
      <c r="BN450" s="2365">
        <f t="shared" si="32"/>
        <v>-7068877</v>
      </c>
      <c r="BO450" s="2367">
        <f t="shared" si="33"/>
        <v>-4572882</v>
      </c>
      <c r="BP450" s="3899">
        <v>0</v>
      </c>
      <c r="BQ450" s="3899">
        <v>0</v>
      </c>
      <c r="BR450" s="3899">
        <v>0</v>
      </c>
      <c r="BS450" s="3899">
        <v>0</v>
      </c>
      <c r="BT450" s="2367">
        <f t="shared" si="34"/>
        <v>0</v>
      </c>
      <c r="BU450" s="2367">
        <f t="shared" si="35"/>
        <v>-4572882</v>
      </c>
      <c r="BV450" s="3902">
        <v>148715464</v>
      </c>
      <c r="BW450" s="3902">
        <v>32549140</v>
      </c>
      <c r="BX450" s="1657">
        <f t="shared" si="36"/>
        <v>181264604</v>
      </c>
      <c r="BY450" s="1657">
        <f t="shared" si="37"/>
        <v>176691722</v>
      </c>
      <c r="BZ450" s="1789" t="s">
        <v>146</v>
      </c>
    </row>
    <row r="451" spans="1:78">
      <c r="A451" s="3886" t="str">
        <f>'Contact Information'!A59</f>
        <v>NORTH FLORIDA COLLEGE</v>
      </c>
      <c r="B451" s="3896">
        <v>845373</v>
      </c>
      <c r="C451" s="3895">
        <v>803046</v>
      </c>
      <c r="D451" s="3895">
        <v>4400</v>
      </c>
      <c r="E451" s="3896">
        <v>316696</v>
      </c>
      <c r="F451" s="3895">
        <v>9352</v>
      </c>
      <c r="G451" s="3896">
        <v>273768</v>
      </c>
      <c r="H451" s="3896">
        <v>177694</v>
      </c>
      <c r="I451" s="4274">
        <f t="shared" si="20"/>
        <v>2430329</v>
      </c>
      <c r="J451" s="3896">
        <v>8676815</v>
      </c>
      <c r="K451" s="3895">
        <v>2203428</v>
      </c>
      <c r="L451" s="3896">
        <v>549555</v>
      </c>
      <c r="M451" s="3895">
        <v>1203917</v>
      </c>
      <c r="N451" s="3896">
        <v>707176</v>
      </c>
      <c r="O451" s="3896">
        <v>1381265</v>
      </c>
      <c r="P451" s="3895">
        <v>930789</v>
      </c>
      <c r="Q451" s="2365">
        <f t="shared" si="21"/>
        <v>15652945</v>
      </c>
      <c r="R451" s="2359">
        <f t="shared" si="22"/>
        <v>-13222616</v>
      </c>
      <c r="S451" s="3896">
        <v>8306787</v>
      </c>
      <c r="T451" s="3896">
        <v>2842905</v>
      </c>
      <c r="U451" s="3896">
        <v>312440</v>
      </c>
      <c r="V451" s="3896">
        <v>89967</v>
      </c>
      <c r="W451" s="3896">
        <v>0</v>
      </c>
      <c r="X451" s="3896">
        <v>0</v>
      </c>
      <c r="Y451" s="3896">
        <v>0</v>
      </c>
      <c r="Z451" s="3896">
        <v>0</v>
      </c>
      <c r="AA451" s="3896">
        <v>0</v>
      </c>
      <c r="AB451" s="2365">
        <f t="shared" si="23"/>
        <v>11552099</v>
      </c>
      <c r="AC451" s="2367">
        <f t="shared" si="24"/>
        <v>-1670517</v>
      </c>
      <c r="AD451" s="3899">
        <v>44652</v>
      </c>
      <c r="AE451" s="3899">
        <v>238622</v>
      </c>
      <c r="AF451" s="3899">
        <v>0</v>
      </c>
      <c r="AG451" s="3899">
        <v>0</v>
      </c>
      <c r="AH451" s="2367">
        <f t="shared" si="25"/>
        <v>283274</v>
      </c>
      <c r="AI451" s="2367">
        <f t="shared" si="26"/>
        <v>-1387243</v>
      </c>
      <c r="AJ451" s="3900">
        <v>24258255</v>
      </c>
      <c r="AK451" s="3900">
        <v>0</v>
      </c>
      <c r="AL451" s="1657">
        <f t="shared" si="27"/>
        <v>24258255</v>
      </c>
      <c r="AM451" s="1657">
        <f t="shared" si="28"/>
        <v>22871012</v>
      </c>
      <c r="AN451" s="1775">
        <v>0</v>
      </c>
      <c r="AO451" s="1775">
        <v>0</v>
      </c>
      <c r="AP451" s="1775">
        <v>328055</v>
      </c>
      <c r="AQ451" s="1775">
        <v>0</v>
      </c>
      <c r="AR451" s="1775">
        <v>0</v>
      </c>
      <c r="AS451" s="1775">
        <v>0</v>
      </c>
      <c r="AT451" s="1775">
        <v>0</v>
      </c>
      <c r="AU451" s="2365">
        <f t="shared" si="29"/>
        <v>328055</v>
      </c>
      <c r="AV451" s="3896">
        <v>61474</v>
      </c>
      <c r="AW451" s="3895">
        <v>259933</v>
      </c>
      <c r="AX451" s="3895">
        <v>0</v>
      </c>
      <c r="AY451" s="3895">
        <v>29050</v>
      </c>
      <c r="AZ451" s="3896">
        <v>37384</v>
      </c>
      <c r="BA451" s="3896">
        <v>0</v>
      </c>
      <c r="BB451" s="3895">
        <v>0</v>
      </c>
      <c r="BC451" s="2365">
        <f t="shared" si="30"/>
        <v>387841</v>
      </c>
      <c r="BD451" s="2359">
        <f t="shared" si="31"/>
        <v>-59786</v>
      </c>
      <c r="BE451" s="3896">
        <v>0</v>
      </c>
      <c r="BF451" s="3896">
        <v>0</v>
      </c>
      <c r="BG451" s="3896">
        <v>0</v>
      </c>
      <c r="BH451" s="3896">
        <v>84869</v>
      </c>
      <c r="BI451" s="3896">
        <v>-185474</v>
      </c>
      <c r="BJ451" s="3896">
        <v>0</v>
      </c>
      <c r="BK451" s="3896">
        <v>0</v>
      </c>
      <c r="BL451" s="3896">
        <v>0</v>
      </c>
      <c r="BM451" s="3896">
        <v>0</v>
      </c>
      <c r="BN451" s="2365">
        <f t="shared" si="32"/>
        <v>-100605</v>
      </c>
      <c r="BO451" s="2367">
        <f t="shared" si="33"/>
        <v>-160391</v>
      </c>
      <c r="BP451" s="3899">
        <v>0</v>
      </c>
      <c r="BQ451" s="3899">
        <v>0</v>
      </c>
      <c r="BR451" s="3899">
        <v>0</v>
      </c>
      <c r="BS451" s="3899">
        <v>0</v>
      </c>
      <c r="BT451" s="2367">
        <f t="shared" si="34"/>
        <v>0</v>
      </c>
      <c r="BU451" s="2367">
        <f t="shared" si="35"/>
        <v>-160391</v>
      </c>
      <c r="BV451" s="3902">
        <v>4212456</v>
      </c>
      <c r="BW451" s="3902">
        <v>0</v>
      </c>
      <c r="BX451" s="1657">
        <f t="shared" si="36"/>
        <v>4212456</v>
      </c>
      <c r="BY451" s="1657">
        <f t="shared" si="37"/>
        <v>4052065</v>
      </c>
      <c r="BZ451" s="1789" t="s">
        <v>764</v>
      </c>
    </row>
    <row r="452" spans="1:78">
      <c r="A452" s="3886" t="str">
        <f>'Contact Information'!A60</f>
        <v>NORTHWEST FLORIDA STATE COLLEGE</v>
      </c>
      <c r="B452" s="3896">
        <v>7836418</v>
      </c>
      <c r="C452" s="3895">
        <v>0</v>
      </c>
      <c r="D452" s="3895">
        <v>2421775</v>
      </c>
      <c r="E452" s="3896">
        <v>548160</v>
      </c>
      <c r="F452" s="3895">
        <v>149254</v>
      </c>
      <c r="G452" s="3896">
        <v>1369917</v>
      </c>
      <c r="H452" s="3896">
        <v>231609</v>
      </c>
      <c r="I452" s="4274">
        <f t="shared" si="20"/>
        <v>12557133</v>
      </c>
      <c r="J452" s="3896">
        <v>28210822</v>
      </c>
      <c r="K452" s="3895">
        <v>6080688</v>
      </c>
      <c r="L452" s="3896">
        <v>1320106</v>
      </c>
      <c r="M452" s="3895">
        <v>5260446</v>
      </c>
      <c r="N452" s="3896">
        <v>4053777</v>
      </c>
      <c r="O452" s="3896">
        <v>3260876</v>
      </c>
      <c r="P452" s="3895">
        <v>7379327</v>
      </c>
      <c r="Q452" s="2365">
        <f t="shared" si="21"/>
        <v>55566042</v>
      </c>
      <c r="R452" s="2359">
        <f t="shared" si="22"/>
        <v>-43008909</v>
      </c>
      <c r="S452" s="3896">
        <v>19928406</v>
      </c>
      <c r="T452" s="3896">
        <v>8404389</v>
      </c>
      <c r="U452" s="3896">
        <v>4237982</v>
      </c>
      <c r="V452" s="3896">
        <v>152984</v>
      </c>
      <c r="W452" s="3896">
        <v>0</v>
      </c>
      <c r="X452" s="3896">
        <v>19988</v>
      </c>
      <c r="Y452" s="3896">
        <v>0</v>
      </c>
      <c r="Z452" s="3896">
        <v>-1371957</v>
      </c>
      <c r="AA452" s="3896">
        <v>0</v>
      </c>
      <c r="AB452" s="2365">
        <f t="shared" si="23"/>
        <v>31371792</v>
      </c>
      <c r="AC452" s="2367">
        <f t="shared" si="24"/>
        <v>-11637117</v>
      </c>
      <c r="AD452" s="3899">
        <v>215200</v>
      </c>
      <c r="AE452" s="3899">
        <v>1406149</v>
      </c>
      <c r="AF452" s="3899">
        <v>0</v>
      </c>
      <c r="AG452" s="3899">
        <v>0</v>
      </c>
      <c r="AH452" s="2367">
        <f t="shared" si="25"/>
        <v>1621349</v>
      </c>
      <c r="AI452" s="2367">
        <f t="shared" si="26"/>
        <v>-10015768</v>
      </c>
      <c r="AJ452" s="3900">
        <v>115570582</v>
      </c>
      <c r="AK452" s="3900">
        <v>0</v>
      </c>
      <c r="AL452" s="1657">
        <f t="shared" si="27"/>
        <v>115570582</v>
      </c>
      <c r="AM452" s="1657">
        <f t="shared" si="28"/>
        <v>105554814</v>
      </c>
      <c r="AN452" s="1775">
        <v>0</v>
      </c>
      <c r="AO452" s="1775">
        <v>0</v>
      </c>
      <c r="AP452" s="1775">
        <v>0</v>
      </c>
      <c r="AQ452" s="1775">
        <v>0</v>
      </c>
      <c r="AR452" s="1775">
        <v>0</v>
      </c>
      <c r="AS452" s="1775">
        <v>0</v>
      </c>
      <c r="AT452" s="1775">
        <v>640434</v>
      </c>
      <c r="AU452" s="2365">
        <f t="shared" si="29"/>
        <v>640434</v>
      </c>
      <c r="AV452" s="3896">
        <v>0</v>
      </c>
      <c r="AW452" s="3895">
        <v>663719</v>
      </c>
      <c r="AX452" s="3896">
        <v>114505</v>
      </c>
      <c r="AY452" s="3895">
        <v>0</v>
      </c>
      <c r="AZ452" s="3896">
        <v>2206449</v>
      </c>
      <c r="BA452" s="3896">
        <v>41679</v>
      </c>
      <c r="BB452" s="3895">
        <v>153608</v>
      </c>
      <c r="BC452" s="2365">
        <f t="shared" si="30"/>
        <v>3179960</v>
      </c>
      <c r="BD452" s="2359">
        <f t="shared" si="31"/>
        <v>-2539526</v>
      </c>
      <c r="BE452" s="3896">
        <v>0</v>
      </c>
      <c r="BF452" s="3896">
        <v>0</v>
      </c>
      <c r="BG452" s="3896">
        <v>584662</v>
      </c>
      <c r="BH452" s="3896">
        <v>1301273</v>
      </c>
      <c r="BI452" s="3896">
        <v>-584377</v>
      </c>
      <c r="BJ452" s="3896">
        <v>40979</v>
      </c>
      <c r="BK452" s="3896">
        <v>0</v>
      </c>
      <c r="BL452" s="3896">
        <v>0</v>
      </c>
      <c r="BM452" s="3896">
        <v>0</v>
      </c>
      <c r="BN452" s="2365">
        <f t="shared" si="32"/>
        <v>1342537</v>
      </c>
      <c r="BO452" s="2367">
        <f t="shared" si="33"/>
        <v>-1196989</v>
      </c>
      <c r="BP452" s="3899">
        <v>0</v>
      </c>
      <c r="BQ452" s="3899">
        <v>0</v>
      </c>
      <c r="BR452" s="3899">
        <v>234263</v>
      </c>
      <c r="BS452" s="3899">
        <v>0</v>
      </c>
      <c r="BT452" s="2367">
        <f t="shared" si="34"/>
        <v>234263</v>
      </c>
      <c r="BU452" s="2367">
        <f t="shared" si="35"/>
        <v>-962726</v>
      </c>
      <c r="BV452" s="3902">
        <v>53526569</v>
      </c>
      <c r="BW452" s="3902">
        <v>0</v>
      </c>
      <c r="BX452" s="1657">
        <f t="shared" si="36"/>
        <v>53526569</v>
      </c>
      <c r="BY452" s="1657">
        <f t="shared" si="37"/>
        <v>52563843</v>
      </c>
      <c r="BZ452" s="1789" t="s">
        <v>150</v>
      </c>
    </row>
    <row r="453" spans="1:78">
      <c r="A453" s="3886" t="str">
        <f>'Contact Information'!A61</f>
        <v>PALM BEACH STATE COLLEGE</v>
      </c>
      <c r="B453" s="3896">
        <v>35764989</v>
      </c>
      <c r="C453" s="3895">
        <v>3954201</v>
      </c>
      <c r="D453" s="3895">
        <v>4824047</v>
      </c>
      <c r="E453" s="3896">
        <v>2571543</v>
      </c>
      <c r="F453" s="3895">
        <v>1065989</v>
      </c>
      <c r="G453" s="3896">
        <v>1333904</v>
      </c>
      <c r="H453" s="3896">
        <v>1213209</v>
      </c>
      <c r="I453" s="4274">
        <f t="shared" si="20"/>
        <v>50727882</v>
      </c>
      <c r="J453" s="3896">
        <v>121850678</v>
      </c>
      <c r="K453" s="3896">
        <v>40373238</v>
      </c>
      <c r="L453" s="3896">
        <v>2874868</v>
      </c>
      <c r="M453" s="3895">
        <v>16588641</v>
      </c>
      <c r="N453" s="3896">
        <v>6417595</v>
      </c>
      <c r="O453" s="3896">
        <v>6996827</v>
      </c>
      <c r="P453" s="3895">
        <v>14301315</v>
      </c>
      <c r="Q453" s="2365">
        <f t="shared" si="21"/>
        <v>209403162</v>
      </c>
      <c r="R453" s="2359">
        <f t="shared" si="22"/>
        <v>-158675280</v>
      </c>
      <c r="S453" s="3896">
        <v>66489838</v>
      </c>
      <c r="T453" s="3896">
        <v>70989419</v>
      </c>
      <c r="U453" s="3896">
        <v>2394052</v>
      </c>
      <c r="V453" s="3896">
        <v>813535</v>
      </c>
      <c r="W453" s="3896">
        <v>117206</v>
      </c>
      <c r="X453" s="3896">
        <v>83242</v>
      </c>
      <c r="Y453" s="3896">
        <v>0</v>
      </c>
      <c r="Z453" s="3896">
        <v>-474905</v>
      </c>
      <c r="AA453" s="3896">
        <v>0</v>
      </c>
      <c r="AB453" s="2365">
        <f t="shared" si="23"/>
        <v>140412387</v>
      </c>
      <c r="AC453" s="2367">
        <f t="shared" si="24"/>
        <v>-18262893</v>
      </c>
      <c r="AD453" s="3899">
        <v>746000</v>
      </c>
      <c r="AE453" s="3899">
        <v>6487331</v>
      </c>
      <c r="AF453" s="3899">
        <v>0</v>
      </c>
      <c r="AG453" s="3899">
        <v>0</v>
      </c>
      <c r="AH453" s="2367">
        <f t="shared" si="25"/>
        <v>7233331</v>
      </c>
      <c r="AI453" s="2367">
        <f t="shared" si="26"/>
        <v>-11029562</v>
      </c>
      <c r="AJ453" s="3900">
        <v>212274637</v>
      </c>
      <c r="AK453" s="3900">
        <v>0</v>
      </c>
      <c r="AL453" s="1657">
        <f t="shared" si="27"/>
        <v>212274637</v>
      </c>
      <c r="AM453" s="1657">
        <f t="shared" si="28"/>
        <v>201245075</v>
      </c>
      <c r="AN453" s="1775">
        <v>0</v>
      </c>
      <c r="AO453" s="1775">
        <v>0</v>
      </c>
      <c r="AP453" s="1775">
        <v>0</v>
      </c>
      <c r="AQ453" s="1775">
        <v>3938011</v>
      </c>
      <c r="AR453" s="1775">
        <v>0</v>
      </c>
      <c r="AS453" s="1775">
        <v>0</v>
      </c>
      <c r="AT453" s="1775">
        <v>1420352</v>
      </c>
      <c r="AU453" s="2365">
        <f t="shared" si="29"/>
        <v>5358363</v>
      </c>
      <c r="AV453" s="3896">
        <v>0</v>
      </c>
      <c r="AW453" s="3896">
        <v>1771141</v>
      </c>
      <c r="AX453" s="3896">
        <v>0</v>
      </c>
      <c r="AY453" s="3895">
        <v>0</v>
      </c>
      <c r="AZ453" s="3896">
        <v>2599736</v>
      </c>
      <c r="BA453" s="3896">
        <v>0</v>
      </c>
      <c r="BB453" s="3895">
        <v>0</v>
      </c>
      <c r="BC453" s="2365">
        <f t="shared" si="30"/>
        <v>4370877</v>
      </c>
      <c r="BD453" s="2359">
        <f t="shared" si="31"/>
        <v>987486</v>
      </c>
      <c r="BE453" s="3896">
        <v>0</v>
      </c>
      <c r="BF453" s="3896">
        <v>0</v>
      </c>
      <c r="BG453" s="3896">
        <v>320446</v>
      </c>
      <c r="BH453" s="3896">
        <v>5919647</v>
      </c>
      <c r="BI453" s="3896">
        <v>0</v>
      </c>
      <c r="BJ453" s="3896">
        <v>0</v>
      </c>
      <c r="BK453" s="3896">
        <v>0</v>
      </c>
      <c r="BL453" s="3896">
        <v>0</v>
      </c>
      <c r="BM453" s="3896">
        <v>0</v>
      </c>
      <c r="BN453" s="2365">
        <f t="shared" si="32"/>
        <v>6240093</v>
      </c>
      <c r="BO453" s="2367">
        <f t="shared" si="33"/>
        <v>7227579</v>
      </c>
      <c r="BP453" s="3899">
        <v>0</v>
      </c>
      <c r="BQ453" s="3899">
        <v>0</v>
      </c>
      <c r="BR453" s="3899">
        <v>0</v>
      </c>
      <c r="BS453" s="3899">
        <v>0</v>
      </c>
      <c r="BT453" s="2367">
        <f t="shared" si="34"/>
        <v>0</v>
      </c>
      <c r="BU453" s="2367">
        <f t="shared" si="35"/>
        <v>7227579</v>
      </c>
      <c r="BV453" s="3902">
        <v>33845328</v>
      </c>
      <c r="BW453" s="3902">
        <v>0</v>
      </c>
      <c r="BX453" s="1657">
        <f t="shared" si="36"/>
        <v>33845328</v>
      </c>
      <c r="BY453" s="1657">
        <f t="shared" si="37"/>
        <v>41072907</v>
      </c>
      <c r="BZ453" s="1789" t="s">
        <v>152</v>
      </c>
    </row>
    <row r="454" spans="1:78">
      <c r="A454" s="3886" t="str">
        <f>'Contact Information'!A62</f>
        <v>PASCO-HERNANDO STATE COLLEGE</v>
      </c>
      <c r="B454" s="3896">
        <v>10829723</v>
      </c>
      <c r="C454" s="3895">
        <v>740005</v>
      </c>
      <c r="D454" s="3895">
        <v>80115</v>
      </c>
      <c r="E454" s="3896">
        <v>0</v>
      </c>
      <c r="F454" s="3895">
        <v>7339</v>
      </c>
      <c r="G454" s="3896">
        <v>2532656</v>
      </c>
      <c r="H454" s="3896">
        <v>316550</v>
      </c>
      <c r="I454" s="4274">
        <f t="shared" si="20"/>
        <v>14506388</v>
      </c>
      <c r="J454" s="3896">
        <v>42985464</v>
      </c>
      <c r="K454" s="3895">
        <v>13921144</v>
      </c>
      <c r="L454" s="3896">
        <v>1599071</v>
      </c>
      <c r="M454" s="3895">
        <v>6371866</v>
      </c>
      <c r="N454" s="3896">
        <v>3072549</v>
      </c>
      <c r="O454" s="3896">
        <v>8890599</v>
      </c>
      <c r="P454" s="3895">
        <v>10191562</v>
      </c>
      <c r="Q454" s="2365">
        <f t="shared" si="21"/>
        <v>87032255</v>
      </c>
      <c r="R454" s="2359">
        <f t="shared" si="22"/>
        <v>-72525867</v>
      </c>
      <c r="S454" s="3896">
        <v>32365858</v>
      </c>
      <c r="T454" s="3896">
        <v>23187277</v>
      </c>
      <c r="U454" s="3896">
        <v>3399037</v>
      </c>
      <c r="V454" s="3896">
        <v>715821</v>
      </c>
      <c r="W454" s="3896">
        <v>0</v>
      </c>
      <c r="X454" s="3896">
        <v>34217</v>
      </c>
      <c r="Y454" s="3896">
        <v>0</v>
      </c>
      <c r="Z454" s="3896">
        <v>-76498</v>
      </c>
      <c r="AA454" s="3896">
        <v>0</v>
      </c>
      <c r="AB454" s="2365">
        <f t="shared" si="23"/>
        <v>59625712</v>
      </c>
      <c r="AC454" s="2367">
        <f t="shared" si="24"/>
        <v>-12900155</v>
      </c>
      <c r="AD454" s="3899">
        <v>313200</v>
      </c>
      <c r="AE454" s="3899">
        <v>2806333</v>
      </c>
      <c r="AF454" s="3899">
        <v>0</v>
      </c>
      <c r="AG454" s="3899">
        <v>0</v>
      </c>
      <c r="AH454" s="2367">
        <f t="shared" si="25"/>
        <v>3119533</v>
      </c>
      <c r="AI454" s="2367">
        <f t="shared" si="26"/>
        <v>-9780622</v>
      </c>
      <c r="AJ454" s="3900">
        <v>180247981</v>
      </c>
      <c r="AK454" s="3900">
        <v>0</v>
      </c>
      <c r="AL454" s="1657">
        <f t="shared" si="27"/>
        <v>180247981</v>
      </c>
      <c r="AM454" s="1657">
        <f t="shared" si="28"/>
        <v>170467359</v>
      </c>
      <c r="AN454" s="1775">
        <v>0</v>
      </c>
      <c r="AO454" s="1775">
        <v>0</v>
      </c>
      <c r="AP454" s="1775">
        <v>67909</v>
      </c>
      <c r="AQ454" s="1775">
        <v>771021</v>
      </c>
      <c r="AR454" s="1775">
        <v>0</v>
      </c>
      <c r="AS454" s="1775">
        <v>0</v>
      </c>
      <c r="AT454" s="1775">
        <v>480111</v>
      </c>
      <c r="AU454" s="2365">
        <f t="shared" si="29"/>
        <v>1319041</v>
      </c>
      <c r="AV454" s="3896">
        <v>501127</v>
      </c>
      <c r="AW454" s="3895">
        <v>1801962</v>
      </c>
      <c r="AX454" s="3896">
        <v>0</v>
      </c>
      <c r="AY454" s="3895">
        <v>253152</v>
      </c>
      <c r="AZ454" s="3896">
        <v>54649</v>
      </c>
      <c r="BA454" s="3896">
        <v>46451</v>
      </c>
      <c r="BB454" s="3895">
        <v>251</v>
      </c>
      <c r="BC454" s="2365">
        <f>SUM(AV454:BB454)</f>
        <v>2657592</v>
      </c>
      <c r="BD454" s="2359">
        <f t="shared" si="31"/>
        <v>-1338551</v>
      </c>
      <c r="BE454" s="3896">
        <v>0</v>
      </c>
      <c r="BF454" s="3896">
        <v>0</v>
      </c>
      <c r="BG454" s="3896">
        <v>0</v>
      </c>
      <c r="BH454" s="3896">
        <v>4630368</v>
      </c>
      <c r="BI454" s="3896">
        <v>3781513</v>
      </c>
      <c r="BJ454" s="3896">
        <v>0</v>
      </c>
      <c r="BK454" s="3896">
        <v>0</v>
      </c>
      <c r="BL454" s="3896">
        <v>0</v>
      </c>
      <c r="BM454" s="3896">
        <v>0</v>
      </c>
      <c r="BN454" s="2365">
        <f t="shared" si="32"/>
        <v>8411881</v>
      </c>
      <c r="BO454" s="2367">
        <f t="shared" si="33"/>
        <v>7073330</v>
      </c>
      <c r="BP454" s="3899">
        <v>0</v>
      </c>
      <c r="BQ454" s="3899">
        <v>0</v>
      </c>
      <c r="BR454" s="3899">
        <v>713618</v>
      </c>
      <c r="BS454" s="3899">
        <v>0</v>
      </c>
      <c r="BT454" s="2367">
        <f t="shared" si="34"/>
        <v>713618</v>
      </c>
      <c r="BU454" s="2367">
        <f t="shared" si="35"/>
        <v>7786948</v>
      </c>
      <c r="BV454" s="3902">
        <v>51280233</v>
      </c>
      <c r="BW454" s="3902">
        <v>0</v>
      </c>
      <c r="BX454" s="1657">
        <f t="shared" si="36"/>
        <v>51280233</v>
      </c>
      <c r="BY454" s="1657">
        <f t="shared" si="37"/>
        <v>59067181</v>
      </c>
      <c r="BZ454" s="1789" t="s">
        <v>154</v>
      </c>
    </row>
    <row r="455" spans="1:78">
      <c r="A455" s="3886" t="str">
        <f>'Contact Information'!A63</f>
        <v>PENSACOLA STATE COLLEGE</v>
      </c>
      <c r="B455" s="3896">
        <v>12028581</v>
      </c>
      <c r="C455" s="3895">
        <v>648667</v>
      </c>
      <c r="D455" s="3895">
        <v>0</v>
      </c>
      <c r="E455" s="3896">
        <v>0</v>
      </c>
      <c r="F455" s="3896">
        <v>177432</v>
      </c>
      <c r="G455" s="3896">
        <v>377802</v>
      </c>
      <c r="H455" s="3895">
        <v>538640</v>
      </c>
      <c r="I455" s="4274">
        <f t="shared" si="20"/>
        <v>13771122</v>
      </c>
      <c r="J455" s="3896">
        <v>45158771</v>
      </c>
      <c r="K455" s="3895">
        <v>17864852</v>
      </c>
      <c r="L455" s="3896">
        <v>3515782</v>
      </c>
      <c r="M455" s="3895">
        <v>10416921</v>
      </c>
      <c r="N455" s="3896">
        <v>3701898</v>
      </c>
      <c r="O455" s="3896">
        <v>7349777</v>
      </c>
      <c r="P455" s="3896">
        <v>2984492</v>
      </c>
      <c r="Q455" s="2365">
        <f t="shared" si="21"/>
        <v>90992493</v>
      </c>
      <c r="R455" s="2359">
        <f t="shared" si="22"/>
        <v>-77221371</v>
      </c>
      <c r="S455" s="3896">
        <v>37001518</v>
      </c>
      <c r="T455" s="3896">
        <v>23591013</v>
      </c>
      <c r="U455" s="3896">
        <v>7132190</v>
      </c>
      <c r="V455" s="3896">
        <v>102682</v>
      </c>
      <c r="W455" s="3896">
        <v>0</v>
      </c>
      <c r="X455" s="3896">
        <v>6974</v>
      </c>
      <c r="Y455" s="3896">
        <v>-2066</v>
      </c>
      <c r="Z455" s="3896">
        <v>-720</v>
      </c>
      <c r="AA455" s="3896">
        <v>0</v>
      </c>
      <c r="AB455" s="2365">
        <f t="shared" si="23"/>
        <v>67831591</v>
      </c>
      <c r="AC455" s="2367">
        <f t="shared" si="24"/>
        <v>-9389780</v>
      </c>
      <c r="AD455" s="3899">
        <v>452800</v>
      </c>
      <c r="AE455" s="3899">
        <v>1947986</v>
      </c>
      <c r="AF455" s="3899">
        <v>0</v>
      </c>
      <c r="AG455" s="3899">
        <v>0</v>
      </c>
      <c r="AH455" s="2367">
        <f t="shared" si="25"/>
        <v>2400786</v>
      </c>
      <c r="AI455" s="2367">
        <f t="shared" si="26"/>
        <v>-6988994</v>
      </c>
      <c r="AJ455" s="3900">
        <v>65744091</v>
      </c>
      <c r="AK455" s="3900">
        <v>0</v>
      </c>
      <c r="AL455" s="1657">
        <f t="shared" si="27"/>
        <v>65744091</v>
      </c>
      <c r="AM455" s="1657">
        <f t="shared" si="28"/>
        <v>58755097</v>
      </c>
      <c r="AN455" s="1775">
        <v>0</v>
      </c>
      <c r="AO455" s="1775">
        <v>0</v>
      </c>
      <c r="AP455" s="1775">
        <v>0</v>
      </c>
      <c r="AQ455" s="1775">
        <v>0</v>
      </c>
      <c r="AR455" s="1775">
        <v>0</v>
      </c>
      <c r="AS455" s="1775">
        <v>0</v>
      </c>
      <c r="AT455" s="1775">
        <v>3469670</v>
      </c>
      <c r="AU455" s="2365">
        <f t="shared" si="29"/>
        <v>3469670</v>
      </c>
      <c r="AV455" s="3896">
        <v>0</v>
      </c>
      <c r="AW455" s="3895">
        <v>508231</v>
      </c>
      <c r="AX455" s="3896">
        <v>13639</v>
      </c>
      <c r="AY455" s="3895">
        <v>796389</v>
      </c>
      <c r="AZ455" s="3896">
        <v>1860714</v>
      </c>
      <c r="BA455" s="3896">
        <v>323229</v>
      </c>
      <c r="BB455" s="3896">
        <v>31079</v>
      </c>
      <c r="BC455" s="2365">
        <f t="shared" si="30"/>
        <v>3533281</v>
      </c>
      <c r="BD455" s="2359">
        <f t="shared" si="31"/>
        <v>-63611</v>
      </c>
      <c r="BE455" s="3896">
        <v>0</v>
      </c>
      <c r="BF455" s="3896">
        <v>0</v>
      </c>
      <c r="BG455" s="3896">
        <v>0</v>
      </c>
      <c r="BH455" s="3896">
        <v>672927</v>
      </c>
      <c r="BI455" s="3896">
        <v>4256043</v>
      </c>
      <c r="BJ455" s="3896">
        <v>250000</v>
      </c>
      <c r="BK455" s="3896">
        <v>0</v>
      </c>
      <c r="BL455" s="3896">
        <v>0</v>
      </c>
      <c r="BM455" s="3896">
        <v>0</v>
      </c>
      <c r="BN455" s="2365">
        <f t="shared" si="32"/>
        <v>5178970</v>
      </c>
      <c r="BO455" s="2367">
        <f t="shared" si="33"/>
        <v>5115359</v>
      </c>
      <c r="BP455" s="3899">
        <v>0</v>
      </c>
      <c r="BQ455" s="3899">
        <v>0</v>
      </c>
      <c r="BR455" s="3899">
        <v>464593</v>
      </c>
      <c r="BS455" s="3899">
        <v>0</v>
      </c>
      <c r="BT455" s="2367">
        <f t="shared" si="34"/>
        <v>464593</v>
      </c>
      <c r="BU455" s="2367">
        <f t="shared" si="35"/>
        <v>5579952</v>
      </c>
      <c r="BV455" s="3902">
        <v>27269919</v>
      </c>
      <c r="BW455" s="3902">
        <v>0</v>
      </c>
      <c r="BX455" s="1657">
        <f t="shared" si="36"/>
        <v>27269919</v>
      </c>
      <c r="BY455" s="1657">
        <f t="shared" si="37"/>
        <v>32849871</v>
      </c>
      <c r="BZ455" s="1789" t="s">
        <v>156</v>
      </c>
    </row>
    <row r="456" spans="1:78">
      <c r="A456" s="1771" t="str">
        <f>'Contact Information'!A64</f>
        <v>POLK STATE COLLEGE</v>
      </c>
      <c r="B456" s="3896">
        <v>12189013</v>
      </c>
      <c r="C456" s="3895">
        <v>1612592</v>
      </c>
      <c r="D456" s="3895">
        <v>1333585</v>
      </c>
      <c r="E456" s="3896">
        <v>88003</v>
      </c>
      <c r="F456" s="3895">
        <v>52982</v>
      </c>
      <c r="G456" s="3896">
        <v>744263</v>
      </c>
      <c r="H456" s="3895">
        <v>74046</v>
      </c>
      <c r="I456" s="4274">
        <f t="shared" si="20"/>
        <v>16094484</v>
      </c>
      <c r="J456" s="3896">
        <v>48871897</v>
      </c>
      <c r="K456" s="3895">
        <v>12343404</v>
      </c>
      <c r="L456" s="3896">
        <v>2251636</v>
      </c>
      <c r="M456" s="3895">
        <v>9203757</v>
      </c>
      <c r="N456" s="3896">
        <v>5190596</v>
      </c>
      <c r="O456" s="3896">
        <v>3748462</v>
      </c>
      <c r="P456" s="3895">
        <v>3884283</v>
      </c>
      <c r="Q456" s="2365">
        <f t="shared" si="21"/>
        <v>85494035</v>
      </c>
      <c r="R456" s="2359">
        <f t="shared" si="22"/>
        <v>-69399551</v>
      </c>
      <c r="S456" s="3896">
        <v>32586911</v>
      </c>
      <c r="T456" s="3896">
        <v>22162134</v>
      </c>
      <c r="U456" s="3896">
        <v>8096783</v>
      </c>
      <c r="V456" s="3896">
        <v>91965</v>
      </c>
      <c r="W456" s="3896">
        <v>0</v>
      </c>
      <c r="X456" s="3896">
        <v>0</v>
      </c>
      <c r="Y456" s="3896">
        <v>0</v>
      </c>
      <c r="Z456" s="3896">
        <v>0</v>
      </c>
      <c r="AA456" s="3896">
        <v>0</v>
      </c>
      <c r="AB456" s="2365">
        <f t="shared" si="23"/>
        <v>62937793</v>
      </c>
      <c r="AC456" s="2367">
        <f t="shared" si="24"/>
        <v>-6461758</v>
      </c>
      <c r="AD456" s="3899">
        <v>209152</v>
      </c>
      <c r="AE456" s="3899">
        <v>2613869</v>
      </c>
      <c r="AF456" s="3899">
        <v>0</v>
      </c>
      <c r="AG456" s="3899">
        <v>0</v>
      </c>
      <c r="AH456" s="2367">
        <f t="shared" si="25"/>
        <v>2823021</v>
      </c>
      <c r="AI456" s="2367">
        <f t="shared" si="26"/>
        <v>-3638737</v>
      </c>
      <c r="AJ456" s="3900">
        <v>78533940</v>
      </c>
      <c r="AK456" s="3900">
        <v>0</v>
      </c>
      <c r="AL456" s="1657">
        <f t="shared" si="27"/>
        <v>78533940</v>
      </c>
      <c r="AM456" s="1657">
        <f t="shared" si="28"/>
        <v>74895203</v>
      </c>
      <c r="AN456" s="1775">
        <v>0</v>
      </c>
      <c r="AO456" s="1775">
        <v>0</v>
      </c>
      <c r="AP456" s="1775">
        <v>0</v>
      </c>
      <c r="AQ456" s="1775">
        <v>0</v>
      </c>
      <c r="AR456" s="1775">
        <v>0</v>
      </c>
      <c r="AS456" s="1775">
        <v>0</v>
      </c>
      <c r="AT456" s="1775">
        <v>292298</v>
      </c>
      <c r="AU456" s="2365">
        <f t="shared" si="29"/>
        <v>292298</v>
      </c>
      <c r="AV456" s="3896">
        <v>762888</v>
      </c>
      <c r="AW456" s="3895">
        <v>1310810</v>
      </c>
      <c r="AX456" s="3896">
        <v>53562</v>
      </c>
      <c r="AY456" s="3895">
        <v>340441</v>
      </c>
      <c r="AZ456" s="3896">
        <v>674953</v>
      </c>
      <c r="BA456" s="3896">
        <v>77356</v>
      </c>
      <c r="BB456" s="3895">
        <v>0</v>
      </c>
      <c r="BC456" s="2365">
        <f t="shared" si="30"/>
        <v>3220010</v>
      </c>
      <c r="BD456" s="2359">
        <f t="shared" si="31"/>
        <v>-2927712</v>
      </c>
      <c r="BE456" s="3896">
        <v>0</v>
      </c>
      <c r="BF456" s="3896">
        <v>0</v>
      </c>
      <c r="BG456" s="3896">
        <v>2395378</v>
      </c>
      <c r="BH456" s="3896">
        <v>5915121</v>
      </c>
      <c r="BI456" s="3896">
        <v>0</v>
      </c>
      <c r="BJ456" s="3896">
        <v>8077</v>
      </c>
      <c r="BK456" s="3896">
        <v>0</v>
      </c>
      <c r="BL456" s="3896">
        <v>0</v>
      </c>
      <c r="BM456" s="3896">
        <v>0</v>
      </c>
      <c r="BN456" s="2365">
        <f t="shared" si="32"/>
        <v>8318576</v>
      </c>
      <c r="BO456" s="2367">
        <f t="shared" si="33"/>
        <v>5390864</v>
      </c>
      <c r="BP456" s="3899">
        <v>0</v>
      </c>
      <c r="BQ456" s="3899">
        <v>0</v>
      </c>
      <c r="BR456" s="3899"/>
      <c r="BS456" s="3899">
        <v>0</v>
      </c>
      <c r="BT456" s="2367">
        <f t="shared" si="34"/>
        <v>0</v>
      </c>
      <c r="BU456" s="2367">
        <f t="shared" si="35"/>
        <v>5390864</v>
      </c>
      <c r="BV456" s="3902">
        <v>31343885</v>
      </c>
      <c r="BW456" s="3902">
        <v>0</v>
      </c>
      <c r="BX456" s="1657">
        <f t="shared" si="36"/>
        <v>31343885</v>
      </c>
      <c r="BY456" s="1657">
        <f t="shared" si="37"/>
        <v>36734749</v>
      </c>
      <c r="BZ456" s="1789" t="s">
        <v>158</v>
      </c>
    </row>
    <row r="457" spans="1:78">
      <c r="A457" s="1771" t="str">
        <f>'Contact Information'!A65</f>
        <v>SANTA FE COLLEGE</v>
      </c>
      <c r="B457" s="3896">
        <v>26368345</v>
      </c>
      <c r="C457" s="3896">
        <v>3726711</v>
      </c>
      <c r="D457" s="3896">
        <v>572410</v>
      </c>
      <c r="E457" s="3896">
        <v>296416</v>
      </c>
      <c r="F457" s="3896">
        <v>735283</v>
      </c>
      <c r="G457" s="3896">
        <v>862666</v>
      </c>
      <c r="H457" s="3896">
        <v>293996</v>
      </c>
      <c r="I457" s="4274">
        <f t="shared" si="20"/>
        <v>32855827</v>
      </c>
      <c r="J457" s="3896">
        <v>71553361</v>
      </c>
      <c r="K457" s="3896">
        <v>17665236</v>
      </c>
      <c r="L457" s="3896">
        <v>2325711</v>
      </c>
      <c r="M457" s="3895">
        <v>5816554</v>
      </c>
      <c r="N457" s="3896">
        <v>5534555</v>
      </c>
      <c r="O457" s="3896">
        <v>12890436</v>
      </c>
      <c r="P457" s="3895">
        <v>4935099</v>
      </c>
      <c r="Q457" s="2365">
        <f t="shared" si="21"/>
        <v>120720952</v>
      </c>
      <c r="R457" s="2359">
        <f t="shared" si="22"/>
        <v>-87865125</v>
      </c>
      <c r="S457" s="3896">
        <v>44883077</v>
      </c>
      <c r="T457" s="3896">
        <v>25856068</v>
      </c>
      <c r="U457" s="3896">
        <v>1899400</v>
      </c>
      <c r="V457" s="3896">
        <v>3540583</v>
      </c>
      <c r="W457" s="3896">
        <v>0</v>
      </c>
      <c r="X457" s="3896">
        <v>0</v>
      </c>
      <c r="Y457" s="3896">
        <v>1850</v>
      </c>
      <c r="Z457" s="3896">
        <v>-332250</v>
      </c>
      <c r="AA457" s="3896">
        <v>0</v>
      </c>
      <c r="AB457" s="2365">
        <f t="shared" si="23"/>
        <v>75848728</v>
      </c>
      <c r="AC457" s="2367">
        <f t="shared" si="24"/>
        <v>-12016397</v>
      </c>
      <c r="AD457" s="3899">
        <v>409200</v>
      </c>
      <c r="AE457" s="3899">
        <v>3070022</v>
      </c>
      <c r="AF457" s="3899">
        <v>0</v>
      </c>
      <c r="AG457" s="3899">
        <v>0</v>
      </c>
      <c r="AH457" s="2367">
        <f t="shared" si="25"/>
        <v>3479222</v>
      </c>
      <c r="AI457" s="2367">
        <f t="shared" si="26"/>
        <v>-8537175</v>
      </c>
      <c r="AJ457" s="3900">
        <v>118740969</v>
      </c>
      <c r="AK457" s="3900">
        <v>0</v>
      </c>
      <c r="AL457" s="1657">
        <f t="shared" si="27"/>
        <v>118740969</v>
      </c>
      <c r="AM457" s="1657">
        <f t="shared" si="28"/>
        <v>110203794</v>
      </c>
      <c r="AN457" s="1779">
        <v>0</v>
      </c>
      <c r="AO457" s="1779">
        <v>0</v>
      </c>
      <c r="AP457" s="1779">
        <v>0</v>
      </c>
      <c r="AQ457" s="1779">
        <v>615825</v>
      </c>
      <c r="AR457" s="1779">
        <v>0</v>
      </c>
      <c r="AS457" s="1779">
        <v>0</v>
      </c>
      <c r="AT457" s="1779">
        <v>748540</v>
      </c>
      <c r="AU457" s="2365">
        <f t="shared" si="29"/>
        <v>1364365</v>
      </c>
      <c r="AV457" s="3896">
        <v>0</v>
      </c>
      <c r="AW457" s="3896">
        <v>982380</v>
      </c>
      <c r="AX457" s="3896">
        <v>0</v>
      </c>
      <c r="AY457" s="3895">
        <v>0</v>
      </c>
      <c r="AZ457" s="3896">
        <v>983424</v>
      </c>
      <c r="BA457" s="3896">
        <v>0</v>
      </c>
      <c r="BB457" s="3895">
        <v>365108</v>
      </c>
      <c r="BC457" s="2365">
        <f t="shared" si="30"/>
        <v>2330912</v>
      </c>
      <c r="BD457" s="2359">
        <f t="shared" si="31"/>
        <v>-966547</v>
      </c>
      <c r="BE457" s="3896">
        <v>0</v>
      </c>
      <c r="BF457" s="3896">
        <v>0</v>
      </c>
      <c r="BG457" s="3896">
        <v>0</v>
      </c>
      <c r="BH457" s="3896">
        <v>6407314</v>
      </c>
      <c r="BI457" s="3896">
        <v>0</v>
      </c>
      <c r="BJ457" s="3896">
        <v>0</v>
      </c>
      <c r="BK457" s="3896">
        <v>0</v>
      </c>
      <c r="BL457" s="3896">
        <v>0</v>
      </c>
      <c r="BM457" s="3896">
        <v>0</v>
      </c>
      <c r="BN457" s="2365">
        <f t="shared" si="32"/>
        <v>6407314</v>
      </c>
      <c r="BO457" s="2367">
        <f t="shared" si="33"/>
        <v>5440767</v>
      </c>
      <c r="BP457" s="3899">
        <v>0</v>
      </c>
      <c r="BQ457" s="3899">
        <v>0</v>
      </c>
      <c r="BR457" s="3899">
        <v>3755838</v>
      </c>
      <c r="BS457" s="3899">
        <v>20350</v>
      </c>
      <c r="BT457" s="2367">
        <f t="shared" si="34"/>
        <v>3776188</v>
      </c>
      <c r="BU457" s="2367">
        <f t="shared" si="35"/>
        <v>9216955</v>
      </c>
      <c r="BV457" s="3902">
        <v>48258600</v>
      </c>
      <c r="BW457" s="3902">
        <v>0</v>
      </c>
      <c r="BX457" s="1657">
        <f t="shared" si="36"/>
        <v>48258600</v>
      </c>
      <c r="BY457" s="1657">
        <f t="shared" si="37"/>
        <v>57475555</v>
      </c>
      <c r="BZ457" s="1789" t="s">
        <v>160</v>
      </c>
    </row>
    <row r="458" spans="1:78">
      <c r="A458" s="1771" t="str">
        <f>'Contact Information'!A66</f>
        <v>SEMINOLE STATE COLLEGE OF FLORIDA</v>
      </c>
      <c r="B458" s="3896">
        <v>24162170</v>
      </c>
      <c r="C458" s="3895">
        <v>1614346</v>
      </c>
      <c r="D458" s="3895">
        <v>154184</v>
      </c>
      <c r="E458" s="3896">
        <v>2379178</v>
      </c>
      <c r="F458" s="3896">
        <v>70655</v>
      </c>
      <c r="G458" s="3896">
        <v>1776083</v>
      </c>
      <c r="H458" s="3895">
        <v>231542</v>
      </c>
      <c r="I458" s="4274">
        <f t="shared" si="20"/>
        <v>30388158</v>
      </c>
      <c r="J458" s="3896">
        <v>78090070</v>
      </c>
      <c r="K458" s="3895">
        <v>19671245</v>
      </c>
      <c r="L458" s="3896">
        <v>2503138</v>
      </c>
      <c r="M458" s="3895">
        <v>3450488</v>
      </c>
      <c r="N458" s="3896">
        <v>6715199</v>
      </c>
      <c r="O458" s="3896">
        <v>6496783</v>
      </c>
      <c r="P458" s="3895">
        <v>7132807</v>
      </c>
      <c r="Q458" s="2365">
        <f t="shared" si="21"/>
        <v>124059730</v>
      </c>
      <c r="R458" s="2359">
        <f t="shared" si="22"/>
        <v>-93671572</v>
      </c>
      <c r="S458" s="3896">
        <v>46198225</v>
      </c>
      <c r="T458" s="3896">
        <v>30528734</v>
      </c>
      <c r="U458" s="3896">
        <v>1325005</v>
      </c>
      <c r="V458" s="3896">
        <v>475713</v>
      </c>
      <c r="W458" s="3896">
        <v>92792</v>
      </c>
      <c r="X458" s="3896">
        <v>1001854</v>
      </c>
      <c r="Y458" s="3896">
        <v>0</v>
      </c>
      <c r="Z458" s="3896">
        <v>-190412</v>
      </c>
      <c r="AA458" s="3896">
        <v>0</v>
      </c>
      <c r="AB458" s="2365">
        <f t="shared" si="23"/>
        <v>79431911</v>
      </c>
      <c r="AC458" s="2367">
        <f t="shared" si="24"/>
        <v>-14239661</v>
      </c>
      <c r="AD458" s="3899">
        <v>534800</v>
      </c>
      <c r="AE458" s="3899">
        <v>3481608</v>
      </c>
      <c r="AF458" s="3899">
        <v>0</v>
      </c>
      <c r="AG458" s="3899">
        <v>0</v>
      </c>
      <c r="AH458" s="2367">
        <f t="shared" si="25"/>
        <v>4016408</v>
      </c>
      <c r="AI458" s="2367">
        <f t="shared" si="26"/>
        <v>-10223253</v>
      </c>
      <c r="AJ458" s="3900">
        <v>190740466</v>
      </c>
      <c r="AK458" s="3900">
        <v>0</v>
      </c>
      <c r="AL458" s="1657">
        <f t="shared" si="27"/>
        <v>190740466</v>
      </c>
      <c r="AM458" s="1657">
        <f t="shared" si="28"/>
        <v>180517213</v>
      </c>
      <c r="AN458" s="1775">
        <v>0</v>
      </c>
      <c r="AO458" s="1775">
        <v>0</v>
      </c>
      <c r="AP458" s="1775">
        <v>0</v>
      </c>
      <c r="AQ458" s="1775">
        <v>0</v>
      </c>
      <c r="AR458" s="1775">
        <v>0</v>
      </c>
      <c r="AS458" s="1775">
        <v>0</v>
      </c>
      <c r="AT458" s="1775">
        <v>2880308</v>
      </c>
      <c r="AU458" s="2365">
        <f t="shared" si="29"/>
        <v>2880308</v>
      </c>
      <c r="AV458" s="3896">
        <v>683435</v>
      </c>
      <c r="AW458" s="3895">
        <v>2690102</v>
      </c>
      <c r="AX458" s="3896">
        <v>0</v>
      </c>
      <c r="AY458" s="3895">
        <v>252007</v>
      </c>
      <c r="AZ458" s="3896">
        <v>177192</v>
      </c>
      <c r="BA458" s="3896">
        <v>43127</v>
      </c>
      <c r="BB458" s="3895">
        <v>0</v>
      </c>
      <c r="BC458" s="2365">
        <f t="shared" si="30"/>
        <v>3845863</v>
      </c>
      <c r="BD458" s="2359">
        <f t="shared" si="31"/>
        <v>-965555</v>
      </c>
      <c r="BE458" s="3896">
        <v>111166</v>
      </c>
      <c r="BF458" s="3896">
        <v>0</v>
      </c>
      <c r="BG458" s="3896">
        <v>233586</v>
      </c>
      <c r="BH458" s="3896">
        <v>587541</v>
      </c>
      <c r="BI458" s="3896">
        <v>145673</v>
      </c>
      <c r="BJ458" s="3896">
        <v>0</v>
      </c>
      <c r="BK458" s="3896">
        <v>0</v>
      </c>
      <c r="BL458" s="3896">
        <v>0</v>
      </c>
      <c r="BM458" s="3896">
        <v>0</v>
      </c>
      <c r="BN458" s="2365">
        <f t="shared" si="32"/>
        <v>1077966</v>
      </c>
      <c r="BO458" s="2367">
        <f t="shared" si="33"/>
        <v>112411</v>
      </c>
      <c r="BP458" s="3899">
        <v>0</v>
      </c>
      <c r="BQ458" s="3899">
        <v>0</v>
      </c>
      <c r="BR458" s="3899">
        <v>0</v>
      </c>
      <c r="BS458" s="3899">
        <v>0</v>
      </c>
      <c r="BT458" s="2367">
        <f t="shared" si="34"/>
        <v>0</v>
      </c>
      <c r="BU458" s="2367">
        <f t="shared" si="35"/>
        <v>112411</v>
      </c>
      <c r="BV458" s="3902">
        <v>32038650</v>
      </c>
      <c r="BW458" s="3902">
        <v>0</v>
      </c>
      <c r="BX458" s="1657">
        <f t="shared" si="36"/>
        <v>32038650</v>
      </c>
      <c r="BY458" s="1657">
        <f t="shared" si="37"/>
        <v>32151061</v>
      </c>
      <c r="BZ458" s="1789" t="s">
        <v>162</v>
      </c>
    </row>
    <row r="459" spans="1:78">
      <c r="A459" s="1771" t="str">
        <f>'Contact Information'!A67</f>
        <v>SOUTH FLORIDA STATE COLLEGE</v>
      </c>
      <c r="B459" s="3896">
        <v>2433752</v>
      </c>
      <c r="C459" s="3895">
        <v>658437</v>
      </c>
      <c r="D459" s="3895">
        <v>719146</v>
      </c>
      <c r="E459" s="3896">
        <v>40093</v>
      </c>
      <c r="F459" s="3895">
        <v>225991</v>
      </c>
      <c r="G459" s="3896">
        <v>1510299</v>
      </c>
      <c r="H459" s="3896">
        <v>195745</v>
      </c>
      <c r="I459" s="4274">
        <f t="shared" si="20"/>
        <v>5783463</v>
      </c>
      <c r="J459" s="3896">
        <v>21578362</v>
      </c>
      <c r="K459" s="3895">
        <v>3428695</v>
      </c>
      <c r="L459" s="3895">
        <v>1576015</v>
      </c>
      <c r="M459" s="3895">
        <v>2634899</v>
      </c>
      <c r="N459" s="3896">
        <v>3078115</v>
      </c>
      <c r="O459" s="3896">
        <v>2058205</v>
      </c>
      <c r="P459" s="3895">
        <v>2353798</v>
      </c>
      <c r="Q459" s="2365">
        <f t="shared" si="21"/>
        <v>36708089</v>
      </c>
      <c r="R459" s="2359">
        <f t="shared" si="22"/>
        <v>-30924626</v>
      </c>
      <c r="S459" s="3896">
        <v>16926032</v>
      </c>
      <c r="T459" s="3896">
        <v>5663454</v>
      </c>
      <c r="U459" s="3896">
        <v>3949497</v>
      </c>
      <c r="V459" s="3896">
        <v>116012</v>
      </c>
      <c r="W459" s="3896">
        <v>0</v>
      </c>
      <c r="X459" s="3896">
        <v>0</v>
      </c>
      <c r="Y459" s="3896">
        <v>0</v>
      </c>
      <c r="Z459" s="3896">
        <v>0</v>
      </c>
      <c r="AA459" s="3896">
        <v>0</v>
      </c>
      <c r="AB459" s="2365">
        <f t="shared" si="23"/>
        <v>26654995</v>
      </c>
      <c r="AC459" s="2367">
        <f t="shared" si="24"/>
        <v>-4269631</v>
      </c>
      <c r="AD459" s="3899">
        <v>120000</v>
      </c>
      <c r="AE459" s="3899">
        <v>327987</v>
      </c>
      <c r="AF459" s="3899">
        <v>0</v>
      </c>
      <c r="AG459" s="3899">
        <v>0</v>
      </c>
      <c r="AH459" s="2367">
        <f t="shared" si="25"/>
        <v>447987</v>
      </c>
      <c r="AI459" s="2367">
        <f t="shared" si="26"/>
        <v>-3821644</v>
      </c>
      <c r="AJ459" s="3900">
        <v>50984881</v>
      </c>
      <c r="AK459" s="3900">
        <v>0</v>
      </c>
      <c r="AL459" s="1657">
        <f t="shared" si="27"/>
        <v>50984881</v>
      </c>
      <c r="AM459" s="1657">
        <f t="shared" si="28"/>
        <v>47163237</v>
      </c>
      <c r="AN459" s="1775">
        <v>0</v>
      </c>
      <c r="AO459" s="1775">
        <v>0</v>
      </c>
      <c r="AP459" s="1775">
        <v>0</v>
      </c>
      <c r="AQ459" s="1775">
        <v>0</v>
      </c>
      <c r="AR459" s="1775">
        <v>0</v>
      </c>
      <c r="AS459" s="1775">
        <v>0</v>
      </c>
      <c r="AT459" s="1775">
        <v>356978</v>
      </c>
      <c r="AU459" s="2365">
        <f t="shared" si="29"/>
        <v>356978</v>
      </c>
      <c r="AV459" s="3896">
        <v>0</v>
      </c>
      <c r="AW459" s="3895">
        <v>757303</v>
      </c>
      <c r="AX459" s="3896">
        <v>0</v>
      </c>
      <c r="AY459" s="3895">
        <v>0</v>
      </c>
      <c r="AZ459" s="3896">
        <v>427224</v>
      </c>
      <c r="BA459" s="3896">
        <v>231308</v>
      </c>
      <c r="BB459" s="3895">
        <v>46254</v>
      </c>
      <c r="BC459" s="2365">
        <f t="shared" si="30"/>
        <v>1462089</v>
      </c>
      <c r="BD459" s="2359">
        <f t="shared" si="31"/>
        <v>-1105111</v>
      </c>
      <c r="BE459" s="3896">
        <v>0</v>
      </c>
      <c r="BF459" s="3896">
        <v>0</v>
      </c>
      <c r="BG459" s="3896">
        <v>1467587</v>
      </c>
      <c r="BH459" s="3896">
        <v>2251110</v>
      </c>
      <c r="BI459" s="3896">
        <v>0</v>
      </c>
      <c r="BJ459" s="3896">
        <v>66</v>
      </c>
      <c r="BK459" s="3896">
        <v>0</v>
      </c>
      <c r="BL459" s="3896">
        <v>0</v>
      </c>
      <c r="BM459" s="3896">
        <v>0</v>
      </c>
      <c r="BN459" s="2365">
        <f t="shared" si="32"/>
        <v>3718763</v>
      </c>
      <c r="BO459" s="2367">
        <f t="shared" si="33"/>
        <v>2613652</v>
      </c>
      <c r="BP459" s="3900">
        <v>0</v>
      </c>
      <c r="BQ459" s="3900">
        <v>0</v>
      </c>
      <c r="BR459" s="3900">
        <v>0</v>
      </c>
      <c r="BS459" s="3900">
        <v>0</v>
      </c>
      <c r="BT459" s="2367">
        <f t="shared" si="34"/>
        <v>0</v>
      </c>
      <c r="BU459" s="2367">
        <f t="shared" si="35"/>
        <v>2613652</v>
      </c>
      <c r="BV459" s="3902">
        <v>13040613</v>
      </c>
      <c r="BW459" s="3902">
        <v>0</v>
      </c>
      <c r="BX459" s="1657">
        <f t="shared" si="36"/>
        <v>13040613</v>
      </c>
      <c r="BY459" s="1657">
        <f t="shared" si="37"/>
        <v>15654265</v>
      </c>
      <c r="BZ459" s="1789" t="s">
        <v>164</v>
      </c>
    </row>
    <row r="460" spans="1:78">
      <c r="A460" s="1771" t="str">
        <f>'Contact Information'!A68</f>
        <v>ST. JOHNS RIVER STATE COLLEGE</v>
      </c>
      <c r="B460" s="3896">
        <v>9450016</v>
      </c>
      <c r="C460" s="3895">
        <v>846580</v>
      </c>
      <c r="D460" s="3895">
        <v>516686</v>
      </c>
      <c r="E460" s="3896">
        <v>30000</v>
      </c>
      <c r="F460" s="3895">
        <v>0</v>
      </c>
      <c r="G460" s="3896">
        <v>2716790</v>
      </c>
      <c r="H460" s="3896">
        <v>35612</v>
      </c>
      <c r="I460" s="4274">
        <f t="shared" si="20"/>
        <v>13595684</v>
      </c>
      <c r="J460" s="3896">
        <v>30894231</v>
      </c>
      <c r="K460" s="3895">
        <v>6806185</v>
      </c>
      <c r="L460" s="3896">
        <v>952922</v>
      </c>
      <c r="M460" s="3895">
        <v>3792884</v>
      </c>
      <c r="N460" s="3896">
        <v>2195797</v>
      </c>
      <c r="O460" s="3896">
        <v>6429736</v>
      </c>
      <c r="P460" s="3895">
        <v>2304163</v>
      </c>
      <c r="Q460" s="2365">
        <f t="shared" si="21"/>
        <v>53375918</v>
      </c>
      <c r="R460" s="2359">
        <f t="shared" si="22"/>
        <v>-39780234</v>
      </c>
      <c r="S460" s="3896">
        <v>23286521</v>
      </c>
      <c r="T460" s="3896">
        <v>10382562</v>
      </c>
      <c r="U460" s="3896">
        <v>1316287</v>
      </c>
      <c r="V460" s="3896">
        <v>1196281</v>
      </c>
      <c r="W460" s="3896">
        <v>0</v>
      </c>
      <c r="X460" s="3896">
        <v>74919</v>
      </c>
      <c r="Y460" s="3896">
        <v>11677</v>
      </c>
      <c r="Z460" s="3896">
        <v>0</v>
      </c>
      <c r="AA460" s="3896">
        <v>0</v>
      </c>
      <c r="AB460" s="2365">
        <f t="shared" si="23"/>
        <v>36268247</v>
      </c>
      <c r="AC460" s="2367">
        <f t="shared" si="24"/>
        <v>-3511987</v>
      </c>
      <c r="AD460" s="3899">
        <v>174800</v>
      </c>
      <c r="AE460" s="3899">
        <v>1298452</v>
      </c>
      <c r="AF460" s="3899">
        <v>0</v>
      </c>
      <c r="AG460" s="3899">
        <v>0</v>
      </c>
      <c r="AH460" s="2367">
        <f t="shared" si="25"/>
        <v>1473252</v>
      </c>
      <c r="AI460" s="2367">
        <f t="shared" si="26"/>
        <v>-2038735</v>
      </c>
      <c r="AJ460" s="3900">
        <v>61456705</v>
      </c>
      <c r="AK460" s="3900">
        <v>0</v>
      </c>
      <c r="AL460" s="1657">
        <f t="shared" si="27"/>
        <v>61456705</v>
      </c>
      <c r="AM460" s="1657">
        <f>AI460+AL460</f>
        <v>59417970</v>
      </c>
      <c r="AN460" s="1775">
        <v>0</v>
      </c>
      <c r="AO460" s="1775">
        <v>0</v>
      </c>
      <c r="AP460" s="1775">
        <v>0</v>
      </c>
      <c r="AQ460" s="1775">
        <v>0</v>
      </c>
      <c r="AR460" s="1775">
        <v>0</v>
      </c>
      <c r="AS460" s="1775">
        <v>0</v>
      </c>
      <c r="AT460" s="1775">
        <v>499063</v>
      </c>
      <c r="AU460" s="2365">
        <f t="shared" si="29"/>
        <v>499063</v>
      </c>
      <c r="AV460" s="3896">
        <v>0</v>
      </c>
      <c r="AW460" s="3895">
        <v>359625</v>
      </c>
      <c r="AX460" s="3896">
        <v>0</v>
      </c>
      <c r="AY460" s="3895">
        <v>20190</v>
      </c>
      <c r="AZ460" s="3896">
        <v>229886</v>
      </c>
      <c r="BA460" s="3896">
        <v>0</v>
      </c>
      <c r="BB460" s="3895">
        <v>0</v>
      </c>
      <c r="BC460" s="2365">
        <f t="shared" si="30"/>
        <v>609701</v>
      </c>
      <c r="BD460" s="2359">
        <f t="shared" si="31"/>
        <v>-110638</v>
      </c>
      <c r="BE460" s="3896">
        <v>0</v>
      </c>
      <c r="BF460" s="3896">
        <v>0</v>
      </c>
      <c r="BG460" s="3896">
        <v>0</v>
      </c>
      <c r="BH460" s="3896">
        <v>-346439</v>
      </c>
      <c r="BI460" s="3896">
        <v>0</v>
      </c>
      <c r="BJ460" s="3896">
        <v>0</v>
      </c>
      <c r="BK460" s="3896">
        <v>0</v>
      </c>
      <c r="BL460" s="3896">
        <v>0</v>
      </c>
      <c r="BM460" s="3896">
        <v>0</v>
      </c>
      <c r="BN460" s="2365">
        <f t="shared" si="32"/>
        <v>-346439</v>
      </c>
      <c r="BO460" s="2367">
        <f t="shared" si="33"/>
        <v>-457077</v>
      </c>
      <c r="BP460" s="3899">
        <v>0</v>
      </c>
      <c r="BQ460" s="3899">
        <v>0</v>
      </c>
      <c r="BR460" s="3899">
        <v>226487</v>
      </c>
      <c r="BS460" s="3899">
        <v>0</v>
      </c>
      <c r="BT460" s="2367">
        <f t="shared" si="34"/>
        <v>226487</v>
      </c>
      <c r="BU460" s="2367">
        <f t="shared" si="35"/>
        <v>-230590</v>
      </c>
      <c r="BV460" s="3902">
        <v>5976350</v>
      </c>
      <c r="BW460" s="3902">
        <v>0</v>
      </c>
      <c r="BX460" s="1657">
        <f t="shared" si="36"/>
        <v>5976350</v>
      </c>
      <c r="BY460" s="1657">
        <f t="shared" si="37"/>
        <v>5745760</v>
      </c>
      <c r="BZ460" s="1789" t="s">
        <v>166</v>
      </c>
    </row>
    <row r="461" spans="1:78">
      <c r="A461" s="1771" t="str">
        <f>'Contact Information'!A69</f>
        <v>ST. PETERSBURG COLLEGE</v>
      </c>
      <c r="B461" s="3896">
        <v>39017202</v>
      </c>
      <c r="C461" s="3895">
        <v>503114</v>
      </c>
      <c r="D461" s="3895">
        <v>1525965</v>
      </c>
      <c r="E461" s="3896">
        <v>448551</v>
      </c>
      <c r="F461" s="3896">
        <v>1589052</v>
      </c>
      <c r="G461" s="3896">
        <v>2143975</v>
      </c>
      <c r="H461" s="3896">
        <v>2130249</v>
      </c>
      <c r="I461" s="4274">
        <f t="shared" si="20"/>
        <v>47358108</v>
      </c>
      <c r="J461" s="3896">
        <v>127648867</v>
      </c>
      <c r="K461" s="3896">
        <v>43162323</v>
      </c>
      <c r="L461" s="3896">
        <v>6001617</v>
      </c>
      <c r="M461" s="3895">
        <v>9355169</v>
      </c>
      <c r="N461" s="3896">
        <v>8245401</v>
      </c>
      <c r="O461" s="3896">
        <v>9147985</v>
      </c>
      <c r="P461" s="3895">
        <v>10881559</v>
      </c>
      <c r="Q461" s="2365">
        <f t="shared" si="21"/>
        <v>214442921</v>
      </c>
      <c r="R461" s="2359">
        <f t="shared" si="22"/>
        <v>-167084813</v>
      </c>
      <c r="S461" s="3896">
        <v>73047083</v>
      </c>
      <c r="T461" s="3896">
        <v>62578143</v>
      </c>
      <c r="U461" s="3896">
        <v>14633095</v>
      </c>
      <c r="V461" s="3896">
        <v>724549</v>
      </c>
      <c r="W461" s="3896">
        <v>114211</v>
      </c>
      <c r="X461" s="3896">
        <v>0</v>
      </c>
      <c r="Y461" s="3896">
        <v>1000</v>
      </c>
      <c r="Z461" s="3896">
        <v>-889608</v>
      </c>
      <c r="AA461" s="3896">
        <v>0</v>
      </c>
      <c r="AB461" s="2365">
        <f t="shared" si="23"/>
        <v>150208473</v>
      </c>
      <c r="AC461" s="2367">
        <f t="shared" si="24"/>
        <v>-16876340</v>
      </c>
      <c r="AD461" s="3899">
        <v>770800</v>
      </c>
      <c r="AE461" s="3899">
        <v>7989358</v>
      </c>
      <c r="AF461" s="3899">
        <v>0</v>
      </c>
      <c r="AG461" s="3899">
        <v>0</v>
      </c>
      <c r="AH461" s="2367">
        <f t="shared" si="25"/>
        <v>8760158</v>
      </c>
      <c r="AI461" s="2367">
        <f t="shared" si="26"/>
        <v>-8116182</v>
      </c>
      <c r="AJ461" s="3900">
        <v>203846324</v>
      </c>
      <c r="AK461" s="3900">
        <v>0</v>
      </c>
      <c r="AL461" s="1657">
        <f t="shared" si="27"/>
        <v>203846324</v>
      </c>
      <c r="AM461" s="1657">
        <f t="shared" si="28"/>
        <v>195730142</v>
      </c>
      <c r="AN461" s="1775">
        <v>0</v>
      </c>
      <c r="AO461" s="1775">
        <v>0</v>
      </c>
      <c r="AP461" s="1775">
        <v>0</v>
      </c>
      <c r="AQ461" s="1775">
        <v>0</v>
      </c>
      <c r="AR461" s="1775">
        <v>0</v>
      </c>
      <c r="AS461" s="1775">
        <v>0</v>
      </c>
      <c r="AT461" s="1775">
        <v>3724769</v>
      </c>
      <c r="AU461" s="2365">
        <f t="shared" si="29"/>
        <v>3724769</v>
      </c>
      <c r="AV461" s="3896">
        <v>0</v>
      </c>
      <c r="AW461" s="3896">
        <v>3477925</v>
      </c>
      <c r="AX461" s="3896">
        <v>0</v>
      </c>
      <c r="AY461" s="3895">
        <v>1935247</v>
      </c>
      <c r="AZ461" s="3896">
        <v>0</v>
      </c>
      <c r="BA461" s="3896">
        <v>22763</v>
      </c>
      <c r="BB461" s="3895">
        <v>0</v>
      </c>
      <c r="BC461" s="2365">
        <f t="shared" si="30"/>
        <v>5435935</v>
      </c>
      <c r="BD461" s="2359">
        <f t="shared" si="31"/>
        <v>-1711166</v>
      </c>
      <c r="BE461" s="3896">
        <v>0</v>
      </c>
      <c r="BF461" s="3896">
        <v>0</v>
      </c>
      <c r="BG461" s="3896">
        <v>50551</v>
      </c>
      <c r="BH461" s="3896">
        <v>778073</v>
      </c>
      <c r="BI461" s="3896">
        <v>-7900237</v>
      </c>
      <c r="BJ461" s="3896">
        <v>13869</v>
      </c>
      <c r="BK461" s="3896">
        <v>0</v>
      </c>
      <c r="BL461" s="3896">
        <v>0</v>
      </c>
      <c r="BM461" s="3896">
        <v>0</v>
      </c>
      <c r="BN461" s="2365">
        <f t="shared" si="32"/>
        <v>-7057744</v>
      </c>
      <c r="BO461" s="2367">
        <f t="shared" si="33"/>
        <v>-8768910</v>
      </c>
      <c r="BP461" s="3899">
        <v>0</v>
      </c>
      <c r="BQ461" s="3899">
        <v>0</v>
      </c>
      <c r="BR461" s="3899">
        <v>1675040</v>
      </c>
      <c r="BS461" s="3899">
        <v>0</v>
      </c>
      <c r="BT461" s="2367">
        <f t="shared" si="34"/>
        <v>1675040</v>
      </c>
      <c r="BU461" s="2367">
        <f t="shared" si="35"/>
        <v>-7093870</v>
      </c>
      <c r="BV461" s="3902">
        <v>76887892</v>
      </c>
      <c r="BW461" s="3902">
        <v>0</v>
      </c>
      <c r="BX461" s="1657">
        <f t="shared" si="36"/>
        <v>76887892</v>
      </c>
      <c r="BY461" s="1657">
        <f t="shared" si="37"/>
        <v>69794022</v>
      </c>
      <c r="BZ461" s="1789" t="s">
        <v>168</v>
      </c>
    </row>
    <row r="462" spans="1:78">
      <c r="A462" s="1771" t="str">
        <f>'Contact Information'!A70</f>
        <v>STATE COLLEGE OF FLORIDA, MANATEE-SARASOTA</v>
      </c>
      <c r="B462" s="3896">
        <v>16983322</v>
      </c>
      <c r="C462" s="3895">
        <v>1242206</v>
      </c>
      <c r="D462" s="3895">
        <v>400801</v>
      </c>
      <c r="E462" s="3896">
        <v>901594</v>
      </c>
      <c r="F462" s="3896">
        <v>24259</v>
      </c>
      <c r="G462" s="3896">
        <v>1093962</v>
      </c>
      <c r="H462" s="3896">
        <v>638163</v>
      </c>
      <c r="I462" s="4274">
        <f t="shared" si="20"/>
        <v>21284307</v>
      </c>
      <c r="J462" s="3896">
        <v>44020571</v>
      </c>
      <c r="K462" s="3895">
        <v>13271480</v>
      </c>
      <c r="L462" s="3896">
        <v>1437907</v>
      </c>
      <c r="M462" s="3895">
        <v>3945282</v>
      </c>
      <c r="N462" s="3896">
        <v>4891732</v>
      </c>
      <c r="O462" s="3896">
        <v>6234608</v>
      </c>
      <c r="P462" s="3895">
        <v>3893916</v>
      </c>
      <c r="Q462" s="2365">
        <f t="shared" si="21"/>
        <v>77695496</v>
      </c>
      <c r="R462" s="2359">
        <f t="shared" si="22"/>
        <v>-56411189</v>
      </c>
      <c r="S462" s="3896">
        <v>27845810</v>
      </c>
      <c r="T462" s="3896">
        <v>17204335</v>
      </c>
      <c r="U462" s="3896">
        <v>5721837</v>
      </c>
      <c r="V462" s="3896">
        <v>644117</v>
      </c>
      <c r="W462" s="3896">
        <v>0</v>
      </c>
      <c r="X462" s="3896">
        <v>0</v>
      </c>
      <c r="Y462" s="3896">
        <v>-13102</v>
      </c>
      <c r="Z462" s="3896">
        <v>0</v>
      </c>
      <c r="AA462" s="3896">
        <v>0</v>
      </c>
      <c r="AB462" s="2365">
        <f t="shared" si="23"/>
        <v>51402997</v>
      </c>
      <c r="AC462" s="2367">
        <f t="shared" si="24"/>
        <v>-5008192</v>
      </c>
      <c r="AD462" s="3899">
        <v>2517385</v>
      </c>
      <c r="AE462" s="3899">
        <v>3360941</v>
      </c>
      <c r="AF462" s="3899">
        <v>0</v>
      </c>
      <c r="AG462" s="3899">
        <v>0</v>
      </c>
      <c r="AH462" s="2367">
        <f t="shared" si="25"/>
        <v>5878326</v>
      </c>
      <c r="AI462" s="2367">
        <f t="shared" si="26"/>
        <v>870134</v>
      </c>
      <c r="AJ462" s="3900">
        <v>113061784</v>
      </c>
      <c r="AK462" s="3900">
        <v>0</v>
      </c>
      <c r="AL462" s="1657">
        <f t="shared" si="27"/>
        <v>113061784</v>
      </c>
      <c r="AM462" s="1657">
        <f t="shared" si="28"/>
        <v>113931918</v>
      </c>
      <c r="AN462" s="1775">
        <v>0</v>
      </c>
      <c r="AO462" s="1775">
        <v>0</v>
      </c>
      <c r="AP462" s="1775">
        <v>0</v>
      </c>
      <c r="AQ462" s="1775">
        <v>2512888</v>
      </c>
      <c r="AR462" s="1775">
        <v>0</v>
      </c>
      <c r="AS462" s="1775">
        <v>0</v>
      </c>
      <c r="AT462" s="1775">
        <v>744609</v>
      </c>
      <c r="AU462" s="2365">
        <f t="shared" si="29"/>
        <v>3257497</v>
      </c>
      <c r="AV462" s="3896">
        <v>633945</v>
      </c>
      <c r="AW462" s="3895">
        <v>1686954</v>
      </c>
      <c r="AX462" s="3896">
        <v>0</v>
      </c>
      <c r="AY462" s="3895">
        <v>78427</v>
      </c>
      <c r="AZ462" s="3896">
        <v>1360913</v>
      </c>
      <c r="BA462" s="3896">
        <v>45179</v>
      </c>
      <c r="BB462" s="3895">
        <v>0</v>
      </c>
      <c r="BC462" s="2365">
        <f t="shared" si="30"/>
        <v>3805418</v>
      </c>
      <c r="BD462" s="2359">
        <f>AU462-BC462</f>
        <v>-547921</v>
      </c>
      <c r="BE462" s="3896">
        <v>0</v>
      </c>
      <c r="BF462" s="3896">
        <v>0</v>
      </c>
      <c r="BG462" s="3896">
        <v>0</v>
      </c>
      <c r="BH462" s="3896">
        <v>1195103</v>
      </c>
      <c r="BI462" s="3896">
        <v>0</v>
      </c>
      <c r="BJ462" s="3896">
        <v>0</v>
      </c>
      <c r="BK462" s="3896">
        <v>0</v>
      </c>
      <c r="BL462" s="3896">
        <v>0</v>
      </c>
      <c r="BM462" s="3896">
        <v>0</v>
      </c>
      <c r="BN462" s="2365">
        <f t="shared" si="32"/>
        <v>1195103</v>
      </c>
      <c r="BO462" s="2367">
        <f t="shared" si="33"/>
        <v>647182</v>
      </c>
      <c r="BP462" s="3899">
        <v>0</v>
      </c>
      <c r="BQ462" s="3899">
        <v>0</v>
      </c>
      <c r="BR462" s="3899">
        <v>0</v>
      </c>
      <c r="BS462" s="3899">
        <v>0</v>
      </c>
      <c r="BT462" s="2367">
        <f t="shared" si="34"/>
        <v>0</v>
      </c>
      <c r="BU462" s="2367">
        <f t="shared" si="35"/>
        <v>647182</v>
      </c>
      <c r="BV462" s="3902">
        <v>64381066</v>
      </c>
      <c r="BW462" s="3902">
        <v>0</v>
      </c>
      <c r="BX462" s="1657">
        <f t="shared" si="36"/>
        <v>64381066</v>
      </c>
      <c r="BY462" s="1657">
        <f t="shared" si="37"/>
        <v>65028248</v>
      </c>
      <c r="BZ462" s="1789" t="s">
        <v>170</v>
      </c>
    </row>
    <row r="463" spans="1:78">
      <c r="A463" s="1771" t="str">
        <f>'Contact Information'!A71</f>
        <v>TALLAHASSEE COMMUNITY COLLEGE</v>
      </c>
      <c r="B463" s="3896">
        <v>15713168</v>
      </c>
      <c r="C463" s="3895">
        <v>5481352</v>
      </c>
      <c r="D463" s="3895">
        <v>8013015</v>
      </c>
      <c r="E463" s="3896">
        <v>710863</v>
      </c>
      <c r="F463" s="3896">
        <v>0</v>
      </c>
      <c r="G463" s="3896">
        <v>3640421</v>
      </c>
      <c r="H463" s="3896">
        <v>981709</v>
      </c>
      <c r="I463" s="4274">
        <f t="shared" si="20"/>
        <v>34540528</v>
      </c>
      <c r="J463" s="3895">
        <v>61177280</v>
      </c>
      <c r="K463" s="3895">
        <v>17397660</v>
      </c>
      <c r="L463" s="3896">
        <v>2010609</v>
      </c>
      <c r="M463" s="3895">
        <v>13009202</v>
      </c>
      <c r="N463" s="3896">
        <v>8504693</v>
      </c>
      <c r="O463" s="3896">
        <v>4324251</v>
      </c>
      <c r="P463" s="3895">
        <v>5458039</v>
      </c>
      <c r="Q463" s="2365">
        <f t="shared" si="21"/>
        <v>111881734</v>
      </c>
      <c r="R463" s="2359">
        <f t="shared" si="22"/>
        <v>-77341206</v>
      </c>
      <c r="S463" s="3896">
        <v>34709081</v>
      </c>
      <c r="T463" s="3896">
        <v>29111181</v>
      </c>
      <c r="U463" s="3896">
        <v>347966</v>
      </c>
      <c r="V463" s="3896">
        <v>453508</v>
      </c>
      <c r="W463" s="3896">
        <v>0</v>
      </c>
      <c r="X463" s="3896">
        <v>343749</v>
      </c>
      <c r="Y463" s="3896">
        <v>0</v>
      </c>
      <c r="Z463" s="3896">
        <v>-544218</v>
      </c>
      <c r="AA463" s="3896">
        <v>-264</v>
      </c>
      <c r="AB463" s="2365">
        <f t="shared" si="23"/>
        <v>64421003</v>
      </c>
      <c r="AC463" s="2367">
        <f t="shared" si="24"/>
        <v>-12920203</v>
      </c>
      <c r="AD463" s="3899">
        <v>235647</v>
      </c>
      <c r="AE463" s="3899">
        <v>3007557</v>
      </c>
      <c r="AF463" s="3899">
        <v>0</v>
      </c>
      <c r="AG463" s="3899">
        <v>0</v>
      </c>
      <c r="AH463" s="2367">
        <f t="shared" si="25"/>
        <v>3243204</v>
      </c>
      <c r="AI463" s="2367">
        <f t="shared" si="26"/>
        <v>-9676999</v>
      </c>
      <c r="AJ463" s="3900">
        <v>97050055</v>
      </c>
      <c r="AK463" s="3900">
        <v>0</v>
      </c>
      <c r="AL463" s="1657">
        <f t="shared" si="27"/>
        <v>97050055</v>
      </c>
      <c r="AM463" s="1657">
        <f t="shared" si="28"/>
        <v>87373056</v>
      </c>
      <c r="AN463" s="1775">
        <v>0</v>
      </c>
      <c r="AO463" s="1775">
        <v>0</v>
      </c>
      <c r="AP463" s="1775">
        <v>0</v>
      </c>
      <c r="AQ463" s="1775">
        <v>0</v>
      </c>
      <c r="AR463" s="1775">
        <v>0</v>
      </c>
      <c r="AS463" s="1775">
        <v>0</v>
      </c>
      <c r="AT463" s="1775">
        <v>2614866</v>
      </c>
      <c r="AU463" s="2365">
        <f t="shared" si="29"/>
        <v>2614866</v>
      </c>
      <c r="AV463" s="3895">
        <v>432681</v>
      </c>
      <c r="AW463" s="3895">
        <v>502668</v>
      </c>
      <c r="AX463" s="3896">
        <v>0</v>
      </c>
      <c r="AY463" s="3895">
        <v>321206</v>
      </c>
      <c r="AZ463" s="3896">
        <v>785491</v>
      </c>
      <c r="BA463" s="3896">
        <v>239993</v>
      </c>
      <c r="BB463" s="3895">
        <v>253450</v>
      </c>
      <c r="BC463" s="2365">
        <f t="shared" si="30"/>
        <v>2535489</v>
      </c>
      <c r="BD463" s="2359">
        <f t="shared" si="31"/>
        <v>79377</v>
      </c>
      <c r="BE463" s="3896">
        <v>0</v>
      </c>
      <c r="BF463" s="3896">
        <v>0</v>
      </c>
      <c r="BG463" s="3896">
        <v>0</v>
      </c>
      <c r="BH463" s="3896">
        <v>-1417840</v>
      </c>
      <c r="BI463" s="3896">
        <v>0</v>
      </c>
      <c r="BJ463" s="3896">
        <v>0</v>
      </c>
      <c r="BK463" s="3896">
        <v>0</v>
      </c>
      <c r="BL463" s="3896">
        <v>-124567</v>
      </c>
      <c r="BM463" s="3896">
        <v>0</v>
      </c>
      <c r="BN463" s="2365">
        <f t="shared" si="32"/>
        <v>-1542407</v>
      </c>
      <c r="BO463" s="2367">
        <f t="shared" si="33"/>
        <v>-1463030</v>
      </c>
      <c r="BP463" s="3899">
        <v>0</v>
      </c>
      <c r="BQ463" s="3899">
        <v>0</v>
      </c>
      <c r="BR463" s="3899">
        <v>0</v>
      </c>
      <c r="BS463" s="3899">
        <v>0</v>
      </c>
      <c r="BT463" s="2367">
        <f t="shared" si="34"/>
        <v>0</v>
      </c>
      <c r="BU463" s="2367">
        <f t="shared" si="35"/>
        <v>-1463030</v>
      </c>
      <c r="BV463" s="3902">
        <v>19006905</v>
      </c>
      <c r="BW463" s="3902">
        <v>0</v>
      </c>
      <c r="BX463" s="1657">
        <f t="shared" si="36"/>
        <v>19006905</v>
      </c>
      <c r="BY463" s="1657">
        <f t="shared" si="37"/>
        <v>17543875</v>
      </c>
      <c r="BZ463" s="1789" t="s">
        <v>172</v>
      </c>
    </row>
    <row r="464" spans="1:78">
      <c r="A464" s="1771" t="str">
        <f>'Contact Information'!A72</f>
        <v>VALENCIA COLLEGE</v>
      </c>
      <c r="B464" s="3896">
        <v>63924966</v>
      </c>
      <c r="C464" s="3895">
        <v>1389687</v>
      </c>
      <c r="D464" s="3896">
        <v>0</v>
      </c>
      <c r="E464" s="3896">
        <v>0</v>
      </c>
      <c r="F464" s="3895">
        <v>137349</v>
      </c>
      <c r="G464" s="3896">
        <v>8232492</v>
      </c>
      <c r="H464" s="3896">
        <v>764754</v>
      </c>
      <c r="I464" s="4274">
        <f t="shared" si="20"/>
        <v>74449248</v>
      </c>
      <c r="J464" s="3896">
        <v>197866273</v>
      </c>
      <c r="K464" s="3895">
        <v>55530842</v>
      </c>
      <c r="L464" s="3895">
        <v>5275996</v>
      </c>
      <c r="M464" s="3895">
        <v>11962511</v>
      </c>
      <c r="N464" s="3896">
        <v>10283034</v>
      </c>
      <c r="O464" s="3896">
        <v>29055862</v>
      </c>
      <c r="P464" s="3895">
        <v>10552199</v>
      </c>
      <c r="Q464" s="2365">
        <f t="shared" si="21"/>
        <v>320526717</v>
      </c>
      <c r="R464" s="2359">
        <f t="shared" si="22"/>
        <v>-246077469</v>
      </c>
      <c r="S464" s="3896">
        <v>90771268</v>
      </c>
      <c r="T464" s="3896">
        <v>112738544</v>
      </c>
      <c r="U464" s="3896">
        <v>23240282</v>
      </c>
      <c r="V464" s="3896">
        <v>1303302</v>
      </c>
      <c r="W464" s="3896">
        <v>210371</v>
      </c>
      <c r="X464" s="3896">
        <v>327478</v>
      </c>
      <c r="Y464" s="3896">
        <v>-1500</v>
      </c>
      <c r="Z464" s="3896">
        <v>-558484</v>
      </c>
      <c r="AA464" s="3896">
        <v>0</v>
      </c>
      <c r="AB464" s="2365">
        <f t="shared" si="23"/>
        <v>228031261</v>
      </c>
      <c r="AC464" s="2367">
        <f t="shared" si="24"/>
        <v>-18046208</v>
      </c>
      <c r="AD464" s="3899">
        <v>1183200</v>
      </c>
      <c r="AE464" s="3899">
        <v>6714833</v>
      </c>
      <c r="AF464" s="3899">
        <v>0</v>
      </c>
      <c r="AG464" s="3899">
        <v>0</v>
      </c>
      <c r="AH464" s="2367">
        <f t="shared" si="25"/>
        <v>7898033</v>
      </c>
      <c r="AI464" s="2367">
        <f t="shared" si="26"/>
        <v>-10148175</v>
      </c>
      <c r="AJ464" s="3900">
        <v>257874285</v>
      </c>
      <c r="AK464" s="3900">
        <v>0</v>
      </c>
      <c r="AL464" s="1657">
        <f t="shared" si="27"/>
        <v>257874285</v>
      </c>
      <c r="AM464" s="1657">
        <f t="shared" si="28"/>
        <v>247726110</v>
      </c>
      <c r="AN464" s="1775">
        <v>0</v>
      </c>
      <c r="AO464" s="1775">
        <v>259767</v>
      </c>
      <c r="AP464" s="1775">
        <v>2374155</v>
      </c>
      <c r="AQ464" s="1775">
        <v>0</v>
      </c>
      <c r="AR464" s="1775">
        <v>0</v>
      </c>
      <c r="AS464" s="1775">
        <v>0</v>
      </c>
      <c r="AT464" s="1775">
        <v>782070</v>
      </c>
      <c r="AU464" s="2365">
        <f t="shared" si="29"/>
        <v>3415992</v>
      </c>
      <c r="AV464" s="3901">
        <v>1353022</v>
      </c>
      <c r="AW464" s="3895">
        <v>7413321</v>
      </c>
      <c r="AX464" s="3896">
        <v>0</v>
      </c>
      <c r="AY464" s="3895">
        <v>403375</v>
      </c>
      <c r="AZ464" s="3896">
        <v>1795873</v>
      </c>
      <c r="BA464" s="3896">
        <v>24901</v>
      </c>
      <c r="BB464" s="3895">
        <v>159597</v>
      </c>
      <c r="BC464" s="2365">
        <f t="shared" si="30"/>
        <v>11150089</v>
      </c>
      <c r="BD464" s="2359">
        <f t="shared" si="31"/>
        <v>-7734097</v>
      </c>
      <c r="BE464" s="3896">
        <v>0</v>
      </c>
      <c r="BF464" s="3896">
        <v>0</v>
      </c>
      <c r="BG464" s="3896">
        <v>0</v>
      </c>
      <c r="BH464" s="3896">
        <v>2863223</v>
      </c>
      <c r="BI464" s="3896">
        <v>-7360527</v>
      </c>
      <c r="BJ464" s="3896">
        <v>0</v>
      </c>
      <c r="BK464" s="3896">
        <v>0</v>
      </c>
      <c r="BL464" s="3896">
        <v>0</v>
      </c>
      <c r="BM464" s="3896">
        <v>0</v>
      </c>
      <c r="BN464" s="2365">
        <f>SUM(BE464:BM464)</f>
        <v>-4497304</v>
      </c>
      <c r="BO464" s="2367">
        <f t="shared" si="33"/>
        <v>-12231401</v>
      </c>
      <c r="BP464" s="3899">
        <v>0</v>
      </c>
      <c r="BQ464" s="3899">
        <v>0</v>
      </c>
      <c r="BR464" s="3899">
        <v>0</v>
      </c>
      <c r="BS464" s="3899">
        <v>0</v>
      </c>
      <c r="BT464" s="2367">
        <f t="shared" si="34"/>
        <v>0</v>
      </c>
      <c r="BU464" s="2367">
        <f t="shared" si="35"/>
        <v>-12231401</v>
      </c>
      <c r="BV464" s="3902">
        <v>98799357</v>
      </c>
      <c r="BW464" s="3902">
        <v>0</v>
      </c>
      <c r="BX464" s="1657">
        <f t="shared" si="36"/>
        <v>98799357</v>
      </c>
      <c r="BY464" s="1657">
        <f t="shared" si="37"/>
        <v>86567956</v>
      </c>
      <c r="BZ464" s="1789" t="s">
        <v>174</v>
      </c>
    </row>
    <row r="466" spans="1:9" s="1741" customFormat="1">
      <c r="H466" s="3126"/>
      <c r="I466" s="4251"/>
    </row>
    <row r="467" spans="1:9" ht="16.5">
      <c r="A467" s="1867"/>
      <c r="B467" s="1867"/>
      <c r="C467" s="1867"/>
      <c r="D467" s="1867"/>
      <c r="E467" s="1867"/>
      <c r="F467" s="1867"/>
      <c r="G467" s="1867"/>
      <c r="H467" s="3130"/>
    </row>
    <row r="468" spans="1:9" ht="16.5">
      <c r="A468" s="1867"/>
      <c r="B468" s="1867"/>
      <c r="C468" s="1867"/>
      <c r="D468" s="1867"/>
      <c r="E468" s="1867"/>
      <c r="F468" s="1867"/>
      <c r="G468" s="1867"/>
      <c r="H468" s="3130"/>
    </row>
    <row r="469" spans="1:9" ht="16.5">
      <c r="A469" s="3516" t="s">
        <v>4012</v>
      </c>
      <c r="B469" s="1918" t="s">
        <v>4095</v>
      </c>
      <c r="C469" s="1867"/>
      <c r="D469" s="1867"/>
      <c r="E469" s="1867"/>
      <c r="F469" s="1867"/>
      <c r="G469" s="1867"/>
      <c r="H469" s="3130"/>
    </row>
    <row r="470" spans="1:9" s="1643" customFormat="1" ht="16.5">
      <c r="A470" s="1754" t="s">
        <v>4013</v>
      </c>
      <c r="B470" s="184"/>
      <c r="C470" s="184"/>
      <c r="D470" s="184"/>
      <c r="E470" s="184"/>
      <c r="F470" s="184"/>
      <c r="G470" s="184"/>
      <c r="H470" s="3131"/>
      <c r="I470" s="4275"/>
    </row>
    <row r="471" spans="1:9" s="1642" customFormat="1" ht="16.5">
      <c r="A471" s="1753"/>
      <c r="B471" s="1867"/>
      <c r="C471" s="1867"/>
      <c r="D471" s="1867"/>
      <c r="E471" s="1867"/>
      <c r="F471" s="1867"/>
      <c r="G471" s="1867"/>
      <c r="H471" s="3130"/>
      <c r="I471" s="4248"/>
    </row>
    <row r="472" spans="1:9">
      <c r="A472" s="1644">
        <v>1</v>
      </c>
      <c r="B472" s="1644">
        <v>2</v>
      </c>
      <c r="C472" s="1644">
        <v>3</v>
      </c>
      <c r="D472" s="1644">
        <v>4</v>
      </c>
      <c r="E472" s="1644">
        <v>5</v>
      </c>
      <c r="F472" s="1644">
        <v>6</v>
      </c>
      <c r="G472" s="1644">
        <v>7</v>
      </c>
      <c r="H472" s="3120">
        <v>8</v>
      </c>
    </row>
    <row r="473" spans="1:9">
      <c r="A473" s="1672" t="s">
        <v>4014</v>
      </c>
      <c r="B473" s="1647" t="s">
        <v>3962</v>
      </c>
      <c r="C473" s="1647" t="s">
        <v>3962</v>
      </c>
      <c r="D473" s="1647" t="s">
        <v>3962</v>
      </c>
      <c r="E473" s="1647" t="s">
        <v>3962</v>
      </c>
      <c r="F473" s="1647" t="s">
        <v>3962</v>
      </c>
      <c r="G473" s="1647" t="s">
        <v>3962</v>
      </c>
      <c r="H473" s="3121" t="s">
        <v>3962</v>
      </c>
    </row>
    <row r="474" spans="1:9" ht="52.5" customHeight="1">
      <c r="A474" s="1918" t="s">
        <v>3910</v>
      </c>
      <c r="B474" s="1653" t="s">
        <v>4015</v>
      </c>
      <c r="C474" s="1653" t="s">
        <v>4016</v>
      </c>
      <c r="D474" s="1653" t="s">
        <v>4017</v>
      </c>
      <c r="E474" s="1653" t="s">
        <v>4018</v>
      </c>
      <c r="F474" s="2368" t="s">
        <v>4019</v>
      </c>
      <c r="G474" s="1653" t="s">
        <v>2448</v>
      </c>
      <c r="H474" s="2366" t="s">
        <v>2449</v>
      </c>
    </row>
    <row r="475" spans="1:9">
      <c r="A475" s="1771" t="str">
        <f>'Contact Information'!A45</f>
        <v>BROWARD COLLEGE</v>
      </c>
      <c r="B475" s="1782">
        <v>-186097244</v>
      </c>
      <c r="C475" s="1782">
        <v>189061444</v>
      </c>
      <c r="D475" s="1782">
        <v>-6729557</v>
      </c>
      <c r="E475" s="1783">
        <v>-2781907</v>
      </c>
      <c r="F475" s="2369">
        <f t="shared" ref="F475:F502" si="38">SUM(B475:E475)</f>
        <v>-6547264</v>
      </c>
      <c r="G475" s="1784">
        <v>16543805</v>
      </c>
      <c r="H475" s="3132">
        <f>SUM(F475:G475)</f>
        <v>9996541</v>
      </c>
      <c r="I475" s="4276" t="s">
        <v>120</v>
      </c>
    </row>
    <row r="476" spans="1:9">
      <c r="A476" s="1771" t="str">
        <f>'Contact Information'!A46</f>
        <v>CHIPOLA COLLEGE</v>
      </c>
      <c r="B476" s="1782">
        <v>-21787875</v>
      </c>
      <c r="C476" s="1782">
        <v>19123442</v>
      </c>
      <c r="D476" s="1782">
        <v>2796035</v>
      </c>
      <c r="E476" s="1783">
        <v>102285</v>
      </c>
      <c r="F476" s="2369">
        <f t="shared" si="38"/>
        <v>233887</v>
      </c>
      <c r="G476" s="1784">
        <v>8951070</v>
      </c>
      <c r="H476" s="3132">
        <f t="shared" ref="H476:H502" si="39">SUM(F476:G476)</f>
        <v>9184957</v>
      </c>
      <c r="I476" s="4276" t="s">
        <v>122</v>
      </c>
    </row>
    <row r="477" spans="1:9">
      <c r="A477" s="1771" t="str">
        <f>'Contact Information'!A47</f>
        <v>COLLEGE OF CENTRAL FLORIDA</v>
      </c>
      <c r="B477" s="1782">
        <v>-48209295</v>
      </c>
      <c r="C477" s="1782">
        <v>46699234</v>
      </c>
      <c r="D477" s="1782">
        <v>2597483</v>
      </c>
      <c r="E477" s="1783">
        <v>520661</v>
      </c>
      <c r="F477" s="2369">
        <f t="shared" si="38"/>
        <v>1608083</v>
      </c>
      <c r="G477" s="1784">
        <v>16630705</v>
      </c>
      <c r="H477" s="3132">
        <f t="shared" si="39"/>
        <v>18238788</v>
      </c>
      <c r="I477" s="4276" t="s">
        <v>124</v>
      </c>
    </row>
    <row r="478" spans="1:9">
      <c r="A478" s="1771" t="str">
        <f>'Contact Information'!A48</f>
        <v>DAYTONA STATE COLLEGE</v>
      </c>
      <c r="B478" s="1782">
        <v>-83527760</v>
      </c>
      <c r="C478" s="1782">
        <v>84671341</v>
      </c>
      <c r="D478" s="1782">
        <v>2195197</v>
      </c>
      <c r="E478" s="1783">
        <v>2757565</v>
      </c>
      <c r="F478" s="2369">
        <f t="shared" si="38"/>
        <v>6096343</v>
      </c>
      <c r="G478" s="1784">
        <v>61191072</v>
      </c>
      <c r="H478" s="3132">
        <f t="shared" si="39"/>
        <v>67287415</v>
      </c>
      <c r="I478" s="4276" t="s">
        <v>126</v>
      </c>
    </row>
    <row r="479" spans="1:9">
      <c r="A479" s="3886" t="str">
        <f>'Contact Information'!A49</f>
        <v>EASTERN FLORIDA STATE COLLEGE</v>
      </c>
      <c r="B479" s="1782">
        <v>-74886633</v>
      </c>
      <c r="C479" s="1782">
        <v>79953854</v>
      </c>
      <c r="D479" s="1782">
        <v>629129</v>
      </c>
      <c r="E479" s="1783">
        <v>6861907</v>
      </c>
      <c r="F479" s="2369">
        <f t="shared" si="38"/>
        <v>12558257</v>
      </c>
      <c r="G479" s="1784">
        <v>14289480</v>
      </c>
      <c r="H479" s="3132">
        <f t="shared" si="39"/>
        <v>26847737</v>
      </c>
      <c r="I479" s="4276" t="s">
        <v>128</v>
      </c>
    </row>
    <row r="480" spans="1:9">
      <c r="A480" s="3886" t="str">
        <f>'Contact Information'!A52</f>
        <v>FLORIDA SOUTHWESTERN STATE COLLEGE</v>
      </c>
      <c r="B480" s="1782">
        <v>-76131942</v>
      </c>
      <c r="C480" s="1782">
        <v>75480640</v>
      </c>
      <c r="D480" s="1782">
        <v>1836800</v>
      </c>
      <c r="E480" s="1783">
        <v>576912</v>
      </c>
      <c r="F480" s="2369">
        <f t="shared" si="38"/>
        <v>1762410</v>
      </c>
      <c r="G480" s="1784">
        <v>17050745</v>
      </c>
      <c r="H480" s="3132">
        <f t="shared" si="39"/>
        <v>18813155</v>
      </c>
      <c r="I480" s="4276" t="s">
        <v>130</v>
      </c>
    </row>
    <row r="481" spans="1:9">
      <c r="A481" s="3886" t="str">
        <f>'Contact Information'!A50</f>
        <v>FLORIDA GATEWAY COLLEGE</v>
      </c>
      <c r="B481" s="1782">
        <v>-22874140.960000001</v>
      </c>
      <c r="C481" s="1782">
        <v>23100272.949999999</v>
      </c>
      <c r="D481" s="1782">
        <v>-197323.11</v>
      </c>
      <c r="E481" s="1783">
        <v>1109386.56</v>
      </c>
      <c r="F481" s="2369">
        <f t="shared" si="38"/>
        <v>1138195.4399999985</v>
      </c>
      <c r="G481" s="1784">
        <v>8625965.9199999999</v>
      </c>
      <c r="H481" s="3132">
        <f t="shared" si="39"/>
        <v>9764161.3599999994</v>
      </c>
      <c r="I481" s="4276" t="s">
        <v>132</v>
      </c>
    </row>
    <row r="482" spans="1:9">
      <c r="A482" s="3886" t="str">
        <f>'Contact Information'!A51</f>
        <v>THE COLLEGE OF THE FLORIDA KEYS</v>
      </c>
      <c r="B482" s="1782">
        <v>-10209565</v>
      </c>
      <c r="C482" s="1782">
        <v>14879588</v>
      </c>
      <c r="D482" s="1782">
        <v>-1587410</v>
      </c>
      <c r="E482" s="1783">
        <v>76305</v>
      </c>
      <c r="F482" s="2369">
        <f t="shared" si="38"/>
        <v>3158918</v>
      </c>
      <c r="G482" s="1784">
        <v>3632700</v>
      </c>
      <c r="H482" s="3132">
        <f t="shared" si="39"/>
        <v>6791618</v>
      </c>
      <c r="I482" s="4276" t="s">
        <v>763</v>
      </c>
    </row>
    <row r="483" spans="1:9">
      <c r="A483" s="3886" t="str">
        <f>'Contact Information'!A53</f>
        <v>FLORIDA STATE COLLEGE AT JACKSONVILLE</v>
      </c>
      <c r="B483" s="1782">
        <v>-142602345</v>
      </c>
      <c r="C483" s="1782">
        <v>142630137</v>
      </c>
      <c r="D483" s="1782">
        <v>-93600</v>
      </c>
      <c r="E483" s="1783">
        <v>4815825</v>
      </c>
      <c r="F483" s="2369">
        <f t="shared" si="38"/>
        <v>4750017</v>
      </c>
      <c r="G483" s="1784">
        <v>30821830</v>
      </c>
      <c r="H483" s="3132">
        <f t="shared" si="39"/>
        <v>35571847</v>
      </c>
      <c r="I483" s="4276" t="s">
        <v>136</v>
      </c>
    </row>
    <row r="484" spans="1:9">
      <c r="A484" s="3886" t="str">
        <f>'Contact Information'!A54</f>
        <v>GULF COAST STATE COLLEGE</v>
      </c>
      <c r="B484" s="1782">
        <v>-61831044</v>
      </c>
      <c r="C484" s="1782">
        <v>35319289</v>
      </c>
      <c r="D484" s="1782">
        <v>27103970</v>
      </c>
      <c r="E484" s="1783">
        <v>124002</v>
      </c>
      <c r="F484" s="2369">
        <f t="shared" si="38"/>
        <v>716217</v>
      </c>
      <c r="G484" s="1784">
        <v>7661879</v>
      </c>
      <c r="H484" s="3132">
        <f t="shared" si="39"/>
        <v>8378096</v>
      </c>
      <c r="I484" s="4276" t="s">
        <v>138</v>
      </c>
    </row>
    <row r="485" spans="1:9">
      <c r="A485" s="3886" t="str">
        <f>'Contact Information'!A55</f>
        <v>HILLSBOROUGH COMMUNITY COLLEGE</v>
      </c>
      <c r="B485" s="1782">
        <v>-134323426</v>
      </c>
      <c r="C485" s="1782">
        <v>134463329</v>
      </c>
      <c r="D485" s="1782">
        <v>4066752</v>
      </c>
      <c r="E485" s="1783">
        <v>-1467911</v>
      </c>
      <c r="F485" s="2369">
        <f t="shared" si="38"/>
        <v>2738744</v>
      </c>
      <c r="G485" s="1784">
        <v>53901389</v>
      </c>
      <c r="H485" s="3132">
        <f>SUM(F485:G485)</f>
        <v>56640133</v>
      </c>
      <c r="I485" s="4276" t="s">
        <v>140</v>
      </c>
    </row>
    <row r="486" spans="1:9">
      <c r="A486" s="3886" t="str">
        <f>'Contact Information'!A56</f>
        <v>INDIAN RIVER STATE COLLEGE</v>
      </c>
      <c r="B486" s="1782">
        <v>-104441570</v>
      </c>
      <c r="C486" s="1782">
        <v>105000422</v>
      </c>
      <c r="D486" s="1782">
        <v>-651046</v>
      </c>
      <c r="E486" s="1783">
        <v>82711</v>
      </c>
      <c r="F486" s="2369">
        <f t="shared" si="38"/>
        <v>-9483</v>
      </c>
      <c r="G486" s="1784">
        <v>9587908</v>
      </c>
      <c r="H486" s="3132">
        <f t="shared" si="39"/>
        <v>9578425</v>
      </c>
      <c r="I486" s="4276" t="s">
        <v>142</v>
      </c>
    </row>
    <row r="487" spans="1:9">
      <c r="A487" s="3886" t="str">
        <f>'Contact Information'!A57</f>
        <v>LAKE-SUMTER STATE COLLEGE</v>
      </c>
      <c r="B487" s="1782">
        <v>-24480495</v>
      </c>
      <c r="C487" s="1782">
        <v>24337369</v>
      </c>
      <c r="D487" s="1782">
        <v>-1035391</v>
      </c>
      <c r="E487" s="1783">
        <v>129845</v>
      </c>
      <c r="F487" s="2369">
        <f t="shared" si="38"/>
        <v>-1048672</v>
      </c>
      <c r="G487" s="1784">
        <v>8863419</v>
      </c>
      <c r="H487" s="3132">
        <f t="shared" si="39"/>
        <v>7814747</v>
      </c>
      <c r="I487" s="4276" t="s">
        <v>144</v>
      </c>
    </row>
    <row r="488" spans="1:9">
      <c r="A488" s="3886" t="str">
        <f>'Contact Information'!A58</f>
        <v>MIAMI DADE COLLEGE</v>
      </c>
      <c r="B488" s="1782">
        <v>-384446971</v>
      </c>
      <c r="C488" s="1782">
        <v>331113910</v>
      </c>
      <c r="D488" s="1782">
        <v>-39121746</v>
      </c>
      <c r="E488" s="1783">
        <v>-42061338</v>
      </c>
      <c r="F488" s="2369">
        <f t="shared" si="38"/>
        <v>-134516145</v>
      </c>
      <c r="G488" s="1784">
        <v>490746318</v>
      </c>
      <c r="H488" s="3132">
        <f t="shared" si="39"/>
        <v>356230173</v>
      </c>
      <c r="I488" s="4276" t="s">
        <v>146</v>
      </c>
    </row>
    <row r="489" spans="1:9">
      <c r="A489" s="3886" t="str">
        <f>'Contact Information'!A59</f>
        <v>NORTH FLORIDA COLLEGE</v>
      </c>
      <c r="B489" s="1782">
        <v>-11394083</v>
      </c>
      <c r="C489" s="1782">
        <v>11462132</v>
      </c>
      <c r="D489" s="1782">
        <v>252034</v>
      </c>
      <c r="E489" s="1783">
        <v>89967</v>
      </c>
      <c r="F489" s="2369">
        <f t="shared" si="38"/>
        <v>410050</v>
      </c>
      <c r="G489" s="1784">
        <v>8106797</v>
      </c>
      <c r="H489" s="3132">
        <f t="shared" si="39"/>
        <v>8516847</v>
      </c>
      <c r="I489" s="4276" t="s">
        <v>764</v>
      </c>
    </row>
    <row r="490" spans="1:9">
      <c r="A490" s="3886" t="str">
        <f>'Contact Information'!A60</f>
        <v>NORTHWEST FLORIDA STATE COLLEGE</v>
      </c>
      <c r="B490" s="1782">
        <v>-34060593</v>
      </c>
      <c r="C490" s="1782">
        <v>32647384</v>
      </c>
      <c r="D490" s="1782">
        <v>-3016139</v>
      </c>
      <c r="E490" s="1783">
        <v>152984</v>
      </c>
      <c r="F490" s="2369">
        <f t="shared" si="38"/>
        <v>-4276364</v>
      </c>
      <c r="G490" s="1784">
        <v>12495138</v>
      </c>
      <c r="H490" s="3132">
        <f t="shared" si="39"/>
        <v>8218774</v>
      </c>
      <c r="I490" s="4276" t="s">
        <v>150</v>
      </c>
    </row>
    <row r="491" spans="1:9">
      <c r="A491" s="3886" t="str">
        <f>'Contact Information'!A61</f>
        <v>PALM BEACH STATE COLLEGE</v>
      </c>
      <c r="B491" s="1782">
        <v>-138649156</v>
      </c>
      <c r="C491" s="1782">
        <v>139746685</v>
      </c>
      <c r="D491" s="1782">
        <v>-5125043</v>
      </c>
      <c r="E491" s="1783">
        <v>930740</v>
      </c>
      <c r="F491" s="2369">
        <f t="shared" si="38"/>
        <v>-3096774</v>
      </c>
      <c r="G491" s="1784">
        <v>34935827</v>
      </c>
      <c r="H491" s="3132">
        <f t="shared" si="39"/>
        <v>31839053</v>
      </c>
      <c r="I491" s="4276" t="s">
        <v>152</v>
      </c>
    </row>
    <row r="492" spans="1:9">
      <c r="A492" s="1771" t="str">
        <f>'Contact Information'!A62</f>
        <v>PASCO-HERNANDO STATE COLLEGE</v>
      </c>
      <c r="B492" s="1782">
        <v>-58987180</v>
      </c>
      <c r="C492" s="1782">
        <v>58827839</v>
      </c>
      <c r="D492" s="1782">
        <v>-1425873</v>
      </c>
      <c r="E492" s="1783">
        <v>730289</v>
      </c>
      <c r="F492" s="2369">
        <f t="shared" si="38"/>
        <v>-854925</v>
      </c>
      <c r="G492" s="1784">
        <v>41699112</v>
      </c>
      <c r="H492" s="3132">
        <f t="shared" si="39"/>
        <v>40844187</v>
      </c>
      <c r="I492" s="4276" t="s">
        <v>154</v>
      </c>
    </row>
    <row r="493" spans="1:9">
      <c r="A493" s="1771" t="str">
        <f>'Contact Information'!A63</f>
        <v>PENSACOLA STATE COLLEGE</v>
      </c>
      <c r="B493" s="1782">
        <v>-72382784</v>
      </c>
      <c r="C493" s="1782">
        <v>67720689</v>
      </c>
      <c r="D493" s="1782">
        <v>-1879200</v>
      </c>
      <c r="E493" s="1783">
        <v>103157</v>
      </c>
      <c r="F493" s="2369">
        <f t="shared" si="38"/>
        <v>-6438138</v>
      </c>
      <c r="G493" s="1784">
        <v>31792995</v>
      </c>
      <c r="H493" s="3132">
        <f t="shared" si="39"/>
        <v>25354857</v>
      </c>
      <c r="I493" s="4276" t="s">
        <v>156</v>
      </c>
    </row>
    <row r="494" spans="1:9">
      <c r="A494" s="1771" t="str">
        <f>'Contact Information'!A64</f>
        <v>POLK STATE COLLEGE</v>
      </c>
      <c r="B494" s="1782">
        <v>-60896358</v>
      </c>
      <c r="C494" s="1782">
        <v>62889218</v>
      </c>
      <c r="D494" s="1782">
        <v>2260332</v>
      </c>
      <c r="E494" s="1783">
        <v>91965</v>
      </c>
      <c r="F494" s="2369">
        <f t="shared" si="38"/>
        <v>4345157</v>
      </c>
      <c r="G494" s="1784">
        <v>6225711</v>
      </c>
      <c r="H494" s="3132">
        <f t="shared" si="39"/>
        <v>10570868</v>
      </c>
      <c r="I494" s="4276" t="s">
        <v>158</v>
      </c>
    </row>
    <row r="495" spans="1:9">
      <c r="A495" s="1771" t="str">
        <f>'Contact Information'!A65</f>
        <v>SANTA FE COLLEGE</v>
      </c>
      <c r="B495" s="1782">
        <v>-61319132</v>
      </c>
      <c r="C495" s="1782">
        <v>72646177</v>
      </c>
      <c r="D495" s="1782">
        <v>1867429</v>
      </c>
      <c r="E495" s="1783">
        <v>2265304</v>
      </c>
      <c r="F495" s="2369">
        <f t="shared" si="38"/>
        <v>15459778</v>
      </c>
      <c r="G495" s="1784">
        <v>127257910</v>
      </c>
      <c r="H495" s="3132">
        <f t="shared" si="39"/>
        <v>142717688</v>
      </c>
      <c r="I495" s="4276" t="s">
        <v>160</v>
      </c>
    </row>
    <row r="496" spans="1:9">
      <c r="A496" s="1771" t="str">
        <f>'Contact Information'!A66</f>
        <v>SEMINOLE STATE COLLEGE OF FLORIDA</v>
      </c>
      <c r="B496" s="1782">
        <v>-78198652</v>
      </c>
      <c r="C496" s="1782">
        <v>79205010</v>
      </c>
      <c r="D496" s="1782">
        <v>550010</v>
      </c>
      <c r="E496" s="1783">
        <v>605436</v>
      </c>
      <c r="F496" s="2369">
        <f t="shared" si="38"/>
        <v>2161804</v>
      </c>
      <c r="G496" s="1784">
        <v>26080673</v>
      </c>
      <c r="H496" s="3132">
        <f t="shared" si="39"/>
        <v>28242477</v>
      </c>
      <c r="I496" s="4276" t="s">
        <v>162</v>
      </c>
    </row>
    <row r="497" spans="1:9">
      <c r="A497" s="1771" t="str">
        <f>'Contact Information'!A67</f>
        <v>SOUTH FLORIDA STATE COLLEGE</v>
      </c>
      <c r="B497" s="1782">
        <v>-25528606</v>
      </c>
      <c r="C497" s="1782">
        <v>26491617</v>
      </c>
      <c r="D497" s="1782">
        <v>694854</v>
      </c>
      <c r="E497" s="1783">
        <v>116012</v>
      </c>
      <c r="F497" s="2369">
        <f t="shared" si="38"/>
        <v>1773877</v>
      </c>
      <c r="G497" s="1784">
        <v>9155337</v>
      </c>
      <c r="H497" s="3132">
        <f t="shared" si="39"/>
        <v>10929214</v>
      </c>
      <c r="I497" s="4276" t="s">
        <v>164</v>
      </c>
    </row>
    <row r="498" spans="1:9">
      <c r="A498" s="1771" t="str">
        <f>'Contact Information'!A68</f>
        <v>ST. JOHNS RIVER STATE COLLEGE</v>
      </c>
      <c r="B498" s="1782">
        <v>-34335372</v>
      </c>
      <c r="C498" s="1782">
        <v>34988157</v>
      </c>
      <c r="D498" s="1782">
        <v>1636340</v>
      </c>
      <c r="E498" s="1783">
        <v>1212156</v>
      </c>
      <c r="F498" s="2369">
        <f t="shared" si="38"/>
        <v>3501281</v>
      </c>
      <c r="G498" s="1784">
        <v>22042483</v>
      </c>
      <c r="H498" s="3132">
        <f t="shared" si="39"/>
        <v>25543764</v>
      </c>
      <c r="I498" s="4276" t="s">
        <v>166</v>
      </c>
    </row>
    <row r="499" spans="1:9">
      <c r="A499" s="1771" t="str">
        <f>'Contact Information'!A69</f>
        <v>ST. PETERSBURG COLLEGE</v>
      </c>
      <c r="B499" s="1782">
        <v>-143579179</v>
      </c>
      <c r="C499" s="1782">
        <v>150200011</v>
      </c>
      <c r="D499" s="1782">
        <v>3930609</v>
      </c>
      <c r="E499" s="1783">
        <v>767569</v>
      </c>
      <c r="F499" s="2369">
        <f t="shared" si="38"/>
        <v>11319010</v>
      </c>
      <c r="G499" s="1784">
        <v>37539985</v>
      </c>
      <c r="H499" s="3132">
        <f t="shared" si="39"/>
        <v>48858995</v>
      </c>
      <c r="I499" s="4276" t="s">
        <v>168</v>
      </c>
    </row>
    <row r="500" spans="1:9">
      <c r="A500" s="1771" t="str">
        <f>'Contact Information'!A70</f>
        <v>STATE COLLEGE OF FLORIDA, MANATEE-SARASOTA</v>
      </c>
      <c r="B500" s="1782">
        <v>-51271522</v>
      </c>
      <c r="C500" s="1782">
        <v>50746193</v>
      </c>
      <c r="D500" s="1782">
        <v>-238250</v>
      </c>
      <c r="E500" s="1783">
        <v>644117</v>
      </c>
      <c r="F500" s="2369">
        <f t="shared" si="38"/>
        <v>-119462</v>
      </c>
      <c r="G500" s="1784">
        <v>44564403</v>
      </c>
      <c r="H500" s="3132">
        <f t="shared" si="39"/>
        <v>44444941</v>
      </c>
      <c r="I500" s="4276" t="s">
        <v>170</v>
      </c>
    </row>
    <row r="501" spans="1:9">
      <c r="A501" s="1771" t="str">
        <f>'Contact Information'!A71</f>
        <v>TALLAHASSEE COMMUNITY COLLEGE</v>
      </c>
      <c r="B501" s="1782">
        <v>-65081185</v>
      </c>
      <c r="C501" s="1782">
        <v>64168228</v>
      </c>
      <c r="D501" s="1782">
        <v>-706481</v>
      </c>
      <c r="E501" s="1783">
        <v>447125</v>
      </c>
      <c r="F501" s="2369">
        <f t="shared" si="38"/>
        <v>-1172313</v>
      </c>
      <c r="G501" s="1784">
        <v>23938749</v>
      </c>
      <c r="H501" s="3132">
        <f t="shared" si="39"/>
        <v>22766436</v>
      </c>
      <c r="I501" s="4276" t="s">
        <v>172</v>
      </c>
    </row>
    <row r="502" spans="1:9">
      <c r="A502" s="1771" t="str">
        <f>'Contact Information'!A72</f>
        <v>VALENCIA COLLEGE</v>
      </c>
      <c r="B502" s="1782">
        <v>-225633919</v>
      </c>
      <c r="C502" s="1782">
        <v>226738719</v>
      </c>
      <c r="D502" s="1782">
        <v>-6523155</v>
      </c>
      <c r="E502" s="1783">
        <v>947530</v>
      </c>
      <c r="F502" s="2369">
        <f t="shared" si="38"/>
        <v>-4470825</v>
      </c>
      <c r="G502" s="1784">
        <v>66246712</v>
      </c>
      <c r="H502" s="3132">
        <f t="shared" si="39"/>
        <v>61775887</v>
      </c>
      <c r="I502" s="4276" t="s">
        <v>174</v>
      </c>
    </row>
    <row r="599" spans="1:2">
      <c r="A599" s="2360"/>
      <c r="B599" s="2361"/>
    </row>
    <row r="600" spans="1:2">
      <c r="A600" s="2360"/>
      <c r="B600" s="2361"/>
    </row>
    <row r="601" spans="1:2">
      <c r="A601" s="2360"/>
      <c r="B601" s="2361"/>
    </row>
    <row r="602" spans="1:2">
      <c r="A602" s="2360"/>
      <c r="B602" s="2361"/>
    </row>
    <row r="603" spans="1:2">
      <c r="A603" s="2360"/>
      <c r="B603" s="2361"/>
    </row>
    <row r="604" spans="1:2">
      <c r="A604" s="2360"/>
      <c r="B604" s="2361"/>
    </row>
    <row r="605" spans="1:2">
      <c r="A605" s="2360"/>
      <c r="B605" s="2361"/>
    </row>
    <row r="606" spans="1:2">
      <c r="A606" s="2360"/>
      <c r="B606" s="2361"/>
    </row>
    <row r="607" spans="1:2">
      <c r="A607" s="2360"/>
      <c r="B607" s="2361"/>
    </row>
    <row r="608" spans="1:2">
      <c r="A608" s="2360"/>
      <c r="B608" s="2361"/>
    </row>
    <row r="609" spans="1:2">
      <c r="A609" s="2360"/>
      <c r="B609" s="2361"/>
    </row>
    <row r="610" spans="1:2">
      <c r="A610" s="2360"/>
      <c r="B610" s="2361"/>
    </row>
    <row r="611" spans="1:2">
      <c r="A611" s="2360"/>
      <c r="B611" s="2361"/>
    </row>
    <row r="612" spans="1:2">
      <c r="A612" s="2360"/>
      <c r="B612" s="2361"/>
    </row>
    <row r="613" spans="1:2">
      <c r="A613" s="2360"/>
      <c r="B613" s="2361"/>
    </row>
    <row r="614" spans="1:2">
      <c r="A614" s="2360"/>
      <c r="B614" s="2361"/>
    </row>
    <row r="615" spans="1:2">
      <c r="A615" s="2360"/>
      <c r="B615" s="2361"/>
    </row>
    <row r="616" spans="1:2">
      <c r="A616" s="2360"/>
      <c r="B616" s="2361"/>
    </row>
    <row r="617" spans="1:2">
      <c r="A617" s="2360"/>
      <c r="B617" s="2361"/>
    </row>
    <row r="618" spans="1:2">
      <c r="A618" s="2360"/>
      <c r="B618" s="2361"/>
    </row>
    <row r="619" spans="1:2">
      <c r="A619" s="2360"/>
      <c r="B619" s="2361"/>
    </row>
    <row r="620" spans="1:2">
      <c r="A620" s="2360"/>
      <c r="B620" s="2361"/>
    </row>
    <row r="621" spans="1:2">
      <c r="A621" s="2360"/>
      <c r="B621" s="2361"/>
    </row>
    <row r="622" spans="1:2">
      <c r="A622" s="2360"/>
      <c r="B622" s="2361"/>
    </row>
    <row r="623" spans="1:2">
      <c r="A623" s="2360"/>
      <c r="B623" s="2361"/>
    </row>
    <row r="624" spans="1:2">
      <c r="A624" s="2360"/>
      <c r="B624" s="2361"/>
    </row>
    <row r="625" spans="1:2">
      <c r="A625" s="2360"/>
      <c r="B625" s="2361"/>
    </row>
    <row r="626" spans="1:2">
      <c r="A626" s="2360"/>
      <c r="B626" s="2361"/>
    </row>
  </sheetData>
  <mergeCells count="61">
    <mergeCell ref="D294:H294"/>
    <mergeCell ref="D328:H328"/>
    <mergeCell ref="S434:Z434"/>
    <mergeCell ref="AN434:AT434"/>
    <mergeCell ref="AV434:BB434"/>
    <mergeCell ref="B434:H434"/>
    <mergeCell ref="BE434:BL434"/>
    <mergeCell ref="J149:J150"/>
    <mergeCell ref="L151:N151"/>
    <mergeCell ref="K330:K331"/>
    <mergeCell ref="J434:P434"/>
    <mergeCell ref="B400:M400"/>
    <mergeCell ref="B297:E297"/>
    <mergeCell ref="F297:H297"/>
    <mergeCell ref="I297:K297"/>
    <mergeCell ref="B330:B331"/>
    <mergeCell ref="C330:C331"/>
    <mergeCell ref="D330:D331"/>
    <mergeCell ref="E330:E331"/>
    <mergeCell ref="F330:F331"/>
    <mergeCell ref="G330:G331"/>
    <mergeCell ref="H330:H331"/>
    <mergeCell ref="A187:G187"/>
    <mergeCell ref="F5:L7"/>
    <mergeCell ref="B147:L148"/>
    <mergeCell ref="C149:C150"/>
    <mergeCell ref="D149:D150"/>
    <mergeCell ref="B149:B150"/>
    <mergeCell ref="E149:E150"/>
    <mergeCell ref="DP400:DX400"/>
    <mergeCell ref="E2:E3"/>
    <mergeCell ref="A259:G259"/>
    <mergeCell ref="F42:L44"/>
    <mergeCell ref="F78:L80"/>
    <mergeCell ref="A113:B113"/>
    <mergeCell ref="D114:J116"/>
    <mergeCell ref="B146:L146"/>
    <mergeCell ref="B76:D77"/>
    <mergeCell ref="A191:E191"/>
    <mergeCell ref="A225:G225"/>
    <mergeCell ref="B2:D3"/>
    <mergeCell ref="I149:I150"/>
    <mergeCell ref="A4:A5"/>
    <mergeCell ref="B41:D42"/>
    <mergeCell ref="G149:G150"/>
    <mergeCell ref="EB400:EK400"/>
    <mergeCell ref="EU400:FC400"/>
    <mergeCell ref="F149:F150"/>
    <mergeCell ref="H149:H150"/>
    <mergeCell ref="K149:K150"/>
    <mergeCell ref="L149:N149"/>
    <mergeCell ref="L150:N150"/>
    <mergeCell ref="O400:U400"/>
    <mergeCell ref="AE400:AM400"/>
    <mergeCell ref="AN400:AV400"/>
    <mergeCell ref="AY400:BH400"/>
    <mergeCell ref="BK400:BS400"/>
    <mergeCell ref="B185:G185"/>
    <mergeCell ref="CB400:CM400"/>
    <mergeCell ref="CQ400:CW400"/>
    <mergeCell ref="DG400:DO400"/>
  </mergeCells>
  <pageMargins left="0.7" right="0.7" top="0.75" bottom="0.75" header="0.3" footer="0.3"/>
  <pageSetup scale="10" fitToHeight="2" orientation="landscape" r:id="rId1"/>
  <ignoredErrors>
    <ignoredError sqref="AD408" formula="1"/>
  </ignoredErrors>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1"/>
  </sheetPr>
  <dimension ref="A1:O436"/>
  <sheetViews>
    <sheetView workbookViewId="0">
      <selection activeCell="A42" sqref="A42"/>
    </sheetView>
  </sheetViews>
  <sheetFormatPr defaultColWidth="9.140625" defaultRowHeight="11.25"/>
  <cols>
    <col min="1" max="1" width="6.28515625" style="1300" bestFit="1" customWidth="1"/>
    <col min="2" max="2" width="19.42578125" style="1287" bestFit="1" customWidth="1"/>
    <col min="3" max="3" width="6.5703125" style="108" customWidth="1"/>
    <col min="4" max="13" width="11.140625" style="1289" customWidth="1"/>
    <col min="14" max="16384" width="9.140625" style="1289"/>
  </cols>
  <sheetData>
    <row r="1" spans="1:13">
      <c r="A1" s="1286" t="s">
        <v>4020</v>
      </c>
      <c r="B1" s="1287" t="s">
        <v>2303</v>
      </c>
      <c r="C1" s="1288" t="s">
        <v>4020</v>
      </c>
      <c r="D1" s="1289" t="s">
        <v>4021</v>
      </c>
      <c r="E1" s="1289" t="s">
        <v>4022</v>
      </c>
      <c r="F1" s="1289" t="s">
        <v>4023</v>
      </c>
      <c r="G1" s="1289" t="s">
        <v>4024</v>
      </c>
      <c r="H1" s="1289" t="s">
        <v>4025</v>
      </c>
      <c r="I1" s="1289" t="s">
        <v>4026</v>
      </c>
      <c r="J1" s="1289" t="s">
        <v>4027</v>
      </c>
      <c r="K1" s="1289" t="s">
        <v>4028</v>
      </c>
      <c r="L1" s="1289" t="s">
        <v>4029</v>
      </c>
      <c r="M1" s="1289" t="s">
        <v>4030</v>
      </c>
    </row>
    <row r="2" spans="1:13">
      <c r="A2" s="3876" t="s">
        <v>929</v>
      </c>
      <c r="B2" s="1287" t="str">
        <f>'Contact Information'!$C$5</f>
        <v>SAMPLE STATE COLLEGE</v>
      </c>
      <c r="C2" s="3877" t="s">
        <v>929</v>
      </c>
      <c r="D2" s="1289">
        <f>VLOOKUP($A2,'Accounts by GL'!$C$6:$O$528,2,FALSE)</f>
        <v>0</v>
      </c>
      <c r="E2" s="1289">
        <f>VLOOKUP($A2,'Accounts by GL'!$C$6:$O$528,3,FALSE)</f>
        <v>0</v>
      </c>
      <c r="F2" s="1289">
        <f>VLOOKUP($A2,'Accounts by GL'!$C$6:$O$528,4,FALSE)</f>
        <v>0</v>
      </c>
      <c r="G2" s="1289">
        <f>VLOOKUP($A2,'Accounts by GL'!$C$6:$O$528,5,FALSE)</f>
        <v>0</v>
      </c>
      <c r="H2" s="1289">
        <f>VLOOKUP($A2,'Accounts by GL'!$C$6:$O$528,6,FALSE)</f>
        <v>0</v>
      </c>
      <c r="I2" s="1289">
        <f>VLOOKUP($A2,'Accounts by GL'!$C$6:$O$528,7,FALSE)</f>
        <v>0</v>
      </c>
      <c r="J2" s="1289">
        <f>VLOOKUP($A2,'Accounts by GL'!$C$6:$O$528,8,FALSE)</f>
        <v>0</v>
      </c>
      <c r="K2" s="1289">
        <f>VLOOKUP($A2,'Accounts by GL'!$C$6:$O$528,9,FALSE)</f>
        <v>0</v>
      </c>
      <c r="L2" s="1289">
        <f>VLOOKUP($A2,'Accounts by GL'!$C$6:$O$528,10,FALSE)</f>
        <v>0</v>
      </c>
      <c r="M2" s="1289">
        <f>VLOOKUP($A2,'Accounts by GL'!$C$6:$O$528,12,FALSE)</f>
        <v>0</v>
      </c>
    </row>
    <row r="3" spans="1:13">
      <c r="A3" s="1290" t="s">
        <v>934</v>
      </c>
      <c r="B3" s="1287" t="str">
        <f>$B$2</f>
        <v>SAMPLE STATE COLLEGE</v>
      </c>
      <c r="C3" s="1291" t="s">
        <v>934</v>
      </c>
      <c r="D3" s="1289">
        <f>VLOOKUP($A3,'Accounts by GL'!$C$6:$O$528,2,FALSE)</f>
        <v>0</v>
      </c>
      <c r="E3" s="1289">
        <f>VLOOKUP($A3,'Accounts by GL'!$C$6:$O$528,3,FALSE)</f>
        <v>0</v>
      </c>
      <c r="F3" s="1289">
        <f>VLOOKUP($A3,'Accounts by GL'!$C$6:$O$528,4,FALSE)</f>
        <v>0</v>
      </c>
      <c r="G3" s="1289">
        <f>VLOOKUP($A3,'Accounts by GL'!$C$6:$O$528,5,FALSE)</f>
        <v>0</v>
      </c>
      <c r="H3" s="1289">
        <f>VLOOKUP($A3,'Accounts by GL'!$C$6:$O$528,6,FALSE)</f>
        <v>0</v>
      </c>
      <c r="I3" s="1289">
        <f>VLOOKUP($A3,'Accounts by GL'!$C$6:$O$528,7,FALSE)</f>
        <v>0</v>
      </c>
      <c r="J3" s="1289">
        <f>VLOOKUP($A3,'Accounts by GL'!$C$6:$O$528,8,FALSE)</f>
        <v>0</v>
      </c>
      <c r="K3" s="1289">
        <f>VLOOKUP($A3,'Accounts by GL'!$C$6:$O$528,9,FALSE)</f>
        <v>0</v>
      </c>
      <c r="L3" s="1289">
        <f>VLOOKUP($A3,'Accounts by GL'!$C$6:$O$528,10,FALSE)</f>
        <v>0</v>
      </c>
      <c r="M3" s="1289">
        <f>VLOOKUP($A3,'Accounts by GL'!$C$6:$O$528,12,FALSE)</f>
        <v>0</v>
      </c>
    </row>
    <row r="4" spans="1:13">
      <c r="A4" s="1292" t="s">
        <v>936</v>
      </c>
      <c r="B4" s="1287" t="str">
        <f t="shared" ref="B4:B68" si="0">$B$2</f>
        <v>SAMPLE STATE COLLEGE</v>
      </c>
      <c r="C4" s="1291" t="s">
        <v>936</v>
      </c>
      <c r="D4" s="1289">
        <f>VLOOKUP($A4,'Accounts by GL'!$C$6:$O$528,2,FALSE)</f>
        <v>0</v>
      </c>
      <c r="E4" s="1289">
        <f>VLOOKUP($A4,'Accounts by GL'!$C$6:$O$528,3,FALSE)</f>
        <v>0</v>
      </c>
      <c r="F4" s="1289">
        <f>VLOOKUP($A4,'Accounts by GL'!$C$6:$O$528,4,FALSE)</f>
        <v>0</v>
      </c>
      <c r="G4" s="1289">
        <f>VLOOKUP($A4,'Accounts by GL'!$C$6:$O$528,5,FALSE)</f>
        <v>0</v>
      </c>
      <c r="H4" s="1289">
        <f>VLOOKUP($A4,'Accounts by GL'!$C$6:$O$528,6,FALSE)</f>
        <v>0</v>
      </c>
      <c r="I4" s="1289">
        <f>VLOOKUP($A4,'Accounts by GL'!$C$6:$O$528,7,FALSE)</f>
        <v>0</v>
      </c>
      <c r="J4" s="1289">
        <f>VLOOKUP($A4,'Accounts by GL'!$C$6:$O$528,8,FALSE)</f>
        <v>0</v>
      </c>
      <c r="K4" s="1289">
        <f>VLOOKUP($A4,'Accounts by GL'!$C$6:$O$528,9,FALSE)</f>
        <v>0</v>
      </c>
      <c r="L4" s="1289">
        <f>VLOOKUP($A4,'Accounts by GL'!$C$6:$O$528,10,FALSE)</f>
        <v>0</v>
      </c>
      <c r="M4" s="1289">
        <f>VLOOKUP($A4,'Accounts by GL'!$C$6:$O$528,12,FALSE)</f>
        <v>0</v>
      </c>
    </row>
    <row r="5" spans="1:13">
      <c r="A5" s="1293" t="s">
        <v>939</v>
      </c>
      <c r="B5" s="1287" t="str">
        <f t="shared" si="0"/>
        <v>SAMPLE STATE COLLEGE</v>
      </c>
      <c r="C5" s="1294" t="s">
        <v>939</v>
      </c>
      <c r="D5" s="1289">
        <f>VLOOKUP($A5,'Accounts by GL'!$C$6:$O$528,2,FALSE)</f>
        <v>0</v>
      </c>
      <c r="E5" s="1289">
        <f>VLOOKUP($A5,'Accounts by GL'!$C$6:$O$528,3,FALSE)</f>
        <v>0</v>
      </c>
      <c r="F5" s="1289">
        <f>VLOOKUP($A5,'Accounts by GL'!$C$6:$O$528,4,FALSE)</f>
        <v>0</v>
      </c>
      <c r="G5" s="1289">
        <f>VLOOKUP($A5,'Accounts by GL'!$C$6:$O$528,5,FALSE)</f>
        <v>0</v>
      </c>
      <c r="H5" s="1289">
        <f>VLOOKUP($A5,'Accounts by GL'!$C$6:$O$528,6,FALSE)</f>
        <v>0</v>
      </c>
      <c r="I5" s="1289">
        <f>VLOOKUP($A5,'Accounts by GL'!$C$6:$O$528,7,FALSE)</f>
        <v>0</v>
      </c>
      <c r="J5" s="1289">
        <f>VLOOKUP($A5,'Accounts by GL'!$C$6:$O$528,8,FALSE)</f>
        <v>0</v>
      </c>
      <c r="K5" s="1289">
        <f>VLOOKUP($A5,'Accounts by GL'!$C$6:$O$528,9,FALSE)</f>
        <v>0</v>
      </c>
      <c r="L5" s="1289">
        <f>VLOOKUP($A5,'Accounts by GL'!$C$6:$O$528,10,FALSE)</f>
        <v>0</v>
      </c>
      <c r="M5" s="1289">
        <f>VLOOKUP($A5,'Accounts by GL'!$C$6:$O$528,12,FALSE)</f>
        <v>0</v>
      </c>
    </row>
    <row r="6" spans="1:13">
      <c r="A6" s="1293" t="s">
        <v>942</v>
      </c>
      <c r="B6" s="1287" t="str">
        <f t="shared" si="0"/>
        <v>SAMPLE STATE COLLEGE</v>
      </c>
      <c r="C6" s="1294" t="s">
        <v>942</v>
      </c>
      <c r="D6" s="1289">
        <f>VLOOKUP($A6,'Accounts by GL'!$C$6:$O$528,2,FALSE)</f>
        <v>0</v>
      </c>
      <c r="E6" s="1289">
        <f>VLOOKUP($A6,'Accounts by GL'!$C$6:$O$528,3,FALSE)</f>
        <v>0</v>
      </c>
      <c r="F6" s="1289">
        <f>VLOOKUP($A6,'Accounts by GL'!$C$6:$O$528,4,FALSE)</f>
        <v>0</v>
      </c>
      <c r="G6" s="1289">
        <f>VLOOKUP($A6,'Accounts by GL'!$C$6:$O$528,5,FALSE)</f>
        <v>0</v>
      </c>
      <c r="H6" s="1289">
        <f>VLOOKUP($A6,'Accounts by GL'!$C$6:$O$528,6,FALSE)</f>
        <v>0</v>
      </c>
      <c r="I6" s="1289">
        <f>VLOOKUP($A6,'Accounts by GL'!$C$6:$O$528,7,FALSE)</f>
        <v>0</v>
      </c>
      <c r="J6" s="1289">
        <f>VLOOKUP($A6,'Accounts by GL'!$C$6:$O$528,8,FALSE)</f>
        <v>0</v>
      </c>
      <c r="K6" s="1289">
        <f>VLOOKUP($A6,'Accounts by GL'!$C$6:$O$528,9,FALSE)</f>
        <v>0</v>
      </c>
      <c r="L6" s="1289">
        <f>VLOOKUP($A6,'Accounts by GL'!$C$6:$O$528,10,FALSE)</f>
        <v>0</v>
      </c>
      <c r="M6" s="1289">
        <f>VLOOKUP($A6,'Accounts by GL'!$C$6:$O$528,12,FALSE)</f>
        <v>0</v>
      </c>
    </row>
    <row r="7" spans="1:13">
      <c r="A7" s="1293" t="s">
        <v>945</v>
      </c>
      <c r="B7" s="1287" t="str">
        <f t="shared" si="0"/>
        <v>SAMPLE STATE COLLEGE</v>
      </c>
      <c r="C7" s="1294" t="s">
        <v>945</v>
      </c>
      <c r="D7" s="1289">
        <f>VLOOKUP($A7,'Accounts by GL'!$C$6:$O$528,2,FALSE)</f>
        <v>0</v>
      </c>
      <c r="E7" s="1289">
        <f>VLOOKUP($A7,'Accounts by GL'!$C$6:$O$528,3,FALSE)</f>
        <v>0</v>
      </c>
      <c r="F7" s="1289">
        <f>VLOOKUP($A7,'Accounts by GL'!$C$6:$O$528,4,FALSE)</f>
        <v>0</v>
      </c>
      <c r="G7" s="1289">
        <f>VLOOKUP($A7,'Accounts by GL'!$C$6:$O$528,5,FALSE)</f>
        <v>0</v>
      </c>
      <c r="H7" s="1289">
        <f>VLOOKUP($A7,'Accounts by GL'!$C$6:$O$528,6,FALSE)</f>
        <v>0</v>
      </c>
      <c r="I7" s="1289">
        <f>VLOOKUP($A7,'Accounts by GL'!$C$6:$O$528,7,FALSE)</f>
        <v>0</v>
      </c>
      <c r="J7" s="1289">
        <f>VLOOKUP($A7,'Accounts by GL'!$C$6:$O$528,8,FALSE)</f>
        <v>0</v>
      </c>
      <c r="K7" s="1289">
        <f>VLOOKUP($A7,'Accounts by GL'!$C$6:$O$528,9,FALSE)</f>
        <v>0</v>
      </c>
      <c r="L7" s="1289">
        <f>VLOOKUP($A7,'Accounts by GL'!$C$6:$O$528,10,FALSE)</f>
        <v>0</v>
      </c>
      <c r="M7" s="1289">
        <f>VLOOKUP($A7,'Accounts by GL'!$C$6:$O$528,12,FALSE)</f>
        <v>0</v>
      </c>
    </row>
    <row r="8" spans="1:13">
      <c r="A8" s="1293" t="s">
        <v>948</v>
      </c>
      <c r="B8" s="1287" t="str">
        <f t="shared" si="0"/>
        <v>SAMPLE STATE COLLEGE</v>
      </c>
      <c r="C8" s="1294" t="s">
        <v>948</v>
      </c>
      <c r="D8" s="1289">
        <f>VLOOKUP($A8,'Accounts by GL'!$C$6:$O$528,2,FALSE)</f>
        <v>0</v>
      </c>
      <c r="E8" s="1289">
        <f>VLOOKUP($A8,'Accounts by GL'!$C$6:$O$528,3,FALSE)</f>
        <v>0</v>
      </c>
      <c r="F8" s="1289">
        <f>VLOOKUP($A8,'Accounts by GL'!$C$6:$O$528,4,FALSE)</f>
        <v>0</v>
      </c>
      <c r="G8" s="1289">
        <f>VLOOKUP($A8,'Accounts by GL'!$C$6:$O$528,5,FALSE)</f>
        <v>0</v>
      </c>
      <c r="H8" s="1289">
        <f>VLOOKUP($A8,'Accounts by GL'!$C$6:$O$528,6,FALSE)</f>
        <v>0</v>
      </c>
      <c r="I8" s="1289">
        <f>VLOOKUP($A8,'Accounts by GL'!$C$6:$O$528,7,FALSE)</f>
        <v>0</v>
      </c>
      <c r="J8" s="1289">
        <f>VLOOKUP($A8,'Accounts by GL'!$C$6:$O$528,8,FALSE)</f>
        <v>0</v>
      </c>
      <c r="K8" s="1289">
        <f>VLOOKUP($A8,'Accounts by GL'!$C$6:$O$528,9,FALSE)</f>
        <v>0</v>
      </c>
      <c r="L8" s="1289">
        <f>VLOOKUP($A8,'Accounts by GL'!$C$6:$O$528,10,FALSE)</f>
        <v>0</v>
      </c>
      <c r="M8" s="1289">
        <f>VLOOKUP($A8,'Accounts by GL'!$C$6:$O$528,12,FALSE)</f>
        <v>0</v>
      </c>
    </row>
    <row r="9" spans="1:13">
      <c r="A9" s="1293" t="s">
        <v>952</v>
      </c>
      <c r="B9" s="1287" t="str">
        <f t="shared" si="0"/>
        <v>SAMPLE STATE COLLEGE</v>
      </c>
      <c r="C9" s="1294" t="s">
        <v>952</v>
      </c>
      <c r="D9" s="1289">
        <f>VLOOKUP($A9,'Accounts by GL'!$C$6:$O$528,2,FALSE)</f>
        <v>0</v>
      </c>
      <c r="E9" s="1289">
        <f>VLOOKUP($A9,'Accounts by GL'!$C$6:$O$528,3,FALSE)</f>
        <v>0</v>
      </c>
      <c r="F9" s="1289">
        <f>VLOOKUP($A9,'Accounts by GL'!$C$6:$O$528,4,FALSE)</f>
        <v>0</v>
      </c>
      <c r="G9" s="1289">
        <f>VLOOKUP($A9,'Accounts by GL'!$C$6:$O$528,5,FALSE)</f>
        <v>0</v>
      </c>
      <c r="H9" s="1289">
        <f>VLOOKUP($A9,'Accounts by GL'!$C$6:$O$528,6,FALSE)</f>
        <v>0</v>
      </c>
      <c r="I9" s="1289">
        <f>VLOOKUP($A9,'Accounts by GL'!$C$6:$O$528,7,FALSE)</f>
        <v>0</v>
      </c>
      <c r="J9" s="1289">
        <f>VLOOKUP($A9,'Accounts by GL'!$C$6:$O$528,8,FALSE)</f>
        <v>0</v>
      </c>
      <c r="K9" s="1289">
        <f>VLOOKUP($A9,'Accounts by GL'!$C$6:$O$528,9,FALSE)</f>
        <v>0</v>
      </c>
      <c r="L9" s="1289">
        <f>VLOOKUP($A9,'Accounts by GL'!$C$6:$O$528,10,FALSE)</f>
        <v>0</v>
      </c>
      <c r="M9" s="1289">
        <f>VLOOKUP($A9,'Accounts by GL'!$C$6:$O$528,12,FALSE)</f>
        <v>0</v>
      </c>
    </row>
    <row r="10" spans="1:13">
      <c r="A10" s="1293" t="s">
        <v>955</v>
      </c>
      <c r="B10" s="1287" t="str">
        <f t="shared" si="0"/>
        <v>SAMPLE STATE COLLEGE</v>
      </c>
      <c r="C10" s="1294" t="s">
        <v>955</v>
      </c>
      <c r="D10" s="1289">
        <f>VLOOKUP($A10,'Accounts by GL'!$C$6:$O$528,2,FALSE)</f>
        <v>0</v>
      </c>
      <c r="E10" s="1289">
        <f>VLOOKUP($A10,'Accounts by GL'!$C$6:$O$528,3,FALSE)</f>
        <v>0</v>
      </c>
      <c r="F10" s="1289">
        <f>VLOOKUP($A10,'Accounts by GL'!$C$6:$O$528,4,FALSE)</f>
        <v>0</v>
      </c>
      <c r="G10" s="1289">
        <f>VLOOKUP($A10,'Accounts by GL'!$C$6:$O$528,5,FALSE)</f>
        <v>0</v>
      </c>
      <c r="H10" s="1289">
        <f>VLOOKUP($A10,'Accounts by GL'!$C$6:$O$528,6,FALSE)</f>
        <v>0</v>
      </c>
      <c r="I10" s="1289">
        <f>VLOOKUP($A10,'Accounts by GL'!$C$6:$O$528,7,FALSE)</f>
        <v>0</v>
      </c>
      <c r="J10" s="1289">
        <f>VLOOKUP($A10,'Accounts by GL'!$C$6:$O$528,8,FALSE)</f>
        <v>0</v>
      </c>
      <c r="K10" s="1289">
        <f>VLOOKUP($A10,'Accounts by GL'!$C$6:$O$528,9,FALSE)</f>
        <v>0</v>
      </c>
      <c r="L10" s="1289">
        <f>VLOOKUP($A10,'Accounts by GL'!$C$6:$O$528,10,FALSE)</f>
        <v>0</v>
      </c>
      <c r="M10" s="1289">
        <f>VLOOKUP($A10,'Accounts by GL'!$C$6:$O$528,12,FALSE)</f>
        <v>0</v>
      </c>
    </row>
    <row r="11" spans="1:13">
      <c r="A11" s="1293" t="s">
        <v>959</v>
      </c>
      <c r="B11" s="1287" t="str">
        <f t="shared" si="0"/>
        <v>SAMPLE STATE COLLEGE</v>
      </c>
      <c r="C11" s="1294" t="s">
        <v>959</v>
      </c>
      <c r="D11" s="1289">
        <f>VLOOKUP($A11,'Accounts by GL'!$C$6:$O$528,2,FALSE)</f>
        <v>0</v>
      </c>
      <c r="E11" s="1289">
        <f>VLOOKUP($A11,'Accounts by GL'!$C$6:$O$528,3,FALSE)</f>
        <v>0</v>
      </c>
      <c r="F11" s="1289">
        <f>VLOOKUP($A11,'Accounts by GL'!$C$6:$O$528,4,FALSE)</f>
        <v>0</v>
      </c>
      <c r="G11" s="1289">
        <f>VLOOKUP($A11,'Accounts by GL'!$C$6:$O$528,5,FALSE)</f>
        <v>0</v>
      </c>
      <c r="H11" s="1289">
        <f>VLOOKUP($A11,'Accounts by GL'!$C$6:$O$528,6,FALSE)</f>
        <v>0</v>
      </c>
      <c r="I11" s="1289">
        <f>VLOOKUP($A11,'Accounts by GL'!$C$6:$O$528,7,FALSE)</f>
        <v>0</v>
      </c>
      <c r="J11" s="1289">
        <f>VLOOKUP($A11,'Accounts by GL'!$C$6:$O$528,8,FALSE)</f>
        <v>0</v>
      </c>
      <c r="K11" s="1289">
        <f>VLOOKUP($A11,'Accounts by GL'!$C$6:$O$528,9,FALSE)</f>
        <v>0</v>
      </c>
      <c r="L11" s="1289">
        <f>VLOOKUP($A11,'Accounts by GL'!$C$6:$O$528,10,FALSE)</f>
        <v>0</v>
      </c>
      <c r="M11" s="1289">
        <f>VLOOKUP($A11,'Accounts by GL'!$C$6:$O$528,12,FALSE)</f>
        <v>0</v>
      </c>
    </row>
    <row r="12" spans="1:13">
      <c r="A12" s="1293" t="s">
        <v>963</v>
      </c>
      <c r="B12" s="1287" t="str">
        <f t="shared" si="0"/>
        <v>SAMPLE STATE COLLEGE</v>
      </c>
      <c r="C12" s="1294" t="s">
        <v>963</v>
      </c>
      <c r="D12" s="1289">
        <f>VLOOKUP($A12,'Accounts by GL'!$C$6:$O$528,2,FALSE)</f>
        <v>0</v>
      </c>
      <c r="E12" s="1289">
        <f>VLOOKUP($A12,'Accounts by GL'!$C$6:$O$528,3,FALSE)</f>
        <v>0</v>
      </c>
      <c r="F12" s="1289">
        <f>VLOOKUP($A12,'Accounts by GL'!$C$6:$O$528,4,FALSE)</f>
        <v>0</v>
      </c>
      <c r="G12" s="1289">
        <f>VLOOKUP($A12,'Accounts by GL'!$C$6:$O$528,5,FALSE)</f>
        <v>0</v>
      </c>
      <c r="H12" s="1289">
        <f>VLOOKUP($A12,'Accounts by GL'!$C$6:$O$528,6,FALSE)</f>
        <v>0</v>
      </c>
      <c r="I12" s="1289">
        <f>VLOOKUP($A12,'Accounts by GL'!$C$6:$O$528,7,FALSE)</f>
        <v>0</v>
      </c>
      <c r="J12" s="1289">
        <f>VLOOKUP($A12,'Accounts by GL'!$C$6:$O$528,8,FALSE)</f>
        <v>0</v>
      </c>
      <c r="K12" s="1289">
        <f>VLOOKUP($A12,'Accounts by GL'!$C$6:$O$528,9,FALSE)</f>
        <v>0</v>
      </c>
      <c r="L12" s="1289">
        <f>VLOOKUP($A12,'Accounts by GL'!$C$6:$O$528,10,FALSE)</f>
        <v>0</v>
      </c>
      <c r="M12" s="1289">
        <f>VLOOKUP($A12,'Accounts by GL'!$C$6:$O$528,12,FALSE)</f>
        <v>0</v>
      </c>
    </row>
    <row r="13" spans="1:13">
      <c r="A13" s="1293" t="s">
        <v>966</v>
      </c>
      <c r="B13" s="1287" t="str">
        <f t="shared" si="0"/>
        <v>SAMPLE STATE COLLEGE</v>
      </c>
      <c r="C13" s="1294" t="s">
        <v>966</v>
      </c>
      <c r="D13" s="1289">
        <f>VLOOKUP($A13,'Accounts by GL'!$C$6:$O$528,2,FALSE)</f>
        <v>0</v>
      </c>
      <c r="E13" s="1289">
        <f>VLOOKUP($A13,'Accounts by GL'!$C$6:$O$528,3,FALSE)</f>
        <v>0</v>
      </c>
      <c r="F13" s="1289">
        <f>VLOOKUP($A13,'Accounts by GL'!$C$6:$O$528,4,FALSE)</f>
        <v>0</v>
      </c>
      <c r="G13" s="1289">
        <f>VLOOKUP($A13,'Accounts by GL'!$C$6:$O$528,5,FALSE)</f>
        <v>0</v>
      </c>
      <c r="H13" s="1289">
        <f>VLOOKUP($A13,'Accounts by GL'!$C$6:$O$528,6,FALSE)</f>
        <v>0</v>
      </c>
      <c r="I13" s="1289">
        <f>VLOOKUP($A13,'Accounts by GL'!$C$6:$O$528,7,FALSE)</f>
        <v>0</v>
      </c>
      <c r="J13" s="1289">
        <f>VLOOKUP($A13,'Accounts by GL'!$C$6:$O$528,8,FALSE)</f>
        <v>0</v>
      </c>
      <c r="K13" s="1289">
        <f>VLOOKUP($A13,'Accounts by GL'!$C$6:$O$528,9,FALSE)</f>
        <v>0</v>
      </c>
      <c r="L13" s="1289">
        <f>VLOOKUP($A13,'Accounts by GL'!$C$6:$O$528,10,FALSE)</f>
        <v>0</v>
      </c>
      <c r="M13" s="1289">
        <f>VLOOKUP($A13,'Accounts by GL'!$C$6:$O$528,12,FALSE)</f>
        <v>0</v>
      </c>
    </row>
    <row r="14" spans="1:13">
      <c r="A14" s="1293" t="s">
        <v>970</v>
      </c>
      <c r="B14" s="1287" t="str">
        <f t="shared" si="0"/>
        <v>SAMPLE STATE COLLEGE</v>
      </c>
      <c r="C14" s="1294" t="s">
        <v>970</v>
      </c>
      <c r="D14" s="1289">
        <f>VLOOKUP($A14,'Accounts by GL'!$C$6:$O$528,2,FALSE)</f>
        <v>0</v>
      </c>
      <c r="E14" s="1289">
        <f>VLOOKUP($A14,'Accounts by GL'!$C$6:$O$528,3,FALSE)</f>
        <v>0</v>
      </c>
      <c r="F14" s="1289">
        <f>VLOOKUP($A14,'Accounts by GL'!$C$6:$O$528,4,FALSE)</f>
        <v>0</v>
      </c>
      <c r="G14" s="1289">
        <f>VLOOKUP($A14,'Accounts by GL'!$C$6:$O$528,5,FALSE)</f>
        <v>0</v>
      </c>
      <c r="H14" s="1289">
        <f>VLOOKUP($A14,'Accounts by GL'!$C$6:$O$528,6,FALSE)</f>
        <v>0</v>
      </c>
      <c r="I14" s="1289">
        <f>VLOOKUP($A14,'Accounts by GL'!$C$6:$O$528,7,FALSE)</f>
        <v>0</v>
      </c>
      <c r="J14" s="1289">
        <f>VLOOKUP($A14,'Accounts by GL'!$C$6:$O$528,8,FALSE)</f>
        <v>0</v>
      </c>
      <c r="K14" s="1289">
        <f>VLOOKUP($A14,'Accounts by GL'!$C$6:$O$528,9,FALSE)</f>
        <v>0</v>
      </c>
      <c r="L14" s="1289">
        <f>VLOOKUP($A14,'Accounts by GL'!$C$6:$O$528,10,FALSE)</f>
        <v>0</v>
      </c>
      <c r="M14" s="1289">
        <f>VLOOKUP($A14,'Accounts by GL'!$C$6:$O$528,12,FALSE)</f>
        <v>0</v>
      </c>
    </row>
    <row r="15" spans="1:13">
      <c r="A15" s="1293" t="s">
        <v>971</v>
      </c>
      <c r="B15" s="1287" t="str">
        <f t="shared" si="0"/>
        <v>SAMPLE STATE COLLEGE</v>
      </c>
      <c r="C15" s="1294" t="s">
        <v>971</v>
      </c>
      <c r="D15" s="1289">
        <f>VLOOKUP($A15,'Accounts by GL'!$C$6:$O$528,2,FALSE)</f>
        <v>0</v>
      </c>
      <c r="E15" s="1289">
        <f>VLOOKUP($A15,'Accounts by GL'!$C$6:$O$528,3,FALSE)</f>
        <v>0</v>
      </c>
      <c r="F15" s="1289">
        <f>VLOOKUP($A15,'Accounts by GL'!$C$6:$O$528,4,FALSE)</f>
        <v>0</v>
      </c>
      <c r="G15" s="1289">
        <f>VLOOKUP($A15,'Accounts by GL'!$C$6:$O$528,5,FALSE)</f>
        <v>0</v>
      </c>
      <c r="H15" s="1289">
        <f>VLOOKUP($A15,'Accounts by GL'!$C$6:$O$528,6,FALSE)</f>
        <v>0</v>
      </c>
      <c r="I15" s="1289">
        <f>VLOOKUP($A15,'Accounts by GL'!$C$6:$O$528,7,FALSE)</f>
        <v>0</v>
      </c>
      <c r="J15" s="1289">
        <f>VLOOKUP($A15,'Accounts by GL'!$C$6:$O$528,8,FALSE)</f>
        <v>0</v>
      </c>
      <c r="K15" s="1289">
        <f>VLOOKUP($A15,'Accounts by GL'!$C$6:$O$528,9,FALSE)</f>
        <v>0</v>
      </c>
      <c r="L15" s="1289">
        <f>VLOOKUP($A15,'Accounts by GL'!$C$6:$O$528,10,FALSE)</f>
        <v>0</v>
      </c>
      <c r="M15" s="1289">
        <f>VLOOKUP($A15,'Accounts by GL'!$C$6:$O$528,12,FALSE)</f>
        <v>0</v>
      </c>
    </row>
    <row r="16" spans="1:13">
      <c r="A16" s="1293" t="s">
        <v>974</v>
      </c>
      <c r="B16" s="1287" t="str">
        <f t="shared" si="0"/>
        <v>SAMPLE STATE COLLEGE</v>
      </c>
      <c r="C16" s="1294" t="s">
        <v>974</v>
      </c>
      <c r="D16" s="1289">
        <f>VLOOKUP($A16,'Accounts by GL'!$C$6:$O$528,2,FALSE)</f>
        <v>0</v>
      </c>
      <c r="E16" s="1289">
        <f>VLOOKUP($A16,'Accounts by GL'!$C$6:$O$528,3,FALSE)</f>
        <v>0</v>
      </c>
      <c r="F16" s="1289">
        <f>VLOOKUP($A16,'Accounts by GL'!$C$6:$O$528,4,FALSE)</f>
        <v>0</v>
      </c>
      <c r="G16" s="1289">
        <f>VLOOKUP($A16,'Accounts by GL'!$C$6:$O$528,5,FALSE)</f>
        <v>0</v>
      </c>
      <c r="H16" s="1289">
        <f>VLOOKUP($A16,'Accounts by GL'!$C$6:$O$528,6,FALSE)</f>
        <v>0</v>
      </c>
      <c r="I16" s="1289">
        <f>VLOOKUP($A16,'Accounts by GL'!$C$6:$O$528,7,FALSE)</f>
        <v>0</v>
      </c>
      <c r="J16" s="1289">
        <f>VLOOKUP($A16,'Accounts by GL'!$C$6:$O$528,8,FALSE)</f>
        <v>0</v>
      </c>
      <c r="K16" s="1289">
        <f>VLOOKUP($A16,'Accounts by GL'!$C$6:$O$528,9,FALSE)</f>
        <v>0</v>
      </c>
      <c r="L16" s="1289">
        <f>VLOOKUP($A16,'Accounts by GL'!$C$6:$O$528,10,FALSE)</f>
        <v>0</v>
      </c>
      <c r="M16" s="1289">
        <f>VLOOKUP($A16,'Accounts by GL'!$C$6:$O$528,12,FALSE)</f>
        <v>0</v>
      </c>
    </row>
    <row r="17" spans="1:13">
      <c r="A17" s="1293" t="s">
        <v>977</v>
      </c>
      <c r="B17" s="1287" t="str">
        <f t="shared" si="0"/>
        <v>SAMPLE STATE COLLEGE</v>
      </c>
      <c r="C17" s="1294" t="s">
        <v>977</v>
      </c>
      <c r="D17" s="1289">
        <f>VLOOKUP($A17,'Accounts by GL'!$C$6:$O$528,2,FALSE)</f>
        <v>0</v>
      </c>
      <c r="E17" s="1289">
        <f>VLOOKUP($A17,'Accounts by GL'!$C$6:$O$528,3,FALSE)</f>
        <v>0</v>
      </c>
      <c r="F17" s="1289">
        <f>VLOOKUP($A17,'Accounts by GL'!$C$6:$O$528,4,FALSE)</f>
        <v>0</v>
      </c>
      <c r="G17" s="1289">
        <f>VLOOKUP($A17,'Accounts by GL'!$C$6:$O$528,5,FALSE)</f>
        <v>0</v>
      </c>
      <c r="H17" s="1289">
        <f>VLOOKUP($A17,'Accounts by GL'!$C$6:$O$528,6,FALSE)</f>
        <v>0</v>
      </c>
      <c r="I17" s="1289">
        <f>VLOOKUP($A17,'Accounts by GL'!$C$6:$O$528,7,FALSE)</f>
        <v>0</v>
      </c>
      <c r="J17" s="1289">
        <f>VLOOKUP($A17,'Accounts by GL'!$C$6:$O$528,8,FALSE)</f>
        <v>0</v>
      </c>
      <c r="K17" s="1289">
        <f>VLOOKUP($A17,'Accounts by GL'!$C$6:$O$528,9,FALSE)</f>
        <v>0</v>
      </c>
      <c r="L17" s="1289">
        <f>VLOOKUP($A17,'Accounts by GL'!$C$6:$O$528,10,FALSE)</f>
        <v>0</v>
      </c>
      <c r="M17" s="1289">
        <f>VLOOKUP($A17,'Accounts by GL'!$C$6:$O$528,12,FALSE)</f>
        <v>0</v>
      </c>
    </row>
    <row r="18" spans="1:13">
      <c r="A18" s="1293" t="s">
        <v>981</v>
      </c>
      <c r="B18" s="1287" t="str">
        <f t="shared" si="0"/>
        <v>SAMPLE STATE COLLEGE</v>
      </c>
      <c r="C18" s="1294" t="s">
        <v>981</v>
      </c>
      <c r="D18" s="1289">
        <f>VLOOKUP($A18,'Accounts by GL'!$C$6:$O$528,2,FALSE)</f>
        <v>0</v>
      </c>
      <c r="E18" s="1289">
        <f>VLOOKUP($A18,'Accounts by GL'!$C$6:$O$528,3,FALSE)</f>
        <v>0</v>
      </c>
      <c r="F18" s="1289">
        <f>VLOOKUP($A18,'Accounts by GL'!$C$6:$O$528,4,FALSE)</f>
        <v>0</v>
      </c>
      <c r="G18" s="1289">
        <f>VLOOKUP($A18,'Accounts by GL'!$C$6:$O$528,5,FALSE)</f>
        <v>0</v>
      </c>
      <c r="H18" s="1289">
        <f>VLOOKUP($A18,'Accounts by GL'!$C$6:$O$528,6,FALSE)</f>
        <v>0</v>
      </c>
      <c r="I18" s="1289">
        <f>VLOOKUP($A18,'Accounts by GL'!$C$6:$O$528,7,FALSE)</f>
        <v>0</v>
      </c>
      <c r="J18" s="1289">
        <f>VLOOKUP($A18,'Accounts by GL'!$C$6:$O$528,8,FALSE)</f>
        <v>0</v>
      </c>
      <c r="K18" s="1289">
        <f>VLOOKUP($A18,'Accounts by GL'!$C$6:$O$528,9,FALSE)</f>
        <v>0</v>
      </c>
      <c r="L18" s="1289">
        <f>VLOOKUP($A18,'Accounts by GL'!$C$6:$O$528,10,FALSE)</f>
        <v>0</v>
      </c>
      <c r="M18" s="1289">
        <f>VLOOKUP($A18,'Accounts by GL'!$C$6:$O$528,12,FALSE)</f>
        <v>0</v>
      </c>
    </row>
    <row r="19" spans="1:13">
      <c r="A19" s="1293" t="s">
        <v>985</v>
      </c>
      <c r="B19" s="1287" t="str">
        <f t="shared" si="0"/>
        <v>SAMPLE STATE COLLEGE</v>
      </c>
      <c r="C19" s="1294" t="s">
        <v>985</v>
      </c>
      <c r="D19" s="1289">
        <f>VLOOKUP($A19,'Accounts by GL'!$C$6:$O$528,2,FALSE)</f>
        <v>0</v>
      </c>
      <c r="E19" s="1289">
        <f>VLOOKUP($A19,'Accounts by GL'!$C$6:$O$528,3,FALSE)</f>
        <v>0</v>
      </c>
      <c r="F19" s="1289">
        <f>VLOOKUP($A19,'Accounts by GL'!$C$6:$O$528,4,FALSE)</f>
        <v>0</v>
      </c>
      <c r="G19" s="1289">
        <f>VLOOKUP($A19,'Accounts by GL'!$C$6:$O$528,5,FALSE)</f>
        <v>0</v>
      </c>
      <c r="H19" s="1289">
        <f>VLOOKUP($A19,'Accounts by GL'!$C$6:$O$528,6,FALSE)</f>
        <v>0</v>
      </c>
      <c r="I19" s="1289">
        <f>VLOOKUP($A19,'Accounts by GL'!$C$6:$O$528,7,FALSE)</f>
        <v>0</v>
      </c>
      <c r="J19" s="1289">
        <f>VLOOKUP($A19,'Accounts by GL'!$C$6:$O$528,8,FALSE)</f>
        <v>0</v>
      </c>
      <c r="K19" s="1289">
        <f>VLOOKUP($A19,'Accounts by GL'!$C$6:$O$528,9,FALSE)</f>
        <v>0</v>
      </c>
      <c r="L19" s="1289">
        <f>VLOOKUP($A19,'Accounts by GL'!$C$6:$O$528,10,FALSE)</f>
        <v>0</v>
      </c>
      <c r="M19" s="1289">
        <f>VLOOKUP($A19,'Accounts by GL'!$C$6:$O$528,12,FALSE)</f>
        <v>0</v>
      </c>
    </row>
    <row r="20" spans="1:13">
      <c r="A20" s="1293" t="s">
        <v>986</v>
      </c>
      <c r="B20" s="1287" t="str">
        <f t="shared" si="0"/>
        <v>SAMPLE STATE COLLEGE</v>
      </c>
      <c r="C20" s="1294" t="s">
        <v>986</v>
      </c>
      <c r="D20" s="1289">
        <f>VLOOKUP($A20,'Accounts by GL'!$C$6:$O$528,2,FALSE)</f>
        <v>0</v>
      </c>
      <c r="E20" s="1289">
        <f>VLOOKUP($A20,'Accounts by GL'!$C$6:$O$528,3,FALSE)</f>
        <v>0</v>
      </c>
      <c r="F20" s="1289">
        <f>VLOOKUP($A20,'Accounts by GL'!$C$6:$O$528,4,FALSE)</f>
        <v>0</v>
      </c>
      <c r="G20" s="1289">
        <f>VLOOKUP($A20,'Accounts by GL'!$C$6:$O$528,5,FALSE)</f>
        <v>0</v>
      </c>
      <c r="H20" s="1289">
        <f>VLOOKUP($A20,'Accounts by GL'!$C$6:$O$528,6,FALSE)</f>
        <v>0</v>
      </c>
      <c r="I20" s="1289">
        <f>VLOOKUP($A20,'Accounts by GL'!$C$6:$O$528,7,FALSE)</f>
        <v>0</v>
      </c>
      <c r="J20" s="1289">
        <f>VLOOKUP($A20,'Accounts by GL'!$C$6:$O$528,8,FALSE)</f>
        <v>0</v>
      </c>
      <c r="K20" s="1289">
        <f>VLOOKUP($A20,'Accounts by GL'!$C$6:$O$528,9,FALSE)</f>
        <v>0</v>
      </c>
      <c r="L20" s="1289">
        <f>VLOOKUP($A20,'Accounts by GL'!$C$6:$O$528,10,FALSE)</f>
        <v>0</v>
      </c>
      <c r="M20" s="1289">
        <f>VLOOKUP($A20,'Accounts by GL'!$C$6:$O$528,12,FALSE)</f>
        <v>0</v>
      </c>
    </row>
    <row r="21" spans="1:13">
      <c r="A21" s="1293" t="s">
        <v>988</v>
      </c>
      <c r="B21" s="1287" t="str">
        <f t="shared" si="0"/>
        <v>SAMPLE STATE COLLEGE</v>
      </c>
      <c r="C21" s="1294" t="s">
        <v>988</v>
      </c>
      <c r="D21" s="1289">
        <f>VLOOKUP($A21,'Accounts by GL'!$C$6:$O$528,2,FALSE)</f>
        <v>0</v>
      </c>
      <c r="E21" s="1289">
        <f>VLOOKUP($A21,'Accounts by GL'!$C$6:$O$528,3,FALSE)</f>
        <v>0</v>
      </c>
      <c r="F21" s="1289">
        <f>VLOOKUP($A21,'Accounts by GL'!$C$6:$O$528,4,FALSE)</f>
        <v>0</v>
      </c>
      <c r="G21" s="1289">
        <f>VLOOKUP($A21,'Accounts by GL'!$C$6:$O$528,5,FALSE)</f>
        <v>0</v>
      </c>
      <c r="H21" s="1289">
        <f>VLOOKUP($A21,'Accounts by GL'!$C$6:$O$528,6,FALSE)</f>
        <v>0</v>
      </c>
      <c r="I21" s="1289">
        <f>VLOOKUP($A21,'Accounts by GL'!$C$6:$O$528,7,FALSE)</f>
        <v>0</v>
      </c>
      <c r="J21" s="1289">
        <f>VLOOKUP($A21,'Accounts by GL'!$C$6:$O$528,8,FALSE)</f>
        <v>0</v>
      </c>
      <c r="K21" s="1289">
        <f>VLOOKUP($A21,'Accounts by GL'!$C$6:$O$528,9,FALSE)</f>
        <v>0</v>
      </c>
      <c r="L21" s="1289">
        <f>VLOOKUP($A21,'Accounts by GL'!$C$6:$O$528,10,FALSE)</f>
        <v>0</v>
      </c>
      <c r="M21" s="1289">
        <f>VLOOKUP($A21,'Accounts by GL'!$C$6:$O$528,12,FALSE)</f>
        <v>0</v>
      </c>
    </row>
    <row r="22" spans="1:13">
      <c r="A22" s="1293" t="s">
        <v>991</v>
      </c>
      <c r="B22" s="1287" t="str">
        <f t="shared" si="0"/>
        <v>SAMPLE STATE COLLEGE</v>
      </c>
      <c r="C22" s="1294" t="s">
        <v>991</v>
      </c>
      <c r="D22" s="1289">
        <f>VLOOKUP($A22,'Accounts by GL'!$C$6:$O$528,2,FALSE)</f>
        <v>0</v>
      </c>
      <c r="E22" s="1289">
        <f>VLOOKUP($A22,'Accounts by GL'!$C$6:$O$528,3,FALSE)</f>
        <v>0</v>
      </c>
      <c r="F22" s="1289">
        <f>VLOOKUP($A22,'Accounts by GL'!$C$6:$O$528,4,FALSE)</f>
        <v>0</v>
      </c>
      <c r="G22" s="1289">
        <f>VLOOKUP($A22,'Accounts by GL'!$C$6:$O$528,5,FALSE)</f>
        <v>0</v>
      </c>
      <c r="H22" s="1289">
        <f>VLOOKUP($A22,'Accounts by GL'!$C$6:$O$528,6,FALSE)</f>
        <v>0</v>
      </c>
      <c r="I22" s="1289">
        <f>VLOOKUP($A22,'Accounts by GL'!$C$6:$O$528,7,FALSE)</f>
        <v>0</v>
      </c>
      <c r="J22" s="1289">
        <f>VLOOKUP($A22,'Accounts by GL'!$C$6:$O$528,8,FALSE)</f>
        <v>0</v>
      </c>
      <c r="K22" s="1289">
        <f>VLOOKUP($A22,'Accounts by GL'!$C$6:$O$528,9,FALSE)</f>
        <v>0</v>
      </c>
      <c r="L22" s="1289">
        <f>VLOOKUP($A22,'Accounts by GL'!$C$6:$O$528,10,FALSE)</f>
        <v>0</v>
      </c>
      <c r="M22" s="1289">
        <f>VLOOKUP($A22,'Accounts by GL'!$C$6:$O$528,12,FALSE)</f>
        <v>0</v>
      </c>
    </row>
    <row r="23" spans="1:13">
      <c r="A23" s="1293" t="s">
        <v>994</v>
      </c>
      <c r="B23" s="1287" t="str">
        <f t="shared" si="0"/>
        <v>SAMPLE STATE COLLEGE</v>
      </c>
      <c r="C23" s="1294" t="s">
        <v>994</v>
      </c>
      <c r="D23" s="1289">
        <f>VLOOKUP($A23,'Accounts by GL'!$C$6:$O$528,2,FALSE)</f>
        <v>0</v>
      </c>
      <c r="E23" s="1289">
        <f>VLOOKUP($A23,'Accounts by GL'!$C$6:$O$528,3,FALSE)</f>
        <v>0</v>
      </c>
      <c r="F23" s="1289">
        <f>VLOOKUP($A23,'Accounts by GL'!$C$6:$O$528,4,FALSE)</f>
        <v>0</v>
      </c>
      <c r="G23" s="1289">
        <f>VLOOKUP($A23,'Accounts by GL'!$C$6:$O$528,5,FALSE)</f>
        <v>0</v>
      </c>
      <c r="H23" s="1289">
        <f>VLOOKUP($A23,'Accounts by GL'!$C$6:$O$528,6,FALSE)</f>
        <v>0</v>
      </c>
      <c r="I23" s="1289">
        <f>VLOOKUP($A23,'Accounts by GL'!$C$6:$O$528,7,FALSE)</f>
        <v>0</v>
      </c>
      <c r="J23" s="1289">
        <f>VLOOKUP($A23,'Accounts by GL'!$C$6:$O$528,8,FALSE)</f>
        <v>0</v>
      </c>
      <c r="K23" s="1289">
        <f>VLOOKUP($A23,'Accounts by GL'!$C$6:$O$528,9,FALSE)</f>
        <v>0</v>
      </c>
      <c r="L23" s="1289">
        <f>VLOOKUP($A23,'Accounts by GL'!$C$6:$O$528,10,FALSE)</f>
        <v>0</v>
      </c>
      <c r="M23" s="1289">
        <f>VLOOKUP($A23,'Accounts by GL'!$C$6:$O$528,12,FALSE)</f>
        <v>0</v>
      </c>
    </row>
    <row r="24" spans="1:13">
      <c r="A24" s="1293" t="s">
        <v>997</v>
      </c>
      <c r="B24" s="1287" t="str">
        <f t="shared" si="0"/>
        <v>SAMPLE STATE COLLEGE</v>
      </c>
      <c r="C24" s="1294" t="s">
        <v>997</v>
      </c>
      <c r="D24" s="1289">
        <f>VLOOKUP($A24,'Accounts by GL'!$C$6:$O$528,2,FALSE)</f>
        <v>0</v>
      </c>
      <c r="E24" s="1289">
        <f>VLOOKUP($A24,'Accounts by GL'!$C$6:$O$528,3,FALSE)</f>
        <v>0</v>
      </c>
      <c r="F24" s="1289">
        <f>VLOOKUP($A24,'Accounts by GL'!$C$6:$O$528,4,FALSE)</f>
        <v>0</v>
      </c>
      <c r="G24" s="1289">
        <f>VLOOKUP($A24,'Accounts by GL'!$C$6:$O$528,5,FALSE)</f>
        <v>0</v>
      </c>
      <c r="H24" s="1289">
        <f>VLOOKUP($A24,'Accounts by GL'!$C$6:$O$528,6,FALSE)</f>
        <v>0</v>
      </c>
      <c r="I24" s="1289">
        <f>VLOOKUP($A24,'Accounts by GL'!$C$6:$O$528,7,FALSE)</f>
        <v>0</v>
      </c>
      <c r="J24" s="1289">
        <f>VLOOKUP($A24,'Accounts by GL'!$C$6:$O$528,8,FALSE)</f>
        <v>0</v>
      </c>
      <c r="K24" s="1289">
        <f>VLOOKUP($A24,'Accounts by GL'!$C$6:$O$528,9,FALSE)</f>
        <v>0</v>
      </c>
      <c r="L24" s="1289">
        <f>VLOOKUP($A24,'Accounts by GL'!$C$6:$O$528,10,FALSE)</f>
        <v>0</v>
      </c>
      <c r="M24" s="1289">
        <f>VLOOKUP($A24,'Accounts by GL'!$C$6:$O$528,12,FALSE)</f>
        <v>0</v>
      </c>
    </row>
    <row r="25" spans="1:13">
      <c r="A25" s="1293" t="s">
        <v>488</v>
      </c>
      <c r="B25" s="1287" t="str">
        <f t="shared" si="0"/>
        <v>SAMPLE STATE COLLEGE</v>
      </c>
      <c r="C25" s="1294" t="s">
        <v>488</v>
      </c>
      <c r="D25" s="1289">
        <f>VLOOKUP($A25,'Accounts by GL'!$C$6:$O$528,2,FALSE)</f>
        <v>0</v>
      </c>
      <c r="E25" s="1289">
        <f>VLOOKUP($A25,'Accounts by GL'!$C$6:$O$528,3,FALSE)</f>
        <v>0</v>
      </c>
      <c r="F25" s="1289">
        <f>VLOOKUP($A25,'Accounts by GL'!$C$6:$O$528,4,FALSE)</f>
        <v>0</v>
      </c>
      <c r="G25" s="1289">
        <f>VLOOKUP($A25,'Accounts by GL'!$C$6:$O$528,5,FALSE)</f>
        <v>0</v>
      </c>
      <c r="H25" s="1289">
        <f>VLOOKUP($A25,'Accounts by GL'!$C$6:$O$528,6,FALSE)</f>
        <v>0</v>
      </c>
      <c r="I25" s="1289">
        <f>VLOOKUP($A25,'Accounts by GL'!$C$6:$O$528,7,FALSE)</f>
        <v>0</v>
      </c>
      <c r="J25" s="1289">
        <f>VLOOKUP($A25,'Accounts by GL'!$C$6:$O$528,8,FALSE)</f>
        <v>0</v>
      </c>
      <c r="K25" s="1289">
        <f>VLOOKUP($A25,'Accounts by GL'!$C$6:$O$528,9,FALSE)</f>
        <v>0</v>
      </c>
      <c r="L25" s="1289">
        <f>VLOOKUP($A25,'Accounts by GL'!$C$6:$O$528,10,FALSE)</f>
        <v>0</v>
      </c>
      <c r="M25" s="1289">
        <f>VLOOKUP($A25,'Accounts by GL'!$C$6:$O$528,12,FALSE)</f>
        <v>0</v>
      </c>
    </row>
    <row r="26" spans="1:13">
      <c r="A26" s="1293" t="s">
        <v>1003</v>
      </c>
      <c r="B26" s="1287" t="str">
        <f t="shared" si="0"/>
        <v>SAMPLE STATE COLLEGE</v>
      </c>
      <c r="C26" s="1294" t="s">
        <v>1003</v>
      </c>
      <c r="D26" s="1289">
        <f>VLOOKUP($A26,'Accounts by GL'!$C$6:$O$528,2,FALSE)</f>
        <v>0</v>
      </c>
      <c r="E26" s="1289">
        <f>VLOOKUP($A26,'Accounts by GL'!$C$6:$O$528,3,FALSE)</f>
        <v>0</v>
      </c>
      <c r="F26" s="1289">
        <f>VLOOKUP($A26,'Accounts by GL'!$C$6:$O$528,4,FALSE)</f>
        <v>0</v>
      </c>
      <c r="G26" s="1289">
        <f>VLOOKUP($A26,'Accounts by GL'!$C$6:$O$528,5,FALSE)</f>
        <v>0</v>
      </c>
      <c r="H26" s="1289">
        <f>VLOOKUP($A26,'Accounts by GL'!$C$6:$O$528,6,FALSE)</f>
        <v>0</v>
      </c>
      <c r="I26" s="1289">
        <f>VLOOKUP($A26,'Accounts by GL'!$C$6:$O$528,7,FALSE)</f>
        <v>0</v>
      </c>
      <c r="J26" s="1289">
        <f>VLOOKUP($A26,'Accounts by GL'!$C$6:$O$528,8,FALSE)</f>
        <v>0</v>
      </c>
      <c r="K26" s="1289">
        <f>VLOOKUP($A26,'Accounts by GL'!$C$6:$O$528,9,FALSE)</f>
        <v>0</v>
      </c>
      <c r="L26" s="1289">
        <f>VLOOKUP($A26,'Accounts by GL'!$C$6:$O$528,10,FALSE)</f>
        <v>0</v>
      </c>
      <c r="M26" s="1289">
        <f>VLOOKUP($A26,'Accounts by GL'!$C$6:$O$528,12,FALSE)</f>
        <v>0</v>
      </c>
    </row>
    <row r="27" spans="1:13">
      <c r="A27" s="1293" t="s">
        <v>1006</v>
      </c>
      <c r="B27" s="1287" t="str">
        <f t="shared" si="0"/>
        <v>SAMPLE STATE COLLEGE</v>
      </c>
      <c r="C27" s="1294" t="s">
        <v>1006</v>
      </c>
      <c r="D27" s="1289">
        <f>VLOOKUP($A27,'Accounts by GL'!$C$6:$O$528,2,FALSE)</f>
        <v>0</v>
      </c>
      <c r="E27" s="1289">
        <f>VLOOKUP($A27,'Accounts by GL'!$C$6:$O$528,3,FALSE)</f>
        <v>0</v>
      </c>
      <c r="F27" s="1289">
        <f>VLOOKUP($A27,'Accounts by GL'!$C$6:$O$528,4,FALSE)</f>
        <v>0</v>
      </c>
      <c r="G27" s="1289">
        <f>VLOOKUP($A27,'Accounts by GL'!$C$6:$O$528,5,FALSE)</f>
        <v>0</v>
      </c>
      <c r="H27" s="1289">
        <f>VLOOKUP($A27,'Accounts by GL'!$C$6:$O$528,6,FALSE)</f>
        <v>0</v>
      </c>
      <c r="I27" s="1289">
        <f>VLOOKUP($A27,'Accounts by GL'!$C$6:$O$528,7,FALSE)</f>
        <v>0</v>
      </c>
      <c r="J27" s="1289">
        <f>VLOOKUP($A27,'Accounts by GL'!$C$6:$O$528,8,FALSE)</f>
        <v>0</v>
      </c>
      <c r="K27" s="1289">
        <f>VLOOKUP($A27,'Accounts by GL'!$C$6:$O$528,9,FALSE)</f>
        <v>0</v>
      </c>
      <c r="L27" s="1289">
        <f>VLOOKUP($A27,'Accounts by GL'!$C$6:$O$528,10,FALSE)</f>
        <v>0</v>
      </c>
      <c r="M27" s="1289">
        <f>VLOOKUP($A27,'Accounts by GL'!$C$6:$O$528,12,FALSE)</f>
        <v>0</v>
      </c>
    </row>
    <row r="28" spans="1:13">
      <c r="A28" s="1293" t="s">
        <v>1010</v>
      </c>
      <c r="B28" s="1287" t="str">
        <f t="shared" si="0"/>
        <v>SAMPLE STATE COLLEGE</v>
      </c>
      <c r="C28" s="1294" t="s">
        <v>1010</v>
      </c>
      <c r="D28" s="1289">
        <f>VLOOKUP($A28,'Accounts by GL'!$C$6:$O$528,2,FALSE)</f>
        <v>0</v>
      </c>
      <c r="E28" s="1289">
        <f>VLOOKUP($A28,'Accounts by GL'!$C$6:$O$528,3,FALSE)</f>
        <v>0</v>
      </c>
      <c r="F28" s="1289">
        <f>VLOOKUP($A28,'Accounts by GL'!$C$6:$O$528,4,FALSE)</f>
        <v>0</v>
      </c>
      <c r="G28" s="1289">
        <f>VLOOKUP($A28,'Accounts by GL'!$C$6:$O$528,5,FALSE)</f>
        <v>0</v>
      </c>
      <c r="H28" s="1289">
        <f>VLOOKUP($A28,'Accounts by GL'!$C$6:$O$528,6,FALSE)</f>
        <v>0</v>
      </c>
      <c r="I28" s="1289">
        <f>VLOOKUP($A28,'Accounts by GL'!$C$6:$O$528,7,FALSE)</f>
        <v>0</v>
      </c>
      <c r="J28" s="1289">
        <f>VLOOKUP($A28,'Accounts by GL'!$C$6:$O$528,8,FALSE)</f>
        <v>0</v>
      </c>
      <c r="K28" s="1289">
        <f>VLOOKUP($A28,'Accounts by GL'!$C$6:$O$528,9,FALSE)</f>
        <v>0</v>
      </c>
      <c r="L28" s="1289">
        <f>VLOOKUP($A28,'Accounts by GL'!$C$6:$O$528,10,FALSE)</f>
        <v>0</v>
      </c>
      <c r="M28" s="1289">
        <f>VLOOKUP($A28,'Accounts by GL'!$C$6:$O$528,12,FALSE)</f>
        <v>0</v>
      </c>
    </row>
    <row r="29" spans="1:13">
      <c r="A29" s="1293" t="s">
        <v>1012</v>
      </c>
      <c r="B29" s="1287" t="str">
        <f t="shared" si="0"/>
        <v>SAMPLE STATE COLLEGE</v>
      </c>
      <c r="C29" s="1294" t="s">
        <v>1012</v>
      </c>
      <c r="D29" s="1289">
        <f>VLOOKUP($A29,'Accounts by GL'!$C$6:$O$528,2,FALSE)</f>
        <v>0</v>
      </c>
      <c r="E29" s="1289">
        <f>VLOOKUP($A29,'Accounts by GL'!$C$6:$O$528,3,FALSE)</f>
        <v>0</v>
      </c>
      <c r="F29" s="1289">
        <f>VLOOKUP($A29,'Accounts by GL'!$C$6:$O$528,4,FALSE)</f>
        <v>0</v>
      </c>
      <c r="G29" s="1289">
        <f>VLOOKUP($A29,'Accounts by GL'!$C$6:$O$528,5,FALSE)</f>
        <v>0</v>
      </c>
      <c r="H29" s="1289">
        <f>VLOOKUP($A29,'Accounts by GL'!$C$6:$O$528,6,FALSE)</f>
        <v>0</v>
      </c>
      <c r="I29" s="1289">
        <f>VLOOKUP($A29,'Accounts by GL'!$C$6:$O$528,7,FALSE)</f>
        <v>0</v>
      </c>
      <c r="J29" s="1289">
        <f>VLOOKUP($A29,'Accounts by GL'!$C$6:$O$528,8,FALSE)</f>
        <v>0</v>
      </c>
      <c r="K29" s="1289">
        <f>VLOOKUP($A29,'Accounts by GL'!$C$6:$O$528,9,FALSE)</f>
        <v>0</v>
      </c>
      <c r="L29" s="1289">
        <f>VLOOKUP($A29,'Accounts by GL'!$C$6:$O$528,10,FALSE)</f>
        <v>0</v>
      </c>
      <c r="M29" s="1289">
        <f>VLOOKUP($A29,'Accounts by GL'!$C$6:$O$528,12,FALSE)</f>
        <v>0</v>
      </c>
    </row>
    <row r="30" spans="1:13">
      <c r="A30" s="1293" t="s">
        <v>1015</v>
      </c>
      <c r="B30" s="1287" t="str">
        <f t="shared" si="0"/>
        <v>SAMPLE STATE COLLEGE</v>
      </c>
      <c r="C30" s="1294" t="s">
        <v>1015</v>
      </c>
      <c r="D30" s="1289">
        <f>VLOOKUP($A30,'Accounts by GL'!$C$6:$O$528,2,FALSE)</f>
        <v>0</v>
      </c>
      <c r="E30" s="1289">
        <f>VLOOKUP($A30,'Accounts by GL'!$C$6:$O$528,3,FALSE)</f>
        <v>0</v>
      </c>
      <c r="F30" s="1289">
        <f>VLOOKUP($A30,'Accounts by GL'!$C$6:$O$528,4,FALSE)</f>
        <v>0</v>
      </c>
      <c r="G30" s="1289">
        <f>VLOOKUP($A30,'Accounts by GL'!$C$6:$O$528,5,FALSE)</f>
        <v>0</v>
      </c>
      <c r="H30" s="1289">
        <f>VLOOKUP($A30,'Accounts by GL'!$C$6:$O$528,6,FALSE)</f>
        <v>0</v>
      </c>
      <c r="I30" s="1289">
        <f>VLOOKUP($A30,'Accounts by GL'!$C$6:$O$528,7,FALSE)</f>
        <v>0</v>
      </c>
      <c r="J30" s="1289">
        <f>VLOOKUP($A30,'Accounts by GL'!$C$6:$O$528,8,FALSE)</f>
        <v>0</v>
      </c>
      <c r="K30" s="1289">
        <f>VLOOKUP($A30,'Accounts by GL'!$C$6:$O$528,9,FALSE)</f>
        <v>0</v>
      </c>
      <c r="L30" s="1289">
        <f>VLOOKUP($A30,'Accounts by GL'!$C$6:$O$528,10,FALSE)</f>
        <v>0</v>
      </c>
      <c r="M30" s="1289">
        <f>VLOOKUP($A30,'Accounts by GL'!$C$6:$O$528,12,FALSE)</f>
        <v>0</v>
      </c>
    </row>
    <row r="31" spans="1:13">
      <c r="A31" s="1293" t="s">
        <v>1019</v>
      </c>
      <c r="B31" s="1287" t="str">
        <f t="shared" si="0"/>
        <v>SAMPLE STATE COLLEGE</v>
      </c>
      <c r="C31" s="1294" t="s">
        <v>1019</v>
      </c>
      <c r="D31" s="1289">
        <f>VLOOKUP($A31,'Accounts by GL'!$C$6:$O$528,2,FALSE)</f>
        <v>0</v>
      </c>
      <c r="E31" s="1289">
        <f>VLOOKUP($A31,'Accounts by GL'!$C$6:$O$528,3,FALSE)</f>
        <v>0</v>
      </c>
      <c r="F31" s="1289">
        <f>VLOOKUP($A31,'Accounts by GL'!$C$6:$O$528,4,FALSE)</f>
        <v>0</v>
      </c>
      <c r="G31" s="1289">
        <f>VLOOKUP($A31,'Accounts by GL'!$C$6:$O$528,5,FALSE)</f>
        <v>0</v>
      </c>
      <c r="H31" s="1289">
        <f>VLOOKUP($A31,'Accounts by GL'!$C$6:$O$528,6,FALSE)</f>
        <v>0</v>
      </c>
      <c r="I31" s="1289">
        <f>VLOOKUP($A31,'Accounts by GL'!$C$6:$O$528,7,FALSE)</f>
        <v>0</v>
      </c>
      <c r="J31" s="1289">
        <f>VLOOKUP($A31,'Accounts by GL'!$C$6:$O$528,8,FALSE)</f>
        <v>0</v>
      </c>
      <c r="K31" s="1289">
        <f>VLOOKUP($A31,'Accounts by GL'!$C$6:$O$528,9,FALSE)</f>
        <v>0</v>
      </c>
      <c r="L31" s="1289">
        <f>VLOOKUP($A31,'Accounts by GL'!$C$6:$O$528,10,FALSE)</f>
        <v>0</v>
      </c>
      <c r="M31" s="1289">
        <f>VLOOKUP($A31,'Accounts by GL'!$C$6:$O$528,12,FALSE)</f>
        <v>0</v>
      </c>
    </row>
    <row r="32" spans="1:13">
      <c r="A32" s="1293" t="s">
        <v>1023</v>
      </c>
      <c r="B32" s="1287" t="str">
        <f t="shared" si="0"/>
        <v>SAMPLE STATE COLLEGE</v>
      </c>
      <c r="C32" s="1294" t="s">
        <v>1023</v>
      </c>
      <c r="D32" s="1289">
        <f>VLOOKUP($A32,'Accounts by GL'!$C$6:$O$528,2,FALSE)</f>
        <v>0</v>
      </c>
      <c r="E32" s="1289">
        <f>VLOOKUP($A32,'Accounts by GL'!$C$6:$O$528,3,FALSE)</f>
        <v>0</v>
      </c>
      <c r="F32" s="1289">
        <f>VLOOKUP($A32,'Accounts by GL'!$C$6:$O$528,4,FALSE)</f>
        <v>0</v>
      </c>
      <c r="G32" s="1289">
        <f>VLOOKUP($A32,'Accounts by GL'!$C$6:$O$528,5,FALSE)</f>
        <v>0</v>
      </c>
      <c r="H32" s="1289">
        <f>VLOOKUP($A32,'Accounts by GL'!$C$6:$O$528,6,FALSE)</f>
        <v>0</v>
      </c>
      <c r="I32" s="1289">
        <f>VLOOKUP($A32,'Accounts by GL'!$C$6:$O$528,7,FALSE)</f>
        <v>0</v>
      </c>
      <c r="J32" s="1289">
        <f>VLOOKUP($A32,'Accounts by GL'!$C$6:$O$528,8,FALSE)</f>
        <v>0</v>
      </c>
      <c r="K32" s="1289">
        <f>VLOOKUP($A32,'Accounts by GL'!$C$6:$O$528,9,FALSE)</f>
        <v>0</v>
      </c>
      <c r="L32" s="1289">
        <f>VLOOKUP($A32,'Accounts by GL'!$C$6:$O$528,10,FALSE)</f>
        <v>0</v>
      </c>
      <c r="M32" s="1289">
        <f>VLOOKUP($A32,'Accounts by GL'!$C$6:$O$528,12,FALSE)</f>
        <v>0</v>
      </c>
    </row>
    <row r="33" spans="1:13">
      <c r="A33" s="1293" t="s">
        <v>1027</v>
      </c>
      <c r="B33" s="1287" t="str">
        <f t="shared" si="0"/>
        <v>SAMPLE STATE COLLEGE</v>
      </c>
      <c r="C33" s="1294" t="s">
        <v>1027</v>
      </c>
      <c r="D33" s="1289">
        <f>VLOOKUP($A33,'Accounts by GL'!$C$6:$O$528,2,FALSE)</f>
        <v>0</v>
      </c>
      <c r="E33" s="1289">
        <f>VLOOKUP($A33,'Accounts by GL'!$C$6:$O$528,3,FALSE)</f>
        <v>0</v>
      </c>
      <c r="F33" s="1289">
        <f>VLOOKUP($A33,'Accounts by GL'!$C$6:$O$528,4,FALSE)</f>
        <v>0</v>
      </c>
      <c r="G33" s="1289">
        <f>VLOOKUP($A33,'Accounts by GL'!$C$6:$O$528,5,FALSE)</f>
        <v>0</v>
      </c>
      <c r="H33" s="1289">
        <f>VLOOKUP($A33,'Accounts by GL'!$C$6:$O$528,6,FALSE)</f>
        <v>0</v>
      </c>
      <c r="I33" s="1289">
        <f>VLOOKUP($A33,'Accounts by GL'!$C$6:$O$528,7,FALSE)</f>
        <v>0</v>
      </c>
      <c r="J33" s="1289">
        <f>VLOOKUP($A33,'Accounts by GL'!$C$6:$O$528,8,FALSE)</f>
        <v>0</v>
      </c>
      <c r="K33" s="1289">
        <f>VLOOKUP($A33,'Accounts by GL'!$C$6:$O$528,9,FALSE)</f>
        <v>0</v>
      </c>
      <c r="L33" s="1289">
        <f>VLOOKUP($A33,'Accounts by GL'!$C$6:$O$528,10,FALSE)</f>
        <v>0</v>
      </c>
      <c r="M33" s="1289">
        <f>VLOOKUP($A33,'Accounts by GL'!$C$6:$O$528,12,FALSE)</f>
        <v>0</v>
      </c>
    </row>
    <row r="34" spans="1:13">
      <c r="A34" s="1293" t="s">
        <v>1030</v>
      </c>
      <c r="B34" s="1287" t="str">
        <f t="shared" si="0"/>
        <v>SAMPLE STATE COLLEGE</v>
      </c>
      <c r="C34" s="1294" t="s">
        <v>1030</v>
      </c>
      <c r="D34" s="1289">
        <f>VLOOKUP($A34,'Accounts by GL'!$C$6:$O$528,2,FALSE)</f>
        <v>0</v>
      </c>
      <c r="E34" s="1289">
        <f>VLOOKUP($A34,'Accounts by GL'!$C$6:$O$528,3,FALSE)</f>
        <v>0</v>
      </c>
      <c r="F34" s="1289">
        <f>VLOOKUP($A34,'Accounts by GL'!$C$6:$O$528,4,FALSE)</f>
        <v>0</v>
      </c>
      <c r="G34" s="1289">
        <f>VLOOKUP($A34,'Accounts by GL'!$C$6:$O$528,5,FALSE)</f>
        <v>0</v>
      </c>
      <c r="H34" s="1289">
        <f>VLOOKUP($A34,'Accounts by GL'!$C$6:$O$528,6,FALSE)</f>
        <v>0</v>
      </c>
      <c r="I34" s="1289">
        <f>VLOOKUP($A34,'Accounts by GL'!$C$6:$O$528,7,FALSE)</f>
        <v>0</v>
      </c>
      <c r="J34" s="1289">
        <f>VLOOKUP($A34,'Accounts by GL'!$C$6:$O$528,8,FALSE)</f>
        <v>0</v>
      </c>
      <c r="K34" s="1289">
        <f>VLOOKUP($A34,'Accounts by GL'!$C$6:$O$528,9,FALSE)</f>
        <v>0</v>
      </c>
      <c r="L34" s="1289">
        <f>VLOOKUP($A34,'Accounts by GL'!$C$6:$O$528,10,FALSE)</f>
        <v>0</v>
      </c>
      <c r="M34" s="1289">
        <f>VLOOKUP($A34,'Accounts by GL'!$C$6:$O$528,12,FALSE)</f>
        <v>0</v>
      </c>
    </row>
    <row r="35" spans="1:13">
      <c r="A35" s="1293" t="s">
        <v>1034</v>
      </c>
      <c r="B35" s="1287" t="str">
        <f t="shared" si="0"/>
        <v>SAMPLE STATE COLLEGE</v>
      </c>
      <c r="C35" s="1294" t="s">
        <v>1034</v>
      </c>
      <c r="D35" s="1289">
        <f>VLOOKUP($A35,'Accounts by GL'!$C$6:$O$528,2,FALSE)</f>
        <v>0</v>
      </c>
      <c r="E35" s="1289">
        <f>VLOOKUP($A35,'Accounts by GL'!$C$6:$O$528,3,FALSE)</f>
        <v>0</v>
      </c>
      <c r="F35" s="1289">
        <f>VLOOKUP($A35,'Accounts by GL'!$C$6:$O$528,4,FALSE)</f>
        <v>0</v>
      </c>
      <c r="G35" s="1289">
        <f>VLOOKUP($A35,'Accounts by GL'!$C$6:$O$528,5,FALSE)</f>
        <v>0</v>
      </c>
      <c r="H35" s="1289">
        <f>VLOOKUP($A35,'Accounts by GL'!$C$6:$O$528,6,FALSE)</f>
        <v>0</v>
      </c>
      <c r="I35" s="1289">
        <f>VLOOKUP($A35,'Accounts by GL'!$C$6:$O$528,7,FALSE)</f>
        <v>0</v>
      </c>
      <c r="J35" s="1289">
        <f>VLOOKUP($A35,'Accounts by GL'!$C$6:$O$528,8,FALSE)</f>
        <v>0</v>
      </c>
      <c r="K35" s="1289">
        <f>VLOOKUP($A35,'Accounts by GL'!$C$6:$O$528,9,FALSE)</f>
        <v>0</v>
      </c>
      <c r="L35" s="1289">
        <f>VLOOKUP($A35,'Accounts by GL'!$C$6:$O$528,10,FALSE)</f>
        <v>0</v>
      </c>
      <c r="M35" s="1289">
        <f>VLOOKUP($A35,'Accounts by GL'!$C$6:$O$528,12,FALSE)</f>
        <v>0</v>
      </c>
    </row>
    <row r="36" spans="1:13">
      <c r="A36" s="1293" t="s">
        <v>1038</v>
      </c>
      <c r="B36" s="1287" t="str">
        <f t="shared" si="0"/>
        <v>SAMPLE STATE COLLEGE</v>
      </c>
      <c r="C36" s="1294" t="s">
        <v>1038</v>
      </c>
      <c r="D36" s="1289">
        <f>VLOOKUP($A36,'Accounts by GL'!$C$6:$O$528,2,FALSE)</f>
        <v>0</v>
      </c>
      <c r="E36" s="1289">
        <f>VLOOKUP($A36,'Accounts by GL'!$C$6:$O$528,3,FALSE)</f>
        <v>0</v>
      </c>
      <c r="F36" s="1289">
        <f>VLOOKUP($A36,'Accounts by GL'!$C$6:$O$528,4,FALSE)</f>
        <v>0</v>
      </c>
      <c r="G36" s="1289">
        <f>VLOOKUP($A36,'Accounts by GL'!$C$6:$O$528,5,FALSE)</f>
        <v>0</v>
      </c>
      <c r="H36" s="1289">
        <f>VLOOKUP($A36,'Accounts by GL'!$C$6:$O$528,6,FALSE)</f>
        <v>0</v>
      </c>
      <c r="I36" s="1289">
        <f>VLOOKUP($A36,'Accounts by GL'!$C$6:$O$528,7,FALSE)</f>
        <v>0</v>
      </c>
      <c r="J36" s="1289">
        <f>VLOOKUP($A36,'Accounts by GL'!$C$6:$O$528,8,FALSE)</f>
        <v>0</v>
      </c>
      <c r="K36" s="1289">
        <f>VLOOKUP($A36,'Accounts by GL'!$C$6:$O$528,9,FALSE)</f>
        <v>0</v>
      </c>
      <c r="L36" s="1289">
        <f>VLOOKUP($A36,'Accounts by GL'!$C$6:$O$528,10,FALSE)</f>
        <v>0</v>
      </c>
      <c r="M36" s="1289">
        <f>VLOOKUP($A36,'Accounts by GL'!$C$6:$O$528,12,FALSE)</f>
        <v>0</v>
      </c>
    </row>
    <row r="37" spans="1:13">
      <c r="A37" s="1293" t="s">
        <v>1041</v>
      </c>
      <c r="B37" s="1287" t="str">
        <f t="shared" si="0"/>
        <v>SAMPLE STATE COLLEGE</v>
      </c>
      <c r="C37" s="1294" t="s">
        <v>1041</v>
      </c>
      <c r="D37" s="1289">
        <f>VLOOKUP($A37,'Accounts by GL'!$C$6:$O$528,2,FALSE)</f>
        <v>0</v>
      </c>
      <c r="E37" s="1289">
        <f>VLOOKUP($A37,'Accounts by GL'!$C$6:$O$528,3,FALSE)</f>
        <v>0</v>
      </c>
      <c r="F37" s="1289">
        <f>VLOOKUP($A37,'Accounts by GL'!$C$6:$O$528,4,FALSE)</f>
        <v>0</v>
      </c>
      <c r="G37" s="1289">
        <f>VLOOKUP($A37,'Accounts by GL'!$C$6:$O$528,5,FALSE)</f>
        <v>0</v>
      </c>
      <c r="H37" s="1289">
        <f>VLOOKUP($A37,'Accounts by GL'!$C$6:$O$528,6,FALSE)</f>
        <v>0</v>
      </c>
      <c r="I37" s="1289">
        <f>VLOOKUP($A37,'Accounts by GL'!$C$6:$O$528,7,FALSE)</f>
        <v>0</v>
      </c>
      <c r="J37" s="1289">
        <f>VLOOKUP($A37,'Accounts by GL'!$C$6:$O$528,8,FALSE)</f>
        <v>0</v>
      </c>
      <c r="K37" s="1289">
        <f>VLOOKUP($A37,'Accounts by GL'!$C$6:$O$528,9,FALSE)</f>
        <v>0</v>
      </c>
      <c r="L37" s="1289">
        <f>VLOOKUP($A37,'Accounts by GL'!$C$6:$O$528,10,FALSE)</f>
        <v>0</v>
      </c>
      <c r="M37" s="1289">
        <f>VLOOKUP($A37,'Accounts by GL'!$C$6:$O$528,12,FALSE)</f>
        <v>0</v>
      </c>
    </row>
    <row r="38" spans="1:13">
      <c r="A38" s="1293" t="s">
        <v>1044</v>
      </c>
      <c r="B38" s="1287" t="str">
        <f t="shared" si="0"/>
        <v>SAMPLE STATE COLLEGE</v>
      </c>
      <c r="C38" s="1294" t="s">
        <v>1044</v>
      </c>
      <c r="D38" s="1289">
        <f>VLOOKUP($A38,'Accounts by GL'!$C$6:$O$528,2,FALSE)</f>
        <v>0</v>
      </c>
      <c r="E38" s="1289">
        <f>VLOOKUP($A38,'Accounts by GL'!$C$6:$O$528,3,FALSE)</f>
        <v>0</v>
      </c>
      <c r="F38" s="1289">
        <f>VLOOKUP($A38,'Accounts by GL'!$C$6:$O$528,4,FALSE)</f>
        <v>0</v>
      </c>
      <c r="G38" s="1289">
        <f>VLOOKUP($A38,'Accounts by GL'!$C$6:$O$528,5,FALSE)</f>
        <v>0</v>
      </c>
      <c r="H38" s="1289">
        <f>VLOOKUP($A38,'Accounts by GL'!$C$6:$O$528,6,FALSE)</f>
        <v>0</v>
      </c>
      <c r="I38" s="1289">
        <f>VLOOKUP($A38,'Accounts by GL'!$C$6:$O$528,7,FALSE)</f>
        <v>0</v>
      </c>
      <c r="J38" s="1289">
        <f>VLOOKUP($A38,'Accounts by GL'!$C$6:$O$528,8,FALSE)</f>
        <v>0</v>
      </c>
      <c r="K38" s="1289">
        <f>VLOOKUP($A38,'Accounts by GL'!$C$6:$O$528,9,FALSE)</f>
        <v>0</v>
      </c>
      <c r="L38" s="1289">
        <f>VLOOKUP($A38,'Accounts by GL'!$C$6:$O$528,10,FALSE)</f>
        <v>0</v>
      </c>
      <c r="M38" s="1289">
        <f>VLOOKUP($A38,'Accounts by GL'!$C$6:$O$528,12,FALSE)</f>
        <v>0</v>
      </c>
    </row>
    <row r="39" spans="1:13">
      <c r="A39" s="1293" t="s">
        <v>1047</v>
      </c>
      <c r="B39" s="1287" t="str">
        <f t="shared" si="0"/>
        <v>SAMPLE STATE COLLEGE</v>
      </c>
      <c r="C39" s="1294" t="s">
        <v>1047</v>
      </c>
      <c r="D39" s="1289">
        <f>VLOOKUP($A39,'Accounts by GL'!$C$6:$O$528,2,FALSE)</f>
        <v>0</v>
      </c>
      <c r="E39" s="1289">
        <f>VLOOKUP($A39,'Accounts by GL'!$C$6:$O$528,3,FALSE)</f>
        <v>0</v>
      </c>
      <c r="F39" s="1289">
        <f>VLOOKUP($A39,'Accounts by GL'!$C$6:$O$528,4,FALSE)</f>
        <v>0</v>
      </c>
      <c r="G39" s="1289">
        <f>VLOOKUP($A39,'Accounts by GL'!$C$6:$O$528,5,FALSE)</f>
        <v>0</v>
      </c>
      <c r="H39" s="1289">
        <f>VLOOKUP($A39,'Accounts by GL'!$C$6:$O$528,6,FALSE)</f>
        <v>0</v>
      </c>
      <c r="I39" s="1289">
        <f>VLOOKUP($A39,'Accounts by GL'!$C$6:$O$528,7,FALSE)</f>
        <v>0</v>
      </c>
      <c r="J39" s="1289">
        <f>VLOOKUP($A39,'Accounts by GL'!$C$6:$O$528,8,FALSE)</f>
        <v>0</v>
      </c>
      <c r="K39" s="1289">
        <f>VLOOKUP($A39,'Accounts by GL'!$C$6:$O$528,9,FALSE)</f>
        <v>0</v>
      </c>
      <c r="L39" s="1289">
        <f>VLOOKUP($A39,'Accounts by GL'!$C$6:$O$528,10,FALSE)</f>
        <v>0</v>
      </c>
      <c r="M39" s="1289">
        <f>VLOOKUP($A39,'Accounts by GL'!$C$6:$O$528,12,FALSE)</f>
        <v>0</v>
      </c>
    </row>
    <row r="40" spans="1:13">
      <c r="A40" s="1293" t="s">
        <v>1050</v>
      </c>
      <c r="B40" s="1287" t="str">
        <f t="shared" si="0"/>
        <v>SAMPLE STATE COLLEGE</v>
      </c>
      <c r="C40" s="1294" t="s">
        <v>1050</v>
      </c>
      <c r="D40" s="1289">
        <f>VLOOKUP($A40,'Accounts by GL'!$C$6:$O$528,2,FALSE)</f>
        <v>0</v>
      </c>
      <c r="E40" s="1289">
        <f>VLOOKUP($A40,'Accounts by GL'!$C$6:$O$528,3,FALSE)</f>
        <v>0</v>
      </c>
      <c r="F40" s="1289">
        <f>VLOOKUP($A40,'Accounts by GL'!$C$6:$O$528,4,FALSE)</f>
        <v>0</v>
      </c>
      <c r="G40" s="1289">
        <f>VLOOKUP($A40,'Accounts by GL'!$C$6:$O$528,5,FALSE)</f>
        <v>0</v>
      </c>
      <c r="H40" s="1289">
        <f>VLOOKUP($A40,'Accounts by GL'!$C$6:$O$528,6,FALSE)</f>
        <v>0</v>
      </c>
      <c r="I40" s="1289">
        <f>VLOOKUP($A40,'Accounts by GL'!$C$6:$O$528,7,FALSE)</f>
        <v>0</v>
      </c>
      <c r="J40" s="1289">
        <f>VLOOKUP($A40,'Accounts by GL'!$C$6:$O$528,8,FALSE)</f>
        <v>0</v>
      </c>
      <c r="K40" s="1289">
        <f>VLOOKUP($A40,'Accounts by GL'!$C$6:$O$528,9,FALSE)</f>
        <v>0</v>
      </c>
      <c r="L40" s="1289">
        <f>VLOOKUP($A40,'Accounts by GL'!$C$6:$O$528,10,FALSE)</f>
        <v>0</v>
      </c>
      <c r="M40" s="1289">
        <f>VLOOKUP($A40,'Accounts by GL'!$C$6:$O$528,12,FALSE)</f>
        <v>0</v>
      </c>
    </row>
    <row r="41" spans="1:13">
      <c r="A41" s="1293" t="s">
        <v>1053</v>
      </c>
      <c r="B41" s="1287" t="str">
        <f t="shared" si="0"/>
        <v>SAMPLE STATE COLLEGE</v>
      </c>
      <c r="C41" s="1294" t="s">
        <v>1053</v>
      </c>
      <c r="D41" s="1289">
        <f>VLOOKUP($A41,'Accounts by GL'!$C$6:$O$528,2,FALSE)</f>
        <v>0</v>
      </c>
      <c r="E41" s="1289">
        <f>VLOOKUP($A41,'Accounts by GL'!$C$6:$O$528,3,FALSE)</f>
        <v>0</v>
      </c>
      <c r="F41" s="1289">
        <f>VLOOKUP($A41,'Accounts by GL'!$C$6:$O$528,4,FALSE)</f>
        <v>0</v>
      </c>
      <c r="G41" s="1289">
        <f>VLOOKUP($A41,'Accounts by GL'!$C$6:$O$528,5,FALSE)</f>
        <v>0</v>
      </c>
      <c r="H41" s="1289">
        <f>VLOOKUP($A41,'Accounts by GL'!$C$6:$O$528,6,FALSE)</f>
        <v>0</v>
      </c>
      <c r="I41" s="1289">
        <f>VLOOKUP($A41,'Accounts by GL'!$C$6:$O$528,7,FALSE)</f>
        <v>0</v>
      </c>
      <c r="J41" s="1289">
        <f>VLOOKUP($A41,'Accounts by GL'!$C$6:$O$528,8,FALSE)</f>
        <v>0</v>
      </c>
      <c r="K41" s="1289">
        <f>VLOOKUP($A41,'Accounts by GL'!$C$6:$O$528,9,FALSE)</f>
        <v>0</v>
      </c>
      <c r="L41" s="1289">
        <f>VLOOKUP($A41,'Accounts by GL'!$C$6:$O$528,10,FALSE)</f>
        <v>0</v>
      </c>
      <c r="M41" s="1289">
        <f>VLOOKUP($A41,'Accounts by GL'!$C$6:$O$528,12,FALSE)</f>
        <v>0</v>
      </c>
    </row>
    <row r="42" spans="1:13">
      <c r="A42" s="1293" t="s">
        <v>1056</v>
      </c>
      <c r="B42" s="1287" t="str">
        <f t="shared" si="0"/>
        <v>SAMPLE STATE COLLEGE</v>
      </c>
      <c r="C42" s="1294" t="s">
        <v>1056</v>
      </c>
      <c r="D42" s="1289">
        <f>VLOOKUP($A42,'Accounts by GL'!$C$6:$O$528,2,FALSE)</f>
        <v>0</v>
      </c>
      <c r="E42" s="1289">
        <f>VLOOKUP($A42,'Accounts by GL'!$C$6:$O$528,3,FALSE)</f>
        <v>0</v>
      </c>
      <c r="F42" s="1289">
        <f>VLOOKUP($A42,'Accounts by GL'!$C$6:$O$528,4,FALSE)</f>
        <v>0</v>
      </c>
      <c r="G42" s="1289">
        <f>VLOOKUP($A42,'Accounts by GL'!$C$6:$O$528,5,FALSE)</f>
        <v>0</v>
      </c>
      <c r="H42" s="1289">
        <f>VLOOKUP($A42,'Accounts by GL'!$C$6:$O$528,6,FALSE)</f>
        <v>0</v>
      </c>
      <c r="I42" s="1289">
        <f>VLOOKUP($A42,'Accounts by GL'!$C$6:$O$528,7,FALSE)</f>
        <v>0</v>
      </c>
      <c r="J42" s="1289">
        <f>VLOOKUP($A42,'Accounts by GL'!$C$6:$O$528,8,FALSE)</f>
        <v>0</v>
      </c>
      <c r="K42" s="1289">
        <f>VLOOKUP($A42,'Accounts by GL'!$C$6:$O$528,9,FALSE)</f>
        <v>0</v>
      </c>
      <c r="L42" s="1289">
        <f>VLOOKUP($A42,'Accounts by GL'!$C$6:$O$528,10,FALSE)</f>
        <v>0</v>
      </c>
      <c r="M42" s="1289">
        <f>VLOOKUP($A42,'Accounts by GL'!$C$6:$O$528,12,FALSE)</f>
        <v>0</v>
      </c>
    </row>
    <row r="43" spans="1:13">
      <c r="A43" s="1293" t="s">
        <v>1059</v>
      </c>
      <c r="B43" s="1287" t="str">
        <f t="shared" si="0"/>
        <v>SAMPLE STATE COLLEGE</v>
      </c>
      <c r="C43" s="1294" t="s">
        <v>1059</v>
      </c>
      <c r="D43" s="1289">
        <f>VLOOKUP($A43,'Accounts by GL'!$C$6:$O$528,2,FALSE)</f>
        <v>0</v>
      </c>
      <c r="E43" s="1289">
        <f>VLOOKUP($A43,'Accounts by GL'!$C$6:$O$528,3,FALSE)</f>
        <v>0</v>
      </c>
      <c r="F43" s="1289">
        <f>VLOOKUP($A43,'Accounts by GL'!$C$6:$O$528,4,FALSE)</f>
        <v>0</v>
      </c>
      <c r="G43" s="1289">
        <f>VLOOKUP($A43,'Accounts by GL'!$C$6:$O$528,5,FALSE)</f>
        <v>0</v>
      </c>
      <c r="H43" s="1289">
        <f>VLOOKUP($A43,'Accounts by GL'!$C$6:$O$528,6,FALSE)</f>
        <v>0</v>
      </c>
      <c r="I43" s="1289">
        <f>VLOOKUP($A43,'Accounts by GL'!$C$6:$O$528,7,FALSE)</f>
        <v>0</v>
      </c>
      <c r="J43" s="1289">
        <f>VLOOKUP($A43,'Accounts by GL'!$C$6:$O$528,8,FALSE)</f>
        <v>0</v>
      </c>
      <c r="K43" s="1289">
        <f>VLOOKUP($A43,'Accounts by GL'!$C$6:$O$528,9,FALSE)</f>
        <v>0</v>
      </c>
      <c r="L43" s="1289">
        <f>VLOOKUP($A43,'Accounts by GL'!$C$6:$O$528,10,FALSE)</f>
        <v>0</v>
      </c>
      <c r="M43" s="1289">
        <f>VLOOKUP($A43,'Accounts by GL'!$C$6:$O$528,12,FALSE)</f>
        <v>0</v>
      </c>
    </row>
    <row r="44" spans="1:13">
      <c r="A44" s="1293" t="s">
        <v>1063</v>
      </c>
      <c r="B44" s="1287" t="str">
        <f t="shared" si="0"/>
        <v>SAMPLE STATE COLLEGE</v>
      </c>
      <c r="C44" s="1294" t="s">
        <v>1063</v>
      </c>
      <c r="D44" s="1289">
        <f>VLOOKUP($A44,'Accounts by GL'!$C$6:$O$528,2,FALSE)</f>
        <v>0</v>
      </c>
      <c r="E44" s="1289">
        <f>VLOOKUP($A44,'Accounts by GL'!$C$6:$O$528,3,FALSE)</f>
        <v>0</v>
      </c>
      <c r="F44" s="1289">
        <f>VLOOKUP($A44,'Accounts by GL'!$C$6:$O$528,4,FALSE)</f>
        <v>0</v>
      </c>
      <c r="G44" s="1289">
        <f>VLOOKUP($A44,'Accounts by GL'!$C$6:$O$528,5,FALSE)</f>
        <v>0</v>
      </c>
      <c r="H44" s="1289">
        <f>VLOOKUP($A44,'Accounts by GL'!$C$6:$O$528,6,FALSE)</f>
        <v>0</v>
      </c>
      <c r="I44" s="1289">
        <f>VLOOKUP($A44,'Accounts by GL'!$C$6:$O$528,7,FALSE)</f>
        <v>0</v>
      </c>
      <c r="J44" s="1289">
        <f>VLOOKUP($A44,'Accounts by GL'!$C$6:$O$528,8,FALSE)</f>
        <v>0</v>
      </c>
      <c r="K44" s="1289">
        <f>VLOOKUP($A44,'Accounts by GL'!$C$6:$O$528,9,FALSE)</f>
        <v>0</v>
      </c>
      <c r="L44" s="1289">
        <f>VLOOKUP($A44,'Accounts by GL'!$C$6:$O$528,10,FALSE)</f>
        <v>0</v>
      </c>
      <c r="M44" s="1289">
        <f>VLOOKUP($A44,'Accounts by GL'!$C$6:$O$528,12,FALSE)</f>
        <v>0</v>
      </c>
    </row>
    <row r="45" spans="1:13">
      <c r="A45" s="1293" t="s">
        <v>1064</v>
      </c>
      <c r="B45" s="1287" t="str">
        <f t="shared" si="0"/>
        <v>SAMPLE STATE COLLEGE</v>
      </c>
      <c r="C45" s="1294" t="s">
        <v>1064</v>
      </c>
      <c r="D45" s="1289">
        <f>VLOOKUP($A45,'Accounts by GL'!$C$6:$O$528,2,FALSE)</f>
        <v>0</v>
      </c>
      <c r="E45" s="1289">
        <f>VLOOKUP($A45,'Accounts by GL'!$C$6:$O$528,3,FALSE)</f>
        <v>0</v>
      </c>
      <c r="F45" s="1289">
        <f>VLOOKUP($A45,'Accounts by GL'!$C$6:$O$528,4,FALSE)</f>
        <v>0</v>
      </c>
      <c r="G45" s="1289">
        <f>VLOOKUP($A45,'Accounts by GL'!$C$6:$O$528,5,FALSE)</f>
        <v>0</v>
      </c>
      <c r="H45" s="1289">
        <f>VLOOKUP($A45,'Accounts by GL'!$C$6:$O$528,6,FALSE)</f>
        <v>0</v>
      </c>
      <c r="I45" s="1289">
        <f>VLOOKUP($A45,'Accounts by GL'!$C$6:$O$528,7,FALSE)</f>
        <v>0</v>
      </c>
      <c r="J45" s="1289">
        <f>VLOOKUP($A45,'Accounts by GL'!$C$6:$O$528,8,FALSE)</f>
        <v>0</v>
      </c>
      <c r="K45" s="1289">
        <f>VLOOKUP($A45,'Accounts by GL'!$C$6:$O$528,9,FALSE)</f>
        <v>0</v>
      </c>
      <c r="L45" s="1289">
        <f>VLOOKUP($A45,'Accounts by GL'!$C$6:$O$528,10,FALSE)</f>
        <v>0</v>
      </c>
      <c r="M45" s="1289">
        <f>VLOOKUP($A45,'Accounts by GL'!$C$6:$O$528,12,FALSE)</f>
        <v>0</v>
      </c>
    </row>
    <row r="46" spans="1:13">
      <c r="A46" s="1293" t="s">
        <v>1066</v>
      </c>
      <c r="B46" s="1287" t="str">
        <f t="shared" si="0"/>
        <v>SAMPLE STATE COLLEGE</v>
      </c>
      <c r="C46" s="1294" t="s">
        <v>1066</v>
      </c>
      <c r="D46" s="1289">
        <f>VLOOKUP($A46,'Accounts by GL'!$C$6:$O$528,2,FALSE)</f>
        <v>0</v>
      </c>
      <c r="E46" s="1289">
        <f>VLOOKUP($A46,'Accounts by GL'!$C$6:$O$528,3,FALSE)</f>
        <v>0</v>
      </c>
      <c r="F46" s="1289">
        <f>VLOOKUP($A46,'Accounts by GL'!$C$6:$O$528,4,FALSE)</f>
        <v>0</v>
      </c>
      <c r="G46" s="1289">
        <f>VLOOKUP($A46,'Accounts by GL'!$C$6:$O$528,5,FALSE)</f>
        <v>0</v>
      </c>
      <c r="H46" s="1289">
        <f>VLOOKUP($A46,'Accounts by GL'!$C$6:$O$528,6,FALSE)</f>
        <v>0</v>
      </c>
      <c r="I46" s="1289">
        <f>VLOOKUP($A46,'Accounts by GL'!$C$6:$O$528,7,FALSE)</f>
        <v>0</v>
      </c>
      <c r="J46" s="1289">
        <f>VLOOKUP($A46,'Accounts by GL'!$C$6:$O$528,8,FALSE)</f>
        <v>0</v>
      </c>
      <c r="K46" s="1289">
        <f>VLOOKUP($A46,'Accounts by GL'!$C$6:$O$528,9,FALSE)</f>
        <v>0</v>
      </c>
      <c r="L46" s="1289">
        <f>VLOOKUP($A46,'Accounts by GL'!$C$6:$O$528,10,FALSE)</f>
        <v>0</v>
      </c>
      <c r="M46" s="1289">
        <f>VLOOKUP($A46,'Accounts by GL'!$C$6:$O$528,12,FALSE)</f>
        <v>0</v>
      </c>
    </row>
    <row r="47" spans="1:13">
      <c r="A47" s="1293" t="s">
        <v>211</v>
      </c>
      <c r="B47" s="1287" t="str">
        <f t="shared" si="0"/>
        <v>SAMPLE STATE COLLEGE</v>
      </c>
      <c r="C47" s="1294" t="s">
        <v>211</v>
      </c>
      <c r="D47" s="1289">
        <f>VLOOKUP($A47,'Accounts by GL'!$C$6:$O$528,2,FALSE)</f>
        <v>0</v>
      </c>
      <c r="E47" s="1289">
        <f>VLOOKUP($A47,'Accounts by GL'!$C$6:$O$528,3,FALSE)</f>
        <v>0</v>
      </c>
      <c r="F47" s="1289">
        <f>VLOOKUP($A47,'Accounts by GL'!$C$6:$O$528,4,FALSE)</f>
        <v>0</v>
      </c>
      <c r="G47" s="1289">
        <f>VLOOKUP($A47,'Accounts by GL'!$C$6:$O$528,5,FALSE)</f>
        <v>0</v>
      </c>
      <c r="H47" s="1289">
        <f>VLOOKUP($A47,'Accounts by GL'!$C$6:$O$528,6,FALSE)</f>
        <v>0</v>
      </c>
      <c r="I47" s="1289">
        <f>VLOOKUP($A47,'Accounts by GL'!$C$6:$O$528,7,FALSE)</f>
        <v>0</v>
      </c>
      <c r="J47" s="1289">
        <f>VLOOKUP($A47,'Accounts by GL'!$C$6:$O$528,8,FALSE)</f>
        <v>0</v>
      </c>
      <c r="K47" s="1289">
        <f>VLOOKUP($A47,'Accounts by GL'!$C$6:$O$528,9,FALSE)</f>
        <v>0</v>
      </c>
      <c r="L47" s="1289">
        <f>VLOOKUP($A47,'Accounts by GL'!$C$6:$O$528,10,FALSE)</f>
        <v>0</v>
      </c>
      <c r="M47" s="1289">
        <f>VLOOKUP($A47,'Accounts by GL'!$C$6:$O$528,12,FALSE)</f>
        <v>0</v>
      </c>
    </row>
    <row r="48" spans="1:13">
      <c r="A48" s="1293" t="s">
        <v>215</v>
      </c>
      <c r="B48" s="1287" t="str">
        <f t="shared" si="0"/>
        <v>SAMPLE STATE COLLEGE</v>
      </c>
      <c r="C48" s="1294" t="s">
        <v>215</v>
      </c>
      <c r="D48" s="1289">
        <f>VLOOKUP($A48,'Accounts by GL'!$C$6:$O$528,2,FALSE)</f>
        <v>0</v>
      </c>
      <c r="E48" s="1289">
        <f>VLOOKUP($A48,'Accounts by GL'!$C$6:$O$528,3,FALSE)</f>
        <v>0</v>
      </c>
      <c r="F48" s="1289">
        <f>VLOOKUP($A48,'Accounts by GL'!$C$6:$O$528,4,FALSE)</f>
        <v>0</v>
      </c>
      <c r="G48" s="1289">
        <f>VLOOKUP($A48,'Accounts by GL'!$C$6:$O$528,5,FALSE)</f>
        <v>0</v>
      </c>
      <c r="H48" s="1289">
        <f>VLOOKUP($A48,'Accounts by GL'!$C$6:$O$528,6,FALSE)</f>
        <v>0</v>
      </c>
      <c r="I48" s="1289">
        <f>VLOOKUP($A48,'Accounts by GL'!$C$6:$O$528,7,FALSE)</f>
        <v>0</v>
      </c>
      <c r="J48" s="1289">
        <f>VLOOKUP($A48,'Accounts by GL'!$C$6:$O$528,8,FALSE)</f>
        <v>0</v>
      </c>
      <c r="K48" s="1289">
        <f>VLOOKUP($A48,'Accounts by GL'!$C$6:$O$528,9,FALSE)</f>
        <v>0</v>
      </c>
      <c r="L48" s="1289">
        <f>VLOOKUP($A48,'Accounts by GL'!$C$6:$O$528,10,FALSE)</f>
        <v>0</v>
      </c>
      <c r="M48" s="1289">
        <f>VLOOKUP($A48,'Accounts by GL'!$C$6:$O$528,12,FALSE)</f>
        <v>0</v>
      </c>
    </row>
    <row r="49" spans="1:13">
      <c r="A49" s="1293" t="s">
        <v>1072</v>
      </c>
      <c r="B49" s="1287" t="str">
        <f t="shared" si="0"/>
        <v>SAMPLE STATE COLLEGE</v>
      </c>
      <c r="C49" s="1294" t="s">
        <v>1072</v>
      </c>
      <c r="D49" s="1289">
        <f>VLOOKUP($A49,'Accounts by GL'!$C$6:$O$528,2,FALSE)</f>
        <v>0</v>
      </c>
      <c r="E49" s="1289">
        <f>VLOOKUP($A49,'Accounts by GL'!$C$6:$O$528,3,FALSE)</f>
        <v>0</v>
      </c>
      <c r="F49" s="1289">
        <f>VLOOKUP($A49,'Accounts by GL'!$C$6:$O$528,4,FALSE)</f>
        <v>0</v>
      </c>
      <c r="G49" s="1289">
        <f>VLOOKUP($A49,'Accounts by GL'!$C$6:$O$528,5,FALSE)</f>
        <v>0</v>
      </c>
      <c r="H49" s="1289">
        <f>VLOOKUP($A49,'Accounts by GL'!$C$6:$O$528,6,FALSE)</f>
        <v>0</v>
      </c>
      <c r="I49" s="1289">
        <f>VLOOKUP($A49,'Accounts by GL'!$C$6:$O$528,7,FALSE)</f>
        <v>0</v>
      </c>
      <c r="J49" s="1289">
        <f>VLOOKUP($A49,'Accounts by GL'!$C$6:$O$528,8,FALSE)</f>
        <v>0</v>
      </c>
      <c r="K49" s="1289">
        <f>VLOOKUP($A49,'Accounts by GL'!$C$6:$O$528,9,FALSE)</f>
        <v>0</v>
      </c>
      <c r="L49" s="1289">
        <f>VLOOKUP($A49,'Accounts by GL'!$C$6:$O$528,10,FALSE)</f>
        <v>0</v>
      </c>
      <c r="M49" s="1289">
        <f>VLOOKUP($A49,'Accounts by GL'!$C$6:$O$528,12,FALSE)</f>
        <v>0</v>
      </c>
    </row>
    <row r="50" spans="1:13">
      <c r="A50" s="1293" t="s">
        <v>1075</v>
      </c>
      <c r="B50" s="1287" t="str">
        <f t="shared" si="0"/>
        <v>SAMPLE STATE COLLEGE</v>
      </c>
      <c r="C50" s="1294" t="s">
        <v>1075</v>
      </c>
      <c r="D50" s="1289">
        <f>VLOOKUP($A50,'Accounts by GL'!$C$6:$O$528,2,FALSE)</f>
        <v>0</v>
      </c>
      <c r="E50" s="1289">
        <f>VLOOKUP($A50,'Accounts by GL'!$C$6:$O$528,3,FALSE)</f>
        <v>0</v>
      </c>
      <c r="F50" s="1289">
        <f>VLOOKUP($A50,'Accounts by GL'!$C$6:$O$528,4,FALSE)</f>
        <v>0</v>
      </c>
      <c r="G50" s="1289">
        <f>VLOOKUP($A50,'Accounts by GL'!$C$6:$O$528,5,FALSE)</f>
        <v>0</v>
      </c>
      <c r="H50" s="1289">
        <f>VLOOKUP($A50,'Accounts by GL'!$C$6:$O$528,6,FALSE)</f>
        <v>0</v>
      </c>
      <c r="I50" s="1289">
        <f>VLOOKUP($A50,'Accounts by GL'!$C$6:$O$528,7,FALSE)</f>
        <v>0</v>
      </c>
      <c r="J50" s="1289">
        <f>VLOOKUP($A50,'Accounts by GL'!$C$6:$O$528,8,FALSE)</f>
        <v>0</v>
      </c>
      <c r="K50" s="1289">
        <f>VLOOKUP($A50,'Accounts by GL'!$C$6:$O$528,9,FALSE)</f>
        <v>0</v>
      </c>
      <c r="L50" s="1289">
        <f>VLOOKUP($A50,'Accounts by GL'!$C$6:$O$528,10,FALSE)</f>
        <v>0</v>
      </c>
      <c r="M50" s="1289">
        <f>VLOOKUP($A50,'Accounts by GL'!$C$6:$O$528,12,FALSE)</f>
        <v>0</v>
      </c>
    </row>
    <row r="51" spans="1:13">
      <c r="A51" s="1293" t="s">
        <v>1078</v>
      </c>
      <c r="B51" s="1287" t="str">
        <f t="shared" si="0"/>
        <v>SAMPLE STATE COLLEGE</v>
      </c>
      <c r="C51" s="1294" t="s">
        <v>1078</v>
      </c>
      <c r="D51" s="1289">
        <f>VLOOKUP($A51,'Accounts by GL'!$C$6:$O$528,2,FALSE)</f>
        <v>0</v>
      </c>
      <c r="E51" s="1289">
        <f>VLOOKUP($A51,'Accounts by GL'!$C$6:$O$528,3,FALSE)</f>
        <v>0</v>
      </c>
      <c r="F51" s="1289">
        <f>VLOOKUP($A51,'Accounts by GL'!$C$6:$O$528,4,FALSE)</f>
        <v>0</v>
      </c>
      <c r="G51" s="1289">
        <f>VLOOKUP($A51,'Accounts by GL'!$C$6:$O$528,5,FALSE)</f>
        <v>0</v>
      </c>
      <c r="H51" s="1289">
        <f>VLOOKUP($A51,'Accounts by GL'!$C$6:$O$528,6,FALSE)</f>
        <v>0</v>
      </c>
      <c r="I51" s="1289">
        <f>VLOOKUP($A51,'Accounts by GL'!$C$6:$O$528,7,FALSE)</f>
        <v>0</v>
      </c>
      <c r="J51" s="1289">
        <f>VLOOKUP($A51,'Accounts by GL'!$C$6:$O$528,8,FALSE)</f>
        <v>0</v>
      </c>
      <c r="K51" s="1289">
        <f>VLOOKUP($A51,'Accounts by GL'!$C$6:$O$528,9,FALSE)</f>
        <v>0</v>
      </c>
      <c r="L51" s="1289">
        <f>VLOOKUP($A51,'Accounts by GL'!$C$6:$O$528,10,FALSE)</f>
        <v>0</v>
      </c>
      <c r="M51" s="1289">
        <f>VLOOKUP($A51,'Accounts by GL'!$C$6:$O$528,12,FALSE)</f>
        <v>0</v>
      </c>
    </row>
    <row r="52" spans="1:13">
      <c r="A52" s="1295" t="s">
        <v>1081</v>
      </c>
      <c r="B52" s="1287" t="str">
        <f t="shared" si="0"/>
        <v>SAMPLE STATE COLLEGE</v>
      </c>
      <c r="C52" s="1296" t="s">
        <v>1081</v>
      </c>
      <c r="D52" s="1289">
        <f>VLOOKUP($A52,'Accounts by GL'!$C$6:$O$528,2,FALSE)</f>
        <v>0</v>
      </c>
      <c r="E52" s="1289">
        <f>VLOOKUP($A52,'Accounts by GL'!$C$6:$O$528,3,FALSE)</f>
        <v>0</v>
      </c>
      <c r="F52" s="1289">
        <f>VLOOKUP($A52,'Accounts by GL'!$C$6:$O$528,4,FALSE)</f>
        <v>0</v>
      </c>
      <c r="G52" s="1289">
        <f>VLOOKUP($A52,'Accounts by GL'!$C$6:$O$528,5,FALSE)</f>
        <v>0</v>
      </c>
      <c r="H52" s="1289">
        <f>VLOOKUP($A52,'Accounts by GL'!$C$6:$O$528,6,FALSE)</f>
        <v>0</v>
      </c>
      <c r="I52" s="1289">
        <f>VLOOKUP($A52,'Accounts by GL'!$C$6:$O$528,7,FALSE)</f>
        <v>0</v>
      </c>
      <c r="J52" s="1289">
        <f>VLOOKUP($A52,'Accounts by GL'!$C$6:$O$528,8,FALSE)</f>
        <v>0</v>
      </c>
      <c r="K52" s="1289">
        <f>VLOOKUP($A52,'Accounts by GL'!$C$6:$O$528,9,FALSE)</f>
        <v>0</v>
      </c>
      <c r="L52" s="1289">
        <f>VLOOKUP($A52,'Accounts by GL'!$C$6:$O$528,10,FALSE)</f>
        <v>0</v>
      </c>
      <c r="M52" s="1289">
        <f>VLOOKUP($A52,'Accounts by GL'!$C$6:$O$528,12,FALSE)</f>
        <v>0</v>
      </c>
    </row>
    <row r="53" spans="1:13">
      <c r="A53" s="1293" t="s">
        <v>1084</v>
      </c>
      <c r="B53" s="1287" t="str">
        <f t="shared" si="0"/>
        <v>SAMPLE STATE COLLEGE</v>
      </c>
      <c r="C53" s="1294" t="s">
        <v>1084</v>
      </c>
      <c r="D53" s="1289">
        <f>VLOOKUP($A53,'Accounts by GL'!$C$6:$O$528,2,FALSE)</f>
        <v>0</v>
      </c>
      <c r="E53" s="1289">
        <f>VLOOKUP($A53,'Accounts by GL'!$C$6:$O$528,3,FALSE)</f>
        <v>0</v>
      </c>
      <c r="F53" s="1289">
        <f>VLOOKUP($A53,'Accounts by GL'!$C$6:$O$528,4,FALSE)</f>
        <v>0</v>
      </c>
      <c r="G53" s="1289">
        <f>VLOOKUP($A53,'Accounts by GL'!$C$6:$O$528,5,FALSE)</f>
        <v>0</v>
      </c>
      <c r="H53" s="1289">
        <f>VLOOKUP($A53,'Accounts by GL'!$C$6:$O$528,6,FALSE)</f>
        <v>0</v>
      </c>
      <c r="I53" s="1289">
        <f>VLOOKUP($A53,'Accounts by GL'!$C$6:$O$528,7,FALSE)</f>
        <v>0</v>
      </c>
      <c r="J53" s="1289">
        <f>VLOOKUP($A53,'Accounts by GL'!$C$6:$O$528,8,FALSE)</f>
        <v>0</v>
      </c>
      <c r="K53" s="1289">
        <f>VLOOKUP($A53,'Accounts by GL'!$C$6:$O$528,9,FALSE)</f>
        <v>0</v>
      </c>
      <c r="L53" s="1289">
        <f>VLOOKUP($A53,'Accounts by GL'!$C$6:$O$528,10,FALSE)</f>
        <v>0</v>
      </c>
      <c r="M53" s="1289">
        <f>VLOOKUP($A53,'Accounts by GL'!$C$6:$O$528,12,FALSE)</f>
        <v>0</v>
      </c>
    </row>
    <row r="54" spans="1:13">
      <c r="A54" s="1293" t="s">
        <v>1087</v>
      </c>
      <c r="B54" s="1287" t="str">
        <f t="shared" si="0"/>
        <v>SAMPLE STATE COLLEGE</v>
      </c>
      <c r="C54" s="1294" t="s">
        <v>1087</v>
      </c>
      <c r="D54" s="1289">
        <f>VLOOKUP($A54,'Accounts by GL'!$C$6:$O$528,2,FALSE)</f>
        <v>0</v>
      </c>
      <c r="E54" s="1289">
        <f>VLOOKUP($A54,'Accounts by GL'!$C$6:$O$528,3,FALSE)</f>
        <v>0</v>
      </c>
      <c r="F54" s="1289">
        <f>VLOOKUP($A54,'Accounts by GL'!$C$6:$O$528,4,FALSE)</f>
        <v>0</v>
      </c>
      <c r="G54" s="1289">
        <f>VLOOKUP($A54,'Accounts by GL'!$C$6:$O$528,5,FALSE)</f>
        <v>0</v>
      </c>
      <c r="H54" s="1289">
        <f>VLOOKUP($A54,'Accounts by GL'!$C$6:$O$528,6,FALSE)</f>
        <v>0</v>
      </c>
      <c r="I54" s="1289">
        <f>VLOOKUP($A54,'Accounts by GL'!$C$6:$O$528,7,FALSE)</f>
        <v>0</v>
      </c>
      <c r="J54" s="1289">
        <f>VLOOKUP($A54,'Accounts by GL'!$C$6:$O$528,8,FALSE)</f>
        <v>0</v>
      </c>
      <c r="K54" s="1289">
        <f>VLOOKUP($A54,'Accounts by GL'!$C$6:$O$528,9,FALSE)</f>
        <v>0</v>
      </c>
      <c r="L54" s="1289">
        <f>VLOOKUP($A54,'Accounts by GL'!$C$6:$O$528,10,FALSE)</f>
        <v>0</v>
      </c>
      <c r="M54" s="1289">
        <f>VLOOKUP($A54,'Accounts by GL'!$C$6:$O$528,12,FALSE)</f>
        <v>0</v>
      </c>
    </row>
    <row r="55" spans="1:13">
      <c r="A55" s="1293" t="s">
        <v>1090</v>
      </c>
      <c r="B55" s="1287" t="str">
        <f t="shared" si="0"/>
        <v>SAMPLE STATE COLLEGE</v>
      </c>
      <c r="C55" s="1294" t="s">
        <v>1090</v>
      </c>
      <c r="D55" s="1289">
        <f>VLOOKUP($A55,'Accounts by GL'!$C$6:$O$528,2,FALSE)</f>
        <v>0</v>
      </c>
      <c r="E55" s="1289">
        <f>VLOOKUP($A55,'Accounts by GL'!$C$6:$O$528,3,FALSE)</f>
        <v>0</v>
      </c>
      <c r="F55" s="1289">
        <f>VLOOKUP($A55,'Accounts by GL'!$C$6:$O$528,4,FALSE)</f>
        <v>0</v>
      </c>
      <c r="G55" s="1289">
        <f>VLOOKUP($A55,'Accounts by GL'!$C$6:$O$528,5,FALSE)</f>
        <v>0</v>
      </c>
      <c r="H55" s="1289">
        <f>VLOOKUP($A55,'Accounts by GL'!$C$6:$O$528,6,FALSE)</f>
        <v>0</v>
      </c>
      <c r="I55" s="1289">
        <f>VLOOKUP($A55,'Accounts by GL'!$C$6:$O$528,7,FALSE)</f>
        <v>0</v>
      </c>
      <c r="J55" s="1289">
        <f>VLOOKUP($A55,'Accounts by GL'!$C$6:$O$528,8,FALSE)</f>
        <v>0</v>
      </c>
      <c r="K55" s="1289">
        <f>VLOOKUP($A55,'Accounts by GL'!$C$6:$O$528,9,FALSE)</f>
        <v>0</v>
      </c>
      <c r="L55" s="1289">
        <f>VLOOKUP($A55,'Accounts by GL'!$C$6:$O$528,10,FALSE)</f>
        <v>0</v>
      </c>
      <c r="M55" s="1289">
        <f>VLOOKUP($A55,'Accounts by GL'!$C$6:$O$528,12,FALSE)</f>
        <v>0</v>
      </c>
    </row>
    <row r="56" spans="1:13">
      <c r="A56" s="1293" t="s">
        <v>1093</v>
      </c>
      <c r="B56" s="1287" t="str">
        <f t="shared" si="0"/>
        <v>SAMPLE STATE COLLEGE</v>
      </c>
      <c r="C56" s="1294" t="s">
        <v>1093</v>
      </c>
      <c r="D56" s="1289">
        <f>VLOOKUP($A56,'Accounts by GL'!$C$6:$O$528,2,FALSE)</f>
        <v>0</v>
      </c>
      <c r="E56" s="1289">
        <f>VLOOKUP($A56,'Accounts by GL'!$C$6:$O$528,3,FALSE)</f>
        <v>0</v>
      </c>
      <c r="F56" s="1289">
        <f>VLOOKUP($A56,'Accounts by GL'!$C$6:$O$528,4,FALSE)</f>
        <v>0</v>
      </c>
      <c r="G56" s="1289">
        <f>VLOOKUP($A56,'Accounts by GL'!$C$6:$O$528,5,FALSE)</f>
        <v>0</v>
      </c>
      <c r="H56" s="1289">
        <f>VLOOKUP($A56,'Accounts by GL'!$C$6:$O$528,6,FALSE)</f>
        <v>0</v>
      </c>
      <c r="I56" s="1289">
        <f>VLOOKUP($A56,'Accounts by GL'!$C$6:$O$528,7,FALSE)</f>
        <v>0</v>
      </c>
      <c r="J56" s="1289">
        <f>VLOOKUP($A56,'Accounts by GL'!$C$6:$O$528,8,FALSE)</f>
        <v>0</v>
      </c>
      <c r="K56" s="1289">
        <f>VLOOKUP($A56,'Accounts by GL'!$C$6:$O$528,9,FALSE)</f>
        <v>0</v>
      </c>
      <c r="L56" s="1289">
        <f>VLOOKUP($A56,'Accounts by GL'!$C$6:$O$528,10,FALSE)</f>
        <v>0</v>
      </c>
      <c r="M56" s="1289">
        <f>VLOOKUP($A56,'Accounts by GL'!$C$6:$O$528,12,FALSE)</f>
        <v>0</v>
      </c>
    </row>
    <row r="57" spans="1:13">
      <c r="A57" s="1293" t="s">
        <v>1096</v>
      </c>
      <c r="B57" s="1287" t="str">
        <f t="shared" si="0"/>
        <v>SAMPLE STATE COLLEGE</v>
      </c>
      <c r="C57" s="1294" t="s">
        <v>1096</v>
      </c>
      <c r="D57" s="1289">
        <f>VLOOKUP($A57,'Accounts by GL'!$C$6:$O$528,2,FALSE)</f>
        <v>0</v>
      </c>
      <c r="E57" s="1289">
        <f>VLOOKUP($A57,'Accounts by GL'!$C$6:$O$528,3,FALSE)</f>
        <v>0</v>
      </c>
      <c r="F57" s="1289">
        <f>VLOOKUP($A57,'Accounts by GL'!$C$6:$O$528,4,FALSE)</f>
        <v>0</v>
      </c>
      <c r="G57" s="1289">
        <f>VLOOKUP($A57,'Accounts by GL'!$C$6:$O$528,5,FALSE)</f>
        <v>0</v>
      </c>
      <c r="H57" s="1289">
        <f>VLOOKUP($A57,'Accounts by GL'!$C$6:$O$528,6,FALSE)</f>
        <v>0</v>
      </c>
      <c r="I57" s="1289">
        <f>VLOOKUP($A57,'Accounts by GL'!$C$6:$O$528,7,FALSE)</f>
        <v>0</v>
      </c>
      <c r="J57" s="1289">
        <f>VLOOKUP($A57,'Accounts by GL'!$C$6:$O$528,8,FALSE)</f>
        <v>0</v>
      </c>
      <c r="K57" s="1289">
        <f>VLOOKUP($A57,'Accounts by GL'!$C$6:$O$528,9,FALSE)</f>
        <v>0</v>
      </c>
      <c r="L57" s="1289">
        <f>VLOOKUP($A57,'Accounts by GL'!$C$6:$O$528,10,FALSE)</f>
        <v>0</v>
      </c>
      <c r="M57" s="1289">
        <f>VLOOKUP($A57,'Accounts by GL'!$C$6:$O$528,12,FALSE)</f>
        <v>0</v>
      </c>
    </row>
    <row r="58" spans="1:13">
      <c r="A58" s="1293" t="s">
        <v>1099</v>
      </c>
      <c r="B58" s="1287" t="str">
        <f t="shared" si="0"/>
        <v>SAMPLE STATE COLLEGE</v>
      </c>
      <c r="C58" s="1294" t="s">
        <v>1099</v>
      </c>
      <c r="D58" s="1289">
        <f>VLOOKUP($A58,'Accounts by GL'!$C$6:$O$528,2,FALSE)</f>
        <v>0</v>
      </c>
      <c r="E58" s="1289">
        <f>VLOOKUP($A58,'Accounts by GL'!$C$6:$O$528,3,FALSE)</f>
        <v>0</v>
      </c>
      <c r="F58" s="1289">
        <f>VLOOKUP($A58,'Accounts by GL'!$C$6:$O$528,4,FALSE)</f>
        <v>0</v>
      </c>
      <c r="G58" s="1289">
        <f>VLOOKUP($A58,'Accounts by GL'!$C$6:$O$528,5,FALSE)</f>
        <v>0</v>
      </c>
      <c r="H58" s="1289">
        <f>VLOOKUP($A58,'Accounts by GL'!$C$6:$O$528,6,FALSE)</f>
        <v>0</v>
      </c>
      <c r="I58" s="1289">
        <f>VLOOKUP($A58,'Accounts by GL'!$C$6:$O$528,7,FALSE)</f>
        <v>0</v>
      </c>
      <c r="J58" s="1289">
        <f>VLOOKUP($A58,'Accounts by GL'!$C$6:$O$528,8,FALSE)</f>
        <v>0</v>
      </c>
      <c r="K58" s="1289">
        <f>VLOOKUP($A58,'Accounts by GL'!$C$6:$O$528,9,FALSE)</f>
        <v>0</v>
      </c>
      <c r="L58" s="1289">
        <f>VLOOKUP($A58,'Accounts by GL'!$C$6:$O$528,10,FALSE)</f>
        <v>0</v>
      </c>
      <c r="M58" s="1289">
        <f>VLOOKUP($A58,'Accounts by GL'!$C$6:$O$528,12,FALSE)</f>
        <v>0</v>
      </c>
    </row>
    <row r="59" spans="1:13">
      <c r="A59" s="1293" t="s">
        <v>1102</v>
      </c>
      <c r="B59" s="1287" t="str">
        <f t="shared" si="0"/>
        <v>SAMPLE STATE COLLEGE</v>
      </c>
      <c r="C59" s="1294" t="s">
        <v>1102</v>
      </c>
      <c r="D59" s="1289">
        <f>VLOOKUP($A59,'Accounts by GL'!$C$6:$O$528,2,FALSE)</f>
        <v>0</v>
      </c>
      <c r="E59" s="1289">
        <f>VLOOKUP($A59,'Accounts by GL'!$C$6:$O$528,3,FALSE)</f>
        <v>0</v>
      </c>
      <c r="F59" s="1289">
        <f>VLOOKUP($A59,'Accounts by GL'!$C$6:$O$528,4,FALSE)</f>
        <v>0</v>
      </c>
      <c r="G59" s="1289">
        <f>VLOOKUP($A59,'Accounts by GL'!$C$6:$O$528,5,FALSE)</f>
        <v>0</v>
      </c>
      <c r="H59" s="1289">
        <f>VLOOKUP($A59,'Accounts by GL'!$C$6:$O$528,6,FALSE)</f>
        <v>0</v>
      </c>
      <c r="I59" s="1289">
        <f>VLOOKUP($A59,'Accounts by GL'!$C$6:$O$528,7,FALSE)</f>
        <v>0</v>
      </c>
      <c r="J59" s="1289">
        <f>VLOOKUP($A59,'Accounts by GL'!$C$6:$O$528,8,FALSE)</f>
        <v>0</v>
      </c>
      <c r="K59" s="1289">
        <f>VLOOKUP($A59,'Accounts by GL'!$C$6:$O$528,9,FALSE)</f>
        <v>0</v>
      </c>
      <c r="L59" s="1289">
        <f>VLOOKUP($A59,'Accounts by GL'!$C$6:$O$528,10,FALSE)</f>
        <v>0</v>
      </c>
      <c r="M59" s="1289">
        <f>VLOOKUP($A59,'Accounts by GL'!$C$6:$O$528,12,FALSE)</f>
        <v>0</v>
      </c>
    </row>
    <row r="60" spans="1:13">
      <c r="A60" s="1293" t="s">
        <v>1105</v>
      </c>
      <c r="B60" s="1287" t="str">
        <f t="shared" si="0"/>
        <v>SAMPLE STATE COLLEGE</v>
      </c>
      <c r="C60" s="1294" t="s">
        <v>1105</v>
      </c>
      <c r="D60" s="1289">
        <f>VLOOKUP($A60,'Accounts by GL'!$C$6:$O$528,2,FALSE)</f>
        <v>0</v>
      </c>
      <c r="E60" s="1289">
        <f>VLOOKUP($A60,'Accounts by GL'!$C$6:$O$528,3,FALSE)</f>
        <v>0</v>
      </c>
      <c r="F60" s="1289">
        <f>VLOOKUP($A60,'Accounts by GL'!$C$6:$O$528,4,FALSE)</f>
        <v>0</v>
      </c>
      <c r="G60" s="1289">
        <f>VLOOKUP($A60,'Accounts by GL'!$C$6:$O$528,5,FALSE)</f>
        <v>0</v>
      </c>
      <c r="H60" s="1289">
        <f>VLOOKUP($A60,'Accounts by GL'!$C$6:$O$528,6,FALSE)</f>
        <v>0</v>
      </c>
      <c r="I60" s="1289">
        <f>VLOOKUP($A60,'Accounts by GL'!$C$6:$O$528,7,FALSE)</f>
        <v>0</v>
      </c>
      <c r="J60" s="1289">
        <f>VLOOKUP($A60,'Accounts by GL'!$C$6:$O$528,8,FALSE)</f>
        <v>0</v>
      </c>
      <c r="K60" s="1289">
        <f>VLOOKUP($A60,'Accounts by GL'!$C$6:$O$528,9,FALSE)</f>
        <v>0</v>
      </c>
      <c r="L60" s="1289">
        <f>VLOOKUP($A60,'Accounts by GL'!$C$6:$O$528,10,FALSE)</f>
        <v>0</v>
      </c>
      <c r="M60" s="1289">
        <f>VLOOKUP($A60,'Accounts by GL'!$C$6:$O$528,12,FALSE)</f>
        <v>0</v>
      </c>
    </row>
    <row r="61" spans="1:13">
      <c r="A61" s="1293" t="s">
        <v>1108</v>
      </c>
      <c r="B61" s="1287" t="str">
        <f t="shared" si="0"/>
        <v>SAMPLE STATE COLLEGE</v>
      </c>
      <c r="C61" s="1294" t="s">
        <v>1108</v>
      </c>
      <c r="D61" s="1289">
        <f>VLOOKUP($A61,'Accounts by GL'!$C$6:$O$528,2,FALSE)</f>
        <v>0</v>
      </c>
      <c r="E61" s="1289">
        <f>VLOOKUP($A61,'Accounts by GL'!$C$6:$O$528,3,FALSE)</f>
        <v>0</v>
      </c>
      <c r="F61" s="1289">
        <f>VLOOKUP($A61,'Accounts by GL'!$C$6:$O$528,4,FALSE)</f>
        <v>0</v>
      </c>
      <c r="G61" s="1289">
        <f>VLOOKUP($A61,'Accounts by GL'!$C$6:$O$528,5,FALSE)</f>
        <v>0</v>
      </c>
      <c r="H61" s="1289">
        <f>VLOOKUP($A61,'Accounts by GL'!$C$6:$O$528,6,FALSE)</f>
        <v>0</v>
      </c>
      <c r="I61" s="1289">
        <f>VLOOKUP($A61,'Accounts by GL'!$C$6:$O$528,7,FALSE)</f>
        <v>0</v>
      </c>
      <c r="J61" s="1289">
        <f>VLOOKUP($A61,'Accounts by GL'!$C$6:$O$528,8,FALSE)</f>
        <v>0</v>
      </c>
      <c r="K61" s="1289">
        <f>VLOOKUP($A61,'Accounts by GL'!$C$6:$O$528,9,FALSE)</f>
        <v>0</v>
      </c>
      <c r="L61" s="1289">
        <f>VLOOKUP($A61,'Accounts by GL'!$C$6:$O$528,10,FALSE)</f>
        <v>0</v>
      </c>
      <c r="M61" s="1289">
        <f>VLOOKUP($A61,'Accounts by GL'!$C$6:$O$528,12,FALSE)</f>
        <v>0</v>
      </c>
    </row>
    <row r="62" spans="1:13">
      <c r="A62" s="1293" t="s">
        <v>1111</v>
      </c>
      <c r="B62" s="1287" t="str">
        <f t="shared" si="0"/>
        <v>SAMPLE STATE COLLEGE</v>
      </c>
      <c r="C62" s="1294" t="s">
        <v>1111</v>
      </c>
      <c r="D62" s="1289">
        <f>VLOOKUP($A62,'Accounts by GL'!$C$6:$O$528,2,FALSE)</f>
        <v>0</v>
      </c>
      <c r="E62" s="1289">
        <f>VLOOKUP($A62,'Accounts by GL'!$C$6:$O$528,3,FALSE)</f>
        <v>0</v>
      </c>
      <c r="F62" s="1289">
        <f>VLOOKUP($A62,'Accounts by GL'!$C$6:$O$528,4,FALSE)</f>
        <v>0</v>
      </c>
      <c r="G62" s="1289">
        <f>VLOOKUP($A62,'Accounts by GL'!$C$6:$O$528,5,FALSE)</f>
        <v>0</v>
      </c>
      <c r="H62" s="1289">
        <f>VLOOKUP($A62,'Accounts by GL'!$C$6:$O$528,6,FALSE)</f>
        <v>0</v>
      </c>
      <c r="I62" s="1289">
        <f>VLOOKUP($A62,'Accounts by GL'!$C$6:$O$528,7,FALSE)</f>
        <v>0</v>
      </c>
      <c r="J62" s="1289">
        <f>VLOOKUP($A62,'Accounts by GL'!$C$6:$O$528,8,FALSE)</f>
        <v>0</v>
      </c>
      <c r="K62" s="1289">
        <f>VLOOKUP($A62,'Accounts by GL'!$C$6:$O$528,9,FALSE)</f>
        <v>0</v>
      </c>
      <c r="L62" s="1289">
        <f>VLOOKUP($A62,'Accounts by GL'!$C$6:$O$528,10,FALSE)</f>
        <v>0</v>
      </c>
      <c r="M62" s="1289">
        <f>VLOOKUP($A62,'Accounts by GL'!$C$6:$O$528,12,FALSE)</f>
        <v>0</v>
      </c>
    </row>
    <row r="63" spans="1:13">
      <c r="A63" s="1295" t="s">
        <v>1113</v>
      </c>
      <c r="B63" s="1287" t="str">
        <f t="shared" si="0"/>
        <v>SAMPLE STATE COLLEGE</v>
      </c>
      <c r="C63" s="1296" t="s">
        <v>1113</v>
      </c>
      <c r="D63" s="1289">
        <f>VLOOKUP($A63,'Accounts by GL'!$C$6:$O$528,2,FALSE)</f>
        <v>0</v>
      </c>
      <c r="E63" s="1289">
        <f>VLOOKUP($A63,'Accounts by GL'!$C$6:$O$528,3,FALSE)</f>
        <v>0</v>
      </c>
      <c r="F63" s="1289">
        <f>VLOOKUP($A63,'Accounts by GL'!$C$6:$O$528,4,FALSE)</f>
        <v>0</v>
      </c>
      <c r="G63" s="1289">
        <f>VLOOKUP($A63,'Accounts by GL'!$C$6:$O$528,5,FALSE)</f>
        <v>0</v>
      </c>
      <c r="H63" s="1289">
        <f>VLOOKUP($A63,'Accounts by GL'!$C$6:$O$528,6,FALSE)</f>
        <v>0</v>
      </c>
      <c r="I63" s="1289">
        <f>VLOOKUP($A63,'Accounts by GL'!$C$6:$O$528,7,FALSE)</f>
        <v>0</v>
      </c>
      <c r="J63" s="1289">
        <f>VLOOKUP($A63,'Accounts by GL'!$C$6:$O$528,8,FALSE)</f>
        <v>0</v>
      </c>
      <c r="K63" s="1289">
        <f>VLOOKUP($A63,'Accounts by GL'!$C$6:$O$528,9,FALSE)</f>
        <v>0</v>
      </c>
      <c r="L63" s="1289">
        <f>VLOOKUP($A63,'Accounts by GL'!$C$6:$O$528,10,FALSE)</f>
        <v>0</v>
      </c>
      <c r="M63" s="1289">
        <f>VLOOKUP($A63,'Accounts by GL'!$C$6:$O$528,12,FALSE)</f>
        <v>0</v>
      </c>
    </row>
    <row r="64" spans="1:13">
      <c r="A64" s="1293" t="s">
        <v>1116</v>
      </c>
      <c r="B64" s="1287" t="str">
        <f t="shared" si="0"/>
        <v>SAMPLE STATE COLLEGE</v>
      </c>
      <c r="C64" s="1294" t="s">
        <v>1116</v>
      </c>
      <c r="D64" s="1289">
        <f>VLOOKUP($A64,'Accounts by GL'!$C$6:$O$528,2,FALSE)</f>
        <v>0</v>
      </c>
      <c r="E64" s="1289">
        <f>VLOOKUP($A64,'Accounts by GL'!$C$6:$O$528,3,FALSE)</f>
        <v>0</v>
      </c>
      <c r="F64" s="1289">
        <f>VLOOKUP($A64,'Accounts by GL'!$C$6:$O$528,4,FALSE)</f>
        <v>0</v>
      </c>
      <c r="G64" s="1289">
        <f>VLOOKUP($A64,'Accounts by GL'!$C$6:$O$528,5,FALSE)</f>
        <v>0</v>
      </c>
      <c r="H64" s="1289">
        <f>VLOOKUP($A64,'Accounts by GL'!$C$6:$O$528,6,FALSE)</f>
        <v>0</v>
      </c>
      <c r="I64" s="1289">
        <f>VLOOKUP($A64,'Accounts by GL'!$C$6:$O$528,7,FALSE)</f>
        <v>0</v>
      </c>
      <c r="J64" s="1289">
        <f>VLOOKUP($A64,'Accounts by GL'!$C$6:$O$528,8,FALSE)</f>
        <v>0</v>
      </c>
      <c r="K64" s="1289">
        <f>VLOOKUP($A64,'Accounts by GL'!$C$6:$O$528,9,FALSE)</f>
        <v>0</v>
      </c>
      <c r="L64" s="1289">
        <f>VLOOKUP($A64,'Accounts by GL'!$C$6:$O$528,10,FALSE)</f>
        <v>0</v>
      </c>
      <c r="M64" s="1289">
        <f>VLOOKUP($A64,'Accounts by GL'!$C$6:$O$528,12,FALSE)</f>
        <v>0</v>
      </c>
    </row>
    <row r="65" spans="1:13">
      <c r="A65" s="1293" t="s">
        <v>1119</v>
      </c>
      <c r="B65" s="1287" t="str">
        <f t="shared" si="0"/>
        <v>SAMPLE STATE COLLEGE</v>
      </c>
      <c r="C65" s="1294" t="s">
        <v>1119</v>
      </c>
      <c r="D65" s="1289">
        <f>VLOOKUP($A65,'Accounts by GL'!$C$6:$O$528,2,FALSE)</f>
        <v>0</v>
      </c>
      <c r="E65" s="1289">
        <f>VLOOKUP($A65,'Accounts by GL'!$C$6:$O$528,3,FALSE)</f>
        <v>0</v>
      </c>
      <c r="F65" s="1289">
        <f>VLOOKUP($A65,'Accounts by GL'!$C$6:$O$528,4,FALSE)</f>
        <v>0</v>
      </c>
      <c r="G65" s="1289">
        <f>VLOOKUP($A65,'Accounts by GL'!$C$6:$O$528,5,FALSE)</f>
        <v>0</v>
      </c>
      <c r="H65" s="1289">
        <f>VLOOKUP($A65,'Accounts by GL'!$C$6:$O$528,6,FALSE)</f>
        <v>0</v>
      </c>
      <c r="I65" s="1289">
        <f>VLOOKUP($A65,'Accounts by GL'!$C$6:$O$528,7,FALSE)</f>
        <v>0</v>
      </c>
      <c r="J65" s="1289">
        <f>VLOOKUP($A65,'Accounts by GL'!$C$6:$O$528,8,FALSE)</f>
        <v>0</v>
      </c>
      <c r="K65" s="1289">
        <f>VLOOKUP($A65,'Accounts by GL'!$C$6:$O$528,9,FALSE)</f>
        <v>0</v>
      </c>
      <c r="L65" s="1289">
        <f>VLOOKUP($A65,'Accounts by GL'!$C$6:$O$528,10,FALSE)</f>
        <v>0</v>
      </c>
      <c r="M65" s="1289">
        <f>VLOOKUP($A65,'Accounts by GL'!$C$6:$O$528,12,FALSE)</f>
        <v>0</v>
      </c>
    </row>
    <row r="66" spans="1:13">
      <c r="A66" s="1293" t="s">
        <v>1122</v>
      </c>
      <c r="B66" s="1287" t="str">
        <f t="shared" si="0"/>
        <v>SAMPLE STATE COLLEGE</v>
      </c>
      <c r="C66" s="1294" t="s">
        <v>1122</v>
      </c>
      <c r="D66" s="1289">
        <f>VLOOKUP($A66,'Accounts by GL'!$C$6:$O$528,2,FALSE)</f>
        <v>0</v>
      </c>
      <c r="E66" s="1289">
        <f>VLOOKUP($A66,'Accounts by GL'!$C$6:$O$528,3,FALSE)</f>
        <v>0</v>
      </c>
      <c r="F66" s="1289">
        <f>VLOOKUP($A66,'Accounts by GL'!$C$6:$O$528,4,FALSE)</f>
        <v>0</v>
      </c>
      <c r="G66" s="1289">
        <f>VLOOKUP($A66,'Accounts by GL'!$C$6:$O$528,5,FALSE)</f>
        <v>0</v>
      </c>
      <c r="H66" s="1289">
        <f>VLOOKUP($A66,'Accounts by GL'!$C$6:$O$528,6,FALSE)</f>
        <v>0</v>
      </c>
      <c r="I66" s="1289">
        <f>VLOOKUP($A66,'Accounts by GL'!$C$6:$O$528,7,FALSE)</f>
        <v>0</v>
      </c>
      <c r="J66" s="1289">
        <f>VLOOKUP($A66,'Accounts by GL'!$C$6:$O$528,8,FALSE)</f>
        <v>0</v>
      </c>
      <c r="K66" s="1289">
        <f>VLOOKUP($A66,'Accounts by GL'!$C$6:$O$528,9,FALSE)</f>
        <v>0</v>
      </c>
      <c r="L66" s="1289">
        <f>VLOOKUP($A66,'Accounts by GL'!$C$6:$O$528,10,FALSE)</f>
        <v>0</v>
      </c>
      <c r="M66" s="1289">
        <f>VLOOKUP($A66,'Accounts by GL'!$C$6:$O$528,12,FALSE)</f>
        <v>0</v>
      </c>
    </row>
    <row r="67" spans="1:13">
      <c r="A67" s="1293" t="s">
        <v>1125</v>
      </c>
      <c r="B67" s="1287" t="str">
        <f t="shared" si="0"/>
        <v>SAMPLE STATE COLLEGE</v>
      </c>
      <c r="C67" s="1294" t="s">
        <v>1125</v>
      </c>
      <c r="D67" s="1289">
        <f>VLOOKUP($A67,'Accounts by GL'!$C$6:$O$528,2,FALSE)</f>
        <v>0</v>
      </c>
      <c r="E67" s="1289">
        <f>VLOOKUP($A67,'Accounts by GL'!$C$6:$O$528,3,FALSE)</f>
        <v>0</v>
      </c>
      <c r="F67" s="1289">
        <f>VLOOKUP($A67,'Accounts by GL'!$C$6:$O$528,4,FALSE)</f>
        <v>0</v>
      </c>
      <c r="G67" s="1289">
        <f>VLOOKUP($A67,'Accounts by GL'!$C$6:$O$528,5,FALSE)</f>
        <v>0</v>
      </c>
      <c r="H67" s="1289">
        <f>VLOOKUP($A67,'Accounts by GL'!$C$6:$O$528,6,FALSE)</f>
        <v>0</v>
      </c>
      <c r="I67" s="1289">
        <f>VLOOKUP($A67,'Accounts by GL'!$C$6:$O$528,7,FALSE)</f>
        <v>0</v>
      </c>
      <c r="J67" s="1289">
        <f>VLOOKUP($A67,'Accounts by GL'!$C$6:$O$528,8,FALSE)</f>
        <v>0</v>
      </c>
      <c r="K67" s="1289">
        <f>VLOOKUP($A67,'Accounts by GL'!$C$6:$O$528,9,FALSE)</f>
        <v>0</v>
      </c>
      <c r="L67" s="1289">
        <f>VLOOKUP($A67,'Accounts by GL'!$C$6:$O$528,10,FALSE)</f>
        <v>0</v>
      </c>
      <c r="M67" s="1289">
        <f>VLOOKUP($A67,'Accounts by GL'!$C$6:$O$528,12,FALSE)</f>
        <v>0</v>
      </c>
    </row>
    <row r="68" spans="1:13">
      <c r="A68" s="1293" t="s">
        <v>1128</v>
      </c>
      <c r="B68" s="1287" t="str">
        <f t="shared" si="0"/>
        <v>SAMPLE STATE COLLEGE</v>
      </c>
      <c r="C68" s="1294" t="s">
        <v>1128</v>
      </c>
      <c r="D68" s="1289">
        <f>VLOOKUP($A68,'Accounts by GL'!$C$6:$O$528,2,FALSE)</f>
        <v>0</v>
      </c>
      <c r="E68" s="1289">
        <f>VLOOKUP($A68,'Accounts by GL'!$C$6:$O$528,3,FALSE)</f>
        <v>0</v>
      </c>
      <c r="F68" s="1289">
        <f>VLOOKUP($A68,'Accounts by GL'!$C$6:$O$528,4,FALSE)</f>
        <v>0</v>
      </c>
      <c r="G68" s="1289">
        <f>VLOOKUP($A68,'Accounts by GL'!$C$6:$O$528,5,FALSE)</f>
        <v>0</v>
      </c>
      <c r="H68" s="1289">
        <f>VLOOKUP($A68,'Accounts by GL'!$C$6:$O$528,6,FALSE)</f>
        <v>0</v>
      </c>
      <c r="I68" s="1289">
        <f>VLOOKUP($A68,'Accounts by GL'!$C$6:$O$528,7,FALSE)</f>
        <v>0</v>
      </c>
      <c r="J68" s="1289">
        <f>VLOOKUP($A68,'Accounts by GL'!$C$6:$O$528,8,FALSE)</f>
        <v>0</v>
      </c>
      <c r="K68" s="1289">
        <f>VLOOKUP($A68,'Accounts by GL'!$C$6:$O$528,9,FALSE)</f>
        <v>0</v>
      </c>
      <c r="L68" s="1289">
        <f>VLOOKUP($A68,'Accounts by GL'!$C$6:$O$528,10,FALSE)</f>
        <v>0</v>
      </c>
      <c r="M68" s="1289">
        <f>VLOOKUP($A68,'Accounts by GL'!$C$6:$O$528,12,FALSE)</f>
        <v>0</v>
      </c>
    </row>
    <row r="69" spans="1:13">
      <c r="A69" s="1293" t="s">
        <v>1131</v>
      </c>
      <c r="B69" s="1287" t="str">
        <f t="shared" ref="B69:B142" si="1">$B$2</f>
        <v>SAMPLE STATE COLLEGE</v>
      </c>
      <c r="C69" s="1294" t="s">
        <v>1131</v>
      </c>
      <c r="D69" s="1289">
        <f>VLOOKUP($A69,'Accounts by GL'!$C$6:$O$528,2,FALSE)</f>
        <v>0</v>
      </c>
      <c r="E69" s="1289">
        <f>VLOOKUP($A69,'Accounts by GL'!$C$6:$O$528,3,FALSE)</f>
        <v>0</v>
      </c>
      <c r="F69" s="1289">
        <f>VLOOKUP($A69,'Accounts by GL'!$C$6:$O$528,4,FALSE)</f>
        <v>0</v>
      </c>
      <c r="G69" s="1289">
        <f>VLOOKUP($A69,'Accounts by GL'!$C$6:$O$528,5,FALSE)</f>
        <v>0</v>
      </c>
      <c r="H69" s="1289">
        <f>VLOOKUP($A69,'Accounts by GL'!$C$6:$O$528,6,FALSE)</f>
        <v>0</v>
      </c>
      <c r="I69" s="1289">
        <f>VLOOKUP($A69,'Accounts by GL'!$C$6:$O$528,7,FALSE)</f>
        <v>0</v>
      </c>
      <c r="J69" s="1289">
        <f>VLOOKUP($A69,'Accounts by GL'!$C$6:$O$528,8,FALSE)</f>
        <v>0</v>
      </c>
      <c r="K69" s="1289">
        <f>VLOOKUP($A69,'Accounts by GL'!$C$6:$O$528,9,FALSE)</f>
        <v>0</v>
      </c>
      <c r="L69" s="1289">
        <f>VLOOKUP($A69,'Accounts by GL'!$C$6:$O$528,10,FALSE)</f>
        <v>0</v>
      </c>
      <c r="M69" s="1289">
        <f>VLOOKUP($A69,'Accounts by GL'!$C$6:$O$528,12,FALSE)</f>
        <v>0</v>
      </c>
    </row>
    <row r="70" spans="1:13">
      <c r="A70" s="1293" t="s">
        <v>1134</v>
      </c>
      <c r="B70" s="1287" t="str">
        <f t="shared" si="1"/>
        <v>SAMPLE STATE COLLEGE</v>
      </c>
      <c r="C70" s="1294" t="s">
        <v>1134</v>
      </c>
      <c r="D70" s="1289">
        <f>VLOOKUP($A70,'Accounts by GL'!$C$6:$O$528,2,FALSE)</f>
        <v>0</v>
      </c>
      <c r="E70" s="1289">
        <f>VLOOKUP($A70,'Accounts by GL'!$C$6:$O$528,3,FALSE)</f>
        <v>0</v>
      </c>
      <c r="F70" s="1289">
        <f>VLOOKUP($A70,'Accounts by GL'!$C$6:$O$528,4,FALSE)</f>
        <v>0</v>
      </c>
      <c r="G70" s="1289">
        <f>VLOOKUP($A70,'Accounts by GL'!$C$6:$O$528,5,FALSE)</f>
        <v>0</v>
      </c>
      <c r="H70" s="1289">
        <f>VLOOKUP($A70,'Accounts by GL'!$C$6:$O$528,6,FALSE)</f>
        <v>0</v>
      </c>
      <c r="I70" s="1289">
        <f>VLOOKUP($A70,'Accounts by GL'!$C$6:$O$528,7,FALSE)</f>
        <v>0</v>
      </c>
      <c r="J70" s="1289">
        <f>VLOOKUP($A70,'Accounts by GL'!$C$6:$O$528,8,FALSE)</f>
        <v>0</v>
      </c>
      <c r="K70" s="1289">
        <f>VLOOKUP($A70,'Accounts by GL'!$C$6:$O$528,9,FALSE)</f>
        <v>0</v>
      </c>
      <c r="L70" s="1289">
        <f>VLOOKUP($A70,'Accounts by GL'!$C$6:$O$528,10,FALSE)</f>
        <v>0</v>
      </c>
      <c r="M70" s="1289">
        <f>VLOOKUP($A70,'Accounts by GL'!$C$6:$O$528,12,FALSE)</f>
        <v>0</v>
      </c>
    </row>
    <row r="71" spans="1:13">
      <c r="A71" s="1293" t="s">
        <v>1137</v>
      </c>
      <c r="B71" s="1287" t="str">
        <f t="shared" si="1"/>
        <v>SAMPLE STATE COLLEGE</v>
      </c>
      <c r="C71" s="1294" t="s">
        <v>1137</v>
      </c>
      <c r="D71" s="1289">
        <f>VLOOKUP($A71,'Accounts by GL'!$C$6:$O$528,2,FALSE)</f>
        <v>0</v>
      </c>
      <c r="E71" s="1289">
        <f>VLOOKUP($A71,'Accounts by GL'!$C$6:$O$528,3,FALSE)</f>
        <v>0</v>
      </c>
      <c r="F71" s="1289">
        <f>VLOOKUP($A71,'Accounts by GL'!$C$6:$O$528,4,FALSE)</f>
        <v>0</v>
      </c>
      <c r="G71" s="1289">
        <f>VLOOKUP($A71,'Accounts by GL'!$C$6:$O$528,5,FALSE)</f>
        <v>0</v>
      </c>
      <c r="H71" s="1289">
        <f>VLOOKUP($A71,'Accounts by GL'!$C$6:$O$528,6,FALSE)</f>
        <v>0</v>
      </c>
      <c r="I71" s="1289">
        <f>VLOOKUP($A71,'Accounts by GL'!$C$6:$O$528,7,FALSE)</f>
        <v>0</v>
      </c>
      <c r="J71" s="1289">
        <f>VLOOKUP($A71,'Accounts by GL'!$C$6:$O$528,8,FALSE)</f>
        <v>0</v>
      </c>
      <c r="K71" s="1289">
        <f>VLOOKUP($A71,'Accounts by GL'!$C$6:$O$528,9,FALSE)</f>
        <v>0</v>
      </c>
      <c r="L71" s="1289">
        <f>VLOOKUP($A71,'Accounts by GL'!$C$6:$O$528,10,FALSE)</f>
        <v>0</v>
      </c>
      <c r="M71" s="1289">
        <f>VLOOKUP($A71,'Accounts by GL'!$C$6:$O$528,12,FALSE)</f>
        <v>0</v>
      </c>
    </row>
    <row r="72" spans="1:13">
      <c r="A72" s="1293" t="s">
        <v>1140</v>
      </c>
      <c r="B72" s="1287" t="str">
        <f t="shared" si="1"/>
        <v>SAMPLE STATE COLLEGE</v>
      </c>
      <c r="C72" s="1294" t="s">
        <v>1140</v>
      </c>
      <c r="D72" s="1289">
        <f>VLOOKUP($A72,'Accounts by GL'!$C$6:$O$528,2,FALSE)</f>
        <v>0</v>
      </c>
      <c r="E72" s="1289">
        <f>VLOOKUP($A72,'Accounts by GL'!$C$6:$O$528,3,FALSE)</f>
        <v>0</v>
      </c>
      <c r="F72" s="1289">
        <f>VLOOKUP($A72,'Accounts by GL'!$C$6:$O$528,4,FALSE)</f>
        <v>0</v>
      </c>
      <c r="G72" s="1289">
        <f>VLOOKUP($A72,'Accounts by GL'!$C$6:$O$528,5,FALSE)</f>
        <v>0</v>
      </c>
      <c r="H72" s="1289">
        <f>VLOOKUP($A72,'Accounts by GL'!$C$6:$O$528,6,FALSE)</f>
        <v>0</v>
      </c>
      <c r="I72" s="1289">
        <f>VLOOKUP($A72,'Accounts by GL'!$C$6:$O$528,7,FALSE)</f>
        <v>0</v>
      </c>
      <c r="J72" s="1289">
        <f>VLOOKUP($A72,'Accounts by GL'!$C$6:$O$528,8,FALSE)</f>
        <v>0</v>
      </c>
      <c r="K72" s="1289">
        <f>VLOOKUP($A72,'Accounts by GL'!$C$6:$O$528,9,FALSE)</f>
        <v>0</v>
      </c>
      <c r="L72" s="1289">
        <f>VLOOKUP($A72,'Accounts by GL'!$C$6:$O$528,10,FALSE)</f>
        <v>0</v>
      </c>
      <c r="M72" s="1289">
        <f>VLOOKUP($A72,'Accounts by GL'!$C$6:$O$528,12,FALSE)</f>
        <v>0</v>
      </c>
    </row>
    <row r="73" spans="1:13">
      <c r="A73" s="1293" t="s">
        <v>1143</v>
      </c>
      <c r="B73" s="1287" t="str">
        <f t="shared" si="1"/>
        <v>SAMPLE STATE COLLEGE</v>
      </c>
      <c r="C73" s="1294" t="s">
        <v>1143</v>
      </c>
      <c r="D73" s="1289">
        <f>VLOOKUP($A73,'Accounts by GL'!$C$6:$O$528,2,FALSE)</f>
        <v>0</v>
      </c>
      <c r="E73" s="1289">
        <f>VLOOKUP($A73,'Accounts by GL'!$C$6:$O$528,3,FALSE)</f>
        <v>0</v>
      </c>
      <c r="F73" s="1289">
        <f>VLOOKUP($A73,'Accounts by GL'!$C$6:$O$528,4,FALSE)</f>
        <v>0</v>
      </c>
      <c r="G73" s="1289">
        <f>VLOOKUP($A73,'Accounts by GL'!$C$6:$O$528,5,FALSE)</f>
        <v>0</v>
      </c>
      <c r="H73" s="1289">
        <f>VLOOKUP($A73,'Accounts by GL'!$C$6:$O$528,6,FALSE)</f>
        <v>0</v>
      </c>
      <c r="I73" s="1289">
        <f>VLOOKUP($A73,'Accounts by GL'!$C$6:$O$528,7,FALSE)</f>
        <v>0</v>
      </c>
      <c r="J73" s="1289">
        <f>VLOOKUP($A73,'Accounts by GL'!$C$6:$O$528,8,FALSE)</f>
        <v>0</v>
      </c>
      <c r="K73" s="1289">
        <f>VLOOKUP($A73,'Accounts by GL'!$C$6:$O$528,9,FALSE)</f>
        <v>0</v>
      </c>
      <c r="L73" s="1289">
        <f>VLOOKUP($A73,'Accounts by GL'!$C$6:$O$528,10,FALSE)</f>
        <v>0</v>
      </c>
      <c r="M73" s="1289">
        <f>VLOOKUP($A73,'Accounts by GL'!$C$6:$O$528,12,FALSE)</f>
        <v>0</v>
      </c>
    </row>
    <row r="74" spans="1:13">
      <c r="A74" s="1293" t="s">
        <v>1146</v>
      </c>
      <c r="B74" s="1287" t="str">
        <f t="shared" si="1"/>
        <v>SAMPLE STATE COLLEGE</v>
      </c>
      <c r="C74" s="1294" t="s">
        <v>1146</v>
      </c>
      <c r="D74" s="1289">
        <f>VLOOKUP($A74,'Accounts by GL'!$C$6:$O$528,2,FALSE)</f>
        <v>0</v>
      </c>
      <c r="E74" s="1289">
        <f>VLOOKUP($A74,'Accounts by GL'!$C$6:$O$528,3,FALSE)</f>
        <v>0</v>
      </c>
      <c r="F74" s="1289">
        <f>VLOOKUP($A74,'Accounts by GL'!$C$6:$O$528,4,FALSE)</f>
        <v>0</v>
      </c>
      <c r="G74" s="1289">
        <f>VLOOKUP($A74,'Accounts by GL'!$C$6:$O$528,5,FALSE)</f>
        <v>0</v>
      </c>
      <c r="H74" s="1289">
        <f>VLOOKUP($A74,'Accounts by GL'!$C$6:$O$528,6,FALSE)</f>
        <v>0</v>
      </c>
      <c r="I74" s="1289">
        <f>VLOOKUP($A74,'Accounts by GL'!$C$6:$O$528,7,FALSE)</f>
        <v>0</v>
      </c>
      <c r="J74" s="1289">
        <f>VLOOKUP($A74,'Accounts by GL'!$C$6:$O$528,8,FALSE)</f>
        <v>0</v>
      </c>
      <c r="K74" s="1289">
        <f>VLOOKUP($A74,'Accounts by GL'!$C$6:$O$528,9,FALSE)</f>
        <v>0</v>
      </c>
      <c r="L74" s="1289">
        <f>VLOOKUP($A74,'Accounts by GL'!$C$6:$O$528,10,FALSE)</f>
        <v>0</v>
      </c>
      <c r="M74" s="1289">
        <f>VLOOKUP($A74,'Accounts by GL'!$C$6:$O$528,12,FALSE)</f>
        <v>0</v>
      </c>
    </row>
    <row r="75" spans="1:13">
      <c r="A75" s="1293" t="s">
        <v>1147</v>
      </c>
      <c r="B75" s="1287" t="str">
        <f t="shared" si="1"/>
        <v>SAMPLE STATE COLLEGE</v>
      </c>
      <c r="C75" s="1294" t="s">
        <v>1147</v>
      </c>
      <c r="D75" s="1289">
        <f>VLOOKUP($A75,'Accounts by GL'!$C$6:$O$528,2,FALSE)</f>
        <v>0</v>
      </c>
      <c r="E75" s="1289">
        <f>VLOOKUP($A75,'Accounts by GL'!$C$6:$O$528,3,FALSE)</f>
        <v>0</v>
      </c>
      <c r="F75" s="1289">
        <f>VLOOKUP($A75,'Accounts by GL'!$C$6:$O$528,4,FALSE)</f>
        <v>0</v>
      </c>
      <c r="G75" s="1289">
        <f>VLOOKUP($A75,'Accounts by GL'!$C$6:$O$528,5,FALSE)</f>
        <v>0</v>
      </c>
      <c r="H75" s="1289">
        <f>VLOOKUP($A75,'Accounts by GL'!$C$6:$O$528,6,FALSE)</f>
        <v>0</v>
      </c>
      <c r="I75" s="1289">
        <f>VLOOKUP($A75,'Accounts by GL'!$C$6:$O$528,7,FALSE)</f>
        <v>0</v>
      </c>
      <c r="J75" s="1289">
        <f>VLOOKUP($A75,'Accounts by GL'!$C$6:$O$528,8,FALSE)</f>
        <v>0</v>
      </c>
      <c r="K75" s="1289">
        <f>VLOOKUP($A75,'Accounts by GL'!$C$6:$O$528,9,FALSE)</f>
        <v>0</v>
      </c>
      <c r="L75" s="1289">
        <f>VLOOKUP($A75,'Accounts by GL'!$C$6:$O$528,10,FALSE)</f>
        <v>0</v>
      </c>
      <c r="M75" s="1289">
        <f>VLOOKUP($A75,'Accounts by GL'!$C$6:$O$528,12,FALSE)</f>
        <v>0</v>
      </c>
    </row>
    <row r="76" spans="1:13">
      <c r="A76" s="1293" t="s">
        <v>1150</v>
      </c>
      <c r="B76" s="1287" t="str">
        <f t="shared" si="1"/>
        <v>SAMPLE STATE COLLEGE</v>
      </c>
      <c r="C76" s="1294" t="s">
        <v>1150</v>
      </c>
      <c r="D76" s="1289">
        <f>VLOOKUP($A76,'Accounts by GL'!$C$6:$O$528,2,FALSE)</f>
        <v>0</v>
      </c>
      <c r="E76" s="1289">
        <f>VLOOKUP($A76,'Accounts by GL'!$C$6:$O$528,3,FALSE)</f>
        <v>0</v>
      </c>
      <c r="F76" s="1289">
        <f>VLOOKUP($A76,'Accounts by GL'!$C$6:$O$528,4,FALSE)</f>
        <v>0</v>
      </c>
      <c r="G76" s="1289">
        <f>VLOOKUP($A76,'Accounts by GL'!$C$6:$O$528,5,FALSE)</f>
        <v>0</v>
      </c>
      <c r="H76" s="1289">
        <f>VLOOKUP($A76,'Accounts by GL'!$C$6:$O$528,6,FALSE)</f>
        <v>0</v>
      </c>
      <c r="I76" s="1289">
        <f>VLOOKUP($A76,'Accounts by GL'!$C$6:$O$528,7,FALSE)</f>
        <v>0</v>
      </c>
      <c r="J76" s="1289">
        <f>VLOOKUP($A76,'Accounts by GL'!$C$6:$O$528,8,FALSE)</f>
        <v>0</v>
      </c>
      <c r="K76" s="1289">
        <f>VLOOKUP($A76,'Accounts by GL'!$C$6:$O$528,9,FALSE)</f>
        <v>0</v>
      </c>
      <c r="L76" s="1289">
        <f>VLOOKUP($A76,'Accounts by GL'!$C$6:$O$528,10,FALSE)</f>
        <v>0</v>
      </c>
      <c r="M76" s="1289">
        <f>VLOOKUP($A76,'Accounts by GL'!$C$6:$O$528,12,FALSE)</f>
        <v>0</v>
      </c>
    </row>
    <row r="77" spans="1:13">
      <c r="A77" s="1293" t="s">
        <v>1152</v>
      </c>
      <c r="B77" s="1287" t="str">
        <f t="shared" si="1"/>
        <v>SAMPLE STATE COLLEGE</v>
      </c>
      <c r="C77" s="1294" t="s">
        <v>1152</v>
      </c>
      <c r="D77" s="1289">
        <f>VLOOKUP($A77,'Accounts by GL'!$C$6:$O$528,2,FALSE)</f>
        <v>0</v>
      </c>
      <c r="E77" s="1289">
        <f>VLOOKUP($A77,'Accounts by GL'!$C$6:$O$528,3,FALSE)</f>
        <v>0</v>
      </c>
      <c r="F77" s="1289">
        <f>VLOOKUP($A77,'Accounts by GL'!$C$6:$O$528,4,FALSE)</f>
        <v>0</v>
      </c>
      <c r="G77" s="1289">
        <f>VLOOKUP($A77,'Accounts by GL'!$C$6:$O$528,5,FALSE)</f>
        <v>0</v>
      </c>
      <c r="H77" s="1289">
        <f>VLOOKUP($A77,'Accounts by GL'!$C$6:$O$528,6,FALSE)</f>
        <v>0</v>
      </c>
      <c r="I77" s="1289">
        <f>VLOOKUP($A77,'Accounts by GL'!$C$6:$O$528,7,FALSE)</f>
        <v>0</v>
      </c>
      <c r="J77" s="1289">
        <f>VLOOKUP($A77,'Accounts by GL'!$C$6:$O$528,8,FALSE)</f>
        <v>0</v>
      </c>
      <c r="K77" s="1289">
        <f>VLOOKUP($A77,'Accounts by GL'!$C$6:$O$528,9,FALSE)</f>
        <v>0</v>
      </c>
      <c r="L77" s="1289">
        <f>VLOOKUP($A77,'Accounts by GL'!$C$6:$O$528,10,FALSE)</f>
        <v>0</v>
      </c>
      <c r="M77" s="1289">
        <f>VLOOKUP($A77,'Accounts by GL'!$C$6:$O$528,12,FALSE)</f>
        <v>0</v>
      </c>
    </row>
    <row r="78" spans="1:13">
      <c r="A78" s="1293" t="s">
        <v>1155</v>
      </c>
      <c r="B78" s="1287" t="str">
        <f t="shared" si="1"/>
        <v>SAMPLE STATE COLLEGE</v>
      </c>
      <c r="C78" s="1294" t="s">
        <v>1155</v>
      </c>
      <c r="D78" s="1289">
        <f>VLOOKUP($A78,'Accounts by GL'!$C$6:$O$528,2,FALSE)</f>
        <v>0</v>
      </c>
      <c r="E78" s="1289">
        <f>VLOOKUP($A78,'Accounts by GL'!$C$6:$O$528,3,FALSE)</f>
        <v>0</v>
      </c>
      <c r="F78" s="1289">
        <f>VLOOKUP($A78,'Accounts by GL'!$C$6:$O$528,4,FALSE)</f>
        <v>0</v>
      </c>
      <c r="G78" s="1289">
        <f>VLOOKUP($A78,'Accounts by GL'!$C$6:$O$528,5,FALSE)</f>
        <v>0</v>
      </c>
      <c r="H78" s="1289">
        <f>VLOOKUP($A78,'Accounts by GL'!$C$6:$O$528,6,FALSE)</f>
        <v>0</v>
      </c>
      <c r="I78" s="1289">
        <f>VLOOKUP($A78,'Accounts by GL'!$C$6:$O$528,7,FALSE)</f>
        <v>0</v>
      </c>
      <c r="J78" s="1289">
        <f>VLOOKUP($A78,'Accounts by GL'!$C$6:$O$528,8,FALSE)</f>
        <v>0</v>
      </c>
      <c r="K78" s="1289">
        <f>VLOOKUP($A78,'Accounts by GL'!$C$6:$O$528,9,FALSE)</f>
        <v>0</v>
      </c>
      <c r="L78" s="1289">
        <f>VLOOKUP($A78,'Accounts by GL'!$C$6:$O$528,10,FALSE)</f>
        <v>0</v>
      </c>
      <c r="M78" s="1289">
        <f>VLOOKUP($A78,'Accounts by GL'!$C$6:$O$528,12,FALSE)</f>
        <v>0</v>
      </c>
    </row>
    <row r="79" spans="1:13">
      <c r="A79" s="1293" t="s">
        <v>1157</v>
      </c>
      <c r="B79" s="1287" t="str">
        <f t="shared" si="1"/>
        <v>SAMPLE STATE COLLEGE</v>
      </c>
      <c r="C79" s="1294" t="s">
        <v>1157</v>
      </c>
      <c r="D79" s="1289">
        <f>VLOOKUP($A79,'Accounts by GL'!$C$6:$O$528,2,FALSE)</f>
        <v>0</v>
      </c>
      <c r="E79" s="1289">
        <f>VLOOKUP($A79,'Accounts by GL'!$C$6:$O$528,3,FALSE)</f>
        <v>0</v>
      </c>
      <c r="F79" s="1289">
        <f>VLOOKUP($A79,'Accounts by GL'!$C$6:$O$528,4,FALSE)</f>
        <v>0</v>
      </c>
      <c r="G79" s="1289">
        <f>VLOOKUP($A79,'Accounts by GL'!$C$6:$O$528,5,FALSE)</f>
        <v>0</v>
      </c>
      <c r="H79" s="1289">
        <f>VLOOKUP($A79,'Accounts by GL'!$C$6:$O$528,6,FALSE)</f>
        <v>0</v>
      </c>
      <c r="I79" s="1289">
        <f>VLOOKUP($A79,'Accounts by GL'!$C$6:$O$528,7,FALSE)</f>
        <v>0</v>
      </c>
      <c r="J79" s="1289">
        <f>VLOOKUP($A79,'Accounts by GL'!$C$6:$O$528,8,FALSE)</f>
        <v>0</v>
      </c>
      <c r="K79" s="1289">
        <f>VLOOKUP($A79,'Accounts by GL'!$C$6:$O$528,9,FALSE)</f>
        <v>0</v>
      </c>
      <c r="L79" s="1289">
        <f>VLOOKUP($A79,'Accounts by GL'!$C$6:$O$528,10,FALSE)</f>
        <v>0</v>
      </c>
      <c r="M79" s="1289">
        <f>VLOOKUP($A79,'Accounts by GL'!$C$6:$O$528,12,FALSE)</f>
        <v>0</v>
      </c>
    </row>
    <row r="80" spans="1:13">
      <c r="A80" s="1293" t="s">
        <v>1159</v>
      </c>
      <c r="B80" s="1287" t="str">
        <f t="shared" si="1"/>
        <v>SAMPLE STATE COLLEGE</v>
      </c>
      <c r="C80" s="1294" t="s">
        <v>1159</v>
      </c>
      <c r="D80" s="1289">
        <f>VLOOKUP($A80,'Accounts by GL'!$C$6:$O$528,2,FALSE)</f>
        <v>0</v>
      </c>
      <c r="E80" s="1289">
        <f>VLOOKUP($A80,'Accounts by GL'!$C$6:$O$528,3,FALSE)</f>
        <v>0</v>
      </c>
      <c r="F80" s="1289">
        <f>VLOOKUP($A80,'Accounts by GL'!$C$6:$O$528,4,FALSE)</f>
        <v>0</v>
      </c>
      <c r="G80" s="1289">
        <f>VLOOKUP($A80,'Accounts by GL'!$C$6:$O$528,5,FALSE)</f>
        <v>0</v>
      </c>
      <c r="H80" s="1289">
        <f>VLOOKUP($A80,'Accounts by GL'!$C$6:$O$528,6,FALSE)</f>
        <v>0</v>
      </c>
      <c r="I80" s="1289">
        <f>VLOOKUP($A80,'Accounts by GL'!$C$6:$O$528,7,FALSE)</f>
        <v>0</v>
      </c>
      <c r="J80" s="1289">
        <f>VLOOKUP($A80,'Accounts by GL'!$C$6:$O$528,8,FALSE)</f>
        <v>0</v>
      </c>
      <c r="K80" s="1289">
        <f>VLOOKUP($A80,'Accounts by GL'!$C$6:$O$528,9,FALSE)</f>
        <v>0</v>
      </c>
      <c r="L80" s="1289">
        <f>VLOOKUP($A80,'Accounts by GL'!$C$6:$O$528,10,FALSE)</f>
        <v>0</v>
      </c>
      <c r="M80" s="1289">
        <f>VLOOKUP($A80,'Accounts by GL'!$C$6:$O$528,12,FALSE)</f>
        <v>0</v>
      </c>
    </row>
    <row r="81" spans="1:15">
      <c r="A81" s="1293" t="s">
        <v>1162</v>
      </c>
      <c r="B81" s="1287" t="str">
        <f t="shared" si="1"/>
        <v>SAMPLE STATE COLLEGE</v>
      </c>
      <c r="C81" s="1294" t="s">
        <v>1162</v>
      </c>
      <c r="D81" s="1289">
        <f>VLOOKUP($A81,'Accounts by GL'!$C$6:$O$528,2,FALSE)</f>
        <v>0</v>
      </c>
      <c r="E81" s="1289">
        <f>VLOOKUP($A81,'Accounts by GL'!$C$6:$O$528,3,FALSE)</f>
        <v>0</v>
      </c>
      <c r="F81" s="1289">
        <f>VLOOKUP($A81,'Accounts by GL'!$C$6:$O$528,4,FALSE)</f>
        <v>0</v>
      </c>
      <c r="G81" s="1289">
        <f>VLOOKUP($A81,'Accounts by GL'!$C$6:$O$528,5,FALSE)</f>
        <v>0</v>
      </c>
      <c r="H81" s="1289">
        <f>VLOOKUP($A81,'Accounts by GL'!$C$6:$O$528,6,FALSE)</f>
        <v>0</v>
      </c>
      <c r="I81" s="1289">
        <f>VLOOKUP($A81,'Accounts by GL'!$C$6:$O$528,7,FALSE)</f>
        <v>0</v>
      </c>
      <c r="J81" s="1289">
        <f>VLOOKUP($A81,'Accounts by GL'!$C$6:$O$528,8,FALSE)</f>
        <v>0</v>
      </c>
      <c r="K81" s="1289">
        <f>VLOOKUP($A81,'Accounts by GL'!$C$6:$O$528,9,FALSE)</f>
        <v>0</v>
      </c>
      <c r="L81" s="1289">
        <f>VLOOKUP($A81,'Accounts by GL'!$C$6:$O$528,10,FALSE)</f>
        <v>0</v>
      </c>
      <c r="M81" s="1289">
        <f>VLOOKUP($A81,'Accounts by GL'!$C$6:$O$528,12,FALSE)</f>
        <v>0</v>
      </c>
    </row>
    <row r="82" spans="1:15">
      <c r="A82" s="1293" t="s">
        <v>1173</v>
      </c>
      <c r="B82" s="1287" t="str">
        <f t="shared" si="1"/>
        <v>SAMPLE STATE COLLEGE</v>
      </c>
      <c r="C82" s="1294" t="s">
        <v>1173</v>
      </c>
      <c r="D82" s="1289">
        <f>VLOOKUP($A82,'Accounts by GL'!$C$6:$O$528,2,FALSE)</f>
        <v>0</v>
      </c>
      <c r="E82" s="1289">
        <f>VLOOKUP($A82,'Accounts by GL'!$C$6:$O$528,3,FALSE)</f>
        <v>0</v>
      </c>
      <c r="F82" s="1289">
        <f>VLOOKUP($A82,'Accounts by GL'!$C$6:$O$528,4,FALSE)</f>
        <v>0</v>
      </c>
      <c r="G82" s="1289">
        <f>VLOOKUP($A82,'Accounts by GL'!$C$6:$O$528,5,FALSE)</f>
        <v>0</v>
      </c>
      <c r="H82" s="1289">
        <f>VLOOKUP($A82,'Accounts by GL'!$C$6:$O$528,6,FALSE)</f>
        <v>0</v>
      </c>
      <c r="I82" s="1289">
        <f>VLOOKUP($A82,'Accounts by GL'!$C$6:$O$528,7,FALSE)</f>
        <v>0</v>
      </c>
      <c r="J82" s="1289">
        <f>VLOOKUP($A82,'Accounts by GL'!$C$6:$O$528,8,FALSE)</f>
        <v>0</v>
      </c>
      <c r="K82" s="1289">
        <f>VLOOKUP($A82,'Accounts by GL'!$C$6:$O$528,9,FALSE)</f>
        <v>0</v>
      </c>
      <c r="L82" s="1289">
        <f>VLOOKUP($A82,'Accounts by GL'!$C$6:$O$528,10,FALSE)</f>
        <v>0</v>
      </c>
      <c r="M82" s="1289">
        <f>VLOOKUP($A82,'Accounts by GL'!$C$6:$O$528,12,FALSE)</f>
        <v>0</v>
      </c>
    </row>
    <row r="83" spans="1:15">
      <c r="A83" s="1293" t="s">
        <v>1173</v>
      </c>
      <c r="B83" s="1287" t="str">
        <f t="shared" si="1"/>
        <v>SAMPLE STATE COLLEGE</v>
      </c>
      <c r="C83" s="1294" t="s">
        <v>1173</v>
      </c>
      <c r="D83" s="1289">
        <f>VLOOKUP($A83,'Accounts by GL'!$C$6:$O$528,2,FALSE)</f>
        <v>0</v>
      </c>
      <c r="E83" s="1289">
        <f>VLOOKUP($A83,'Accounts by GL'!$C$6:$O$528,3,FALSE)</f>
        <v>0</v>
      </c>
      <c r="F83" s="1289">
        <f>VLOOKUP($A83,'Accounts by GL'!$C$6:$O$528,4,FALSE)</f>
        <v>0</v>
      </c>
      <c r="G83" s="1289">
        <f>VLOOKUP($A83,'Accounts by GL'!$C$6:$O$528,5,FALSE)</f>
        <v>0</v>
      </c>
      <c r="H83" s="1289">
        <f>VLOOKUP($A83,'Accounts by GL'!$C$6:$O$528,6,FALSE)</f>
        <v>0</v>
      </c>
      <c r="I83" s="1289">
        <f>VLOOKUP($A83,'Accounts by GL'!$C$6:$O$528,7,FALSE)</f>
        <v>0</v>
      </c>
      <c r="J83" s="1289">
        <f>VLOOKUP($A83,'Accounts by GL'!$C$6:$O$528,8,FALSE)</f>
        <v>0</v>
      </c>
      <c r="K83" s="1289">
        <f>VLOOKUP($A83,'Accounts by GL'!$C$6:$O$528,9,FALSE)</f>
        <v>0</v>
      </c>
      <c r="L83" s="1289">
        <f>VLOOKUP($A83,'Accounts by GL'!$C$6:$O$528,10,FALSE)</f>
        <v>0</v>
      </c>
      <c r="M83" s="1289">
        <f>VLOOKUP($A83,'Accounts by GL'!$C$6:$O$528,12,FALSE)</f>
        <v>0</v>
      </c>
      <c r="O83" s="2040"/>
    </row>
    <row r="84" spans="1:15">
      <c r="A84" s="1293" t="s">
        <v>1179</v>
      </c>
      <c r="B84" s="1287" t="str">
        <f t="shared" si="1"/>
        <v>SAMPLE STATE COLLEGE</v>
      </c>
      <c r="C84" s="1294" t="s">
        <v>1179</v>
      </c>
      <c r="D84" s="1289">
        <f>VLOOKUP($A84,'Accounts by GL'!$C$6:$O$528,2,FALSE)</f>
        <v>0</v>
      </c>
      <c r="E84" s="1289">
        <f>VLOOKUP($A84,'Accounts by GL'!$C$6:$O$528,3,FALSE)</f>
        <v>0</v>
      </c>
      <c r="F84" s="1289">
        <f>VLOOKUP($A84,'Accounts by GL'!$C$6:$O$528,4,FALSE)</f>
        <v>0</v>
      </c>
      <c r="G84" s="1289">
        <f>VLOOKUP($A84,'Accounts by GL'!$C$6:$O$528,5,FALSE)</f>
        <v>0</v>
      </c>
      <c r="H84" s="1289">
        <f>VLOOKUP($A84,'Accounts by GL'!$C$6:$O$528,6,FALSE)</f>
        <v>0</v>
      </c>
      <c r="I84" s="1289">
        <f>VLOOKUP($A84,'Accounts by GL'!$C$6:$O$528,7,FALSE)</f>
        <v>0</v>
      </c>
      <c r="J84" s="1289">
        <f>VLOOKUP($A84,'Accounts by GL'!$C$6:$O$528,8,FALSE)</f>
        <v>0</v>
      </c>
      <c r="K84" s="1289">
        <f>VLOOKUP($A84,'Accounts by GL'!$C$6:$O$528,9,FALSE)</f>
        <v>0</v>
      </c>
      <c r="L84" s="1289">
        <f>VLOOKUP($A84,'Accounts by GL'!$C$6:$O$528,10,FALSE)</f>
        <v>0</v>
      </c>
      <c r="M84" s="1289">
        <f>VLOOKUP($A84,'Accounts by GL'!$C$6:$O$528,12,FALSE)</f>
        <v>0</v>
      </c>
    </row>
    <row r="85" spans="1:15">
      <c r="A85" s="1293" t="s">
        <v>1181</v>
      </c>
      <c r="B85" s="1287" t="str">
        <f t="shared" si="1"/>
        <v>SAMPLE STATE COLLEGE</v>
      </c>
      <c r="C85" s="1294" t="s">
        <v>1181</v>
      </c>
      <c r="D85" s="1289">
        <f>VLOOKUP($A85,'Accounts by GL'!$C$6:$O$528,2,FALSE)</f>
        <v>0</v>
      </c>
      <c r="E85" s="1289">
        <f>VLOOKUP($A85,'Accounts by GL'!$C$6:$O$528,3,FALSE)</f>
        <v>0</v>
      </c>
      <c r="F85" s="1289">
        <f>VLOOKUP($A85,'Accounts by GL'!$C$6:$O$528,4,FALSE)</f>
        <v>0</v>
      </c>
      <c r="G85" s="1289">
        <f>VLOOKUP($A85,'Accounts by GL'!$C$6:$O$528,5,FALSE)</f>
        <v>0</v>
      </c>
      <c r="H85" s="1289">
        <f>VLOOKUP($A85,'Accounts by GL'!$C$6:$O$528,6,FALSE)</f>
        <v>0</v>
      </c>
      <c r="I85" s="1289">
        <f>VLOOKUP($A85,'Accounts by GL'!$C$6:$O$528,7,FALSE)</f>
        <v>0</v>
      </c>
      <c r="J85" s="1289">
        <f>VLOOKUP($A85,'Accounts by GL'!$C$6:$O$528,8,FALSE)</f>
        <v>0</v>
      </c>
      <c r="K85" s="1289">
        <f>VLOOKUP($A85,'Accounts by GL'!$C$6:$O$528,9,FALSE)</f>
        <v>0</v>
      </c>
      <c r="L85" s="1289">
        <f>VLOOKUP($A85,'Accounts by GL'!$C$6:$O$528,10,FALSE)</f>
        <v>0</v>
      </c>
      <c r="M85" s="1289">
        <f>VLOOKUP($A85,'Accounts by GL'!$C$6:$O$528,12,FALSE)</f>
        <v>0</v>
      </c>
    </row>
    <row r="86" spans="1:15">
      <c r="A86" s="1293" t="s">
        <v>1183</v>
      </c>
      <c r="B86" s="1287" t="str">
        <f t="shared" si="1"/>
        <v>SAMPLE STATE COLLEGE</v>
      </c>
      <c r="C86" s="1294" t="s">
        <v>1183</v>
      </c>
      <c r="D86" s="1289">
        <f>VLOOKUP($A86,'Accounts by GL'!$C$6:$O$528,2,FALSE)</f>
        <v>0</v>
      </c>
      <c r="E86" s="1289">
        <f>VLOOKUP($A86,'Accounts by GL'!$C$6:$O$528,3,FALSE)</f>
        <v>0</v>
      </c>
      <c r="F86" s="1289">
        <f>VLOOKUP($A86,'Accounts by GL'!$C$6:$O$528,4,FALSE)</f>
        <v>0</v>
      </c>
      <c r="G86" s="1289">
        <f>VLOOKUP($A86,'Accounts by GL'!$C$6:$O$528,5,FALSE)</f>
        <v>0</v>
      </c>
      <c r="H86" s="1289">
        <f>VLOOKUP($A86,'Accounts by GL'!$C$6:$O$528,6,FALSE)</f>
        <v>0</v>
      </c>
      <c r="I86" s="1289">
        <f>VLOOKUP($A86,'Accounts by GL'!$C$6:$O$528,7,FALSE)</f>
        <v>0</v>
      </c>
      <c r="J86" s="1289">
        <f>VLOOKUP($A86,'Accounts by GL'!$C$6:$O$528,8,FALSE)</f>
        <v>0</v>
      </c>
      <c r="K86" s="1289">
        <f>VLOOKUP($A86,'Accounts by GL'!$C$6:$O$528,9,FALSE)</f>
        <v>0</v>
      </c>
      <c r="L86" s="1289">
        <f>VLOOKUP($A86,'Accounts by GL'!$C$6:$O$528,10,FALSE)</f>
        <v>0</v>
      </c>
      <c r="M86" s="1289">
        <f>VLOOKUP($A86,'Accounts by GL'!$C$6:$O$528,12,FALSE)</f>
        <v>0</v>
      </c>
    </row>
    <row r="87" spans="1:15">
      <c r="A87" s="1293" t="s">
        <v>1186</v>
      </c>
      <c r="B87" s="1287" t="str">
        <f t="shared" si="1"/>
        <v>SAMPLE STATE COLLEGE</v>
      </c>
      <c r="C87" s="1294" t="s">
        <v>1186</v>
      </c>
      <c r="D87" s="1289">
        <f>VLOOKUP($A87,'Accounts by GL'!$C$6:$O$528,2,FALSE)</f>
        <v>0</v>
      </c>
      <c r="E87" s="1289">
        <f>VLOOKUP($A87,'Accounts by GL'!$C$6:$O$528,3,FALSE)</f>
        <v>0</v>
      </c>
      <c r="F87" s="1289">
        <f>VLOOKUP($A87,'Accounts by GL'!$C$6:$O$528,4,FALSE)</f>
        <v>0</v>
      </c>
      <c r="G87" s="1289">
        <f>VLOOKUP($A87,'Accounts by GL'!$C$6:$O$528,5,FALSE)</f>
        <v>0</v>
      </c>
      <c r="H87" s="1289">
        <f>VLOOKUP($A87,'Accounts by GL'!$C$6:$O$528,6,FALSE)</f>
        <v>0</v>
      </c>
      <c r="I87" s="1289">
        <f>VLOOKUP($A87,'Accounts by GL'!$C$6:$O$528,7,FALSE)</f>
        <v>0</v>
      </c>
      <c r="J87" s="1289">
        <f>VLOOKUP($A87,'Accounts by GL'!$C$6:$O$528,8,FALSE)</f>
        <v>0</v>
      </c>
      <c r="K87" s="1289">
        <f>VLOOKUP($A87,'Accounts by GL'!$C$6:$O$528,9,FALSE)</f>
        <v>0</v>
      </c>
      <c r="L87" s="1289">
        <f>VLOOKUP($A87,'Accounts by GL'!$C$6:$O$528,10,FALSE)</f>
        <v>0</v>
      </c>
      <c r="M87" s="1289">
        <f>VLOOKUP($A87,'Accounts by GL'!$C$6:$O$528,12,FALSE)</f>
        <v>0</v>
      </c>
    </row>
    <row r="88" spans="1:15">
      <c r="A88" s="1293" t="s">
        <v>1189</v>
      </c>
      <c r="B88" s="1287" t="str">
        <f t="shared" si="1"/>
        <v>SAMPLE STATE COLLEGE</v>
      </c>
      <c r="C88" s="1294" t="s">
        <v>1189</v>
      </c>
      <c r="D88" s="1289">
        <f>VLOOKUP($A88,'Accounts by GL'!$C$6:$O$528,2,FALSE)</f>
        <v>0</v>
      </c>
      <c r="E88" s="1289">
        <f>VLOOKUP($A88,'Accounts by GL'!$C$6:$O$528,3,FALSE)</f>
        <v>0</v>
      </c>
      <c r="F88" s="1289">
        <f>VLOOKUP($A88,'Accounts by GL'!$C$6:$O$528,4,FALSE)</f>
        <v>0</v>
      </c>
      <c r="G88" s="1289">
        <f>VLOOKUP($A88,'Accounts by GL'!$C$6:$O$528,5,FALSE)</f>
        <v>0</v>
      </c>
      <c r="H88" s="1289">
        <f>VLOOKUP($A88,'Accounts by GL'!$C$6:$O$528,6,FALSE)</f>
        <v>0</v>
      </c>
      <c r="I88" s="1289">
        <f>VLOOKUP($A88,'Accounts by GL'!$C$6:$O$528,7,FALSE)</f>
        <v>0</v>
      </c>
      <c r="J88" s="1289">
        <f>VLOOKUP($A88,'Accounts by GL'!$C$6:$O$528,8,FALSE)</f>
        <v>0</v>
      </c>
      <c r="K88" s="1289">
        <f>VLOOKUP($A88,'Accounts by GL'!$C$6:$O$528,9,FALSE)</f>
        <v>0</v>
      </c>
      <c r="L88" s="1289">
        <f>VLOOKUP($A88,'Accounts by GL'!$C$6:$O$528,10,FALSE)</f>
        <v>0</v>
      </c>
      <c r="M88" s="1289">
        <f>VLOOKUP($A88,'Accounts by GL'!$C$6:$O$528,12,FALSE)</f>
        <v>0</v>
      </c>
    </row>
    <row r="89" spans="1:15">
      <c r="A89" s="1293" t="s">
        <v>1192</v>
      </c>
      <c r="B89" s="1287" t="str">
        <f t="shared" si="1"/>
        <v>SAMPLE STATE COLLEGE</v>
      </c>
      <c r="C89" s="1294" t="s">
        <v>1192</v>
      </c>
      <c r="D89" s="1289">
        <f>VLOOKUP($A89,'Accounts by GL'!$C$6:$O$528,2,FALSE)</f>
        <v>0</v>
      </c>
      <c r="E89" s="1289">
        <f>VLOOKUP($A89,'Accounts by GL'!$C$6:$O$528,3,FALSE)</f>
        <v>0</v>
      </c>
      <c r="F89" s="1289">
        <f>VLOOKUP($A89,'Accounts by GL'!$C$6:$O$528,4,FALSE)</f>
        <v>0</v>
      </c>
      <c r="G89" s="1289">
        <f>VLOOKUP($A89,'Accounts by GL'!$C$6:$O$528,5,FALSE)</f>
        <v>0</v>
      </c>
      <c r="H89" s="1289">
        <f>VLOOKUP($A89,'Accounts by GL'!$C$6:$O$528,6,FALSE)</f>
        <v>0</v>
      </c>
      <c r="I89" s="1289">
        <f>VLOOKUP($A89,'Accounts by GL'!$C$6:$O$528,7,FALSE)</f>
        <v>0</v>
      </c>
      <c r="J89" s="1289">
        <f>VLOOKUP($A89,'Accounts by GL'!$C$6:$O$528,8,FALSE)</f>
        <v>0</v>
      </c>
      <c r="K89" s="1289">
        <f>VLOOKUP($A89,'Accounts by GL'!$C$6:$O$528,9,FALSE)</f>
        <v>0</v>
      </c>
      <c r="L89" s="1289">
        <f>VLOOKUP($A89,'Accounts by GL'!$C$6:$O$528,10,FALSE)</f>
        <v>0</v>
      </c>
      <c r="M89" s="1289">
        <f>VLOOKUP($A89,'Accounts by GL'!$C$6:$O$528,12,FALSE)</f>
        <v>0</v>
      </c>
    </row>
    <row r="90" spans="1:15">
      <c r="A90" s="1293" t="s">
        <v>1195</v>
      </c>
      <c r="B90" s="1287" t="str">
        <f t="shared" si="1"/>
        <v>SAMPLE STATE COLLEGE</v>
      </c>
      <c r="C90" s="1294" t="s">
        <v>1195</v>
      </c>
      <c r="D90" s="1289">
        <f>VLOOKUP($A90,'Accounts by GL'!$C$6:$O$528,2,FALSE)</f>
        <v>0</v>
      </c>
      <c r="E90" s="1289">
        <f>VLOOKUP($A90,'Accounts by GL'!$C$6:$O$528,3,FALSE)</f>
        <v>0</v>
      </c>
      <c r="F90" s="1289">
        <f>VLOOKUP($A90,'Accounts by GL'!$C$6:$O$528,4,FALSE)</f>
        <v>0</v>
      </c>
      <c r="G90" s="1289">
        <f>VLOOKUP($A90,'Accounts by GL'!$C$6:$O$528,5,FALSE)</f>
        <v>0</v>
      </c>
      <c r="H90" s="1289">
        <f>VLOOKUP($A90,'Accounts by GL'!$C$6:$O$528,6,FALSE)</f>
        <v>0</v>
      </c>
      <c r="I90" s="1289">
        <f>VLOOKUP($A90,'Accounts by GL'!$C$6:$O$528,7,FALSE)</f>
        <v>0</v>
      </c>
      <c r="J90" s="1289">
        <f>VLOOKUP($A90,'Accounts by GL'!$C$6:$O$528,8,FALSE)</f>
        <v>0</v>
      </c>
      <c r="K90" s="1289">
        <f>VLOOKUP($A90,'Accounts by GL'!$C$6:$O$528,9,FALSE)</f>
        <v>0</v>
      </c>
      <c r="L90" s="1289">
        <f>VLOOKUP($A90,'Accounts by GL'!$C$6:$O$528,10,FALSE)</f>
        <v>0</v>
      </c>
      <c r="M90" s="1289">
        <f>VLOOKUP($A90,'Accounts by GL'!$C$6:$O$528,12,FALSE)</f>
        <v>0</v>
      </c>
    </row>
    <row r="91" spans="1:15">
      <c r="A91" s="1293" t="s">
        <v>1198</v>
      </c>
      <c r="B91" s="1287" t="str">
        <f t="shared" si="1"/>
        <v>SAMPLE STATE COLLEGE</v>
      </c>
      <c r="C91" s="1294" t="s">
        <v>1198</v>
      </c>
      <c r="D91" s="1289">
        <f>VLOOKUP($A91,'Accounts by GL'!$C$6:$O$528,2,FALSE)</f>
        <v>0</v>
      </c>
      <c r="E91" s="1289">
        <f>VLOOKUP($A91,'Accounts by GL'!$C$6:$O$528,3,FALSE)</f>
        <v>0</v>
      </c>
      <c r="F91" s="1289">
        <f>VLOOKUP($A91,'Accounts by GL'!$C$6:$O$528,4,FALSE)</f>
        <v>0</v>
      </c>
      <c r="G91" s="1289">
        <f>VLOOKUP($A91,'Accounts by GL'!$C$6:$O$528,5,FALSE)</f>
        <v>0</v>
      </c>
      <c r="H91" s="1289">
        <f>VLOOKUP($A91,'Accounts by GL'!$C$6:$O$528,6,FALSE)</f>
        <v>0</v>
      </c>
      <c r="I91" s="1289">
        <f>VLOOKUP($A91,'Accounts by GL'!$C$6:$O$528,7,FALSE)</f>
        <v>0</v>
      </c>
      <c r="J91" s="1289">
        <f>VLOOKUP($A91,'Accounts by GL'!$C$6:$O$528,8,FALSE)</f>
        <v>0</v>
      </c>
      <c r="K91" s="1289">
        <f>VLOOKUP($A91,'Accounts by GL'!$C$6:$O$528,9,FALSE)</f>
        <v>0</v>
      </c>
      <c r="L91" s="1289">
        <f>VLOOKUP($A91,'Accounts by GL'!$C$6:$O$528,10,FALSE)</f>
        <v>0</v>
      </c>
      <c r="M91" s="1289">
        <f>VLOOKUP($A91,'Accounts by GL'!$C$6:$O$528,12,FALSE)</f>
        <v>0</v>
      </c>
    </row>
    <row r="92" spans="1:15">
      <c r="A92" s="1293" t="s">
        <v>1200</v>
      </c>
      <c r="B92" s="1287" t="str">
        <f t="shared" si="1"/>
        <v>SAMPLE STATE COLLEGE</v>
      </c>
      <c r="C92" s="1294" t="s">
        <v>1200</v>
      </c>
      <c r="D92" s="1289">
        <f>VLOOKUP($A92,'Accounts by GL'!$C$6:$O$528,2,FALSE)</f>
        <v>0</v>
      </c>
      <c r="E92" s="1289">
        <f>VLOOKUP($A92,'Accounts by GL'!$C$6:$O$528,3,FALSE)</f>
        <v>0</v>
      </c>
      <c r="F92" s="1289">
        <f>VLOOKUP($A92,'Accounts by GL'!$C$6:$O$528,4,FALSE)</f>
        <v>0</v>
      </c>
      <c r="G92" s="1289">
        <f>VLOOKUP($A92,'Accounts by GL'!$C$6:$O$528,5,FALSE)</f>
        <v>0</v>
      </c>
      <c r="H92" s="1289">
        <f>VLOOKUP($A92,'Accounts by GL'!$C$6:$O$528,6,FALSE)</f>
        <v>0</v>
      </c>
      <c r="I92" s="1289">
        <f>VLOOKUP($A92,'Accounts by GL'!$C$6:$O$528,7,FALSE)</f>
        <v>0</v>
      </c>
      <c r="J92" s="1289">
        <f>VLOOKUP($A92,'Accounts by GL'!$C$6:$O$528,8,FALSE)</f>
        <v>0</v>
      </c>
      <c r="K92" s="1289">
        <f>VLOOKUP($A92,'Accounts by GL'!$C$6:$O$528,9,FALSE)</f>
        <v>0</v>
      </c>
      <c r="L92" s="1289">
        <f>VLOOKUP($A92,'Accounts by GL'!$C$6:$O$528,10,FALSE)</f>
        <v>0</v>
      </c>
      <c r="M92" s="1289">
        <f>VLOOKUP($A92,'Accounts by GL'!$C$6:$O$528,12,FALSE)</f>
        <v>0</v>
      </c>
    </row>
    <row r="93" spans="1:15">
      <c r="A93" s="1293" t="s">
        <v>1203</v>
      </c>
      <c r="B93" s="1287" t="str">
        <f t="shared" si="1"/>
        <v>SAMPLE STATE COLLEGE</v>
      </c>
      <c r="C93" s="1294" t="s">
        <v>1203</v>
      </c>
      <c r="D93" s="1289">
        <f>VLOOKUP($A93,'Accounts by GL'!$C$6:$O$528,2,FALSE)</f>
        <v>0</v>
      </c>
      <c r="E93" s="1289">
        <f>VLOOKUP($A93,'Accounts by GL'!$C$6:$O$528,3,FALSE)</f>
        <v>0</v>
      </c>
      <c r="F93" s="1289">
        <f>VLOOKUP($A93,'Accounts by GL'!$C$6:$O$528,4,FALSE)</f>
        <v>0</v>
      </c>
      <c r="G93" s="1289">
        <f>VLOOKUP($A93,'Accounts by GL'!$C$6:$O$528,5,FALSE)</f>
        <v>0</v>
      </c>
      <c r="H93" s="1289">
        <f>VLOOKUP($A93,'Accounts by GL'!$C$6:$O$528,6,FALSE)</f>
        <v>0</v>
      </c>
      <c r="I93" s="1289">
        <f>VLOOKUP($A93,'Accounts by GL'!$C$6:$O$528,7,FALSE)</f>
        <v>0</v>
      </c>
      <c r="J93" s="1289">
        <f>VLOOKUP($A93,'Accounts by GL'!$C$6:$O$528,8,FALSE)</f>
        <v>0</v>
      </c>
      <c r="K93" s="1289">
        <f>VLOOKUP($A93,'Accounts by GL'!$C$6:$O$528,9,FALSE)</f>
        <v>0</v>
      </c>
      <c r="L93" s="1289">
        <f>VLOOKUP($A93,'Accounts by GL'!$C$6:$O$528,10,FALSE)</f>
        <v>0</v>
      </c>
      <c r="M93" s="1289">
        <f>VLOOKUP($A93,'Accounts by GL'!$C$6:$O$528,12,FALSE)</f>
        <v>0</v>
      </c>
    </row>
    <row r="94" spans="1:15">
      <c r="A94" s="1293" t="s">
        <v>1206</v>
      </c>
      <c r="B94" s="1287" t="str">
        <f t="shared" si="1"/>
        <v>SAMPLE STATE COLLEGE</v>
      </c>
      <c r="C94" s="1294" t="s">
        <v>1206</v>
      </c>
      <c r="D94" s="1289">
        <f>VLOOKUP($A94,'Accounts by GL'!$C$6:$O$528,2,FALSE)</f>
        <v>0</v>
      </c>
      <c r="E94" s="1289">
        <f>VLOOKUP($A94,'Accounts by GL'!$C$6:$O$528,3,FALSE)</f>
        <v>0</v>
      </c>
      <c r="F94" s="1289">
        <f>VLOOKUP($A94,'Accounts by GL'!$C$6:$O$528,4,FALSE)</f>
        <v>0</v>
      </c>
      <c r="G94" s="1289">
        <f>VLOOKUP($A94,'Accounts by GL'!$C$6:$O$528,5,FALSE)</f>
        <v>0</v>
      </c>
      <c r="H94" s="1289">
        <f>VLOOKUP($A94,'Accounts by GL'!$C$6:$O$528,6,FALSE)</f>
        <v>0</v>
      </c>
      <c r="I94" s="1289">
        <f>VLOOKUP($A94,'Accounts by GL'!$C$6:$O$528,7,FALSE)</f>
        <v>0</v>
      </c>
      <c r="J94" s="1289">
        <f>VLOOKUP($A94,'Accounts by GL'!$C$6:$O$528,8,FALSE)</f>
        <v>0</v>
      </c>
      <c r="K94" s="1289">
        <f>VLOOKUP($A94,'Accounts by GL'!$C$6:$O$528,9,FALSE)</f>
        <v>0</v>
      </c>
      <c r="L94" s="1289">
        <f>VLOOKUP($A94,'Accounts by GL'!$C$6:$O$528,10,FALSE)</f>
        <v>0</v>
      </c>
      <c r="M94" s="1289">
        <f>VLOOKUP($A94,'Accounts by GL'!$C$6:$O$528,12,FALSE)</f>
        <v>0</v>
      </c>
    </row>
    <row r="95" spans="1:15">
      <c r="A95" s="1293" t="s">
        <v>1210</v>
      </c>
      <c r="B95" s="1287" t="str">
        <f t="shared" si="1"/>
        <v>SAMPLE STATE COLLEGE</v>
      </c>
      <c r="C95" s="1294" t="s">
        <v>1210</v>
      </c>
      <c r="D95" s="1289">
        <f>VLOOKUP($A95,'Accounts by GL'!$C$6:$O$528,2,FALSE)</f>
        <v>0</v>
      </c>
      <c r="E95" s="1289">
        <f>VLOOKUP($A95,'Accounts by GL'!$C$6:$O$528,3,FALSE)</f>
        <v>0</v>
      </c>
      <c r="F95" s="1289">
        <f>VLOOKUP($A95,'Accounts by GL'!$C$6:$O$528,4,FALSE)</f>
        <v>0</v>
      </c>
      <c r="G95" s="1289">
        <f>VLOOKUP($A95,'Accounts by GL'!$C$6:$O$528,5,FALSE)</f>
        <v>0</v>
      </c>
      <c r="H95" s="1289">
        <f>VLOOKUP($A95,'Accounts by GL'!$C$6:$O$528,6,FALSE)</f>
        <v>0</v>
      </c>
      <c r="I95" s="1289">
        <f>VLOOKUP($A95,'Accounts by GL'!$C$6:$O$528,7,FALSE)</f>
        <v>0</v>
      </c>
      <c r="J95" s="1289">
        <f>VLOOKUP($A95,'Accounts by GL'!$C$6:$O$528,8,FALSE)</f>
        <v>0</v>
      </c>
      <c r="K95" s="1289">
        <f>VLOOKUP($A95,'Accounts by GL'!$C$6:$O$528,9,FALSE)</f>
        <v>0</v>
      </c>
      <c r="L95" s="1289">
        <f>VLOOKUP($A95,'Accounts by GL'!$C$6:$O$528,10,FALSE)</f>
        <v>0</v>
      </c>
      <c r="M95" s="1289">
        <f>VLOOKUP($A95,'Accounts by GL'!$C$6:$O$528,12,FALSE)</f>
        <v>0</v>
      </c>
    </row>
    <row r="96" spans="1:15">
      <c r="A96" s="1293" t="s">
        <v>1213</v>
      </c>
      <c r="B96" s="1287" t="str">
        <f t="shared" si="1"/>
        <v>SAMPLE STATE COLLEGE</v>
      </c>
      <c r="C96" s="1294" t="s">
        <v>1213</v>
      </c>
      <c r="D96" s="1289">
        <f>VLOOKUP($A96,'Accounts by GL'!$C$6:$O$528,2,FALSE)</f>
        <v>0</v>
      </c>
      <c r="E96" s="1289">
        <f>VLOOKUP($A96,'Accounts by GL'!$C$6:$O$528,3,FALSE)</f>
        <v>0</v>
      </c>
      <c r="F96" s="1289">
        <f>VLOOKUP($A96,'Accounts by GL'!$C$6:$O$528,4,FALSE)</f>
        <v>0</v>
      </c>
      <c r="G96" s="1289">
        <f>VLOOKUP($A96,'Accounts by GL'!$C$6:$O$528,5,FALSE)</f>
        <v>0</v>
      </c>
      <c r="H96" s="1289">
        <f>VLOOKUP($A96,'Accounts by GL'!$C$6:$O$528,6,FALSE)</f>
        <v>0</v>
      </c>
      <c r="I96" s="1289">
        <f>VLOOKUP($A96,'Accounts by GL'!$C$6:$O$528,7,FALSE)</f>
        <v>0</v>
      </c>
      <c r="J96" s="1289">
        <f>VLOOKUP($A96,'Accounts by GL'!$C$6:$O$528,8,FALSE)</f>
        <v>0</v>
      </c>
      <c r="K96" s="1289">
        <f>VLOOKUP($A96,'Accounts by GL'!$C$6:$O$528,9,FALSE)</f>
        <v>0</v>
      </c>
      <c r="L96" s="1289">
        <f>VLOOKUP($A96,'Accounts by GL'!$C$6:$O$528,10,FALSE)</f>
        <v>0</v>
      </c>
      <c r="M96" s="1289">
        <f>VLOOKUP($A96,'Accounts by GL'!$C$6:$O$528,12,FALSE)</f>
        <v>0</v>
      </c>
    </row>
    <row r="97" spans="1:13">
      <c r="A97" s="1293" t="s">
        <v>1216</v>
      </c>
      <c r="B97" s="1287" t="str">
        <f t="shared" si="1"/>
        <v>SAMPLE STATE COLLEGE</v>
      </c>
      <c r="C97" s="1294" t="s">
        <v>1216</v>
      </c>
      <c r="D97" s="1289">
        <f>VLOOKUP($A97,'Accounts by GL'!$C$6:$O$528,2,FALSE)</f>
        <v>0</v>
      </c>
      <c r="E97" s="1289">
        <f>VLOOKUP($A97,'Accounts by GL'!$C$6:$O$528,3,FALSE)</f>
        <v>0</v>
      </c>
      <c r="F97" s="1289">
        <f>VLOOKUP($A97,'Accounts by GL'!$C$6:$O$528,4,FALSE)</f>
        <v>0</v>
      </c>
      <c r="G97" s="1289">
        <f>VLOOKUP($A97,'Accounts by GL'!$C$6:$O$528,5,FALSE)</f>
        <v>0</v>
      </c>
      <c r="H97" s="1289">
        <f>VLOOKUP($A97,'Accounts by GL'!$C$6:$O$528,6,FALSE)</f>
        <v>0</v>
      </c>
      <c r="I97" s="1289">
        <f>VLOOKUP($A97,'Accounts by GL'!$C$6:$O$528,7,FALSE)</f>
        <v>0</v>
      </c>
      <c r="J97" s="1289">
        <f>VLOOKUP($A97,'Accounts by GL'!$C$6:$O$528,8,FALSE)</f>
        <v>0</v>
      </c>
      <c r="K97" s="1289">
        <f>VLOOKUP($A97,'Accounts by GL'!$C$6:$O$528,9,FALSE)</f>
        <v>0</v>
      </c>
      <c r="L97" s="1289">
        <f>VLOOKUP($A97,'Accounts by GL'!$C$6:$O$528,10,FALSE)</f>
        <v>0</v>
      </c>
      <c r="M97" s="1289">
        <f>VLOOKUP($A97,'Accounts by GL'!$C$6:$O$528,12,FALSE)</f>
        <v>0</v>
      </c>
    </row>
    <row r="98" spans="1:13">
      <c r="A98" s="1293" t="s">
        <v>1217</v>
      </c>
      <c r="B98" s="1287" t="str">
        <f t="shared" si="1"/>
        <v>SAMPLE STATE COLLEGE</v>
      </c>
      <c r="C98" s="1294" t="s">
        <v>1217</v>
      </c>
      <c r="D98" s="1289">
        <f>VLOOKUP($A98,'Accounts by GL'!$C$6:$O$528,2,FALSE)</f>
        <v>0</v>
      </c>
      <c r="E98" s="1289">
        <f>VLOOKUP($A98,'Accounts by GL'!$C$6:$O$528,3,FALSE)</f>
        <v>0</v>
      </c>
      <c r="F98" s="1289">
        <f>VLOOKUP($A98,'Accounts by GL'!$C$6:$O$528,4,FALSE)</f>
        <v>0</v>
      </c>
      <c r="G98" s="1289">
        <f>VLOOKUP($A98,'Accounts by GL'!$C$6:$O$528,5,FALSE)</f>
        <v>0</v>
      </c>
      <c r="H98" s="1289">
        <f>VLOOKUP($A98,'Accounts by GL'!$C$6:$O$528,6,FALSE)</f>
        <v>0</v>
      </c>
      <c r="I98" s="1289">
        <f>VLOOKUP($A98,'Accounts by GL'!$C$6:$O$528,7,FALSE)</f>
        <v>0</v>
      </c>
      <c r="J98" s="1289">
        <f>VLOOKUP($A98,'Accounts by GL'!$C$6:$O$528,8,FALSE)</f>
        <v>0</v>
      </c>
      <c r="K98" s="1289">
        <f>VLOOKUP($A98,'Accounts by GL'!$C$6:$O$528,9,FALSE)</f>
        <v>0</v>
      </c>
      <c r="L98" s="1289">
        <f>VLOOKUP($A98,'Accounts by GL'!$C$6:$O$528,10,FALSE)</f>
        <v>0</v>
      </c>
      <c r="M98" s="1289">
        <f>VLOOKUP($A98,'Accounts by GL'!$C$6:$O$528,12,FALSE)</f>
        <v>0</v>
      </c>
    </row>
    <row r="99" spans="1:13">
      <c r="A99" s="1293" t="s">
        <v>1227</v>
      </c>
      <c r="B99" s="1287" t="str">
        <f t="shared" si="1"/>
        <v>SAMPLE STATE COLLEGE</v>
      </c>
      <c r="C99" s="1294" t="s">
        <v>1227</v>
      </c>
      <c r="D99" s="1289">
        <f>VLOOKUP($A99,'Accounts by GL'!$C$6:$O$528,2,FALSE)</f>
        <v>0</v>
      </c>
      <c r="E99" s="1289">
        <f>VLOOKUP($A99,'Accounts by GL'!$C$6:$O$528,3,FALSE)</f>
        <v>0</v>
      </c>
      <c r="F99" s="1289">
        <f>VLOOKUP($A99,'Accounts by GL'!$C$6:$O$528,4,FALSE)</f>
        <v>0</v>
      </c>
      <c r="G99" s="1289">
        <f>VLOOKUP($A99,'Accounts by GL'!$C$6:$O$528,5,FALSE)</f>
        <v>0</v>
      </c>
      <c r="H99" s="1289">
        <f>VLOOKUP($A99,'Accounts by GL'!$C$6:$O$528,6,FALSE)</f>
        <v>0</v>
      </c>
      <c r="I99" s="1289">
        <f>VLOOKUP($A99,'Accounts by GL'!$C$6:$O$528,7,FALSE)</f>
        <v>0</v>
      </c>
      <c r="J99" s="1289">
        <f>VLOOKUP($A99,'Accounts by GL'!$C$6:$O$528,8,FALSE)</f>
        <v>0</v>
      </c>
      <c r="K99" s="1289">
        <f>VLOOKUP($A99,'Accounts by GL'!$C$6:$O$528,9,FALSE)</f>
        <v>0</v>
      </c>
      <c r="L99" s="1289">
        <f>VLOOKUP($A99,'Accounts by GL'!$C$6:$O$528,10,FALSE)</f>
        <v>0</v>
      </c>
      <c r="M99" s="1289">
        <f>VLOOKUP($A99,'Accounts by GL'!$C$6:$O$528,12,FALSE)</f>
        <v>0</v>
      </c>
    </row>
    <row r="100" spans="1:13">
      <c r="A100" s="1293" t="s">
        <v>1229</v>
      </c>
      <c r="B100" s="1287" t="str">
        <f t="shared" si="1"/>
        <v>SAMPLE STATE COLLEGE</v>
      </c>
      <c r="C100" s="1294" t="s">
        <v>1229</v>
      </c>
      <c r="D100" s="1289">
        <f>VLOOKUP($A100,'Accounts by GL'!$C$6:$O$528,2,FALSE)</f>
        <v>0</v>
      </c>
      <c r="E100" s="1289">
        <f>VLOOKUP($A100,'Accounts by GL'!$C$6:$O$528,3,FALSE)</f>
        <v>0</v>
      </c>
      <c r="F100" s="1289">
        <f>VLOOKUP($A100,'Accounts by GL'!$C$6:$O$528,4,FALSE)</f>
        <v>0</v>
      </c>
      <c r="G100" s="1289">
        <f>VLOOKUP($A100,'Accounts by GL'!$C$6:$O$528,5,FALSE)</f>
        <v>0</v>
      </c>
      <c r="H100" s="1289">
        <f>VLOOKUP($A100,'Accounts by GL'!$C$6:$O$528,6,FALSE)</f>
        <v>0</v>
      </c>
      <c r="I100" s="1289">
        <f>VLOOKUP($A100,'Accounts by GL'!$C$6:$O$528,7,FALSE)</f>
        <v>0</v>
      </c>
      <c r="J100" s="1289">
        <f>VLOOKUP($A100,'Accounts by GL'!$C$6:$O$528,8,FALSE)</f>
        <v>0</v>
      </c>
      <c r="K100" s="1289">
        <f>VLOOKUP($A100,'Accounts by GL'!$C$6:$O$528,9,FALSE)</f>
        <v>0</v>
      </c>
      <c r="L100" s="1289">
        <f>VLOOKUP($A100,'Accounts by GL'!$C$6:$O$528,10,FALSE)</f>
        <v>0</v>
      </c>
      <c r="M100" s="1289">
        <f>VLOOKUP($A100,'Accounts by GL'!$C$6:$O$528,12,FALSE)</f>
        <v>0</v>
      </c>
    </row>
    <row r="101" spans="1:13">
      <c r="A101" s="1293" t="s">
        <v>1232</v>
      </c>
      <c r="B101" s="1287" t="str">
        <f t="shared" si="1"/>
        <v>SAMPLE STATE COLLEGE</v>
      </c>
      <c r="C101" s="1294" t="s">
        <v>1232</v>
      </c>
      <c r="D101" s="1289">
        <f>VLOOKUP($A101,'Accounts by GL'!$C$6:$O$528,2,FALSE)</f>
        <v>0</v>
      </c>
      <c r="E101" s="1289">
        <f>VLOOKUP($A101,'Accounts by GL'!$C$6:$O$528,3,FALSE)</f>
        <v>0</v>
      </c>
      <c r="F101" s="1289">
        <f>VLOOKUP($A101,'Accounts by GL'!$C$6:$O$528,4,FALSE)</f>
        <v>0</v>
      </c>
      <c r="G101" s="1289">
        <f>VLOOKUP($A101,'Accounts by GL'!$C$6:$O$528,5,FALSE)</f>
        <v>0</v>
      </c>
      <c r="H101" s="1289">
        <f>VLOOKUP($A101,'Accounts by GL'!$C$6:$O$528,6,FALSE)</f>
        <v>0</v>
      </c>
      <c r="I101" s="1289">
        <f>VLOOKUP($A101,'Accounts by GL'!$C$6:$O$528,7,FALSE)</f>
        <v>0</v>
      </c>
      <c r="J101" s="1289">
        <f>VLOOKUP($A101,'Accounts by GL'!$C$6:$O$528,8,FALSE)</f>
        <v>0</v>
      </c>
      <c r="K101" s="1289">
        <f>VLOOKUP($A101,'Accounts by GL'!$C$6:$O$528,9,FALSE)</f>
        <v>0</v>
      </c>
      <c r="L101" s="1289">
        <f>VLOOKUP($A101,'Accounts by GL'!$C$6:$O$528,10,FALSE)</f>
        <v>0</v>
      </c>
      <c r="M101" s="1289">
        <f>VLOOKUP($A101,'Accounts by GL'!$C$6:$O$528,12,FALSE)</f>
        <v>0</v>
      </c>
    </row>
    <row r="102" spans="1:13">
      <c r="A102" s="1293" t="s">
        <v>1235</v>
      </c>
      <c r="B102" s="1287" t="str">
        <f t="shared" si="1"/>
        <v>SAMPLE STATE COLLEGE</v>
      </c>
      <c r="C102" s="1294" t="s">
        <v>1235</v>
      </c>
      <c r="D102" s="1289">
        <f>VLOOKUP($A102,'Accounts by GL'!$C$6:$O$528,2,FALSE)</f>
        <v>0</v>
      </c>
      <c r="E102" s="1289">
        <f>VLOOKUP($A102,'Accounts by GL'!$C$6:$O$528,3,FALSE)</f>
        <v>0</v>
      </c>
      <c r="F102" s="1289">
        <f>VLOOKUP($A102,'Accounts by GL'!$C$6:$O$528,4,FALSE)</f>
        <v>0</v>
      </c>
      <c r="G102" s="1289">
        <f>VLOOKUP($A102,'Accounts by GL'!$C$6:$O$528,5,FALSE)</f>
        <v>0</v>
      </c>
      <c r="H102" s="1289">
        <f>VLOOKUP($A102,'Accounts by GL'!$C$6:$O$528,6,FALSE)</f>
        <v>0</v>
      </c>
      <c r="I102" s="1289">
        <f>VLOOKUP($A102,'Accounts by GL'!$C$6:$O$528,7,FALSE)</f>
        <v>0</v>
      </c>
      <c r="J102" s="1289">
        <f>VLOOKUP($A102,'Accounts by GL'!$C$6:$O$528,8,FALSE)</f>
        <v>0</v>
      </c>
      <c r="K102" s="1289">
        <f>VLOOKUP($A102,'Accounts by GL'!$C$6:$O$528,9,FALSE)</f>
        <v>0</v>
      </c>
      <c r="L102" s="1289">
        <f>VLOOKUP($A102,'Accounts by GL'!$C$6:$O$528,10,FALSE)</f>
        <v>0</v>
      </c>
      <c r="M102" s="1289">
        <f>VLOOKUP($A102,'Accounts by GL'!$C$6:$O$528,12,FALSE)</f>
        <v>0</v>
      </c>
    </row>
    <row r="103" spans="1:13">
      <c r="A103" s="1293" t="s">
        <v>1238</v>
      </c>
      <c r="B103" s="1287" t="str">
        <f t="shared" si="1"/>
        <v>SAMPLE STATE COLLEGE</v>
      </c>
      <c r="C103" s="1294" t="s">
        <v>1238</v>
      </c>
      <c r="D103" s="1289">
        <f>VLOOKUP($A103,'Accounts by GL'!$C$6:$O$528,2,FALSE)</f>
        <v>0</v>
      </c>
      <c r="E103" s="1289">
        <f>VLOOKUP($A103,'Accounts by GL'!$C$6:$O$528,3,FALSE)</f>
        <v>0</v>
      </c>
      <c r="F103" s="1289">
        <f>VLOOKUP($A103,'Accounts by GL'!$C$6:$O$528,4,FALSE)</f>
        <v>0</v>
      </c>
      <c r="G103" s="1289">
        <f>VLOOKUP($A103,'Accounts by GL'!$C$6:$O$528,5,FALSE)</f>
        <v>0</v>
      </c>
      <c r="H103" s="1289">
        <f>VLOOKUP($A103,'Accounts by GL'!$C$6:$O$528,6,FALSE)</f>
        <v>0</v>
      </c>
      <c r="I103" s="1289">
        <f>VLOOKUP($A103,'Accounts by GL'!$C$6:$O$528,7,FALSE)</f>
        <v>0</v>
      </c>
      <c r="J103" s="1289">
        <f>VLOOKUP($A103,'Accounts by GL'!$C$6:$O$528,8,FALSE)</f>
        <v>0</v>
      </c>
      <c r="K103" s="1289">
        <f>VLOOKUP($A103,'Accounts by GL'!$C$6:$O$528,9,FALSE)</f>
        <v>0</v>
      </c>
      <c r="L103" s="1289">
        <f>VLOOKUP($A103,'Accounts by GL'!$C$6:$O$528,10,FALSE)</f>
        <v>0</v>
      </c>
      <c r="M103" s="1289">
        <f>VLOOKUP($A103,'Accounts by GL'!$C$6:$O$528,12,FALSE)</f>
        <v>0</v>
      </c>
    </row>
    <row r="104" spans="1:13">
      <c r="A104" s="1293" t="s">
        <v>1240</v>
      </c>
      <c r="B104" s="1287" t="str">
        <f t="shared" si="1"/>
        <v>SAMPLE STATE COLLEGE</v>
      </c>
      <c r="C104" s="1294" t="s">
        <v>1240</v>
      </c>
      <c r="D104" s="1289">
        <f>VLOOKUP($A104,'Accounts by GL'!$C$6:$O$528,2,FALSE)</f>
        <v>0</v>
      </c>
      <c r="E104" s="1289">
        <f>VLOOKUP($A104,'Accounts by GL'!$C$6:$O$528,3,FALSE)</f>
        <v>0</v>
      </c>
      <c r="F104" s="1289">
        <f>VLOOKUP($A104,'Accounts by GL'!$C$6:$O$528,4,FALSE)</f>
        <v>0</v>
      </c>
      <c r="G104" s="1289">
        <f>VLOOKUP($A104,'Accounts by GL'!$C$6:$O$528,5,FALSE)</f>
        <v>0</v>
      </c>
      <c r="H104" s="1289">
        <f>VLOOKUP($A104,'Accounts by GL'!$C$6:$O$528,6,FALSE)</f>
        <v>0</v>
      </c>
      <c r="I104" s="1289">
        <f>VLOOKUP($A104,'Accounts by GL'!$C$6:$O$528,7,FALSE)</f>
        <v>0</v>
      </c>
      <c r="J104" s="1289">
        <f>VLOOKUP($A104,'Accounts by GL'!$C$6:$O$528,8,FALSE)</f>
        <v>0</v>
      </c>
      <c r="K104" s="1289">
        <f>VLOOKUP($A104,'Accounts by GL'!$C$6:$O$528,9,FALSE)</f>
        <v>0</v>
      </c>
      <c r="L104" s="1289">
        <f>VLOOKUP($A104,'Accounts by GL'!$C$6:$O$528,10,FALSE)</f>
        <v>0</v>
      </c>
      <c r="M104" s="1289">
        <f>VLOOKUP($A104,'Accounts by GL'!$C$6:$O$528,12,FALSE)</f>
        <v>0</v>
      </c>
    </row>
    <row r="105" spans="1:13">
      <c r="A105" s="1293" t="s">
        <v>246</v>
      </c>
      <c r="B105" s="1287" t="str">
        <f t="shared" si="1"/>
        <v>SAMPLE STATE COLLEGE</v>
      </c>
      <c r="C105" s="1294" t="s">
        <v>246</v>
      </c>
      <c r="D105" s="1289">
        <f>VLOOKUP($A105,'Accounts by GL'!$C$6:$O$528,2,FALSE)</f>
        <v>0</v>
      </c>
      <c r="E105" s="1289">
        <f>VLOOKUP($A105,'Accounts by GL'!$C$6:$O$528,3,FALSE)</f>
        <v>0</v>
      </c>
      <c r="F105" s="1289">
        <f>VLOOKUP($A105,'Accounts by GL'!$C$6:$O$528,4,FALSE)</f>
        <v>0</v>
      </c>
      <c r="G105" s="1289">
        <f>VLOOKUP($A105,'Accounts by GL'!$C$6:$O$528,5,FALSE)</f>
        <v>0</v>
      </c>
      <c r="H105" s="1289">
        <f>VLOOKUP($A105,'Accounts by GL'!$C$6:$O$528,6,FALSE)</f>
        <v>0</v>
      </c>
      <c r="I105" s="1289">
        <f>VLOOKUP($A105,'Accounts by GL'!$C$6:$O$528,7,FALSE)</f>
        <v>0</v>
      </c>
      <c r="J105" s="1289">
        <f>VLOOKUP($A105,'Accounts by GL'!$C$6:$O$528,8,FALSE)</f>
        <v>0</v>
      </c>
      <c r="K105" s="1289">
        <f>VLOOKUP($A105,'Accounts by GL'!$C$6:$O$528,9,FALSE)</f>
        <v>0</v>
      </c>
      <c r="L105" s="1289">
        <f>VLOOKUP($A105,'Accounts by GL'!$C$6:$O$528,10,FALSE)</f>
        <v>0</v>
      </c>
      <c r="M105" s="1289">
        <f>VLOOKUP($A105,'Accounts by GL'!$C$6:$O$528,12,FALSE)</f>
        <v>0</v>
      </c>
    </row>
    <row r="106" spans="1:13">
      <c r="A106" s="1293" t="s">
        <v>1245</v>
      </c>
      <c r="B106" s="1287" t="str">
        <f t="shared" si="1"/>
        <v>SAMPLE STATE COLLEGE</v>
      </c>
      <c r="C106" s="1294" t="s">
        <v>1245</v>
      </c>
      <c r="D106" s="1289">
        <f>VLOOKUP($A106,'Accounts by GL'!$C$6:$O$528,2,FALSE)</f>
        <v>0</v>
      </c>
      <c r="E106" s="1289">
        <f>VLOOKUP($A106,'Accounts by GL'!$C$6:$O$528,3,FALSE)</f>
        <v>0</v>
      </c>
      <c r="F106" s="1289">
        <f>VLOOKUP($A106,'Accounts by GL'!$C$6:$O$528,4,FALSE)</f>
        <v>0</v>
      </c>
      <c r="G106" s="1289">
        <f>VLOOKUP($A106,'Accounts by GL'!$C$6:$O$528,5,FALSE)</f>
        <v>0</v>
      </c>
      <c r="H106" s="1289">
        <f>VLOOKUP($A106,'Accounts by GL'!$C$6:$O$528,6,FALSE)</f>
        <v>0</v>
      </c>
      <c r="I106" s="1289">
        <f>VLOOKUP($A106,'Accounts by GL'!$C$6:$O$528,7,FALSE)</f>
        <v>0</v>
      </c>
      <c r="J106" s="1289">
        <f>VLOOKUP($A106,'Accounts by GL'!$C$6:$O$528,8,FALSE)</f>
        <v>0</v>
      </c>
      <c r="K106" s="1289">
        <f>VLOOKUP($A106,'Accounts by GL'!$C$6:$O$528,9,FALSE)</f>
        <v>0</v>
      </c>
      <c r="L106" s="1289">
        <f>VLOOKUP($A106,'Accounts by GL'!$C$6:$O$528,10,FALSE)</f>
        <v>0</v>
      </c>
      <c r="M106" s="1289">
        <f>VLOOKUP($A106,'Accounts by GL'!$C$6:$O$528,12,FALSE)</f>
        <v>0</v>
      </c>
    </row>
    <row r="107" spans="1:13">
      <c r="A107" s="1293" t="s">
        <v>1248</v>
      </c>
      <c r="B107" s="1287" t="str">
        <f t="shared" si="1"/>
        <v>SAMPLE STATE COLLEGE</v>
      </c>
      <c r="C107" s="1294" t="s">
        <v>1248</v>
      </c>
      <c r="D107" s="1289">
        <f>VLOOKUP($A107,'Accounts by GL'!$C$6:$O$528,2,FALSE)</f>
        <v>0</v>
      </c>
      <c r="E107" s="1289">
        <f>VLOOKUP($A107,'Accounts by GL'!$C$6:$O$528,3,FALSE)</f>
        <v>0</v>
      </c>
      <c r="F107" s="1289">
        <f>VLOOKUP($A107,'Accounts by GL'!$C$6:$O$528,4,FALSE)</f>
        <v>0</v>
      </c>
      <c r="G107" s="1289">
        <f>VLOOKUP($A107,'Accounts by GL'!$C$6:$O$528,5,FALSE)</f>
        <v>0</v>
      </c>
      <c r="H107" s="1289">
        <f>VLOOKUP($A107,'Accounts by GL'!$C$6:$O$528,6,FALSE)</f>
        <v>0</v>
      </c>
      <c r="I107" s="1289">
        <f>VLOOKUP($A107,'Accounts by GL'!$C$6:$O$528,7,FALSE)</f>
        <v>0</v>
      </c>
      <c r="J107" s="1289">
        <f>VLOOKUP($A107,'Accounts by GL'!$C$6:$O$528,8,FALSE)</f>
        <v>0</v>
      </c>
      <c r="K107" s="1289">
        <f>VLOOKUP($A107,'Accounts by GL'!$C$6:$O$528,9,FALSE)</f>
        <v>0</v>
      </c>
      <c r="L107" s="1289">
        <f>VLOOKUP($A107,'Accounts by GL'!$C$6:$O$528,10,FALSE)</f>
        <v>0</v>
      </c>
      <c r="M107" s="1289">
        <f>VLOOKUP($A107,'Accounts by GL'!$C$6:$O$528,12,FALSE)</f>
        <v>0</v>
      </c>
    </row>
    <row r="108" spans="1:13">
      <c r="A108" s="1293" t="s">
        <v>1250</v>
      </c>
      <c r="B108" s="1287" t="str">
        <f t="shared" si="1"/>
        <v>SAMPLE STATE COLLEGE</v>
      </c>
      <c r="C108" s="1294" t="s">
        <v>1250</v>
      </c>
      <c r="D108" s="1289">
        <f>VLOOKUP($A108,'Accounts by GL'!$C$6:$O$528,2,FALSE)</f>
        <v>0</v>
      </c>
      <c r="E108" s="1289">
        <f>VLOOKUP($A108,'Accounts by GL'!$C$6:$O$528,3,FALSE)</f>
        <v>0</v>
      </c>
      <c r="F108" s="1289">
        <f>VLOOKUP($A108,'Accounts by GL'!$C$6:$O$528,4,FALSE)</f>
        <v>0</v>
      </c>
      <c r="G108" s="1289">
        <f>VLOOKUP($A108,'Accounts by GL'!$C$6:$O$528,5,FALSE)</f>
        <v>0</v>
      </c>
      <c r="H108" s="1289">
        <f>VLOOKUP($A108,'Accounts by GL'!$C$6:$O$528,6,FALSE)</f>
        <v>0</v>
      </c>
      <c r="I108" s="1289">
        <f>VLOOKUP($A108,'Accounts by GL'!$C$6:$O$528,7,FALSE)</f>
        <v>0</v>
      </c>
      <c r="J108" s="1289">
        <f>VLOOKUP($A108,'Accounts by GL'!$C$6:$O$528,8,FALSE)</f>
        <v>0</v>
      </c>
      <c r="K108" s="1289">
        <f>VLOOKUP($A108,'Accounts by GL'!$C$6:$O$528,9,FALSE)</f>
        <v>0</v>
      </c>
      <c r="L108" s="1289">
        <f>VLOOKUP($A108,'Accounts by GL'!$C$6:$O$528,10,FALSE)</f>
        <v>0</v>
      </c>
      <c r="M108" s="1289">
        <f>VLOOKUP($A108,'Accounts by GL'!$C$6:$O$528,12,FALSE)</f>
        <v>0</v>
      </c>
    </row>
    <row r="109" spans="1:13">
      <c r="A109" s="1293" t="s">
        <v>1253</v>
      </c>
      <c r="B109" s="1287" t="str">
        <f t="shared" si="1"/>
        <v>SAMPLE STATE COLLEGE</v>
      </c>
      <c r="C109" s="1294" t="s">
        <v>1253</v>
      </c>
      <c r="D109" s="1289">
        <f>VLOOKUP($A109,'Accounts by GL'!$C$6:$O$528,2,FALSE)</f>
        <v>0</v>
      </c>
      <c r="E109" s="1289">
        <f>VLOOKUP($A109,'Accounts by GL'!$C$6:$O$528,3,FALSE)</f>
        <v>0</v>
      </c>
      <c r="F109" s="1289">
        <f>VLOOKUP($A109,'Accounts by GL'!$C$6:$O$528,4,FALSE)</f>
        <v>0</v>
      </c>
      <c r="G109" s="1289">
        <f>VLOOKUP($A109,'Accounts by GL'!$C$6:$O$528,5,FALSE)</f>
        <v>0</v>
      </c>
      <c r="H109" s="1289">
        <f>VLOOKUP($A109,'Accounts by GL'!$C$6:$O$528,6,FALSE)</f>
        <v>0</v>
      </c>
      <c r="I109" s="1289">
        <f>VLOOKUP($A109,'Accounts by GL'!$C$6:$O$528,7,FALSE)</f>
        <v>0</v>
      </c>
      <c r="J109" s="1289">
        <f>VLOOKUP($A109,'Accounts by GL'!$C$6:$O$528,8,FALSE)</f>
        <v>0</v>
      </c>
      <c r="K109" s="1289">
        <f>VLOOKUP($A109,'Accounts by GL'!$C$6:$O$528,9,FALSE)</f>
        <v>0</v>
      </c>
      <c r="L109" s="1289">
        <f>VLOOKUP($A109,'Accounts by GL'!$C$6:$O$528,10,FALSE)</f>
        <v>0</v>
      </c>
      <c r="M109" s="1289">
        <f>VLOOKUP($A109,'Accounts by GL'!$C$6:$O$528,12,FALSE)</f>
        <v>0</v>
      </c>
    </row>
    <row r="110" spans="1:13">
      <c r="A110" s="1293" t="s">
        <v>1257</v>
      </c>
      <c r="B110" s="1287" t="str">
        <f t="shared" si="1"/>
        <v>SAMPLE STATE COLLEGE</v>
      </c>
      <c r="C110" s="1294" t="s">
        <v>1257</v>
      </c>
      <c r="D110" s="1289">
        <f>VLOOKUP($A110,'Accounts by GL'!$C$6:$O$528,2,FALSE)</f>
        <v>0</v>
      </c>
      <c r="E110" s="1289">
        <f>VLOOKUP($A110,'Accounts by GL'!$C$6:$O$528,3,FALSE)</f>
        <v>0</v>
      </c>
      <c r="F110" s="1289">
        <f>VLOOKUP($A110,'Accounts by GL'!$C$6:$O$528,4,FALSE)</f>
        <v>0</v>
      </c>
      <c r="G110" s="1289">
        <f>VLOOKUP($A110,'Accounts by GL'!$C$6:$O$528,5,FALSE)</f>
        <v>0</v>
      </c>
      <c r="H110" s="1289">
        <f>VLOOKUP($A110,'Accounts by GL'!$C$6:$O$528,6,FALSE)</f>
        <v>0</v>
      </c>
      <c r="I110" s="1289">
        <f>VLOOKUP($A110,'Accounts by GL'!$C$6:$O$528,7,FALSE)</f>
        <v>0</v>
      </c>
      <c r="J110" s="1289">
        <f>VLOOKUP($A110,'Accounts by GL'!$C$6:$O$528,8,FALSE)</f>
        <v>0</v>
      </c>
      <c r="K110" s="1289">
        <f>VLOOKUP($A110,'Accounts by GL'!$C$6:$O$528,9,FALSE)</f>
        <v>0</v>
      </c>
      <c r="L110" s="1289">
        <f>VLOOKUP($A110,'Accounts by GL'!$C$6:$O$528,10,FALSE)</f>
        <v>0</v>
      </c>
      <c r="M110" s="1289">
        <f>VLOOKUP($A110,'Accounts by GL'!$C$6:$O$528,12,FALSE)</f>
        <v>0</v>
      </c>
    </row>
    <row r="111" spans="1:13">
      <c r="A111" s="1293" t="s">
        <v>1261</v>
      </c>
      <c r="B111" s="1287" t="str">
        <f t="shared" si="1"/>
        <v>SAMPLE STATE COLLEGE</v>
      </c>
      <c r="C111" s="1294" t="s">
        <v>1261</v>
      </c>
      <c r="D111" s="1289">
        <f>VLOOKUP($A111,'Accounts by GL'!$C$6:$O$528,2,FALSE)</f>
        <v>0</v>
      </c>
      <c r="E111" s="1289">
        <f>VLOOKUP($A111,'Accounts by GL'!$C$6:$O$528,3,FALSE)</f>
        <v>0</v>
      </c>
      <c r="F111" s="1289">
        <f>VLOOKUP($A111,'Accounts by GL'!$C$6:$O$528,4,FALSE)</f>
        <v>0</v>
      </c>
      <c r="G111" s="1289">
        <f>VLOOKUP($A111,'Accounts by GL'!$C$6:$O$528,5,FALSE)</f>
        <v>0</v>
      </c>
      <c r="H111" s="1289">
        <f>VLOOKUP($A111,'Accounts by GL'!$C$6:$O$528,6,FALSE)</f>
        <v>0</v>
      </c>
      <c r="I111" s="1289">
        <f>VLOOKUP($A111,'Accounts by GL'!$C$6:$O$528,7,FALSE)</f>
        <v>0</v>
      </c>
      <c r="J111" s="1289">
        <f>VLOOKUP($A111,'Accounts by GL'!$C$6:$O$528,8,FALSE)</f>
        <v>0</v>
      </c>
      <c r="K111" s="1289">
        <f>VLOOKUP($A111,'Accounts by GL'!$C$6:$O$528,9,FALSE)</f>
        <v>0</v>
      </c>
      <c r="L111" s="1289">
        <f>VLOOKUP($A111,'Accounts by GL'!$C$6:$O$528,10,FALSE)</f>
        <v>0</v>
      </c>
      <c r="M111" s="1289">
        <f>VLOOKUP($A111,'Accounts by GL'!$C$6:$O$528,12,FALSE)</f>
        <v>0</v>
      </c>
    </row>
    <row r="112" spans="1:13">
      <c r="A112" s="1293" t="s">
        <v>1265</v>
      </c>
      <c r="B112" s="1287" t="str">
        <f t="shared" si="1"/>
        <v>SAMPLE STATE COLLEGE</v>
      </c>
      <c r="C112" s="1294" t="s">
        <v>1265</v>
      </c>
      <c r="D112" s="1289">
        <f>VLOOKUP($A112,'Accounts by GL'!$C$6:$O$528,2,FALSE)</f>
        <v>0</v>
      </c>
      <c r="E112" s="1289">
        <f>VLOOKUP($A112,'Accounts by GL'!$C$6:$O$528,3,FALSE)</f>
        <v>0</v>
      </c>
      <c r="F112" s="1289">
        <f>VLOOKUP($A112,'Accounts by GL'!$C$6:$O$528,4,FALSE)</f>
        <v>0</v>
      </c>
      <c r="G112" s="1289">
        <f>VLOOKUP($A112,'Accounts by GL'!$C$6:$O$528,5,FALSE)</f>
        <v>0</v>
      </c>
      <c r="H112" s="1289">
        <f>VLOOKUP($A112,'Accounts by GL'!$C$6:$O$528,6,FALSE)</f>
        <v>0</v>
      </c>
      <c r="I112" s="1289">
        <f>VLOOKUP($A112,'Accounts by GL'!$C$6:$O$528,7,FALSE)</f>
        <v>0</v>
      </c>
      <c r="J112" s="1289">
        <f>VLOOKUP($A112,'Accounts by GL'!$C$6:$O$528,8,FALSE)</f>
        <v>0</v>
      </c>
      <c r="K112" s="1289">
        <f>VLOOKUP($A112,'Accounts by GL'!$C$6:$O$528,9,FALSE)</f>
        <v>0</v>
      </c>
      <c r="L112" s="1289">
        <f>VLOOKUP($A112,'Accounts by GL'!$C$6:$O$528,10,FALSE)</f>
        <v>0</v>
      </c>
      <c r="M112" s="1289">
        <f>VLOOKUP($A112,'Accounts by GL'!$C$6:$O$528,12,FALSE)</f>
        <v>0</v>
      </c>
    </row>
    <row r="113" spans="1:13">
      <c r="A113" s="1293" t="s">
        <v>1268</v>
      </c>
      <c r="B113" s="1287" t="str">
        <f t="shared" si="1"/>
        <v>SAMPLE STATE COLLEGE</v>
      </c>
      <c r="C113" s="1294" t="s">
        <v>1268</v>
      </c>
      <c r="D113" s="1289">
        <f>VLOOKUP($A113,'Accounts by GL'!$C$6:$O$528,2,FALSE)</f>
        <v>0</v>
      </c>
      <c r="E113" s="1289">
        <f>VLOOKUP($A113,'Accounts by GL'!$C$6:$O$528,3,FALSE)</f>
        <v>0</v>
      </c>
      <c r="F113" s="1289">
        <f>VLOOKUP($A113,'Accounts by GL'!$C$6:$O$528,4,FALSE)</f>
        <v>0</v>
      </c>
      <c r="G113" s="1289">
        <f>VLOOKUP($A113,'Accounts by GL'!$C$6:$O$528,5,FALSE)</f>
        <v>0</v>
      </c>
      <c r="H113" s="1289">
        <f>VLOOKUP($A113,'Accounts by GL'!$C$6:$O$528,6,FALSE)</f>
        <v>0</v>
      </c>
      <c r="I113" s="1289">
        <f>VLOOKUP($A113,'Accounts by GL'!$C$6:$O$528,7,FALSE)</f>
        <v>0</v>
      </c>
      <c r="J113" s="1289">
        <f>VLOOKUP($A113,'Accounts by GL'!$C$6:$O$528,8,FALSE)</f>
        <v>0</v>
      </c>
      <c r="K113" s="1289">
        <f>VLOOKUP($A113,'Accounts by GL'!$C$6:$O$528,9,FALSE)</f>
        <v>0</v>
      </c>
      <c r="L113" s="1289">
        <f>VLOOKUP($A113,'Accounts by GL'!$C$6:$O$528,10,FALSE)</f>
        <v>0</v>
      </c>
      <c r="M113" s="1289">
        <f>VLOOKUP($A113,'Accounts by GL'!$C$6:$O$528,12,FALSE)</f>
        <v>0</v>
      </c>
    </row>
    <row r="114" spans="1:13">
      <c r="A114" s="1293" t="s">
        <v>1272</v>
      </c>
      <c r="B114" s="1287" t="str">
        <f t="shared" si="1"/>
        <v>SAMPLE STATE COLLEGE</v>
      </c>
      <c r="C114" s="1294" t="s">
        <v>1272</v>
      </c>
      <c r="D114" s="1289">
        <f>VLOOKUP($A114,'Accounts by GL'!$C$6:$O$528,2,FALSE)</f>
        <v>0</v>
      </c>
      <c r="E114" s="1289">
        <f>VLOOKUP($A114,'Accounts by GL'!$C$6:$O$528,3,FALSE)</f>
        <v>0</v>
      </c>
      <c r="F114" s="1289">
        <f>VLOOKUP($A114,'Accounts by GL'!$C$6:$O$528,4,FALSE)</f>
        <v>0</v>
      </c>
      <c r="G114" s="1289">
        <f>VLOOKUP($A114,'Accounts by GL'!$C$6:$O$528,5,FALSE)</f>
        <v>0</v>
      </c>
      <c r="H114" s="1289">
        <f>VLOOKUP($A114,'Accounts by GL'!$C$6:$O$528,6,FALSE)</f>
        <v>0</v>
      </c>
      <c r="I114" s="1289">
        <f>VLOOKUP($A114,'Accounts by GL'!$C$6:$O$528,7,FALSE)</f>
        <v>0</v>
      </c>
      <c r="J114" s="1289">
        <f>VLOOKUP($A114,'Accounts by GL'!$C$6:$O$528,8,FALSE)</f>
        <v>0</v>
      </c>
      <c r="K114" s="1289">
        <f>VLOOKUP($A114,'Accounts by GL'!$C$6:$O$528,9,FALSE)</f>
        <v>0</v>
      </c>
      <c r="L114" s="1289">
        <f>VLOOKUP($A114,'Accounts by GL'!$C$6:$O$528,10,FALSE)</f>
        <v>0</v>
      </c>
      <c r="M114" s="1289">
        <f>VLOOKUP($A114,'Accounts by GL'!$C$6:$O$528,12,FALSE)</f>
        <v>0</v>
      </c>
    </row>
    <row r="115" spans="1:13">
      <c r="A115" s="1293" t="s">
        <v>1276</v>
      </c>
      <c r="B115" s="1287" t="str">
        <f t="shared" si="1"/>
        <v>SAMPLE STATE COLLEGE</v>
      </c>
      <c r="C115" s="1294" t="s">
        <v>1276</v>
      </c>
      <c r="D115" s="1289">
        <f>VLOOKUP($A115,'Accounts by GL'!$C$6:$O$528,2,FALSE)</f>
        <v>0</v>
      </c>
      <c r="E115" s="1289">
        <f>VLOOKUP($A115,'Accounts by GL'!$C$6:$O$528,3,FALSE)</f>
        <v>0</v>
      </c>
      <c r="F115" s="1289">
        <f>VLOOKUP($A115,'Accounts by GL'!$C$6:$O$528,4,FALSE)</f>
        <v>0</v>
      </c>
      <c r="G115" s="1289">
        <f>VLOOKUP($A115,'Accounts by GL'!$C$6:$O$528,5,FALSE)</f>
        <v>0</v>
      </c>
      <c r="H115" s="1289">
        <f>VLOOKUP($A115,'Accounts by GL'!$C$6:$O$528,6,FALSE)</f>
        <v>0</v>
      </c>
      <c r="I115" s="1289">
        <f>VLOOKUP($A115,'Accounts by GL'!$C$6:$O$528,7,FALSE)</f>
        <v>0</v>
      </c>
      <c r="J115" s="1289">
        <f>VLOOKUP($A115,'Accounts by GL'!$C$6:$O$528,8,FALSE)</f>
        <v>0</v>
      </c>
      <c r="K115" s="1289">
        <f>VLOOKUP($A115,'Accounts by GL'!$C$6:$O$528,9,FALSE)</f>
        <v>0</v>
      </c>
      <c r="L115" s="1289">
        <f>VLOOKUP($A115,'Accounts by GL'!$C$6:$O$528,10,FALSE)</f>
        <v>0</v>
      </c>
      <c r="M115" s="1289">
        <f>VLOOKUP($A115,'Accounts by GL'!$C$6:$O$528,12,FALSE)</f>
        <v>0</v>
      </c>
    </row>
    <row r="116" spans="1:13">
      <c r="A116" s="1293" t="s">
        <v>1280</v>
      </c>
      <c r="B116" s="1287" t="str">
        <f t="shared" si="1"/>
        <v>SAMPLE STATE COLLEGE</v>
      </c>
      <c r="C116" s="1294" t="s">
        <v>1280</v>
      </c>
      <c r="D116" s="1289">
        <f>VLOOKUP($A116,'Accounts by GL'!$C$6:$O$528,2,FALSE)</f>
        <v>0</v>
      </c>
      <c r="E116" s="1289">
        <f>VLOOKUP($A116,'Accounts by GL'!$C$6:$O$528,3,FALSE)</f>
        <v>0</v>
      </c>
      <c r="F116" s="1289">
        <f>VLOOKUP($A116,'Accounts by GL'!$C$6:$O$528,4,FALSE)</f>
        <v>0</v>
      </c>
      <c r="G116" s="1289">
        <f>VLOOKUP($A116,'Accounts by GL'!$C$6:$O$528,5,FALSE)</f>
        <v>0</v>
      </c>
      <c r="H116" s="1289">
        <f>VLOOKUP($A116,'Accounts by GL'!$C$6:$O$528,6,FALSE)</f>
        <v>0</v>
      </c>
      <c r="I116" s="1289">
        <f>VLOOKUP($A116,'Accounts by GL'!$C$6:$O$528,7,FALSE)</f>
        <v>0</v>
      </c>
      <c r="J116" s="1289">
        <f>VLOOKUP($A116,'Accounts by GL'!$C$6:$O$528,8,FALSE)</f>
        <v>0</v>
      </c>
      <c r="K116" s="1289">
        <f>VLOOKUP($A116,'Accounts by GL'!$C$6:$O$528,9,FALSE)</f>
        <v>0</v>
      </c>
      <c r="L116" s="1289">
        <f>VLOOKUP($A116,'Accounts by GL'!$C$6:$O$528,10,FALSE)</f>
        <v>0</v>
      </c>
      <c r="M116" s="1289">
        <f>VLOOKUP($A116,'Accounts by GL'!$C$6:$O$528,12,FALSE)</f>
        <v>0</v>
      </c>
    </row>
    <row r="117" spans="1:13">
      <c r="A117" s="1293" t="s">
        <v>1284</v>
      </c>
      <c r="B117" s="1287" t="str">
        <f t="shared" si="1"/>
        <v>SAMPLE STATE COLLEGE</v>
      </c>
      <c r="C117" s="1294" t="s">
        <v>1284</v>
      </c>
      <c r="D117" s="1289">
        <f>VLOOKUP($A117,'Accounts by GL'!$C$6:$O$528,2,FALSE)</f>
        <v>0</v>
      </c>
      <c r="E117" s="1289">
        <f>VLOOKUP($A117,'Accounts by GL'!$C$6:$O$528,3,FALSE)</f>
        <v>0</v>
      </c>
      <c r="F117" s="1289">
        <f>VLOOKUP($A117,'Accounts by GL'!$C$6:$O$528,4,FALSE)</f>
        <v>0</v>
      </c>
      <c r="G117" s="1289">
        <f>VLOOKUP($A117,'Accounts by GL'!$C$6:$O$528,5,FALSE)</f>
        <v>0</v>
      </c>
      <c r="H117" s="1289">
        <f>VLOOKUP($A117,'Accounts by GL'!$C$6:$O$528,6,FALSE)</f>
        <v>0</v>
      </c>
      <c r="I117" s="1289">
        <f>VLOOKUP($A117,'Accounts by GL'!$C$6:$O$528,7,FALSE)</f>
        <v>0</v>
      </c>
      <c r="J117" s="1289">
        <f>VLOOKUP($A117,'Accounts by GL'!$C$6:$O$528,8,FALSE)</f>
        <v>0</v>
      </c>
      <c r="K117" s="1289">
        <f>VLOOKUP($A117,'Accounts by GL'!$C$6:$O$528,9,FALSE)</f>
        <v>0</v>
      </c>
      <c r="L117" s="1289">
        <f>VLOOKUP($A117,'Accounts by GL'!$C$6:$O$528,10,FALSE)</f>
        <v>0</v>
      </c>
      <c r="M117" s="1289">
        <f>VLOOKUP($A117,'Accounts by GL'!$C$6:$O$528,12,FALSE)</f>
        <v>0</v>
      </c>
    </row>
    <row r="118" spans="1:13">
      <c r="A118" s="1293" t="s">
        <v>1288</v>
      </c>
      <c r="B118" s="1287" t="str">
        <f t="shared" si="1"/>
        <v>SAMPLE STATE COLLEGE</v>
      </c>
      <c r="C118" s="1294" t="s">
        <v>1288</v>
      </c>
      <c r="D118" s="1289">
        <f>VLOOKUP($A118,'Accounts by GL'!$C$6:$O$528,2,FALSE)</f>
        <v>0</v>
      </c>
      <c r="E118" s="1289">
        <f>VLOOKUP($A118,'Accounts by GL'!$C$6:$O$528,3,FALSE)</f>
        <v>0</v>
      </c>
      <c r="F118" s="1289">
        <f>VLOOKUP($A118,'Accounts by GL'!$C$6:$O$528,4,FALSE)</f>
        <v>0</v>
      </c>
      <c r="G118" s="1289">
        <f>VLOOKUP($A118,'Accounts by GL'!$C$6:$O$528,5,FALSE)</f>
        <v>0</v>
      </c>
      <c r="H118" s="1289">
        <f>VLOOKUP($A118,'Accounts by GL'!$C$6:$O$528,6,FALSE)</f>
        <v>0</v>
      </c>
      <c r="I118" s="1289">
        <f>VLOOKUP($A118,'Accounts by GL'!$C$6:$O$528,7,FALSE)</f>
        <v>0</v>
      </c>
      <c r="J118" s="1289">
        <f>VLOOKUP($A118,'Accounts by GL'!$C$6:$O$528,8,FALSE)</f>
        <v>0</v>
      </c>
      <c r="K118" s="1289">
        <f>VLOOKUP($A118,'Accounts by GL'!$C$6:$O$528,9,FALSE)</f>
        <v>0</v>
      </c>
      <c r="L118" s="1289">
        <f>VLOOKUP($A118,'Accounts by GL'!$C$6:$O$528,10,FALSE)</f>
        <v>0</v>
      </c>
      <c r="M118" s="1289">
        <f>VLOOKUP($A118,'Accounts by GL'!$C$6:$O$528,12,FALSE)</f>
        <v>0</v>
      </c>
    </row>
    <row r="119" spans="1:13">
      <c r="A119" s="1293" t="s">
        <v>1292</v>
      </c>
      <c r="B119" s="1287" t="str">
        <f t="shared" si="1"/>
        <v>SAMPLE STATE COLLEGE</v>
      </c>
      <c r="C119" s="1294" t="s">
        <v>1292</v>
      </c>
      <c r="D119" s="1289">
        <f>VLOOKUP($A119,'Accounts by GL'!$C$6:$O$528,2,FALSE)</f>
        <v>0</v>
      </c>
      <c r="E119" s="1289">
        <f>VLOOKUP($A119,'Accounts by GL'!$C$6:$O$528,3,FALSE)</f>
        <v>0</v>
      </c>
      <c r="F119" s="1289">
        <f>VLOOKUP($A119,'Accounts by GL'!$C$6:$O$528,4,FALSE)</f>
        <v>0</v>
      </c>
      <c r="G119" s="1289">
        <f>VLOOKUP($A119,'Accounts by GL'!$C$6:$O$528,5,FALSE)</f>
        <v>0</v>
      </c>
      <c r="H119" s="1289">
        <f>VLOOKUP($A119,'Accounts by GL'!$C$6:$O$528,6,FALSE)</f>
        <v>0</v>
      </c>
      <c r="I119" s="1289">
        <f>VLOOKUP($A119,'Accounts by GL'!$C$6:$O$528,7,FALSE)</f>
        <v>0</v>
      </c>
      <c r="J119" s="1289">
        <f>VLOOKUP($A119,'Accounts by GL'!$C$6:$O$528,8,FALSE)</f>
        <v>0</v>
      </c>
      <c r="K119" s="1289">
        <f>VLOOKUP($A119,'Accounts by GL'!$C$6:$O$528,9,FALSE)</f>
        <v>0</v>
      </c>
      <c r="L119" s="1289">
        <f>VLOOKUP($A119,'Accounts by GL'!$C$6:$O$528,10,FALSE)</f>
        <v>0</v>
      </c>
      <c r="M119" s="1289">
        <f>VLOOKUP($A119,'Accounts by GL'!$C$6:$O$528,12,FALSE)</f>
        <v>0</v>
      </c>
    </row>
    <row r="120" spans="1:13">
      <c r="A120" s="1293" t="s">
        <v>1297</v>
      </c>
      <c r="B120" s="1287" t="str">
        <f t="shared" si="1"/>
        <v>SAMPLE STATE COLLEGE</v>
      </c>
      <c r="C120" s="1294" t="s">
        <v>1297</v>
      </c>
      <c r="D120" s="1289">
        <f>VLOOKUP($A120,'Accounts by GL'!$C$6:$O$528,2,FALSE)</f>
        <v>0</v>
      </c>
      <c r="E120" s="1289">
        <f>VLOOKUP($A120,'Accounts by GL'!$C$6:$O$528,3,FALSE)</f>
        <v>0</v>
      </c>
      <c r="F120" s="1289">
        <f>VLOOKUP($A120,'Accounts by GL'!$C$6:$O$528,4,FALSE)</f>
        <v>0</v>
      </c>
      <c r="G120" s="1289">
        <f>VLOOKUP($A120,'Accounts by GL'!$C$6:$O$528,5,FALSE)</f>
        <v>0</v>
      </c>
      <c r="H120" s="1289">
        <f>VLOOKUP($A120,'Accounts by GL'!$C$6:$O$528,6,FALSE)</f>
        <v>0</v>
      </c>
      <c r="I120" s="1289">
        <f>VLOOKUP($A120,'Accounts by GL'!$C$6:$O$528,7,FALSE)</f>
        <v>0</v>
      </c>
      <c r="J120" s="1289">
        <f>VLOOKUP($A120,'Accounts by GL'!$C$6:$O$528,8,FALSE)</f>
        <v>0</v>
      </c>
      <c r="K120" s="1289">
        <f>VLOOKUP($A120,'Accounts by GL'!$C$6:$O$528,9,FALSE)</f>
        <v>0</v>
      </c>
      <c r="L120" s="1289">
        <f>VLOOKUP($A120,'Accounts by GL'!$C$6:$O$528,10,FALSE)</f>
        <v>0</v>
      </c>
      <c r="M120" s="1289">
        <f>VLOOKUP($A120,'Accounts by GL'!$C$6:$O$528,12,FALSE)</f>
        <v>0</v>
      </c>
    </row>
    <row r="121" spans="1:13">
      <c r="A121" s="1293" t="s">
        <v>1301</v>
      </c>
      <c r="B121" s="1287" t="str">
        <f t="shared" si="1"/>
        <v>SAMPLE STATE COLLEGE</v>
      </c>
      <c r="C121" s="1294" t="s">
        <v>1301</v>
      </c>
      <c r="D121" s="1289">
        <f>VLOOKUP($A121,'Accounts by GL'!$C$6:$O$528,2,FALSE)</f>
        <v>0</v>
      </c>
      <c r="E121" s="1289">
        <f>VLOOKUP($A121,'Accounts by GL'!$C$6:$O$528,3,FALSE)</f>
        <v>0</v>
      </c>
      <c r="F121" s="1289">
        <f>VLOOKUP($A121,'Accounts by GL'!$C$6:$O$528,4,FALSE)</f>
        <v>0</v>
      </c>
      <c r="G121" s="1289">
        <f>VLOOKUP($A121,'Accounts by GL'!$C$6:$O$528,5,FALSE)</f>
        <v>0</v>
      </c>
      <c r="H121" s="1289">
        <f>VLOOKUP($A121,'Accounts by GL'!$C$6:$O$528,6,FALSE)</f>
        <v>0</v>
      </c>
      <c r="I121" s="1289">
        <f>VLOOKUP($A121,'Accounts by GL'!$C$6:$O$528,7,FALSE)</f>
        <v>0</v>
      </c>
      <c r="J121" s="1289">
        <f>VLOOKUP($A121,'Accounts by GL'!$C$6:$O$528,8,FALSE)</f>
        <v>0</v>
      </c>
      <c r="K121" s="1289">
        <f>VLOOKUP($A121,'Accounts by GL'!$C$6:$O$528,9,FALSE)</f>
        <v>0</v>
      </c>
      <c r="L121" s="1289">
        <f>VLOOKUP($A121,'Accounts by GL'!$C$6:$O$528,10,FALSE)</f>
        <v>0</v>
      </c>
      <c r="M121" s="1289">
        <f>VLOOKUP($A121,'Accounts by GL'!$C$6:$O$528,12,FALSE)</f>
        <v>0</v>
      </c>
    </row>
    <row r="122" spans="1:13">
      <c r="A122" s="1293" t="s">
        <v>1305</v>
      </c>
      <c r="B122" s="1287" t="str">
        <f t="shared" si="1"/>
        <v>SAMPLE STATE COLLEGE</v>
      </c>
      <c r="C122" s="1294" t="s">
        <v>1305</v>
      </c>
      <c r="D122" s="1289">
        <f>VLOOKUP($A122,'Accounts by GL'!$C$6:$O$528,2,FALSE)</f>
        <v>0</v>
      </c>
      <c r="E122" s="1289">
        <f>VLOOKUP($A122,'Accounts by GL'!$C$6:$O$528,3,FALSE)</f>
        <v>0</v>
      </c>
      <c r="F122" s="1289">
        <f>VLOOKUP($A122,'Accounts by GL'!$C$6:$O$528,4,FALSE)</f>
        <v>0</v>
      </c>
      <c r="G122" s="1289">
        <f>VLOOKUP($A122,'Accounts by GL'!$C$6:$O$528,5,FALSE)</f>
        <v>0</v>
      </c>
      <c r="H122" s="1289">
        <f>VLOOKUP($A122,'Accounts by GL'!$C$6:$O$528,6,FALSE)</f>
        <v>0</v>
      </c>
      <c r="I122" s="1289">
        <f>VLOOKUP($A122,'Accounts by GL'!$C$6:$O$528,7,FALSE)</f>
        <v>0</v>
      </c>
      <c r="J122" s="1289">
        <f>VLOOKUP($A122,'Accounts by GL'!$C$6:$O$528,8,FALSE)</f>
        <v>0</v>
      </c>
      <c r="K122" s="1289">
        <f>VLOOKUP($A122,'Accounts by GL'!$C$6:$O$528,9,FALSE)</f>
        <v>0</v>
      </c>
      <c r="L122" s="1289">
        <f>VLOOKUP($A122,'Accounts by GL'!$C$6:$O$528,10,FALSE)</f>
        <v>0</v>
      </c>
      <c r="M122" s="1289">
        <f>VLOOKUP($A122,'Accounts by GL'!$C$6:$O$528,12,FALSE)</f>
        <v>0</v>
      </c>
    </row>
    <row r="123" spans="1:13">
      <c r="A123" s="1293" t="s">
        <v>1308</v>
      </c>
      <c r="B123" s="1287" t="str">
        <f t="shared" si="1"/>
        <v>SAMPLE STATE COLLEGE</v>
      </c>
      <c r="C123" s="1294" t="s">
        <v>1308</v>
      </c>
      <c r="D123" s="1289">
        <f>VLOOKUP($A123,'Accounts by GL'!$C$6:$O$528,2,FALSE)</f>
        <v>0</v>
      </c>
      <c r="E123" s="1289">
        <f>VLOOKUP($A123,'Accounts by GL'!$C$6:$O$528,3,FALSE)</f>
        <v>0</v>
      </c>
      <c r="F123" s="1289">
        <f>VLOOKUP($A123,'Accounts by GL'!$C$6:$O$528,4,FALSE)</f>
        <v>0</v>
      </c>
      <c r="G123" s="1289">
        <f>VLOOKUP($A123,'Accounts by GL'!$C$6:$O$528,5,FALSE)</f>
        <v>0</v>
      </c>
      <c r="H123" s="1289">
        <f>VLOOKUP($A123,'Accounts by GL'!$C$6:$O$528,6,FALSE)</f>
        <v>0</v>
      </c>
      <c r="I123" s="1289">
        <f>VLOOKUP($A123,'Accounts by GL'!$C$6:$O$528,7,FALSE)</f>
        <v>0</v>
      </c>
      <c r="J123" s="1289">
        <f>VLOOKUP($A123,'Accounts by GL'!$C$6:$O$528,8,FALSE)</f>
        <v>0</v>
      </c>
      <c r="K123" s="1289">
        <f>VLOOKUP($A123,'Accounts by GL'!$C$6:$O$528,9,FALSE)</f>
        <v>0</v>
      </c>
      <c r="L123" s="1289">
        <f>VLOOKUP($A123,'Accounts by GL'!$C$6:$O$528,10,FALSE)</f>
        <v>0</v>
      </c>
      <c r="M123" s="1289">
        <f>VLOOKUP($A123,'Accounts by GL'!$C$6:$O$528,12,FALSE)</f>
        <v>0</v>
      </c>
    </row>
    <row r="124" spans="1:13">
      <c r="A124" s="1293" t="s">
        <v>1312</v>
      </c>
      <c r="B124" s="1287" t="str">
        <f t="shared" si="1"/>
        <v>SAMPLE STATE COLLEGE</v>
      </c>
      <c r="C124" s="1294" t="s">
        <v>1312</v>
      </c>
      <c r="D124" s="1289">
        <f>VLOOKUP($A124,'Accounts by GL'!$C$6:$O$528,2,FALSE)</f>
        <v>0</v>
      </c>
      <c r="E124" s="1289">
        <f>VLOOKUP($A124,'Accounts by GL'!$C$6:$O$528,3,FALSE)</f>
        <v>0</v>
      </c>
      <c r="F124" s="1289">
        <f>VLOOKUP($A124,'Accounts by GL'!$C$6:$O$528,4,FALSE)</f>
        <v>0</v>
      </c>
      <c r="G124" s="1289">
        <f>VLOOKUP($A124,'Accounts by GL'!$C$6:$O$528,5,FALSE)</f>
        <v>0</v>
      </c>
      <c r="H124" s="1289">
        <f>VLOOKUP($A124,'Accounts by GL'!$C$6:$O$528,6,FALSE)</f>
        <v>0</v>
      </c>
      <c r="I124" s="1289">
        <f>VLOOKUP($A124,'Accounts by GL'!$C$6:$O$528,7,FALSE)</f>
        <v>0</v>
      </c>
      <c r="J124" s="1289">
        <f>VLOOKUP($A124,'Accounts by GL'!$C$6:$O$528,8,FALSE)</f>
        <v>0</v>
      </c>
      <c r="K124" s="1289">
        <f>VLOOKUP($A124,'Accounts by GL'!$C$6:$O$528,9,FALSE)</f>
        <v>0</v>
      </c>
      <c r="L124" s="1289">
        <f>VLOOKUP($A124,'Accounts by GL'!$C$6:$O$528,10,FALSE)</f>
        <v>0</v>
      </c>
      <c r="M124" s="1289">
        <f>VLOOKUP($A124,'Accounts by GL'!$C$6:$O$528,12,FALSE)</f>
        <v>0</v>
      </c>
    </row>
    <row r="125" spans="1:13">
      <c r="A125" s="1293" t="s">
        <v>1315</v>
      </c>
      <c r="B125" s="1287" t="str">
        <f t="shared" si="1"/>
        <v>SAMPLE STATE COLLEGE</v>
      </c>
      <c r="C125" s="1294" t="s">
        <v>1315</v>
      </c>
      <c r="D125" s="1289">
        <f>VLOOKUP($A125,'Accounts by GL'!$C$6:$O$528,2,FALSE)</f>
        <v>0</v>
      </c>
      <c r="E125" s="1289">
        <f>VLOOKUP($A125,'Accounts by GL'!$C$6:$O$528,3,FALSE)</f>
        <v>0</v>
      </c>
      <c r="F125" s="1289">
        <f>VLOOKUP($A125,'Accounts by GL'!$C$6:$O$528,4,FALSE)</f>
        <v>0</v>
      </c>
      <c r="G125" s="1289">
        <f>VLOOKUP($A125,'Accounts by GL'!$C$6:$O$528,5,FALSE)</f>
        <v>0</v>
      </c>
      <c r="H125" s="1289">
        <f>VLOOKUP($A125,'Accounts by GL'!$C$6:$O$528,6,FALSE)</f>
        <v>0</v>
      </c>
      <c r="I125" s="1289">
        <f>VLOOKUP($A125,'Accounts by GL'!$C$6:$O$528,7,FALSE)</f>
        <v>0</v>
      </c>
      <c r="J125" s="1289">
        <f>VLOOKUP($A125,'Accounts by GL'!$C$6:$O$528,8,FALSE)</f>
        <v>0</v>
      </c>
      <c r="K125" s="1289">
        <f>VLOOKUP($A125,'Accounts by GL'!$C$6:$O$528,9,FALSE)</f>
        <v>0</v>
      </c>
      <c r="L125" s="1289">
        <f>VLOOKUP($A125,'Accounts by GL'!$C$6:$O$528,10,FALSE)</f>
        <v>0</v>
      </c>
      <c r="M125" s="1289">
        <f>VLOOKUP($A125,'Accounts by GL'!$C$6:$O$528,12,FALSE)</f>
        <v>0</v>
      </c>
    </row>
    <row r="126" spans="1:13">
      <c r="A126" s="1293" t="s">
        <v>1318</v>
      </c>
      <c r="B126" s="1287" t="str">
        <f t="shared" si="1"/>
        <v>SAMPLE STATE COLLEGE</v>
      </c>
      <c r="C126" s="1294" t="s">
        <v>1318</v>
      </c>
      <c r="D126" s="1289">
        <f>VLOOKUP($A126,'Accounts by GL'!$C$6:$O$528,2,FALSE)</f>
        <v>0</v>
      </c>
      <c r="E126" s="1289">
        <f>VLOOKUP($A126,'Accounts by GL'!$C$6:$O$528,3,FALSE)</f>
        <v>0</v>
      </c>
      <c r="F126" s="1289">
        <f>VLOOKUP($A126,'Accounts by GL'!$C$6:$O$528,4,FALSE)</f>
        <v>0</v>
      </c>
      <c r="G126" s="1289">
        <f>VLOOKUP($A126,'Accounts by GL'!$C$6:$O$528,5,FALSE)</f>
        <v>0</v>
      </c>
      <c r="H126" s="1289">
        <f>VLOOKUP($A126,'Accounts by GL'!$C$6:$O$528,6,FALSE)</f>
        <v>0</v>
      </c>
      <c r="I126" s="1289">
        <f>VLOOKUP($A126,'Accounts by GL'!$C$6:$O$528,7,FALSE)</f>
        <v>0</v>
      </c>
      <c r="J126" s="1289">
        <f>VLOOKUP($A126,'Accounts by GL'!$C$6:$O$528,8,FALSE)</f>
        <v>0</v>
      </c>
      <c r="K126" s="1289">
        <f>VLOOKUP($A126,'Accounts by GL'!$C$6:$O$528,9,FALSE)</f>
        <v>0</v>
      </c>
      <c r="L126" s="1289">
        <f>VLOOKUP($A126,'Accounts by GL'!$C$6:$O$528,10,FALSE)</f>
        <v>0</v>
      </c>
      <c r="M126" s="1289">
        <f>VLOOKUP($A126,'Accounts by GL'!$C$6:$O$528,12,FALSE)</f>
        <v>0</v>
      </c>
    </row>
    <row r="127" spans="1:13">
      <c r="A127" s="1293" t="s">
        <v>1321</v>
      </c>
      <c r="B127" s="1287" t="str">
        <f t="shared" si="1"/>
        <v>SAMPLE STATE COLLEGE</v>
      </c>
      <c r="C127" s="1294" t="s">
        <v>1321</v>
      </c>
      <c r="D127" s="1289">
        <f>VLOOKUP($A127,'Accounts by GL'!$C$6:$O$528,2,FALSE)</f>
        <v>0</v>
      </c>
      <c r="E127" s="1289">
        <f>VLOOKUP($A127,'Accounts by GL'!$C$6:$O$528,3,FALSE)</f>
        <v>0</v>
      </c>
      <c r="F127" s="1289">
        <f>VLOOKUP($A127,'Accounts by GL'!$C$6:$O$528,4,FALSE)</f>
        <v>0</v>
      </c>
      <c r="G127" s="1289">
        <f>VLOOKUP($A127,'Accounts by GL'!$C$6:$O$528,5,FALSE)</f>
        <v>0</v>
      </c>
      <c r="H127" s="1289">
        <f>VLOOKUP($A127,'Accounts by GL'!$C$6:$O$528,6,FALSE)</f>
        <v>0</v>
      </c>
      <c r="I127" s="1289">
        <f>VLOOKUP($A127,'Accounts by GL'!$C$6:$O$528,7,FALSE)</f>
        <v>0</v>
      </c>
      <c r="J127" s="1289">
        <f>VLOOKUP($A127,'Accounts by GL'!$C$6:$O$528,8,FALSE)</f>
        <v>0</v>
      </c>
      <c r="K127" s="1289">
        <f>VLOOKUP($A127,'Accounts by GL'!$C$6:$O$528,9,FALSE)</f>
        <v>0</v>
      </c>
      <c r="L127" s="1289">
        <f>VLOOKUP($A127,'Accounts by GL'!$C$6:$O$528,10,FALSE)</f>
        <v>0</v>
      </c>
      <c r="M127" s="1289">
        <f>VLOOKUP($A127,'Accounts by GL'!$C$6:$O$528,12,FALSE)</f>
        <v>0</v>
      </c>
    </row>
    <row r="128" spans="1:13">
      <c r="A128" s="1293" t="s">
        <v>1324</v>
      </c>
      <c r="B128" s="1287" t="str">
        <f t="shared" si="1"/>
        <v>SAMPLE STATE COLLEGE</v>
      </c>
      <c r="C128" s="1294" t="s">
        <v>1324</v>
      </c>
      <c r="D128" s="1289">
        <f>VLOOKUP($A128,'Accounts by GL'!$C$6:$O$528,2,FALSE)</f>
        <v>0</v>
      </c>
      <c r="E128" s="1289">
        <f>VLOOKUP($A128,'Accounts by GL'!$C$6:$O$528,3,FALSE)</f>
        <v>0</v>
      </c>
      <c r="F128" s="1289">
        <f>VLOOKUP($A128,'Accounts by GL'!$C$6:$O$528,4,FALSE)</f>
        <v>0</v>
      </c>
      <c r="G128" s="1289">
        <f>VLOOKUP($A128,'Accounts by GL'!$C$6:$O$528,5,FALSE)</f>
        <v>0</v>
      </c>
      <c r="H128" s="1289">
        <f>VLOOKUP($A128,'Accounts by GL'!$C$6:$O$528,6,FALSE)</f>
        <v>0</v>
      </c>
      <c r="I128" s="1289">
        <f>VLOOKUP($A128,'Accounts by GL'!$C$6:$O$528,7,FALSE)</f>
        <v>0</v>
      </c>
      <c r="J128" s="1289">
        <f>VLOOKUP($A128,'Accounts by GL'!$C$6:$O$528,8,FALSE)</f>
        <v>0</v>
      </c>
      <c r="K128" s="1289">
        <f>VLOOKUP($A128,'Accounts by GL'!$C$6:$O$528,9,FALSE)</f>
        <v>0</v>
      </c>
      <c r="L128" s="1289">
        <f>VLOOKUP($A128,'Accounts by GL'!$C$6:$O$528,10,FALSE)</f>
        <v>0</v>
      </c>
      <c r="M128" s="1289">
        <f>VLOOKUP($A128,'Accounts by GL'!$C$6:$O$528,12,FALSE)</f>
        <v>0</v>
      </c>
    </row>
    <row r="129" spans="1:13">
      <c r="A129" s="1293" t="s">
        <v>1327</v>
      </c>
      <c r="B129" s="1287" t="str">
        <f t="shared" si="1"/>
        <v>SAMPLE STATE COLLEGE</v>
      </c>
      <c r="C129" s="1294" t="s">
        <v>1327</v>
      </c>
      <c r="D129" s="1289">
        <f>VLOOKUP($A129,'Accounts by GL'!$C$6:$O$528,2,FALSE)</f>
        <v>0</v>
      </c>
      <c r="E129" s="1289">
        <f>VLOOKUP($A129,'Accounts by GL'!$C$6:$O$528,3,FALSE)</f>
        <v>0</v>
      </c>
      <c r="F129" s="1289">
        <f>VLOOKUP($A129,'Accounts by GL'!$C$6:$O$528,4,FALSE)</f>
        <v>0</v>
      </c>
      <c r="G129" s="1289">
        <f>VLOOKUP($A129,'Accounts by GL'!$C$6:$O$528,5,FALSE)</f>
        <v>0</v>
      </c>
      <c r="H129" s="1289">
        <f>VLOOKUP($A129,'Accounts by GL'!$C$6:$O$528,6,FALSE)</f>
        <v>0</v>
      </c>
      <c r="I129" s="1289">
        <f>VLOOKUP($A129,'Accounts by GL'!$C$6:$O$528,7,FALSE)</f>
        <v>0</v>
      </c>
      <c r="J129" s="1289">
        <f>VLOOKUP($A129,'Accounts by GL'!$C$6:$O$528,8,FALSE)</f>
        <v>0</v>
      </c>
      <c r="K129" s="1289">
        <f>VLOOKUP($A129,'Accounts by GL'!$C$6:$O$528,9,FALSE)</f>
        <v>0</v>
      </c>
      <c r="L129" s="1289">
        <f>VLOOKUP($A129,'Accounts by GL'!$C$6:$O$528,10,FALSE)</f>
        <v>0</v>
      </c>
      <c r="M129" s="1289">
        <f>VLOOKUP($A129,'Accounts by GL'!$C$6:$O$528,12,FALSE)</f>
        <v>0</v>
      </c>
    </row>
    <row r="130" spans="1:13">
      <c r="A130" s="1293" t="s">
        <v>1330</v>
      </c>
      <c r="B130" s="1287" t="str">
        <f t="shared" si="1"/>
        <v>SAMPLE STATE COLLEGE</v>
      </c>
      <c r="C130" s="1294" t="s">
        <v>1330</v>
      </c>
      <c r="D130" s="1289">
        <f>VLOOKUP($A130,'Accounts by GL'!$C$6:$O$528,2,FALSE)</f>
        <v>0</v>
      </c>
      <c r="E130" s="1289">
        <f>VLOOKUP($A130,'Accounts by GL'!$C$6:$O$528,3,FALSE)</f>
        <v>0</v>
      </c>
      <c r="F130" s="1289">
        <f>VLOOKUP($A130,'Accounts by GL'!$C$6:$O$528,4,FALSE)</f>
        <v>0</v>
      </c>
      <c r="G130" s="1289">
        <f>VLOOKUP($A130,'Accounts by GL'!$C$6:$O$528,5,FALSE)</f>
        <v>0</v>
      </c>
      <c r="H130" s="1289">
        <f>VLOOKUP($A130,'Accounts by GL'!$C$6:$O$528,6,FALSE)</f>
        <v>0</v>
      </c>
      <c r="I130" s="1289">
        <f>VLOOKUP($A130,'Accounts by GL'!$C$6:$O$528,7,FALSE)</f>
        <v>0</v>
      </c>
      <c r="J130" s="1289">
        <f>VLOOKUP($A130,'Accounts by GL'!$C$6:$O$528,8,FALSE)</f>
        <v>0</v>
      </c>
      <c r="K130" s="1289">
        <f>VLOOKUP($A130,'Accounts by GL'!$C$6:$O$528,9,FALSE)</f>
        <v>0</v>
      </c>
      <c r="L130" s="1289">
        <f>VLOOKUP($A130,'Accounts by GL'!$C$6:$O$528,10,FALSE)</f>
        <v>0</v>
      </c>
      <c r="M130" s="1289">
        <f>VLOOKUP($A130,'Accounts by GL'!$C$6:$O$528,12,FALSE)</f>
        <v>0</v>
      </c>
    </row>
    <row r="131" spans="1:13">
      <c r="A131" s="1293" t="s">
        <v>1333</v>
      </c>
      <c r="B131" s="1287" t="str">
        <f t="shared" si="1"/>
        <v>SAMPLE STATE COLLEGE</v>
      </c>
      <c r="C131" s="1294" t="s">
        <v>1333</v>
      </c>
      <c r="D131" s="1289">
        <f>VLOOKUP($A131,'Accounts by GL'!$C$6:$O$528,2,FALSE)</f>
        <v>0</v>
      </c>
      <c r="E131" s="1289">
        <f>VLOOKUP($A131,'Accounts by GL'!$C$6:$O$528,3,FALSE)</f>
        <v>0</v>
      </c>
      <c r="F131" s="1289">
        <f>VLOOKUP($A131,'Accounts by GL'!$C$6:$O$528,4,FALSE)</f>
        <v>0</v>
      </c>
      <c r="G131" s="1289">
        <f>VLOOKUP($A131,'Accounts by GL'!$C$6:$O$528,5,FALSE)</f>
        <v>0</v>
      </c>
      <c r="H131" s="1289">
        <f>VLOOKUP($A131,'Accounts by GL'!$C$6:$O$528,6,FALSE)</f>
        <v>0</v>
      </c>
      <c r="I131" s="1289">
        <f>VLOOKUP($A131,'Accounts by GL'!$C$6:$O$528,7,FALSE)</f>
        <v>0</v>
      </c>
      <c r="J131" s="1289">
        <f>VLOOKUP($A131,'Accounts by GL'!$C$6:$O$528,8,FALSE)</f>
        <v>0</v>
      </c>
      <c r="K131" s="1289">
        <f>VLOOKUP($A131,'Accounts by GL'!$C$6:$O$528,9,FALSE)</f>
        <v>0</v>
      </c>
      <c r="L131" s="1289">
        <f>VLOOKUP($A131,'Accounts by GL'!$C$6:$O$528,10,FALSE)</f>
        <v>0</v>
      </c>
      <c r="M131" s="1289">
        <f>VLOOKUP($A131,'Accounts by GL'!$C$6:$O$528,12,FALSE)</f>
        <v>0</v>
      </c>
    </row>
    <row r="132" spans="1:13">
      <c r="A132" s="1293" t="s">
        <v>236</v>
      </c>
      <c r="B132" s="1287" t="str">
        <f t="shared" si="1"/>
        <v>SAMPLE STATE COLLEGE</v>
      </c>
      <c r="C132" s="1294" t="s">
        <v>236</v>
      </c>
      <c r="D132" s="1289">
        <f>VLOOKUP($A132,'Accounts by GL'!$C$6:$O$528,2,FALSE)</f>
        <v>0</v>
      </c>
      <c r="E132" s="1289">
        <f>VLOOKUP($A132,'Accounts by GL'!$C$6:$O$528,3,FALSE)</f>
        <v>0</v>
      </c>
      <c r="F132" s="1289">
        <f>VLOOKUP($A132,'Accounts by GL'!$C$6:$O$528,4,FALSE)</f>
        <v>0</v>
      </c>
      <c r="G132" s="1289">
        <f>VLOOKUP($A132,'Accounts by GL'!$C$6:$O$528,5,FALSE)</f>
        <v>0</v>
      </c>
      <c r="H132" s="1289">
        <f>VLOOKUP($A132,'Accounts by GL'!$C$6:$O$528,6,FALSE)</f>
        <v>0</v>
      </c>
      <c r="I132" s="1289">
        <f>VLOOKUP($A132,'Accounts by GL'!$C$6:$O$528,7,FALSE)</f>
        <v>0</v>
      </c>
      <c r="J132" s="1289">
        <f>VLOOKUP($A132,'Accounts by GL'!$C$6:$O$528,8,FALSE)</f>
        <v>0</v>
      </c>
      <c r="K132" s="1289">
        <f>VLOOKUP($A132,'Accounts by GL'!$C$6:$O$528,9,FALSE)</f>
        <v>0</v>
      </c>
      <c r="L132" s="1289">
        <f>VLOOKUP($A132,'Accounts by GL'!$C$6:$O$528,10,FALSE)</f>
        <v>0</v>
      </c>
      <c r="M132" s="1289">
        <f>VLOOKUP($A132,'Accounts by GL'!$C$6:$O$528,12,FALSE)</f>
        <v>0</v>
      </c>
    </row>
    <row r="133" spans="1:13">
      <c r="A133" s="1293" t="s">
        <v>1341</v>
      </c>
      <c r="B133" s="1287" t="str">
        <f t="shared" si="1"/>
        <v>SAMPLE STATE COLLEGE</v>
      </c>
      <c r="C133" s="1294" t="s">
        <v>1341</v>
      </c>
      <c r="D133" s="1289">
        <f>VLOOKUP($A133,'Accounts by GL'!$C$6:$O$528,2,FALSE)</f>
        <v>0</v>
      </c>
      <c r="E133" s="1289">
        <f>VLOOKUP($A133,'Accounts by GL'!$C$6:$O$528,3,FALSE)</f>
        <v>0</v>
      </c>
      <c r="F133" s="1289">
        <f>VLOOKUP($A133,'Accounts by GL'!$C$6:$O$528,4,FALSE)</f>
        <v>0</v>
      </c>
      <c r="G133" s="1289">
        <f>VLOOKUP($A133,'Accounts by GL'!$C$6:$O$528,5,FALSE)</f>
        <v>0</v>
      </c>
      <c r="H133" s="1289">
        <f>VLOOKUP($A133,'Accounts by GL'!$C$6:$O$528,6,FALSE)</f>
        <v>0</v>
      </c>
      <c r="I133" s="1289">
        <f>VLOOKUP($A133,'Accounts by GL'!$C$6:$O$528,7,FALSE)</f>
        <v>0</v>
      </c>
      <c r="J133" s="1289">
        <f>VLOOKUP($A133,'Accounts by GL'!$C$6:$O$528,8,FALSE)</f>
        <v>0</v>
      </c>
      <c r="K133" s="1289">
        <f>VLOOKUP($A133,'Accounts by GL'!$C$6:$O$528,9,FALSE)</f>
        <v>0</v>
      </c>
      <c r="L133" s="1289">
        <f>VLOOKUP($A133,'Accounts by GL'!$C$6:$O$528,10,FALSE)</f>
        <v>0</v>
      </c>
      <c r="M133" s="1289">
        <f>VLOOKUP($A133,'Accounts by GL'!$C$6:$O$528,12,FALSE)</f>
        <v>0</v>
      </c>
    </row>
    <row r="134" spans="1:13">
      <c r="A134" s="1293" t="s">
        <v>1345</v>
      </c>
      <c r="B134" s="1287" t="str">
        <f t="shared" si="1"/>
        <v>SAMPLE STATE COLLEGE</v>
      </c>
      <c r="C134" s="1294" t="s">
        <v>1345</v>
      </c>
      <c r="D134" s="1289">
        <f>VLOOKUP($A134,'Accounts by GL'!$C$6:$O$528,2,FALSE)</f>
        <v>0</v>
      </c>
      <c r="E134" s="1289">
        <f>VLOOKUP($A134,'Accounts by GL'!$C$6:$O$528,3,FALSE)</f>
        <v>0</v>
      </c>
      <c r="F134" s="1289">
        <f>VLOOKUP($A134,'Accounts by GL'!$C$6:$O$528,4,FALSE)</f>
        <v>0</v>
      </c>
      <c r="G134" s="1289">
        <f>VLOOKUP($A134,'Accounts by GL'!$C$6:$O$528,5,FALSE)</f>
        <v>0</v>
      </c>
      <c r="H134" s="1289">
        <f>VLOOKUP($A134,'Accounts by GL'!$C$6:$O$528,6,FALSE)</f>
        <v>0</v>
      </c>
      <c r="I134" s="1289">
        <f>VLOOKUP($A134,'Accounts by GL'!$C$6:$O$528,7,FALSE)</f>
        <v>0</v>
      </c>
      <c r="J134" s="1289">
        <f>VLOOKUP($A134,'Accounts by GL'!$C$6:$O$528,8,FALSE)</f>
        <v>0</v>
      </c>
      <c r="K134" s="1289">
        <f>VLOOKUP($A134,'Accounts by GL'!$C$6:$O$528,9,FALSE)</f>
        <v>0</v>
      </c>
      <c r="L134" s="1289">
        <f>VLOOKUP($A134,'Accounts by GL'!$C$6:$O$528,10,FALSE)</f>
        <v>0</v>
      </c>
      <c r="M134" s="1289">
        <f>VLOOKUP($A134,'Accounts by GL'!$C$6:$O$528,12,FALSE)</f>
        <v>0</v>
      </c>
    </row>
    <row r="135" spans="1:13">
      <c r="A135" s="1293" t="s">
        <v>1351</v>
      </c>
      <c r="B135" s="1287" t="str">
        <f t="shared" si="1"/>
        <v>SAMPLE STATE COLLEGE</v>
      </c>
      <c r="C135" s="1294" t="s">
        <v>1351</v>
      </c>
      <c r="D135" s="1289">
        <f>VLOOKUP($A135,'Accounts by GL'!$C$6:$O$528,2,FALSE)</f>
        <v>0</v>
      </c>
      <c r="E135" s="1289">
        <f>VLOOKUP($A135,'Accounts by GL'!$C$6:$O$528,3,FALSE)</f>
        <v>0</v>
      </c>
      <c r="F135" s="1289">
        <f>VLOOKUP($A135,'Accounts by GL'!$C$6:$O$528,4,FALSE)</f>
        <v>0</v>
      </c>
      <c r="G135" s="1289">
        <f>VLOOKUP($A135,'Accounts by GL'!$C$6:$O$528,5,FALSE)</f>
        <v>0</v>
      </c>
      <c r="H135" s="1289">
        <f>VLOOKUP($A135,'Accounts by GL'!$C$6:$O$528,6,FALSE)</f>
        <v>0</v>
      </c>
      <c r="I135" s="1289">
        <f>VLOOKUP($A135,'Accounts by GL'!$C$6:$O$528,7,FALSE)</f>
        <v>0</v>
      </c>
      <c r="J135" s="1289">
        <f>VLOOKUP($A135,'Accounts by GL'!$C$6:$O$528,8,FALSE)</f>
        <v>0</v>
      </c>
      <c r="K135" s="1289">
        <f>VLOOKUP($A135,'Accounts by GL'!$C$6:$O$528,9,FALSE)</f>
        <v>0</v>
      </c>
      <c r="L135" s="1289">
        <f>VLOOKUP($A135,'Accounts by GL'!$C$6:$O$528,10,FALSE)</f>
        <v>0</v>
      </c>
      <c r="M135" s="1289">
        <f>VLOOKUP($A135,'Accounts by GL'!$C$6:$O$528,12,FALSE)</f>
        <v>0</v>
      </c>
    </row>
    <row r="136" spans="1:13">
      <c r="A136" s="1293" t="s">
        <v>1356</v>
      </c>
      <c r="B136" s="1287" t="str">
        <f t="shared" si="1"/>
        <v>SAMPLE STATE COLLEGE</v>
      </c>
      <c r="C136" s="1294" t="s">
        <v>1356</v>
      </c>
      <c r="D136" s="1289">
        <f>VLOOKUP($A136,'Accounts by GL'!$C$6:$O$528,2,FALSE)</f>
        <v>0</v>
      </c>
      <c r="E136" s="1289">
        <f>VLOOKUP($A136,'Accounts by GL'!$C$6:$O$528,3,FALSE)</f>
        <v>0</v>
      </c>
      <c r="F136" s="1289">
        <f>VLOOKUP($A136,'Accounts by GL'!$C$6:$O$528,4,FALSE)</f>
        <v>0</v>
      </c>
      <c r="G136" s="1289">
        <f>VLOOKUP($A136,'Accounts by GL'!$C$6:$O$528,5,FALSE)</f>
        <v>0</v>
      </c>
      <c r="H136" s="1289">
        <f>VLOOKUP($A136,'Accounts by GL'!$C$6:$O$528,6,FALSE)</f>
        <v>0</v>
      </c>
      <c r="I136" s="1289">
        <f>VLOOKUP($A136,'Accounts by GL'!$C$6:$O$528,7,FALSE)</f>
        <v>0</v>
      </c>
      <c r="J136" s="1289">
        <f>VLOOKUP($A136,'Accounts by GL'!$C$6:$O$528,8,FALSE)</f>
        <v>0</v>
      </c>
      <c r="K136" s="1289">
        <f>VLOOKUP($A136,'Accounts by GL'!$C$6:$O$528,9,FALSE)</f>
        <v>0</v>
      </c>
      <c r="L136" s="1289">
        <f>VLOOKUP($A136,'Accounts by GL'!$C$6:$O$528,10,FALSE)</f>
        <v>0</v>
      </c>
      <c r="M136" s="1289">
        <f>VLOOKUP($A136,'Accounts by GL'!$C$6:$O$528,12,FALSE)</f>
        <v>0</v>
      </c>
    </row>
    <row r="137" spans="1:13">
      <c r="A137" s="1293" t="s">
        <v>1359</v>
      </c>
      <c r="B137" s="1287" t="str">
        <f t="shared" si="1"/>
        <v>SAMPLE STATE COLLEGE</v>
      </c>
      <c r="C137" s="1294" t="s">
        <v>1359</v>
      </c>
      <c r="D137" s="1289">
        <f>VLOOKUP($A137,'Accounts by GL'!$C$6:$O$528,2,FALSE)</f>
        <v>0</v>
      </c>
      <c r="E137" s="1289">
        <f>VLOOKUP($A137,'Accounts by GL'!$C$6:$O$528,3,FALSE)</f>
        <v>0</v>
      </c>
      <c r="F137" s="1289">
        <f>VLOOKUP($A137,'Accounts by GL'!$C$6:$O$528,4,FALSE)</f>
        <v>0</v>
      </c>
      <c r="G137" s="1289">
        <f>VLOOKUP($A137,'Accounts by GL'!$C$6:$O$528,5,FALSE)</f>
        <v>0</v>
      </c>
      <c r="H137" s="1289">
        <f>VLOOKUP($A137,'Accounts by GL'!$C$6:$O$528,6,FALSE)</f>
        <v>0</v>
      </c>
      <c r="I137" s="1289">
        <f>VLOOKUP($A137,'Accounts by GL'!$C$6:$O$528,7,FALSE)</f>
        <v>0</v>
      </c>
      <c r="J137" s="1289">
        <f>VLOOKUP($A137,'Accounts by GL'!$C$6:$O$528,8,FALSE)</f>
        <v>0</v>
      </c>
      <c r="K137" s="1289">
        <f>VLOOKUP($A137,'Accounts by GL'!$C$6:$O$528,9,FALSE)</f>
        <v>0</v>
      </c>
      <c r="L137" s="1289">
        <f>VLOOKUP($A137,'Accounts by GL'!$C$6:$O$528,10,FALSE)</f>
        <v>0</v>
      </c>
      <c r="M137" s="1289">
        <f>VLOOKUP($A137,'Accounts by GL'!$C$6:$O$528,12,FALSE)</f>
        <v>0</v>
      </c>
    </row>
    <row r="138" spans="1:13">
      <c r="A138" s="1293" t="s">
        <v>1362</v>
      </c>
      <c r="B138" s="1287" t="str">
        <f t="shared" si="1"/>
        <v>SAMPLE STATE COLLEGE</v>
      </c>
      <c r="C138" s="1294" t="s">
        <v>1362</v>
      </c>
      <c r="D138" s="1289">
        <f>VLOOKUP($A138,'Accounts by GL'!$C$6:$O$528,2,FALSE)</f>
        <v>0</v>
      </c>
      <c r="E138" s="1289">
        <f>VLOOKUP($A138,'Accounts by GL'!$C$6:$O$528,3,FALSE)</f>
        <v>0</v>
      </c>
      <c r="F138" s="1289">
        <f>VLOOKUP($A138,'Accounts by GL'!$C$6:$O$528,4,FALSE)</f>
        <v>0</v>
      </c>
      <c r="G138" s="1289">
        <f>VLOOKUP($A138,'Accounts by GL'!$C$6:$O$528,5,FALSE)</f>
        <v>0</v>
      </c>
      <c r="H138" s="1289">
        <f>VLOOKUP($A138,'Accounts by GL'!$C$6:$O$528,6,FALSE)</f>
        <v>0</v>
      </c>
      <c r="I138" s="1289">
        <f>VLOOKUP($A138,'Accounts by GL'!$C$6:$O$528,7,FALSE)</f>
        <v>0</v>
      </c>
      <c r="J138" s="1289">
        <f>VLOOKUP($A138,'Accounts by GL'!$C$6:$O$528,8,FALSE)</f>
        <v>0</v>
      </c>
      <c r="K138" s="1289">
        <f>VLOOKUP($A138,'Accounts by GL'!$C$6:$O$528,9,FALSE)</f>
        <v>0</v>
      </c>
      <c r="L138" s="1289">
        <f>VLOOKUP($A138,'Accounts by GL'!$C$6:$O$528,10,FALSE)</f>
        <v>0</v>
      </c>
      <c r="M138" s="1289">
        <f>VLOOKUP($A138,'Accounts by GL'!$C$6:$O$528,12,FALSE)</f>
        <v>0</v>
      </c>
    </row>
    <row r="139" spans="1:13">
      <c r="A139" s="1293" t="s">
        <v>1365</v>
      </c>
      <c r="B139" s="1287" t="str">
        <f t="shared" si="1"/>
        <v>SAMPLE STATE COLLEGE</v>
      </c>
      <c r="C139" s="1294" t="s">
        <v>1365</v>
      </c>
      <c r="D139" s="1289">
        <f>VLOOKUP($A139,'Accounts by GL'!$C$6:$O$528,2,FALSE)</f>
        <v>0</v>
      </c>
      <c r="E139" s="1289">
        <f>VLOOKUP($A139,'Accounts by GL'!$C$6:$O$528,3,FALSE)</f>
        <v>0</v>
      </c>
      <c r="F139" s="1289">
        <f>VLOOKUP($A139,'Accounts by GL'!$C$6:$O$528,4,FALSE)</f>
        <v>0</v>
      </c>
      <c r="G139" s="1289">
        <f>VLOOKUP($A139,'Accounts by GL'!$C$6:$O$528,5,FALSE)</f>
        <v>0</v>
      </c>
      <c r="H139" s="1289">
        <f>VLOOKUP($A139,'Accounts by GL'!$C$6:$O$528,6,FALSE)</f>
        <v>0</v>
      </c>
      <c r="I139" s="1289">
        <f>VLOOKUP($A139,'Accounts by GL'!$C$6:$O$528,7,FALSE)</f>
        <v>0</v>
      </c>
      <c r="J139" s="1289">
        <f>VLOOKUP($A139,'Accounts by GL'!$C$6:$O$528,8,FALSE)</f>
        <v>0</v>
      </c>
      <c r="K139" s="1289">
        <f>VLOOKUP($A139,'Accounts by GL'!$C$6:$O$528,9,FALSE)</f>
        <v>0</v>
      </c>
      <c r="L139" s="1289">
        <f>VLOOKUP($A139,'Accounts by GL'!$C$6:$O$528,10,FALSE)</f>
        <v>0</v>
      </c>
      <c r="M139" s="1289">
        <f>VLOOKUP($A139,'Accounts by GL'!$C$6:$O$528,12,FALSE)</f>
        <v>0</v>
      </c>
    </row>
    <row r="140" spans="1:13">
      <c r="A140" s="1293" t="s">
        <v>1368</v>
      </c>
      <c r="B140" s="1287" t="str">
        <f t="shared" si="1"/>
        <v>SAMPLE STATE COLLEGE</v>
      </c>
      <c r="C140" s="1294" t="s">
        <v>1368</v>
      </c>
      <c r="D140" s="1289">
        <f>VLOOKUP($A140,'Accounts by GL'!$C$6:$O$528,2,FALSE)</f>
        <v>0</v>
      </c>
      <c r="E140" s="1289">
        <f>VLOOKUP($A140,'Accounts by GL'!$C$6:$O$528,3,FALSE)</f>
        <v>0</v>
      </c>
      <c r="F140" s="1289">
        <f>VLOOKUP($A140,'Accounts by GL'!$C$6:$O$528,4,FALSE)</f>
        <v>0</v>
      </c>
      <c r="G140" s="1289">
        <f>VLOOKUP($A140,'Accounts by GL'!$C$6:$O$528,5,FALSE)</f>
        <v>0</v>
      </c>
      <c r="H140" s="1289">
        <f>VLOOKUP($A140,'Accounts by GL'!$C$6:$O$528,6,FALSE)</f>
        <v>0</v>
      </c>
      <c r="I140" s="1289">
        <f>VLOOKUP($A140,'Accounts by GL'!$C$6:$O$528,7,FALSE)</f>
        <v>0</v>
      </c>
      <c r="J140" s="1289">
        <f>VLOOKUP($A140,'Accounts by GL'!$C$6:$O$528,8,FALSE)</f>
        <v>0</v>
      </c>
      <c r="K140" s="1289">
        <f>VLOOKUP($A140,'Accounts by GL'!$C$6:$O$528,9,FALSE)</f>
        <v>0</v>
      </c>
      <c r="L140" s="1289">
        <f>VLOOKUP($A140,'Accounts by GL'!$C$6:$O$528,10,FALSE)</f>
        <v>0</v>
      </c>
      <c r="M140" s="1289">
        <f>VLOOKUP($A140,'Accounts by GL'!$C$6:$O$528,12,FALSE)</f>
        <v>0</v>
      </c>
    </row>
    <row r="141" spans="1:13">
      <c r="A141" s="1293" t="s">
        <v>1371</v>
      </c>
      <c r="B141" s="1287" t="str">
        <f t="shared" si="1"/>
        <v>SAMPLE STATE COLLEGE</v>
      </c>
      <c r="C141" s="1294" t="s">
        <v>1371</v>
      </c>
      <c r="D141" s="1289">
        <f>VLOOKUP($A141,'Accounts by GL'!$C$6:$O$528,2,FALSE)</f>
        <v>0</v>
      </c>
      <c r="E141" s="1289">
        <f>VLOOKUP($A141,'Accounts by GL'!$C$6:$O$528,3,FALSE)</f>
        <v>0</v>
      </c>
      <c r="F141" s="1289">
        <f>VLOOKUP($A141,'Accounts by GL'!$C$6:$O$528,4,FALSE)</f>
        <v>0</v>
      </c>
      <c r="G141" s="1289">
        <f>VLOOKUP($A141,'Accounts by GL'!$C$6:$O$528,5,FALSE)</f>
        <v>0</v>
      </c>
      <c r="H141" s="1289">
        <f>VLOOKUP($A141,'Accounts by GL'!$C$6:$O$528,6,FALSE)</f>
        <v>0</v>
      </c>
      <c r="I141" s="1289">
        <f>VLOOKUP($A141,'Accounts by GL'!$C$6:$O$528,7,FALSE)</f>
        <v>0</v>
      </c>
      <c r="J141" s="1289">
        <f>VLOOKUP($A141,'Accounts by GL'!$C$6:$O$528,8,FALSE)</f>
        <v>0</v>
      </c>
      <c r="K141" s="1289">
        <f>VLOOKUP($A141,'Accounts by GL'!$C$6:$O$528,9,FALSE)</f>
        <v>0</v>
      </c>
      <c r="L141" s="1289">
        <f>VLOOKUP($A141,'Accounts by GL'!$C$6:$O$528,10,FALSE)</f>
        <v>0</v>
      </c>
      <c r="M141" s="1289">
        <f>VLOOKUP($A141,'Accounts by GL'!$C$6:$O$528,12,FALSE)</f>
        <v>0</v>
      </c>
    </row>
    <row r="142" spans="1:13">
      <c r="A142" s="1293" t="s">
        <v>1374</v>
      </c>
      <c r="B142" s="1287" t="str">
        <f t="shared" si="1"/>
        <v>SAMPLE STATE COLLEGE</v>
      </c>
      <c r="C142" s="1294" t="s">
        <v>1374</v>
      </c>
      <c r="D142" s="1289">
        <f>VLOOKUP($A142,'Accounts by GL'!$C$6:$O$528,2,FALSE)</f>
        <v>0</v>
      </c>
      <c r="E142" s="1289">
        <f>VLOOKUP($A142,'Accounts by GL'!$C$6:$O$528,3,FALSE)</f>
        <v>0</v>
      </c>
      <c r="F142" s="1289">
        <f>VLOOKUP($A142,'Accounts by GL'!$C$6:$O$528,4,FALSE)</f>
        <v>0</v>
      </c>
      <c r="G142" s="1289">
        <f>VLOOKUP($A142,'Accounts by GL'!$C$6:$O$528,5,FALSE)</f>
        <v>0</v>
      </c>
      <c r="H142" s="1289">
        <f>VLOOKUP($A142,'Accounts by GL'!$C$6:$O$528,6,FALSE)</f>
        <v>0</v>
      </c>
      <c r="I142" s="1289">
        <f>VLOOKUP($A142,'Accounts by GL'!$C$6:$O$528,7,FALSE)</f>
        <v>0</v>
      </c>
      <c r="J142" s="1289">
        <f>VLOOKUP($A142,'Accounts by GL'!$C$6:$O$528,8,FALSE)</f>
        <v>0</v>
      </c>
      <c r="K142" s="1289">
        <f>VLOOKUP($A142,'Accounts by GL'!$C$6:$O$528,9,FALSE)</f>
        <v>0</v>
      </c>
      <c r="L142" s="1289">
        <f>VLOOKUP($A142,'Accounts by GL'!$C$6:$O$528,10,FALSE)</f>
        <v>0</v>
      </c>
      <c r="M142" s="1289">
        <f>VLOOKUP($A142,'Accounts by GL'!$C$6:$O$528,12,FALSE)</f>
        <v>0</v>
      </c>
    </row>
    <row r="143" spans="1:13">
      <c r="A143" s="1293" t="s">
        <v>1377</v>
      </c>
      <c r="B143" s="1287" t="str">
        <f t="shared" ref="B143:B206" si="2">$B$2</f>
        <v>SAMPLE STATE COLLEGE</v>
      </c>
      <c r="C143" s="1294" t="s">
        <v>1377</v>
      </c>
      <c r="D143" s="1289">
        <f>VLOOKUP($A143,'Accounts by GL'!$C$6:$O$528,2,FALSE)</f>
        <v>0</v>
      </c>
      <c r="E143" s="1289">
        <f>VLOOKUP($A143,'Accounts by GL'!$C$6:$O$528,3,FALSE)</f>
        <v>0</v>
      </c>
      <c r="F143" s="1289">
        <f>VLOOKUP($A143,'Accounts by GL'!$C$6:$O$528,4,FALSE)</f>
        <v>0</v>
      </c>
      <c r="G143" s="1289">
        <f>VLOOKUP($A143,'Accounts by GL'!$C$6:$O$528,5,FALSE)</f>
        <v>0</v>
      </c>
      <c r="H143" s="1289">
        <f>VLOOKUP($A143,'Accounts by GL'!$C$6:$O$528,6,FALSE)</f>
        <v>0</v>
      </c>
      <c r="I143" s="1289">
        <f>VLOOKUP($A143,'Accounts by GL'!$C$6:$O$528,7,FALSE)</f>
        <v>0</v>
      </c>
      <c r="J143" s="1289">
        <f>VLOOKUP($A143,'Accounts by GL'!$C$6:$O$528,8,FALSE)</f>
        <v>0</v>
      </c>
      <c r="K143" s="1289">
        <f>VLOOKUP($A143,'Accounts by GL'!$C$6:$O$528,9,FALSE)</f>
        <v>0</v>
      </c>
      <c r="L143" s="1289">
        <f>VLOOKUP($A143,'Accounts by GL'!$C$6:$O$528,10,FALSE)</f>
        <v>0</v>
      </c>
      <c r="M143" s="1289">
        <f>VLOOKUP($A143,'Accounts by GL'!$C$6:$O$528,12,FALSE)</f>
        <v>0</v>
      </c>
    </row>
    <row r="144" spans="1:13">
      <c r="A144" s="1293" t="s">
        <v>1380</v>
      </c>
      <c r="B144" s="1287" t="str">
        <f t="shared" si="2"/>
        <v>SAMPLE STATE COLLEGE</v>
      </c>
      <c r="C144" s="1294" t="s">
        <v>1380</v>
      </c>
      <c r="D144" s="1289">
        <f>VLOOKUP($A144,'Accounts by GL'!$C$6:$O$528,2,FALSE)</f>
        <v>0</v>
      </c>
      <c r="E144" s="1289">
        <f>VLOOKUP($A144,'Accounts by GL'!$C$6:$O$528,3,FALSE)</f>
        <v>0</v>
      </c>
      <c r="F144" s="1289">
        <f>VLOOKUP($A144,'Accounts by GL'!$C$6:$O$528,4,FALSE)</f>
        <v>0</v>
      </c>
      <c r="G144" s="1289">
        <f>VLOOKUP($A144,'Accounts by GL'!$C$6:$O$528,5,FALSE)</f>
        <v>0</v>
      </c>
      <c r="H144" s="1289">
        <f>VLOOKUP($A144,'Accounts by GL'!$C$6:$O$528,6,FALSE)</f>
        <v>0</v>
      </c>
      <c r="I144" s="1289">
        <f>VLOOKUP($A144,'Accounts by GL'!$C$6:$O$528,7,FALSE)</f>
        <v>0</v>
      </c>
      <c r="J144" s="1289">
        <f>VLOOKUP($A144,'Accounts by GL'!$C$6:$O$528,8,FALSE)</f>
        <v>0</v>
      </c>
      <c r="K144" s="1289">
        <f>VLOOKUP($A144,'Accounts by GL'!$C$6:$O$528,9,FALSE)</f>
        <v>0</v>
      </c>
      <c r="L144" s="1289">
        <f>VLOOKUP($A144,'Accounts by GL'!$C$6:$O$528,10,FALSE)</f>
        <v>0</v>
      </c>
      <c r="M144" s="1289">
        <f>VLOOKUP($A144,'Accounts by GL'!$C$6:$O$528,12,FALSE)</f>
        <v>0</v>
      </c>
    </row>
    <row r="145" spans="1:13">
      <c r="A145" s="1293" t="s">
        <v>1383</v>
      </c>
      <c r="B145" s="1287" t="str">
        <f t="shared" si="2"/>
        <v>SAMPLE STATE COLLEGE</v>
      </c>
      <c r="C145" s="1294" t="s">
        <v>1383</v>
      </c>
      <c r="D145" s="1289">
        <f>VLOOKUP($A145,'Accounts by GL'!$C$6:$O$528,2,FALSE)</f>
        <v>0</v>
      </c>
      <c r="E145" s="1289">
        <f>VLOOKUP($A145,'Accounts by GL'!$C$6:$O$528,3,FALSE)</f>
        <v>0</v>
      </c>
      <c r="F145" s="1289">
        <f>VLOOKUP($A145,'Accounts by GL'!$C$6:$O$528,4,FALSE)</f>
        <v>0</v>
      </c>
      <c r="G145" s="1289">
        <f>VLOOKUP($A145,'Accounts by GL'!$C$6:$O$528,5,FALSE)</f>
        <v>0</v>
      </c>
      <c r="H145" s="1289">
        <f>VLOOKUP($A145,'Accounts by GL'!$C$6:$O$528,6,FALSE)</f>
        <v>0</v>
      </c>
      <c r="I145" s="1289">
        <f>VLOOKUP($A145,'Accounts by GL'!$C$6:$O$528,7,FALSE)</f>
        <v>0</v>
      </c>
      <c r="J145" s="1289">
        <f>VLOOKUP($A145,'Accounts by GL'!$C$6:$O$528,8,FALSE)</f>
        <v>0</v>
      </c>
      <c r="K145" s="1289">
        <f>VLOOKUP($A145,'Accounts by GL'!$C$6:$O$528,9,FALSE)</f>
        <v>0</v>
      </c>
      <c r="L145" s="1289">
        <f>VLOOKUP($A145,'Accounts by GL'!$C$6:$O$528,10,FALSE)</f>
        <v>0</v>
      </c>
      <c r="M145" s="1289">
        <f>VLOOKUP($A145,'Accounts by GL'!$C$6:$O$528,12,FALSE)</f>
        <v>0</v>
      </c>
    </row>
    <row r="146" spans="1:13">
      <c r="A146" s="1293" t="s">
        <v>251</v>
      </c>
      <c r="B146" s="1287" t="str">
        <f t="shared" si="2"/>
        <v>SAMPLE STATE COLLEGE</v>
      </c>
      <c r="C146" s="1294" t="s">
        <v>251</v>
      </c>
      <c r="D146" s="1289">
        <f>VLOOKUP($A146,'Accounts by GL'!$C$6:$O$528,2,FALSE)</f>
        <v>0</v>
      </c>
      <c r="E146" s="1289">
        <f>VLOOKUP($A146,'Accounts by GL'!$C$6:$O$528,3,FALSE)</f>
        <v>0</v>
      </c>
      <c r="F146" s="1289">
        <f>VLOOKUP($A146,'Accounts by GL'!$C$6:$O$528,4,FALSE)</f>
        <v>0</v>
      </c>
      <c r="G146" s="1289">
        <f>VLOOKUP($A146,'Accounts by GL'!$C$6:$O$528,5,FALSE)</f>
        <v>0</v>
      </c>
      <c r="H146" s="1289">
        <f>VLOOKUP($A146,'Accounts by GL'!$C$6:$O$528,6,FALSE)</f>
        <v>0</v>
      </c>
      <c r="I146" s="1289">
        <f>VLOOKUP($A146,'Accounts by GL'!$C$6:$O$528,7,FALSE)</f>
        <v>0</v>
      </c>
      <c r="J146" s="1289">
        <f>VLOOKUP($A146,'Accounts by GL'!$C$6:$O$528,8,FALSE)</f>
        <v>0</v>
      </c>
      <c r="K146" s="1289">
        <f>VLOOKUP($A146,'Accounts by GL'!$C$6:$O$528,9,FALSE)</f>
        <v>0</v>
      </c>
      <c r="L146" s="1289">
        <f>VLOOKUP($A146,'Accounts by GL'!$C$6:$O$528,10,FALSE)</f>
        <v>0</v>
      </c>
      <c r="M146" s="1289">
        <f>VLOOKUP($A146,'Accounts by GL'!$C$6:$O$528,12,FALSE)</f>
        <v>0</v>
      </c>
    </row>
    <row r="147" spans="1:13">
      <c r="A147" s="1293" t="s">
        <v>1388</v>
      </c>
      <c r="B147" s="1287" t="str">
        <f t="shared" si="2"/>
        <v>SAMPLE STATE COLLEGE</v>
      </c>
      <c r="C147" s="1294" t="s">
        <v>1388</v>
      </c>
      <c r="D147" s="1289">
        <f>VLOOKUP($A147,'Accounts by GL'!$C$6:$O$528,2,FALSE)</f>
        <v>0</v>
      </c>
      <c r="E147" s="1289">
        <f>VLOOKUP($A147,'Accounts by GL'!$C$6:$O$528,3,FALSE)</f>
        <v>0</v>
      </c>
      <c r="F147" s="1289">
        <f>VLOOKUP($A147,'Accounts by GL'!$C$6:$O$528,4,FALSE)</f>
        <v>0</v>
      </c>
      <c r="G147" s="1289">
        <f>VLOOKUP($A147,'Accounts by GL'!$C$6:$O$528,5,FALSE)</f>
        <v>0</v>
      </c>
      <c r="H147" s="1289">
        <f>VLOOKUP($A147,'Accounts by GL'!$C$6:$O$528,6,FALSE)</f>
        <v>0</v>
      </c>
      <c r="I147" s="1289">
        <f>VLOOKUP($A147,'Accounts by GL'!$C$6:$O$528,7,FALSE)</f>
        <v>0</v>
      </c>
      <c r="J147" s="1289">
        <f>VLOOKUP($A147,'Accounts by GL'!$C$6:$O$528,8,FALSE)</f>
        <v>0</v>
      </c>
      <c r="K147" s="1289">
        <f>VLOOKUP($A147,'Accounts by GL'!$C$6:$O$528,9,FALSE)</f>
        <v>0</v>
      </c>
      <c r="L147" s="1289">
        <f>VLOOKUP($A147,'Accounts by GL'!$C$6:$O$528,10,FALSE)</f>
        <v>0</v>
      </c>
      <c r="M147" s="1289">
        <f>VLOOKUP($A147,'Accounts by GL'!$C$6:$O$528,12,FALSE)</f>
        <v>0</v>
      </c>
    </row>
    <row r="148" spans="1:13">
      <c r="A148" s="1293" t="s">
        <v>1391</v>
      </c>
      <c r="B148" s="1287" t="str">
        <f t="shared" si="2"/>
        <v>SAMPLE STATE COLLEGE</v>
      </c>
      <c r="C148" s="1294" t="s">
        <v>1391</v>
      </c>
      <c r="D148" s="1289">
        <f>VLOOKUP($A148,'Accounts by GL'!$C$6:$O$528,2,FALSE)</f>
        <v>0</v>
      </c>
      <c r="E148" s="1289">
        <f>VLOOKUP($A148,'Accounts by GL'!$C$6:$O$528,3,FALSE)</f>
        <v>0</v>
      </c>
      <c r="F148" s="1289">
        <f>VLOOKUP($A148,'Accounts by GL'!$C$6:$O$528,4,FALSE)</f>
        <v>0</v>
      </c>
      <c r="G148" s="1289">
        <f>VLOOKUP($A148,'Accounts by GL'!$C$6:$O$528,5,FALSE)</f>
        <v>0</v>
      </c>
      <c r="H148" s="1289">
        <f>VLOOKUP($A148,'Accounts by GL'!$C$6:$O$528,6,FALSE)</f>
        <v>0</v>
      </c>
      <c r="I148" s="1289">
        <f>VLOOKUP($A148,'Accounts by GL'!$C$6:$O$528,7,FALSE)</f>
        <v>0</v>
      </c>
      <c r="J148" s="1289">
        <f>VLOOKUP($A148,'Accounts by GL'!$C$6:$O$528,8,FALSE)</f>
        <v>0</v>
      </c>
      <c r="K148" s="1289">
        <f>VLOOKUP($A148,'Accounts by GL'!$C$6:$O$528,9,FALSE)</f>
        <v>0</v>
      </c>
      <c r="L148" s="1289">
        <f>VLOOKUP($A148,'Accounts by GL'!$C$6:$O$528,10,FALSE)</f>
        <v>0</v>
      </c>
      <c r="M148" s="1289">
        <f>VLOOKUP($A148,'Accounts by GL'!$C$6:$O$528,12,FALSE)</f>
        <v>0</v>
      </c>
    </row>
    <row r="149" spans="1:13">
      <c r="A149" s="1293" t="s">
        <v>1394</v>
      </c>
      <c r="B149" s="1287" t="str">
        <f t="shared" si="2"/>
        <v>SAMPLE STATE COLLEGE</v>
      </c>
      <c r="C149" s="1294" t="s">
        <v>1394</v>
      </c>
      <c r="D149" s="1289">
        <f>VLOOKUP($A149,'Accounts by GL'!$C$6:$O$528,2,FALSE)</f>
        <v>0</v>
      </c>
      <c r="E149" s="1289">
        <f>VLOOKUP($A149,'Accounts by GL'!$C$6:$O$528,3,FALSE)</f>
        <v>0</v>
      </c>
      <c r="F149" s="1289">
        <f>VLOOKUP($A149,'Accounts by GL'!$C$6:$O$528,4,FALSE)</f>
        <v>0</v>
      </c>
      <c r="G149" s="1289">
        <f>VLOOKUP($A149,'Accounts by GL'!$C$6:$O$528,5,FALSE)</f>
        <v>0</v>
      </c>
      <c r="H149" s="1289">
        <f>VLOOKUP($A149,'Accounts by GL'!$C$6:$O$528,6,FALSE)</f>
        <v>0</v>
      </c>
      <c r="I149" s="1289">
        <f>VLOOKUP($A149,'Accounts by GL'!$C$6:$O$528,7,FALSE)</f>
        <v>0</v>
      </c>
      <c r="J149" s="1289">
        <f>VLOOKUP($A149,'Accounts by GL'!$C$6:$O$528,8,FALSE)</f>
        <v>0</v>
      </c>
      <c r="K149" s="1289">
        <f>VLOOKUP($A149,'Accounts by GL'!$C$6:$O$528,9,FALSE)</f>
        <v>0</v>
      </c>
      <c r="L149" s="1289">
        <f>VLOOKUP($A149,'Accounts by GL'!$C$6:$O$528,10,FALSE)</f>
        <v>0</v>
      </c>
      <c r="M149" s="1289">
        <f>VLOOKUP($A149,'Accounts by GL'!$C$6:$O$528,12,FALSE)</f>
        <v>0</v>
      </c>
    </row>
    <row r="150" spans="1:13">
      <c r="A150" s="1293" t="s">
        <v>1397</v>
      </c>
      <c r="B150" s="1287" t="str">
        <f t="shared" si="2"/>
        <v>SAMPLE STATE COLLEGE</v>
      </c>
      <c r="C150" s="1294" t="s">
        <v>1397</v>
      </c>
      <c r="D150" s="1289">
        <f>VLOOKUP($A150,'Accounts by GL'!$C$6:$O$528,2,FALSE)</f>
        <v>0</v>
      </c>
      <c r="E150" s="1289">
        <f>VLOOKUP($A150,'Accounts by GL'!$C$6:$O$528,3,FALSE)</f>
        <v>0</v>
      </c>
      <c r="F150" s="1289">
        <f>VLOOKUP($A150,'Accounts by GL'!$C$6:$O$528,4,FALSE)</f>
        <v>0</v>
      </c>
      <c r="G150" s="1289">
        <f>VLOOKUP($A150,'Accounts by GL'!$C$6:$O$528,5,FALSE)</f>
        <v>0</v>
      </c>
      <c r="H150" s="1289">
        <f>VLOOKUP($A150,'Accounts by GL'!$C$6:$O$528,6,FALSE)</f>
        <v>0</v>
      </c>
      <c r="I150" s="1289">
        <f>VLOOKUP($A150,'Accounts by GL'!$C$6:$O$528,7,FALSE)</f>
        <v>0</v>
      </c>
      <c r="J150" s="1289">
        <f>VLOOKUP($A150,'Accounts by GL'!$C$6:$O$528,8,FALSE)</f>
        <v>0</v>
      </c>
      <c r="K150" s="1289">
        <f>VLOOKUP($A150,'Accounts by GL'!$C$6:$O$528,9,FALSE)</f>
        <v>0</v>
      </c>
      <c r="L150" s="1289">
        <f>VLOOKUP($A150,'Accounts by GL'!$C$6:$O$528,10,FALSE)</f>
        <v>0</v>
      </c>
      <c r="M150" s="1289">
        <f>VLOOKUP($A150,'Accounts by GL'!$C$6:$O$528,12,FALSE)</f>
        <v>0</v>
      </c>
    </row>
    <row r="151" spans="1:13">
      <c r="A151" s="1293" t="s">
        <v>1400</v>
      </c>
      <c r="B151" s="1287" t="str">
        <f t="shared" si="2"/>
        <v>SAMPLE STATE COLLEGE</v>
      </c>
      <c r="C151" s="1294" t="s">
        <v>1400</v>
      </c>
      <c r="D151" s="1289">
        <f>VLOOKUP($A151,'Accounts by GL'!$C$6:$O$528,2,FALSE)</f>
        <v>0</v>
      </c>
      <c r="E151" s="1289">
        <f>VLOOKUP($A151,'Accounts by GL'!$C$6:$O$528,3,FALSE)</f>
        <v>0</v>
      </c>
      <c r="F151" s="1289">
        <f>VLOOKUP($A151,'Accounts by GL'!$C$6:$O$528,4,FALSE)</f>
        <v>0</v>
      </c>
      <c r="G151" s="1289">
        <f>VLOOKUP($A151,'Accounts by GL'!$C$6:$O$528,5,FALSE)</f>
        <v>0</v>
      </c>
      <c r="H151" s="1289">
        <f>VLOOKUP($A151,'Accounts by GL'!$C$6:$O$528,6,FALSE)</f>
        <v>0</v>
      </c>
      <c r="I151" s="1289">
        <f>VLOOKUP($A151,'Accounts by GL'!$C$6:$O$528,7,FALSE)</f>
        <v>0</v>
      </c>
      <c r="J151" s="1289">
        <f>VLOOKUP($A151,'Accounts by GL'!$C$6:$O$528,8,FALSE)</f>
        <v>0</v>
      </c>
      <c r="K151" s="1289">
        <f>VLOOKUP($A151,'Accounts by GL'!$C$6:$O$528,9,FALSE)</f>
        <v>0</v>
      </c>
      <c r="L151" s="1289">
        <f>VLOOKUP($A151,'Accounts by GL'!$C$6:$O$528,10,FALSE)</f>
        <v>0</v>
      </c>
      <c r="M151" s="1289">
        <f>VLOOKUP($A151,'Accounts by GL'!$C$6:$O$528,12,FALSE)</f>
        <v>0</v>
      </c>
    </row>
    <row r="152" spans="1:13">
      <c r="A152" s="1293" t="s">
        <v>1403</v>
      </c>
      <c r="B152" s="1287" t="str">
        <f t="shared" si="2"/>
        <v>SAMPLE STATE COLLEGE</v>
      </c>
      <c r="C152" s="1294" t="s">
        <v>1403</v>
      </c>
      <c r="D152" s="1289">
        <f>VLOOKUP($A152,'Accounts by GL'!$C$6:$O$528,2,FALSE)</f>
        <v>0</v>
      </c>
      <c r="E152" s="1289">
        <f>VLOOKUP($A152,'Accounts by GL'!$C$6:$O$528,3,FALSE)</f>
        <v>0</v>
      </c>
      <c r="F152" s="1289">
        <f>VLOOKUP($A152,'Accounts by GL'!$C$6:$O$528,4,FALSE)</f>
        <v>0</v>
      </c>
      <c r="G152" s="1289">
        <f>VLOOKUP($A152,'Accounts by GL'!$C$6:$O$528,5,FALSE)</f>
        <v>0</v>
      </c>
      <c r="H152" s="1289">
        <f>VLOOKUP($A152,'Accounts by GL'!$C$6:$O$528,6,FALSE)</f>
        <v>0</v>
      </c>
      <c r="I152" s="1289">
        <f>VLOOKUP($A152,'Accounts by GL'!$C$6:$O$528,7,FALSE)</f>
        <v>0</v>
      </c>
      <c r="J152" s="1289">
        <f>VLOOKUP($A152,'Accounts by GL'!$C$6:$O$528,8,FALSE)</f>
        <v>0</v>
      </c>
      <c r="K152" s="1289">
        <f>VLOOKUP($A152,'Accounts by GL'!$C$6:$O$528,9,FALSE)</f>
        <v>0</v>
      </c>
      <c r="L152" s="1289">
        <f>VLOOKUP($A152,'Accounts by GL'!$C$6:$O$528,10,FALSE)</f>
        <v>0</v>
      </c>
      <c r="M152" s="1289">
        <f>VLOOKUP($A152,'Accounts by GL'!$C$6:$O$528,12,FALSE)</f>
        <v>0</v>
      </c>
    </row>
    <row r="153" spans="1:13">
      <c r="A153" s="1293" t="s">
        <v>1406</v>
      </c>
      <c r="B153" s="1287" t="str">
        <f t="shared" si="2"/>
        <v>SAMPLE STATE COLLEGE</v>
      </c>
      <c r="C153" s="1294" t="s">
        <v>1406</v>
      </c>
      <c r="D153" s="1289">
        <f>VLOOKUP($A153,'Accounts by GL'!$C$6:$O$528,2,FALSE)</f>
        <v>0</v>
      </c>
      <c r="E153" s="1289">
        <f>VLOOKUP($A153,'Accounts by GL'!$C$6:$O$528,3,FALSE)</f>
        <v>0</v>
      </c>
      <c r="F153" s="1289">
        <f>VLOOKUP($A153,'Accounts by GL'!$C$6:$O$528,4,FALSE)</f>
        <v>0</v>
      </c>
      <c r="G153" s="1289">
        <f>VLOOKUP($A153,'Accounts by GL'!$C$6:$O$528,5,FALSE)</f>
        <v>0</v>
      </c>
      <c r="H153" s="1289">
        <f>VLOOKUP($A153,'Accounts by GL'!$C$6:$O$528,6,FALSE)</f>
        <v>0</v>
      </c>
      <c r="I153" s="1289">
        <f>VLOOKUP($A153,'Accounts by GL'!$C$6:$O$528,7,FALSE)</f>
        <v>0</v>
      </c>
      <c r="J153" s="1289">
        <f>VLOOKUP($A153,'Accounts by GL'!$C$6:$O$528,8,FALSE)</f>
        <v>0</v>
      </c>
      <c r="K153" s="1289">
        <f>VLOOKUP($A153,'Accounts by GL'!$C$6:$O$528,9,FALSE)</f>
        <v>0</v>
      </c>
      <c r="L153" s="1289">
        <f>VLOOKUP($A153,'Accounts by GL'!$C$6:$O$528,10,FALSE)</f>
        <v>0</v>
      </c>
      <c r="M153" s="1289">
        <f>VLOOKUP($A153,'Accounts by GL'!$C$6:$O$528,12,FALSE)</f>
        <v>0</v>
      </c>
    </row>
    <row r="154" spans="1:13">
      <c r="A154" s="1293" t="s">
        <v>1409</v>
      </c>
      <c r="B154" s="1287" t="str">
        <f t="shared" si="2"/>
        <v>SAMPLE STATE COLLEGE</v>
      </c>
      <c r="C154" s="1294" t="s">
        <v>1409</v>
      </c>
      <c r="D154" s="1289">
        <f>VLOOKUP($A154,'Accounts by GL'!$C$6:$O$528,2,FALSE)</f>
        <v>0</v>
      </c>
      <c r="E154" s="1289">
        <f>VLOOKUP($A154,'Accounts by GL'!$C$6:$O$528,3,FALSE)</f>
        <v>0</v>
      </c>
      <c r="F154" s="1289">
        <f>VLOOKUP($A154,'Accounts by GL'!$C$6:$O$528,4,FALSE)</f>
        <v>0</v>
      </c>
      <c r="G154" s="1289">
        <f>VLOOKUP($A154,'Accounts by GL'!$C$6:$O$528,5,FALSE)</f>
        <v>0</v>
      </c>
      <c r="H154" s="1289">
        <f>VLOOKUP($A154,'Accounts by GL'!$C$6:$O$528,6,FALSE)</f>
        <v>0</v>
      </c>
      <c r="I154" s="1289">
        <f>VLOOKUP($A154,'Accounts by GL'!$C$6:$O$528,7,FALSE)</f>
        <v>0</v>
      </c>
      <c r="J154" s="1289">
        <f>VLOOKUP($A154,'Accounts by GL'!$C$6:$O$528,8,FALSE)</f>
        <v>0</v>
      </c>
      <c r="K154" s="1289">
        <f>VLOOKUP($A154,'Accounts by GL'!$C$6:$O$528,9,FALSE)</f>
        <v>0</v>
      </c>
      <c r="L154" s="1289">
        <f>VLOOKUP($A154,'Accounts by GL'!$C$6:$O$528,10,FALSE)</f>
        <v>0</v>
      </c>
      <c r="M154" s="1289">
        <f>VLOOKUP($A154,'Accounts by GL'!$C$6:$O$528,12,FALSE)</f>
        <v>0</v>
      </c>
    </row>
    <row r="155" spans="1:13">
      <c r="A155" s="1293" t="s">
        <v>1412</v>
      </c>
      <c r="B155" s="1287" t="str">
        <f t="shared" si="2"/>
        <v>SAMPLE STATE COLLEGE</v>
      </c>
      <c r="C155" s="1294" t="s">
        <v>1412</v>
      </c>
      <c r="D155" s="1289">
        <f>VLOOKUP($A155,'Accounts by GL'!$C$6:$O$528,2,FALSE)</f>
        <v>0</v>
      </c>
      <c r="E155" s="1289">
        <f>VLOOKUP($A155,'Accounts by GL'!$C$6:$O$528,3,FALSE)</f>
        <v>0</v>
      </c>
      <c r="F155" s="1289">
        <f>VLOOKUP($A155,'Accounts by GL'!$C$6:$O$528,4,FALSE)</f>
        <v>0</v>
      </c>
      <c r="G155" s="1289">
        <f>VLOOKUP($A155,'Accounts by GL'!$C$6:$O$528,5,FALSE)</f>
        <v>0</v>
      </c>
      <c r="H155" s="1289">
        <f>VLOOKUP($A155,'Accounts by GL'!$C$6:$O$528,6,FALSE)</f>
        <v>0</v>
      </c>
      <c r="I155" s="1289">
        <f>VLOOKUP($A155,'Accounts by GL'!$C$6:$O$528,7,FALSE)</f>
        <v>0</v>
      </c>
      <c r="J155" s="1289">
        <f>VLOOKUP($A155,'Accounts by GL'!$C$6:$O$528,8,FALSE)</f>
        <v>0</v>
      </c>
      <c r="K155" s="1289">
        <f>VLOOKUP($A155,'Accounts by GL'!$C$6:$O$528,9,FALSE)</f>
        <v>0</v>
      </c>
      <c r="L155" s="1289">
        <f>VLOOKUP($A155,'Accounts by GL'!$C$6:$O$528,10,FALSE)</f>
        <v>0</v>
      </c>
      <c r="M155" s="1289">
        <f>VLOOKUP($A155,'Accounts by GL'!$C$6:$O$528,12,FALSE)</f>
        <v>0</v>
      </c>
    </row>
    <row r="156" spans="1:13">
      <c r="A156" s="1293" t="s">
        <v>1417</v>
      </c>
      <c r="B156" s="1287" t="str">
        <f t="shared" si="2"/>
        <v>SAMPLE STATE COLLEGE</v>
      </c>
      <c r="C156" s="1294" t="s">
        <v>1417</v>
      </c>
      <c r="D156" s="1289">
        <f>VLOOKUP($A156,'Accounts by GL'!$C$6:$O$528,2,FALSE)</f>
        <v>0</v>
      </c>
      <c r="E156" s="1289">
        <f>VLOOKUP($A156,'Accounts by GL'!$C$6:$O$528,3,FALSE)</f>
        <v>0</v>
      </c>
      <c r="F156" s="1289">
        <f>VLOOKUP($A156,'Accounts by GL'!$C$6:$O$528,4,FALSE)</f>
        <v>0</v>
      </c>
      <c r="G156" s="1289">
        <f>VLOOKUP($A156,'Accounts by GL'!$C$6:$O$528,5,FALSE)</f>
        <v>0</v>
      </c>
      <c r="H156" s="1289">
        <f>VLOOKUP($A156,'Accounts by GL'!$C$6:$O$528,6,FALSE)</f>
        <v>0</v>
      </c>
      <c r="I156" s="1289">
        <f>VLOOKUP($A156,'Accounts by GL'!$C$6:$O$528,7,FALSE)</f>
        <v>0</v>
      </c>
      <c r="J156" s="1289">
        <f>VLOOKUP($A156,'Accounts by GL'!$C$6:$O$528,8,FALSE)</f>
        <v>0</v>
      </c>
      <c r="K156" s="1289">
        <f>VLOOKUP($A156,'Accounts by GL'!$C$6:$O$528,9,FALSE)</f>
        <v>0</v>
      </c>
      <c r="L156" s="1289">
        <f>VLOOKUP($A156,'Accounts by GL'!$C$6:$O$528,10,FALSE)</f>
        <v>0</v>
      </c>
      <c r="M156" s="1289">
        <f>VLOOKUP($A156,'Accounts by GL'!$C$6:$O$528,12,FALSE)</f>
        <v>0</v>
      </c>
    </row>
    <row r="157" spans="1:13">
      <c r="A157" s="1293" t="s">
        <v>1420</v>
      </c>
      <c r="B157" s="1287" t="str">
        <f t="shared" si="2"/>
        <v>SAMPLE STATE COLLEGE</v>
      </c>
      <c r="C157" s="1294" t="s">
        <v>1420</v>
      </c>
      <c r="D157" s="1289">
        <f>VLOOKUP($A157,'Accounts by GL'!$C$6:$O$528,2,FALSE)</f>
        <v>0</v>
      </c>
      <c r="E157" s="1289">
        <f>VLOOKUP($A157,'Accounts by GL'!$C$6:$O$528,3,FALSE)</f>
        <v>0</v>
      </c>
      <c r="F157" s="1289">
        <f>VLOOKUP($A157,'Accounts by GL'!$C$6:$O$528,4,FALSE)</f>
        <v>0</v>
      </c>
      <c r="G157" s="1289">
        <f>VLOOKUP($A157,'Accounts by GL'!$C$6:$O$528,5,FALSE)</f>
        <v>0</v>
      </c>
      <c r="H157" s="1289">
        <f>VLOOKUP($A157,'Accounts by GL'!$C$6:$O$528,6,FALSE)</f>
        <v>0</v>
      </c>
      <c r="I157" s="1289">
        <f>VLOOKUP($A157,'Accounts by GL'!$C$6:$O$528,7,FALSE)</f>
        <v>0</v>
      </c>
      <c r="J157" s="1289">
        <f>VLOOKUP($A157,'Accounts by GL'!$C$6:$O$528,8,FALSE)</f>
        <v>0</v>
      </c>
      <c r="K157" s="1289">
        <f>VLOOKUP($A157,'Accounts by GL'!$C$6:$O$528,9,FALSE)</f>
        <v>0</v>
      </c>
      <c r="L157" s="1289">
        <f>VLOOKUP($A157,'Accounts by GL'!$C$6:$O$528,10,FALSE)</f>
        <v>0</v>
      </c>
      <c r="M157" s="1289">
        <f>VLOOKUP($A157,'Accounts by GL'!$C$6:$O$528,12,FALSE)</f>
        <v>0</v>
      </c>
    </row>
    <row r="158" spans="1:13">
      <c r="A158" s="1293" t="s">
        <v>1423</v>
      </c>
      <c r="B158" s="1287" t="str">
        <f t="shared" si="2"/>
        <v>SAMPLE STATE COLLEGE</v>
      </c>
      <c r="C158" s="1294" t="s">
        <v>1423</v>
      </c>
      <c r="D158" s="1289">
        <f>VLOOKUP($A158,'Accounts by GL'!$C$6:$O$528,2,FALSE)</f>
        <v>0</v>
      </c>
      <c r="E158" s="1289">
        <f>VLOOKUP($A158,'Accounts by GL'!$C$6:$O$528,3,FALSE)</f>
        <v>0</v>
      </c>
      <c r="F158" s="1289">
        <f>VLOOKUP($A158,'Accounts by GL'!$C$6:$O$528,4,FALSE)</f>
        <v>0</v>
      </c>
      <c r="G158" s="1289">
        <f>VLOOKUP($A158,'Accounts by GL'!$C$6:$O$528,5,FALSE)</f>
        <v>0</v>
      </c>
      <c r="H158" s="1289">
        <f>VLOOKUP($A158,'Accounts by GL'!$C$6:$O$528,6,FALSE)</f>
        <v>0</v>
      </c>
      <c r="I158" s="1289">
        <f>VLOOKUP($A158,'Accounts by GL'!$C$6:$O$528,7,FALSE)</f>
        <v>0</v>
      </c>
      <c r="J158" s="1289">
        <f>VLOOKUP($A158,'Accounts by GL'!$C$6:$O$528,8,FALSE)</f>
        <v>0</v>
      </c>
      <c r="K158" s="1289">
        <f>VLOOKUP($A158,'Accounts by GL'!$C$6:$O$528,9,FALSE)</f>
        <v>0</v>
      </c>
      <c r="L158" s="1289">
        <f>VLOOKUP($A158,'Accounts by GL'!$C$6:$O$528,10,FALSE)</f>
        <v>0</v>
      </c>
      <c r="M158" s="1289">
        <f>VLOOKUP($A158,'Accounts by GL'!$C$6:$O$528,12,FALSE)</f>
        <v>0</v>
      </c>
    </row>
    <row r="159" spans="1:13">
      <c r="A159" s="1293" t="s">
        <v>1426</v>
      </c>
      <c r="B159" s="1287" t="str">
        <f t="shared" si="2"/>
        <v>SAMPLE STATE COLLEGE</v>
      </c>
      <c r="C159" s="1294" t="s">
        <v>1426</v>
      </c>
      <c r="D159" s="1289">
        <f>VLOOKUP($A159,'Accounts by GL'!$C$6:$O$528,2,FALSE)</f>
        <v>0</v>
      </c>
      <c r="E159" s="1289">
        <f>VLOOKUP($A159,'Accounts by GL'!$C$6:$O$528,3,FALSE)</f>
        <v>0</v>
      </c>
      <c r="F159" s="1289">
        <f>VLOOKUP($A159,'Accounts by GL'!$C$6:$O$528,4,FALSE)</f>
        <v>0</v>
      </c>
      <c r="G159" s="1289">
        <f>VLOOKUP($A159,'Accounts by GL'!$C$6:$O$528,5,FALSE)</f>
        <v>0</v>
      </c>
      <c r="H159" s="1289">
        <f>VLOOKUP($A159,'Accounts by GL'!$C$6:$O$528,6,FALSE)</f>
        <v>0</v>
      </c>
      <c r="I159" s="1289">
        <f>VLOOKUP($A159,'Accounts by GL'!$C$6:$O$528,7,FALSE)</f>
        <v>0</v>
      </c>
      <c r="J159" s="1289">
        <f>VLOOKUP($A159,'Accounts by GL'!$C$6:$O$528,8,FALSE)</f>
        <v>0</v>
      </c>
      <c r="K159" s="1289">
        <f>VLOOKUP($A159,'Accounts by GL'!$C$6:$O$528,9,FALSE)</f>
        <v>0</v>
      </c>
      <c r="L159" s="1289">
        <f>VLOOKUP($A159,'Accounts by GL'!$C$6:$O$528,10,FALSE)</f>
        <v>0</v>
      </c>
      <c r="M159" s="1289">
        <f>VLOOKUP($A159,'Accounts by GL'!$C$6:$O$528,12,FALSE)</f>
        <v>0</v>
      </c>
    </row>
    <row r="160" spans="1:13">
      <c r="A160" s="1293" t="s">
        <v>1429</v>
      </c>
      <c r="B160" s="1287" t="str">
        <f t="shared" si="2"/>
        <v>SAMPLE STATE COLLEGE</v>
      </c>
      <c r="C160" s="1294" t="s">
        <v>1429</v>
      </c>
      <c r="D160" s="1289">
        <f>VLOOKUP($A160,'Accounts by GL'!$C$6:$O$528,2,FALSE)</f>
        <v>0</v>
      </c>
      <c r="E160" s="1289">
        <f>VLOOKUP($A160,'Accounts by GL'!$C$6:$O$528,3,FALSE)</f>
        <v>0</v>
      </c>
      <c r="F160" s="1289">
        <f>VLOOKUP($A160,'Accounts by GL'!$C$6:$O$528,4,FALSE)</f>
        <v>0</v>
      </c>
      <c r="G160" s="1289">
        <f>VLOOKUP($A160,'Accounts by GL'!$C$6:$O$528,5,FALSE)</f>
        <v>0</v>
      </c>
      <c r="H160" s="1289">
        <f>VLOOKUP($A160,'Accounts by GL'!$C$6:$O$528,6,FALSE)</f>
        <v>0</v>
      </c>
      <c r="I160" s="1289">
        <f>VLOOKUP($A160,'Accounts by GL'!$C$6:$O$528,7,FALSE)</f>
        <v>0</v>
      </c>
      <c r="J160" s="1289">
        <f>VLOOKUP($A160,'Accounts by GL'!$C$6:$O$528,8,FALSE)</f>
        <v>0</v>
      </c>
      <c r="K160" s="1289">
        <f>VLOOKUP($A160,'Accounts by GL'!$C$6:$O$528,9,FALSE)</f>
        <v>0</v>
      </c>
      <c r="L160" s="1289">
        <f>VLOOKUP($A160,'Accounts by GL'!$C$6:$O$528,10,FALSE)</f>
        <v>0</v>
      </c>
      <c r="M160" s="1289">
        <f>VLOOKUP($A160,'Accounts by GL'!$C$6:$O$528,12,FALSE)</f>
        <v>0</v>
      </c>
    </row>
    <row r="161" spans="1:13">
      <c r="A161" s="1293" t="s">
        <v>1432</v>
      </c>
      <c r="B161" s="1287" t="str">
        <f t="shared" si="2"/>
        <v>SAMPLE STATE COLLEGE</v>
      </c>
      <c r="C161" s="1294" t="s">
        <v>1432</v>
      </c>
      <c r="D161" s="1289">
        <f>VLOOKUP($A161,'Accounts by GL'!$C$6:$O$528,2,FALSE)</f>
        <v>0</v>
      </c>
      <c r="E161" s="1289">
        <f>VLOOKUP($A161,'Accounts by GL'!$C$6:$O$528,3,FALSE)</f>
        <v>0</v>
      </c>
      <c r="F161" s="1289">
        <f>VLOOKUP($A161,'Accounts by GL'!$C$6:$O$528,4,FALSE)</f>
        <v>0</v>
      </c>
      <c r="G161" s="1289">
        <f>VLOOKUP($A161,'Accounts by GL'!$C$6:$O$528,5,FALSE)</f>
        <v>0</v>
      </c>
      <c r="H161" s="1289">
        <f>VLOOKUP($A161,'Accounts by GL'!$C$6:$O$528,6,FALSE)</f>
        <v>0</v>
      </c>
      <c r="I161" s="1289">
        <f>VLOOKUP($A161,'Accounts by GL'!$C$6:$O$528,7,FALSE)</f>
        <v>0</v>
      </c>
      <c r="J161" s="1289">
        <f>VLOOKUP($A161,'Accounts by GL'!$C$6:$O$528,8,FALSE)</f>
        <v>0</v>
      </c>
      <c r="K161" s="1289">
        <f>VLOOKUP($A161,'Accounts by GL'!$C$6:$O$528,9,FALSE)</f>
        <v>0</v>
      </c>
      <c r="L161" s="1289">
        <f>VLOOKUP($A161,'Accounts by GL'!$C$6:$O$528,10,FALSE)</f>
        <v>0</v>
      </c>
      <c r="M161" s="1289">
        <f>VLOOKUP($A161,'Accounts by GL'!$C$6:$O$528,12,FALSE)</f>
        <v>0</v>
      </c>
    </row>
    <row r="162" spans="1:13">
      <c r="A162" s="1293" t="s">
        <v>1435</v>
      </c>
      <c r="B162" s="1287" t="str">
        <f t="shared" si="2"/>
        <v>SAMPLE STATE COLLEGE</v>
      </c>
      <c r="C162" s="1294" t="s">
        <v>1435</v>
      </c>
      <c r="D162" s="1289">
        <f>VLOOKUP($A162,'Accounts by GL'!$C$6:$O$528,2,FALSE)</f>
        <v>0</v>
      </c>
      <c r="E162" s="1289">
        <f>VLOOKUP($A162,'Accounts by GL'!$C$6:$O$528,3,FALSE)</f>
        <v>0</v>
      </c>
      <c r="F162" s="1289">
        <f>VLOOKUP($A162,'Accounts by GL'!$C$6:$O$528,4,FALSE)</f>
        <v>0</v>
      </c>
      <c r="G162" s="1289">
        <f>VLOOKUP($A162,'Accounts by GL'!$C$6:$O$528,5,FALSE)</f>
        <v>0</v>
      </c>
      <c r="H162" s="1289">
        <f>VLOOKUP($A162,'Accounts by GL'!$C$6:$O$528,6,FALSE)</f>
        <v>0</v>
      </c>
      <c r="I162" s="1289">
        <f>VLOOKUP($A162,'Accounts by GL'!$C$6:$O$528,7,FALSE)</f>
        <v>0</v>
      </c>
      <c r="J162" s="1289">
        <f>VLOOKUP($A162,'Accounts by GL'!$C$6:$O$528,8,FALSE)</f>
        <v>0</v>
      </c>
      <c r="K162" s="1289">
        <f>VLOOKUP($A162,'Accounts by GL'!$C$6:$O$528,9,FALSE)</f>
        <v>0</v>
      </c>
      <c r="L162" s="1289">
        <f>VLOOKUP($A162,'Accounts by GL'!$C$6:$O$528,10,FALSE)</f>
        <v>0</v>
      </c>
      <c r="M162" s="1289">
        <f>VLOOKUP($A162,'Accounts by GL'!$C$6:$O$528,12,FALSE)</f>
        <v>0</v>
      </c>
    </row>
    <row r="163" spans="1:13">
      <c r="A163" s="1293" t="s">
        <v>1438</v>
      </c>
      <c r="B163" s="1287" t="str">
        <f t="shared" si="2"/>
        <v>SAMPLE STATE COLLEGE</v>
      </c>
      <c r="C163" s="1294" t="s">
        <v>1438</v>
      </c>
      <c r="D163" s="1289">
        <f>VLOOKUP($A163,'Accounts by GL'!$C$6:$O$528,2,FALSE)</f>
        <v>0</v>
      </c>
      <c r="E163" s="1289">
        <f>VLOOKUP($A163,'Accounts by GL'!$C$6:$O$528,3,FALSE)</f>
        <v>0</v>
      </c>
      <c r="F163" s="1289">
        <f>VLOOKUP($A163,'Accounts by GL'!$C$6:$O$528,4,FALSE)</f>
        <v>0</v>
      </c>
      <c r="G163" s="1289">
        <f>VLOOKUP($A163,'Accounts by GL'!$C$6:$O$528,5,FALSE)</f>
        <v>0</v>
      </c>
      <c r="H163" s="1289">
        <f>VLOOKUP($A163,'Accounts by GL'!$C$6:$O$528,6,FALSE)</f>
        <v>0</v>
      </c>
      <c r="I163" s="1289">
        <f>VLOOKUP($A163,'Accounts by GL'!$C$6:$O$528,7,FALSE)</f>
        <v>0</v>
      </c>
      <c r="J163" s="1289">
        <f>VLOOKUP($A163,'Accounts by GL'!$C$6:$O$528,8,FALSE)</f>
        <v>0</v>
      </c>
      <c r="K163" s="1289">
        <f>VLOOKUP($A163,'Accounts by GL'!$C$6:$O$528,9,FALSE)</f>
        <v>0</v>
      </c>
      <c r="L163" s="1289">
        <f>VLOOKUP($A163,'Accounts by GL'!$C$6:$O$528,10,FALSE)</f>
        <v>0</v>
      </c>
      <c r="M163" s="1289">
        <f>VLOOKUP($A163,'Accounts by GL'!$C$6:$O$528,12,FALSE)</f>
        <v>0</v>
      </c>
    </row>
    <row r="164" spans="1:13">
      <c r="A164" s="1293" t="s">
        <v>1441</v>
      </c>
      <c r="B164" s="1287" t="str">
        <f t="shared" si="2"/>
        <v>SAMPLE STATE COLLEGE</v>
      </c>
      <c r="C164" s="1294" t="s">
        <v>1441</v>
      </c>
      <c r="D164" s="1289">
        <f>VLOOKUP($A164,'Accounts by GL'!$C$6:$O$528,2,FALSE)</f>
        <v>0</v>
      </c>
      <c r="E164" s="1289">
        <f>VLOOKUP($A164,'Accounts by GL'!$C$6:$O$528,3,FALSE)</f>
        <v>0</v>
      </c>
      <c r="F164" s="1289">
        <f>VLOOKUP($A164,'Accounts by GL'!$C$6:$O$528,4,FALSE)</f>
        <v>0</v>
      </c>
      <c r="G164" s="1289">
        <f>VLOOKUP($A164,'Accounts by GL'!$C$6:$O$528,5,FALSE)</f>
        <v>0</v>
      </c>
      <c r="H164" s="1289">
        <f>VLOOKUP($A164,'Accounts by GL'!$C$6:$O$528,6,FALSE)</f>
        <v>0</v>
      </c>
      <c r="I164" s="1289">
        <f>VLOOKUP($A164,'Accounts by GL'!$C$6:$O$528,7,FALSE)</f>
        <v>0</v>
      </c>
      <c r="J164" s="1289">
        <f>VLOOKUP($A164,'Accounts by GL'!$C$6:$O$528,8,FALSE)</f>
        <v>0</v>
      </c>
      <c r="K164" s="1289">
        <f>VLOOKUP($A164,'Accounts by GL'!$C$6:$O$528,9,FALSE)</f>
        <v>0</v>
      </c>
      <c r="L164" s="1289">
        <f>VLOOKUP($A164,'Accounts by GL'!$C$6:$O$528,10,FALSE)</f>
        <v>0</v>
      </c>
      <c r="M164" s="1289">
        <f>VLOOKUP($A164,'Accounts by GL'!$C$6:$O$528,12,FALSE)</f>
        <v>0</v>
      </c>
    </row>
    <row r="165" spans="1:13">
      <c r="A165" s="1293" t="s">
        <v>1444</v>
      </c>
      <c r="B165" s="1287" t="str">
        <f t="shared" si="2"/>
        <v>SAMPLE STATE COLLEGE</v>
      </c>
      <c r="C165" s="1294" t="s">
        <v>1444</v>
      </c>
      <c r="D165" s="1289">
        <f>VLOOKUP($A165,'Accounts by GL'!$C$6:$O$528,2,FALSE)</f>
        <v>0</v>
      </c>
      <c r="E165" s="1289">
        <f>VLOOKUP($A165,'Accounts by GL'!$C$6:$O$528,3,FALSE)</f>
        <v>0</v>
      </c>
      <c r="F165" s="1289">
        <f>VLOOKUP($A165,'Accounts by GL'!$C$6:$O$528,4,FALSE)</f>
        <v>0</v>
      </c>
      <c r="G165" s="1289">
        <f>VLOOKUP($A165,'Accounts by GL'!$C$6:$O$528,5,FALSE)</f>
        <v>0</v>
      </c>
      <c r="H165" s="1289">
        <f>VLOOKUP($A165,'Accounts by GL'!$C$6:$O$528,6,FALSE)</f>
        <v>0</v>
      </c>
      <c r="I165" s="1289">
        <f>VLOOKUP($A165,'Accounts by GL'!$C$6:$O$528,7,FALSE)</f>
        <v>0</v>
      </c>
      <c r="J165" s="1289">
        <f>VLOOKUP($A165,'Accounts by GL'!$C$6:$O$528,8,FALSE)</f>
        <v>0</v>
      </c>
      <c r="K165" s="1289">
        <f>VLOOKUP($A165,'Accounts by GL'!$C$6:$O$528,9,FALSE)</f>
        <v>0</v>
      </c>
      <c r="L165" s="1289">
        <f>VLOOKUP($A165,'Accounts by GL'!$C$6:$O$528,10,FALSE)</f>
        <v>0</v>
      </c>
      <c r="M165" s="1289">
        <f>VLOOKUP($A165,'Accounts by GL'!$C$6:$O$528,12,FALSE)</f>
        <v>0</v>
      </c>
    </row>
    <row r="166" spans="1:13">
      <c r="A166" s="1293" t="s">
        <v>1447</v>
      </c>
      <c r="B166" s="1287" t="str">
        <f t="shared" si="2"/>
        <v>SAMPLE STATE COLLEGE</v>
      </c>
      <c r="C166" s="1294" t="s">
        <v>1447</v>
      </c>
      <c r="D166" s="1289">
        <f>VLOOKUP($A166,'Accounts by GL'!$C$6:$O$528,2,FALSE)</f>
        <v>0</v>
      </c>
      <c r="E166" s="1289">
        <f>VLOOKUP($A166,'Accounts by GL'!$C$6:$O$528,3,FALSE)</f>
        <v>0</v>
      </c>
      <c r="F166" s="1289">
        <f>VLOOKUP($A166,'Accounts by GL'!$C$6:$O$528,4,FALSE)</f>
        <v>0</v>
      </c>
      <c r="G166" s="1289">
        <f>VLOOKUP($A166,'Accounts by GL'!$C$6:$O$528,5,FALSE)</f>
        <v>0</v>
      </c>
      <c r="H166" s="1289">
        <f>VLOOKUP($A166,'Accounts by GL'!$C$6:$O$528,6,FALSE)</f>
        <v>0</v>
      </c>
      <c r="I166" s="1289">
        <f>VLOOKUP($A166,'Accounts by GL'!$C$6:$O$528,7,FALSE)</f>
        <v>0</v>
      </c>
      <c r="J166" s="1289">
        <f>VLOOKUP($A166,'Accounts by GL'!$C$6:$O$528,8,FALSE)</f>
        <v>0</v>
      </c>
      <c r="K166" s="1289">
        <f>VLOOKUP($A166,'Accounts by GL'!$C$6:$O$528,9,FALSE)</f>
        <v>0</v>
      </c>
      <c r="L166" s="1289">
        <f>VLOOKUP($A166,'Accounts by GL'!$C$6:$O$528,10,FALSE)</f>
        <v>0</v>
      </c>
      <c r="M166" s="1289">
        <f>VLOOKUP($A166,'Accounts by GL'!$C$6:$O$528,12,FALSE)</f>
        <v>0</v>
      </c>
    </row>
    <row r="167" spans="1:13">
      <c r="A167" s="1293" t="s">
        <v>1450</v>
      </c>
      <c r="B167" s="1287" t="str">
        <f t="shared" si="2"/>
        <v>SAMPLE STATE COLLEGE</v>
      </c>
      <c r="C167" s="1294" t="s">
        <v>1450</v>
      </c>
      <c r="D167" s="1289">
        <f>VLOOKUP($A167,'Accounts by GL'!$C$6:$O$528,2,FALSE)</f>
        <v>0</v>
      </c>
      <c r="E167" s="1289">
        <f>VLOOKUP($A167,'Accounts by GL'!$C$6:$O$528,3,FALSE)</f>
        <v>0</v>
      </c>
      <c r="F167" s="1289">
        <f>VLOOKUP($A167,'Accounts by GL'!$C$6:$O$528,4,FALSE)</f>
        <v>0</v>
      </c>
      <c r="G167" s="1289">
        <f>VLOOKUP($A167,'Accounts by GL'!$C$6:$O$528,5,FALSE)</f>
        <v>0</v>
      </c>
      <c r="H167" s="1289">
        <f>VLOOKUP($A167,'Accounts by GL'!$C$6:$O$528,6,FALSE)</f>
        <v>0</v>
      </c>
      <c r="I167" s="1289">
        <f>VLOOKUP($A167,'Accounts by GL'!$C$6:$O$528,7,FALSE)</f>
        <v>0</v>
      </c>
      <c r="J167" s="1289">
        <f>VLOOKUP($A167,'Accounts by GL'!$C$6:$O$528,8,FALSE)</f>
        <v>0</v>
      </c>
      <c r="K167" s="1289">
        <f>VLOOKUP($A167,'Accounts by GL'!$C$6:$O$528,9,FALSE)</f>
        <v>0</v>
      </c>
      <c r="L167" s="1289">
        <f>VLOOKUP($A167,'Accounts by GL'!$C$6:$O$528,10,FALSE)</f>
        <v>0</v>
      </c>
      <c r="M167" s="1289">
        <f>VLOOKUP($A167,'Accounts by GL'!$C$6:$O$528,12,FALSE)</f>
        <v>0</v>
      </c>
    </row>
    <row r="168" spans="1:13">
      <c r="A168" s="1293" t="s">
        <v>1453</v>
      </c>
      <c r="B168" s="1287" t="str">
        <f t="shared" si="2"/>
        <v>SAMPLE STATE COLLEGE</v>
      </c>
      <c r="C168" s="1294" t="s">
        <v>1453</v>
      </c>
      <c r="D168" s="1289">
        <f>VLOOKUP($A168,'Accounts by GL'!$C$6:$O$528,2,FALSE)</f>
        <v>0</v>
      </c>
      <c r="E168" s="1289">
        <f>VLOOKUP($A168,'Accounts by GL'!$C$6:$O$528,3,FALSE)</f>
        <v>0</v>
      </c>
      <c r="F168" s="1289">
        <f>VLOOKUP($A168,'Accounts by GL'!$C$6:$O$528,4,FALSE)</f>
        <v>0</v>
      </c>
      <c r="G168" s="1289">
        <f>VLOOKUP($A168,'Accounts by GL'!$C$6:$O$528,5,FALSE)</f>
        <v>0</v>
      </c>
      <c r="H168" s="1289">
        <f>VLOOKUP($A168,'Accounts by GL'!$C$6:$O$528,6,FALSE)</f>
        <v>0</v>
      </c>
      <c r="I168" s="1289">
        <f>VLOOKUP($A168,'Accounts by GL'!$C$6:$O$528,7,FALSE)</f>
        <v>0</v>
      </c>
      <c r="J168" s="1289">
        <f>VLOOKUP($A168,'Accounts by GL'!$C$6:$O$528,8,FALSE)</f>
        <v>0</v>
      </c>
      <c r="K168" s="1289">
        <f>VLOOKUP($A168,'Accounts by GL'!$C$6:$O$528,9,FALSE)</f>
        <v>0</v>
      </c>
      <c r="L168" s="1289">
        <f>VLOOKUP($A168,'Accounts by GL'!$C$6:$O$528,10,FALSE)</f>
        <v>0</v>
      </c>
      <c r="M168" s="1289">
        <f>VLOOKUP($A168,'Accounts by GL'!$C$6:$O$528,12,FALSE)</f>
        <v>0</v>
      </c>
    </row>
    <row r="169" spans="1:13">
      <c r="A169" s="1293" t="s">
        <v>1456</v>
      </c>
      <c r="B169" s="1287" t="str">
        <f t="shared" si="2"/>
        <v>SAMPLE STATE COLLEGE</v>
      </c>
      <c r="C169" s="1294" t="s">
        <v>1456</v>
      </c>
      <c r="D169" s="1289">
        <f>VLOOKUP($A169,'Accounts by GL'!$C$6:$O$528,2,FALSE)</f>
        <v>0</v>
      </c>
      <c r="E169" s="1289">
        <f>VLOOKUP($A169,'Accounts by GL'!$C$6:$O$528,3,FALSE)</f>
        <v>0</v>
      </c>
      <c r="F169" s="1289">
        <f>VLOOKUP($A169,'Accounts by GL'!$C$6:$O$528,4,FALSE)</f>
        <v>0</v>
      </c>
      <c r="G169" s="1289">
        <f>VLOOKUP($A169,'Accounts by GL'!$C$6:$O$528,5,FALSE)</f>
        <v>0</v>
      </c>
      <c r="H169" s="1289">
        <f>VLOOKUP($A169,'Accounts by GL'!$C$6:$O$528,6,FALSE)</f>
        <v>0</v>
      </c>
      <c r="I169" s="1289">
        <f>VLOOKUP($A169,'Accounts by GL'!$C$6:$O$528,7,FALSE)</f>
        <v>0</v>
      </c>
      <c r="J169" s="1289">
        <f>VLOOKUP($A169,'Accounts by GL'!$C$6:$O$528,8,FALSE)</f>
        <v>0</v>
      </c>
      <c r="K169" s="1289">
        <f>VLOOKUP($A169,'Accounts by GL'!$C$6:$O$528,9,FALSE)</f>
        <v>0</v>
      </c>
      <c r="L169" s="1289">
        <f>VLOOKUP($A169,'Accounts by GL'!$C$6:$O$528,10,FALSE)</f>
        <v>0</v>
      </c>
      <c r="M169" s="1289">
        <f>VLOOKUP($A169,'Accounts by GL'!$C$6:$O$528,12,FALSE)</f>
        <v>0</v>
      </c>
    </row>
    <row r="170" spans="1:13">
      <c r="A170" s="1293" t="s">
        <v>1459</v>
      </c>
      <c r="B170" s="1287" t="str">
        <f t="shared" si="2"/>
        <v>SAMPLE STATE COLLEGE</v>
      </c>
      <c r="C170" s="1294" t="s">
        <v>1459</v>
      </c>
      <c r="D170" s="1289">
        <f>VLOOKUP($A170,'Accounts by GL'!$C$6:$O$528,2,FALSE)</f>
        <v>0</v>
      </c>
      <c r="E170" s="1289">
        <f>VLOOKUP($A170,'Accounts by GL'!$C$6:$O$528,3,FALSE)</f>
        <v>0</v>
      </c>
      <c r="F170" s="1289">
        <f>VLOOKUP($A170,'Accounts by GL'!$C$6:$O$528,4,FALSE)</f>
        <v>0</v>
      </c>
      <c r="G170" s="1289">
        <f>VLOOKUP($A170,'Accounts by GL'!$C$6:$O$528,5,FALSE)</f>
        <v>0</v>
      </c>
      <c r="H170" s="1289">
        <f>VLOOKUP($A170,'Accounts by GL'!$C$6:$O$528,6,FALSE)</f>
        <v>0</v>
      </c>
      <c r="I170" s="1289">
        <f>VLOOKUP($A170,'Accounts by GL'!$C$6:$O$528,7,FALSE)</f>
        <v>0</v>
      </c>
      <c r="J170" s="1289">
        <f>VLOOKUP($A170,'Accounts by GL'!$C$6:$O$528,8,FALSE)</f>
        <v>0</v>
      </c>
      <c r="K170" s="1289">
        <f>VLOOKUP($A170,'Accounts by GL'!$C$6:$O$528,9,FALSE)</f>
        <v>0</v>
      </c>
      <c r="L170" s="1289">
        <f>VLOOKUP($A170,'Accounts by GL'!$C$6:$O$528,10,FALSE)</f>
        <v>0</v>
      </c>
      <c r="M170" s="1289">
        <f>VLOOKUP($A170,'Accounts by GL'!$C$6:$O$528,12,FALSE)</f>
        <v>0</v>
      </c>
    </row>
    <row r="171" spans="1:13">
      <c r="A171" s="1293" t="s">
        <v>1462</v>
      </c>
      <c r="B171" s="1287" t="str">
        <f t="shared" si="2"/>
        <v>SAMPLE STATE COLLEGE</v>
      </c>
      <c r="C171" s="1294" t="s">
        <v>1462</v>
      </c>
      <c r="D171" s="1289">
        <f>VLOOKUP($A171,'Accounts by GL'!$C$6:$O$528,2,FALSE)</f>
        <v>0</v>
      </c>
      <c r="E171" s="1289">
        <f>VLOOKUP($A171,'Accounts by GL'!$C$6:$O$528,3,FALSE)</f>
        <v>0</v>
      </c>
      <c r="F171" s="1289">
        <f>VLOOKUP($A171,'Accounts by GL'!$C$6:$O$528,4,FALSE)</f>
        <v>0</v>
      </c>
      <c r="G171" s="1289">
        <f>VLOOKUP($A171,'Accounts by GL'!$C$6:$O$528,5,FALSE)</f>
        <v>0</v>
      </c>
      <c r="H171" s="1289">
        <f>VLOOKUP($A171,'Accounts by GL'!$C$6:$O$528,6,FALSE)</f>
        <v>0</v>
      </c>
      <c r="I171" s="1289">
        <f>VLOOKUP($A171,'Accounts by GL'!$C$6:$O$528,7,FALSE)</f>
        <v>0</v>
      </c>
      <c r="J171" s="1289">
        <f>VLOOKUP($A171,'Accounts by GL'!$C$6:$O$528,8,FALSE)</f>
        <v>0</v>
      </c>
      <c r="K171" s="1289">
        <f>VLOOKUP($A171,'Accounts by GL'!$C$6:$O$528,9,FALSE)</f>
        <v>0</v>
      </c>
      <c r="L171" s="1289">
        <f>VLOOKUP($A171,'Accounts by GL'!$C$6:$O$528,10,FALSE)</f>
        <v>0</v>
      </c>
      <c r="M171" s="1289">
        <f>VLOOKUP($A171,'Accounts by GL'!$C$6:$O$528,12,FALSE)</f>
        <v>0</v>
      </c>
    </row>
    <row r="172" spans="1:13">
      <c r="A172" s="1297" t="s">
        <v>1466</v>
      </c>
      <c r="B172" s="1287" t="str">
        <f t="shared" si="2"/>
        <v>SAMPLE STATE COLLEGE</v>
      </c>
      <c r="C172" s="1298" t="s">
        <v>1466</v>
      </c>
      <c r="D172" s="1289">
        <f>VLOOKUP($A172,'Accounts by GL'!$C$6:$O$528,2,FALSE)</f>
        <v>0</v>
      </c>
      <c r="E172" s="1289">
        <f>VLOOKUP($A172,'Accounts by GL'!$C$6:$O$528,3,FALSE)</f>
        <v>0</v>
      </c>
      <c r="F172" s="1289">
        <f>VLOOKUP($A172,'Accounts by GL'!$C$6:$O$528,4,FALSE)</f>
        <v>0</v>
      </c>
      <c r="G172" s="1289">
        <f>VLOOKUP($A172,'Accounts by GL'!$C$6:$O$528,5,FALSE)</f>
        <v>0</v>
      </c>
      <c r="H172" s="1289">
        <f>VLOOKUP($A172,'Accounts by GL'!$C$6:$O$528,6,FALSE)</f>
        <v>0</v>
      </c>
      <c r="I172" s="1289">
        <f>VLOOKUP($A172,'Accounts by GL'!$C$6:$O$528,7,FALSE)</f>
        <v>0</v>
      </c>
      <c r="J172" s="1289">
        <f>VLOOKUP($A172,'Accounts by GL'!$C$6:$O$528,8,FALSE)</f>
        <v>0</v>
      </c>
      <c r="K172" s="1289">
        <f>VLOOKUP($A172,'Accounts by GL'!$C$6:$O$528,9,FALSE)</f>
        <v>0</v>
      </c>
      <c r="L172" s="1289">
        <f>VLOOKUP($A172,'Accounts by GL'!$C$6:$O$528,10,FALSE)</f>
        <v>0</v>
      </c>
      <c r="M172" s="1289">
        <f>VLOOKUP($A172,'Accounts by GL'!$C$6:$O$528,12,FALSE)</f>
        <v>0</v>
      </c>
    </row>
    <row r="173" spans="1:13">
      <c r="A173" s="1293" t="s">
        <v>1468</v>
      </c>
      <c r="B173" s="1287" t="str">
        <f t="shared" si="2"/>
        <v>SAMPLE STATE COLLEGE</v>
      </c>
      <c r="C173" s="1294" t="s">
        <v>1468</v>
      </c>
      <c r="D173" s="1289">
        <f>VLOOKUP($A173,'Accounts by GL'!$C$6:$O$528,2,FALSE)</f>
        <v>0</v>
      </c>
      <c r="E173" s="1289">
        <f>VLOOKUP($A173,'Accounts by GL'!$C$6:$O$528,3,FALSE)</f>
        <v>0</v>
      </c>
      <c r="F173" s="1289">
        <f>VLOOKUP($A173,'Accounts by GL'!$C$6:$O$528,4,FALSE)</f>
        <v>0</v>
      </c>
      <c r="G173" s="1289">
        <f>VLOOKUP($A173,'Accounts by GL'!$C$6:$O$528,5,FALSE)</f>
        <v>0</v>
      </c>
      <c r="H173" s="1289">
        <f>VLOOKUP($A173,'Accounts by GL'!$C$6:$O$528,6,FALSE)</f>
        <v>0</v>
      </c>
      <c r="I173" s="1289">
        <f>VLOOKUP($A173,'Accounts by GL'!$C$6:$O$528,7,FALSE)</f>
        <v>0</v>
      </c>
      <c r="J173" s="1289">
        <f>VLOOKUP($A173,'Accounts by GL'!$C$6:$O$528,8,FALSE)</f>
        <v>0</v>
      </c>
      <c r="K173" s="1289">
        <f>VLOOKUP($A173,'Accounts by GL'!$C$6:$O$528,9,FALSE)</f>
        <v>0</v>
      </c>
      <c r="L173" s="1289">
        <f>VLOOKUP($A173,'Accounts by GL'!$C$6:$O$528,10,FALSE)</f>
        <v>0</v>
      </c>
      <c r="M173" s="1289">
        <f>VLOOKUP($A173,'Accounts by GL'!$C$6:$O$528,12,FALSE)</f>
        <v>0</v>
      </c>
    </row>
    <row r="174" spans="1:13">
      <c r="A174" s="1293" t="s">
        <v>1471</v>
      </c>
      <c r="B174" s="1287" t="str">
        <f t="shared" si="2"/>
        <v>SAMPLE STATE COLLEGE</v>
      </c>
      <c r="C174" s="1294" t="s">
        <v>1471</v>
      </c>
      <c r="D174" s="1289">
        <f>VLOOKUP($A174,'Accounts by GL'!$C$6:$O$528,2,FALSE)</f>
        <v>0</v>
      </c>
      <c r="E174" s="1289">
        <f>VLOOKUP($A174,'Accounts by GL'!$C$6:$O$528,3,FALSE)</f>
        <v>0</v>
      </c>
      <c r="F174" s="1289">
        <f>VLOOKUP($A174,'Accounts by GL'!$C$6:$O$528,4,FALSE)</f>
        <v>0</v>
      </c>
      <c r="G174" s="1289">
        <f>VLOOKUP($A174,'Accounts by GL'!$C$6:$O$528,5,FALSE)</f>
        <v>0</v>
      </c>
      <c r="H174" s="1289">
        <f>VLOOKUP($A174,'Accounts by GL'!$C$6:$O$528,6,FALSE)</f>
        <v>0</v>
      </c>
      <c r="I174" s="1289">
        <f>VLOOKUP($A174,'Accounts by GL'!$C$6:$O$528,7,FALSE)</f>
        <v>0</v>
      </c>
      <c r="J174" s="1289">
        <f>VLOOKUP($A174,'Accounts by GL'!$C$6:$O$528,8,FALSE)</f>
        <v>0</v>
      </c>
      <c r="K174" s="1289">
        <f>VLOOKUP($A174,'Accounts by GL'!$C$6:$O$528,9,FALSE)</f>
        <v>0</v>
      </c>
      <c r="L174" s="1289">
        <f>VLOOKUP($A174,'Accounts by GL'!$C$6:$O$528,10,FALSE)</f>
        <v>0</v>
      </c>
      <c r="M174" s="1289">
        <f>VLOOKUP($A174,'Accounts by GL'!$C$6:$O$528,12,FALSE)</f>
        <v>0</v>
      </c>
    </row>
    <row r="175" spans="1:13">
      <c r="A175" s="1293" t="s">
        <v>1473</v>
      </c>
      <c r="B175" s="1287" t="str">
        <f t="shared" si="2"/>
        <v>SAMPLE STATE COLLEGE</v>
      </c>
      <c r="C175" s="1294" t="s">
        <v>1473</v>
      </c>
      <c r="D175" s="1289">
        <f>VLOOKUP($A175,'Accounts by GL'!$C$6:$O$528,2,FALSE)</f>
        <v>0</v>
      </c>
      <c r="E175" s="1289">
        <f>VLOOKUP($A175,'Accounts by GL'!$C$6:$O$528,3,FALSE)</f>
        <v>0</v>
      </c>
      <c r="F175" s="1289">
        <f>VLOOKUP($A175,'Accounts by GL'!$C$6:$O$528,4,FALSE)</f>
        <v>0</v>
      </c>
      <c r="G175" s="1289">
        <f>VLOOKUP($A175,'Accounts by GL'!$C$6:$O$528,5,FALSE)</f>
        <v>0</v>
      </c>
      <c r="H175" s="1289">
        <f>VLOOKUP($A175,'Accounts by GL'!$C$6:$O$528,6,FALSE)</f>
        <v>0</v>
      </c>
      <c r="I175" s="1289">
        <f>VLOOKUP($A175,'Accounts by GL'!$C$6:$O$528,7,FALSE)</f>
        <v>0</v>
      </c>
      <c r="J175" s="1289">
        <f>VLOOKUP($A175,'Accounts by GL'!$C$6:$O$528,8,FALSE)</f>
        <v>0</v>
      </c>
      <c r="K175" s="1289">
        <f>VLOOKUP($A175,'Accounts by GL'!$C$6:$O$528,9,FALSE)</f>
        <v>0</v>
      </c>
      <c r="L175" s="1289">
        <f>VLOOKUP($A175,'Accounts by GL'!$C$6:$O$528,10,FALSE)</f>
        <v>0</v>
      </c>
      <c r="M175" s="1289">
        <f>VLOOKUP($A175,'Accounts by GL'!$C$6:$O$528,12,FALSE)</f>
        <v>0</v>
      </c>
    </row>
    <row r="176" spans="1:13">
      <c r="A176" s="1293" t="s">
        <v>1475</v>
      </c>
      <c r="B176" s="1287" t="str">
        <f t="shared" si="2"/>
        <v>SAMPLE STATE COLLEGE</v>
      </c>
      <c r="C176" s="1294" t="s">
        <v>1475</v>
      </c>
      <c r="D176" s="1289">
        <f>VLOOKUP($A176,'Accounts by GL'!$C$6:$O$528,2,FALSE)</f>
        <v>0</v>
      </c>
      <c r="E176" s="1289">
        <f>VLOOKUP($A176,'Accounts by GL'!$C$6:$O$528,3,FALSE)</f>
        <v>0</v>
      </c>
      <c r="F176" s="1289">
        <f>VLOOKUP($A176,'Accounts by GL'!$C$6:$O$528,4,FALSE)</f>
        <v>0</v>
      </c>
      <c r="G176" s="1289">
        <f>VLOOKUP($A176,'Accounts by GL'!$C$6:$O$528,5,FALSE)</f>
        <v>0</v>
      </c>
      <c r="H176" s="1289">
        <f>VLOOKUP($A176,'Accounts by GL'!$C$6:$O$528,6,FALSE)</f>
        <v>0</v>
      </c>
      <c r="I176" s="1289">
        <f>VLOOKUP($A176,'Accounts by GL'!$C$6:$O$528,7,FALSE)</f>
        <v>0</v>
      </c>
      <c r="J176" s="1289">
        <f>VLOOKUP($A176,'Accounts by GL'!$C$6:$O$528,8,FALSE)</f>
        <v>0</v>
      </c>
      <c r="K176" s="1289">
        <f>VLOOKUP($A176,'Accounts by GL'!$C$6:$O$528,9,FALSE)</f>
        <v>0</v>
      </c>
      <c r="L176" s="1289">
        <f>VLOOKUP($A176,'Accounts by GL'!$C$6:$O$528,10,FALSE)</f>
        <v>0</v>
      </c>
      <c r="M176" s="1289">
        <f>VLOOKUP($A176,'Accounts by GL'!$C$6:$O$528,12,FALSE)</f>
        <v>0</v>
      </c>
    </row>
    <row r="177" spans="1:13">
      <c r="A177" s="1293" t="s">
        <v>1478</v>
      </c>
      <c r="B177" s="1287" t="str">
        <f t="shared" si="2"/>
        <v>SAMPLE STATE COLLEGE</v>
      </c>
      <c r="C177" s="1294" t="s">
        <v>1478</v>
      </c>
      <c r="D177" s="1289">
        <f>VLOOKUP($A177,'Accounts by GL'!$C$6:$O$528,2,FALSE)</f>
        <v>0</v>
      </c>
      <c r="E177" s="1289">
        <f>VLOOKUP($A177,'Accounts by GL'!$C$6:$O$528,3,FALSE)</f>
        <v>0</v>
      </c>
      <c r="F177" s="1289">
        <f>VLOOKUP($A177,'Accounts by GL'!$C$6:$O$528,4,FALSE)</f>
        <v>0</v>
      </c>
      <c r="G177" s="1289">
        <f>VLOOKUP($A177,'Accounts by GL'!$C$6:$O$528,5,FALSE)</f>
        <v>0</v>
      </c>
      <c r="H177" s="1289">
        <f>VLOOKUP($A177,'Accounts by GL'!$C$6:$O$528,6,FALSE)</f>
        <v>0</v>
      </c>
      <c r="I177" s="1289">
        <f>VLOOKUP($A177,'Accounts by GL'!$C$6:$O$528,7,FALSE)</f>
        <v>0</v>
      </c>
      <c r="J177" s="1289">
        <f>VLOOKUP($A177,'Accounts by GL'!$C$6:$O$528,8,FALSE)</f>
        <v>0</v>
      </c>
      <c r="K177" s="1289">
        <f>VLOOKUP($A177,'Accounts by GL'!$C$6:$O$528,9,FALSE)</f>
        <v>0</v>
      </c>
      <c r="L177" s="1289">
        <f>VLOOKUP($A177,'Accounts by GL'!$C$6:$O$528,10,FALSE)</f>
        <v>0</v>
      </c>
      <c r="M177" s="1289">
        <f>VLOOKUP($A177,'Accounts by GL'!$C$6:$O$528,12,FALSE)</f>
        <v>0</v>
      </c>
    </row>
    <row r="178" spans="1:13">
      <c r="A178" s="1293" t="s">
        <v>1481</v>
      </c>
      <c r="B178" s="1287" t="str">
        <f t="shared" si="2"/>
        <v>SAMPLE STATE COLLEGE</v>
      </c>
      <c r="C178" s="1294" t="s">
        <v>1481</v>
      </c>
      <c r="D178" s="1289">
        <f>VLOOKUP($A178,'Accounts by GL'!$C$6:$O$528,2,FALSE)</f>
        <v>0</v>
      </c>
      <c r="E178" s="1289">
        <f>VLOOKUP($A178,'Accounts by GL'!$C$6:$O$528,3,FALSE)</f>
        <v>0</v>
      </c>
      <c r="F178" s="1289">
        <f>VLOOKUP($A178,'Accounts by GL'!$C$6:$O$528,4,FALSE)</f>
        <v>0</v>
      </c>
      <c r="G178" s="1289">
        <f>VLOOKUP($A178,'Accounts by GL'!$C$6:$O$528,5,FALSE)</f>
        <v>0</v>
      </c>
      <c r="H178" s="1289">
        <f>VLOOKUP($A178,'Accounts by GL'!$C$6:$O$528,6,FALSE)</f>
        <v>0</v>
      </c>
      <c r="I178" s="1289">
        <f>VLOOKUP($A178,'Accounts by GL'!$C$6:$O$528,7,FALSE)</f>
        <v>0</v>
      </c>
      <c r="J178" s="1289">
        <f>VLOOKUP($A178,'Accounts by GL'!$C$6:$O$528,8,FALSE)</f>
        <v>0</v>
      </c>
      <c r="K178" s="1289">
        <f>VLOOKUP($A178,'Accounts by GL'!$C$6:$O$528,9,FALSE)</f>
        <v>0</v>
      </c>
      <c r="L178" s="1289">
        <f>VLOOKUP($A178,'Accounts by GL'!$C$6:$O$528,10,FALSE)</f>
        <v>0</v>
      </c>
      <c r="M178" s="1289">
        <f>VLOOKUP($A178,'Accounts by GL'!$C$6:$O$528,12,FALSE)</f>
        <v>0</v>
      </c>
    </row>
    <row r="179" spans="1:13">
      <c r="A179" s="1293" t="s">
        <v>1484</v>
      </c>
      <c r="B179" s="1287" t="str">
        <f t="shared" si="2"/>
        <v>SAMPLE STATE COLLEGE</v>
      </c>
      <c r="C179" s="1294" t="s">
        <v>1484</v>
      </c>
      <c r="D179" s="1289">
        <f>VLOOKUP($A179,'Accounts by GL'!$C$6:$O$528,2,FALSE)</f>
        <v>0</v>
      </c>
      <c r="E179" s="1289">
        <f>VLOOKUP($A179,'Accounts by GL'!$C$6:$O$528,3,FALSE)</f>
        <v>0</v>
      </c>
      <c r="F179" s="1289">
        <f>VLOOKUP($A179,'Accounts by GL'!$C$6:$O$528,4,FALSE)</f>
        <v>0</v>
      </c>
      <c r="G179" s="1289">
        <f>VLOOKUP($A179,'Accounts by GL'!$C$6:$O$528,5,FALSE)</f>
        <v>0</v>
      </c>
      <c r="H179" s="1289">
        <f>VLOOKUP($A179,'Accounts by GL'!$C$6:$O$528,6,FALSE)</f>
        <v>0</v>
      </c>
      <c r="I179" s="1289">
        <f>VLOOKUP($A179,'Accounts by GL'!$C$6:$O$528,7,FALSE)</f>
        <v>0</v>
      </c>
      <c r="J179" s="1289">
        <f>VLOOKUP($A179,'Accounts by GL'!$C$6:$O$528,8,FALSE)</f>
        <v>0</v>
      </c>
      <c r="K179" s="1289">
        <f>VLOOKUP($A179,'Accounts by GL'!$C$6:$O$528,9,FALSE)</f>
        <v>0</v>
      </c>
      <c r="L179" s="1289">
        <f>VLOOKUP($A179,'Accounts by GL'!$C$6:$O$528,10,FALSE)</f>
        <v>0</v>
      </c>
      <c r="M179" s="1289">
        <f>VLOOKUP($A179,'Accounts by GL'!$C$6:$O$528,12,FALSE)</f>
        <v>0</v>
      </c>
    </row>
    <row r="180" spans="1:13">
      <c r="A180" s="1293" t="s">
        <v>1491</v>
      </c>
      <c r="B180" s="1287" t="str">
        <f t="shared" si="2"/>
        <v>SAMPLE STATE COLLEGE</v>
      </c>
      <c r="C180" s="1294" t="s">
        <v>1491</v>
      </c>
      <c r="D180" s="1289">
        <f>VLOOKUP($A180,'Accounts by GL'!$C$6:$O$528,2,FALSE)</f>
        <v>0</v>
      </c>
      <c r="E180" s="1289">
        <f>VLOOKUP($A180,'Accounts by GL'!$C$6:$O$528,3,FALSE)</f>
        <v>0</v>
      </c>
      <c r="F180" s="1289">
        <f>VLOOKUP($A180,'Accounts by GL'!$C$6:$O$528,4,FALSE)</f>
        <v>0</v>
      </c>
      <c r="G180" s="1289">
        <f>VLOOKUP($A180,'Accounts by GL'!$C$6:$O$528,5,FALSE)</f>
        <v>0</v>
      </c>
      <c r="H180" s="1289">
        <f>VLOOKUP($A180,'Accounts by GL'!$C$6:$O$528,6,FALSE)</f>
        <v>0</v>
      </c>
      <c r="I180" s="1289">
        <f>VLOOKUP($A180,'Accounts by GL'!$C$6:$O$528,7,FALSE)</f>
        <v>0</v>
      </c>
      <c r="J180" s="1289">
        <f>VLOOKUP($A180,'Accounts by GL'!$C$6:$O$528,8,FALSE)</f>
        <v>0</v>
      </c>
      <c r="K180" s="1289">
        <f>VLOOKUP($A180,'Accounts by GL'!$C$6:$O$528,9,FALSE)</f>
        <v>0</v>
      </c>
      <c r="L180" s="1289">
        <f>VLOOKUP($A180,'Accounts by GL'!$C$6:$O$528,10,FALSE)</f>
        <v>0</v>
      </c>
      <c r="M180" s="1289">
        <f>VLOOKUP($A180,'Accounts by GL'!$C$6:$O$528,12,FALSE)</f>
        <v>0</v>
      </c>
    </row>
    <row r="181" spans="1:13">
      <c r="A181" s="1293" t="s">
        <v>1495</v>
      </c>
      <c r="B181" s="1287" t="str">
        <f t="shared" si="2"/>
        <v>SAMPLE STATE COLLEGE</v>
      </c>
      <c r="C181" s="1294" t="s">
        <v>1495</v>
      </c>
      <c r="D181" s="1289">
        <f>VLOOKUP($A181,'Accounts by GL'!$C$6:$O$528,2,FALSE)</f>
        <v>0</v>
      </c>
      <c r="E181" s="1289">
        <f>VLOOKUP($A181,'Accounts by GL'!$C$6:$O$528,3,FALSE)</f>
        <v>0</v>
      </c>
      <c r="F181" s="1289">
        <f>VLOOKUP($A181,'Accounts by GL'!$C$6:$O$528,4,FALSE)</f>
        <v>0</v>
      </c>
      <c r="G181" s="1289">
        <f>VLOOKUP($A181,'Accounts by GL'!$C$6:$O$528,5,FALSE)</f>
        <v>0</v>
      </c>
      <c r="H181" s="1289">
        <f>VLOOKUP($A181,'Accounts by GL'!$C$6:$O$528,6,FALSE)</f>
        <v>0</v>
      </c>
      <c r="I181" s="1289">
        <f>VLOOKUP($A181,'Accounts by GL'!$C$6:$O$528,7,FALSE)</f>
        <v>0</v>
      </c>
      <c r="J181" s="1289">
        <f>VLOOKUP($A181,'Accounts by GL'!$C$6:$O$528,8,FALSE)</f>
        <v>0</v>
      </c>
      <c r="K181" s="1289">
        <f>VLOOKUP($A181,'Accounts by GL'!$C$6:$O$528,9,FALSE)</f>
        <v>0</v>
      </c>
      <c r="L181" s="1289">
        <f>VLOOKUP($A181,'Accounts by GL'!$C$6:$O$528,10,FALSE)</f>
        <v>0</v>
      </c>
      <c r="M181" s="1289">
        <f>VLOOKUP($A181,'Accounts by GL'!$C$6:$O$528,12,FALSE)</f>
        <v>0</v>
      </c>
    </row>
    <row r="182" spans="1:13">
      <c r="A182" s="1293" t="s">
        <v>1497</v>
      </c>
      <c r="B182" s="1287" t="str">
        <f t="shared" si="2"/>
        <v>SAMPLE STATE COLLEGE</v>
      </c>
      <c r="C182" s="1294" t="s">
        <v>1497</v>
      </c>
      <c r="D182" s="1289">
        <f>VLOOKUP($A182,'Accounts by GL'!$C$6:$O$528,2,FALSE)</f>
        <v>0</v>
      </c>
      <c r="E182" s="1289">
        <f>VLOOKUP($A182,'Accounts by GL'!$C$6:$O$528,3,FALSE)</f>
        <v>0</v>
      </c>
      <c r="F182" s="1289">
        <f>VLOOKUP($A182,'Accounts by GL'!$C$6:$O$528,4,FALSE)</f>
        <v>0</v>
      </c>
      <c r="G182" s="1289">
        <f>VLOOKUP($A182,'Accounts by GL'!$C$6:$O$528,5,FALSE)</f>
        <v>0</v>
      </c>
      <c r="H182" s="1289">
        <f>VLOOKUP($A182,'Accounts by GL'!$C$6:$O$528,6,FALSE)</f>
        <v>0</v>
      </c>
      <c r="I182" s="1289">
        <f>VLOOKUP($A182,'Accounts by GL'!$C$6:$O$528,7,FALSE)</f>
        <v>0</v>
      </c>
      <c r="J182" s="1289">
        <f>VLOOKUP($A182,'Accounts by GL'!$C$6:$O$528,8,FALSE)</f>
        <v>0</v>
      </c>
      <c r="K182" s="1289">
        <f>VLOOKUP($A182,'Accounts by GL'!$C$6:$O$528,9,FALSE)</f>
        <v>0</v>
      </c>
      <c r="L182" s="1289">
        <f>VLOOKUP($A182,'Accounts by GL'!$C$6:$O$528,10,FALSE)</f>
        <v>0</v>
      </c>
      <c r="M182" s="1289">
        <f>VLOOKUP($A182,'Accounts by GL'!$C$6:$O$528,12,FALSE)</f>
        <v>0</v>
      </c>
    </row>
    <row r="183" spans="1:13">
      <c r="A183" s="1293" t="s">
        <v>1499</v>
      </c>
      <c r="B183" s="1287" t="str">
        <f t="shared" si="2"/>
        <v>SAMPLE STATE COLLEGE</v>
      </c>
      <c r="C183" s="1294" t="s">
        <v>1499</v>
      </c>
      <c r="D183" s="1289">
        <f>VLOOKUP($A183,'Accounts by GL'!$C$6:$O$528,2,FALSE)</f>
        <v>0</v>
      </c>
      <c r="E183" s="1289">
        <f>VLOOKUP($A183,'Accounts by GL'!$C$6:$O$528,3,FALSE)</f>
        <v>0</v>
      </c>
      <c r="F183" s="1289">
        <f>VLOOKUP($A183,'Accounts by GL'!$C$6:$O$528,4,FALSE)</f>
        <v>0</v>
      </c>
      <c r="G183" s="1289">
        <f>VLOOKUP($A183,'Accounts by GL'!$C$6:$O$528,5,FALSE)</f>
        <v>0</v>
      </c>
      <c r="H183" s="1289">
        <f>VLOOKUP($A183,'Accounts by GL'!$C$6:$O$528,6,FALSE)</f>
        <v>0</v>
      </c>
      <c r="I183" s="1289">
        <f>VLOOKUP($A183,'Accounts by GL'!$C$6:$O$528,7,FALSE)</f>
        <v>0</v>
      </c>
      <c r="J183" s="1289">
        <f>VLOOKUP($A183,'Accounts by GL'!$C$6:$O$528,8,FALSE)</f>
        <v>0</v>
      </c>
      <c r="K183" s="1289">
        <f>VLOOKUP($A183,'Accounts by GL'!$C$6:$O$528,9,FALSE)</f>
        <v>0</v>
      </c>
      <c r="L183" s="1289">
        <f>VLOOKUP($A183,'Accounts by GL'!$C$6:$O$528,10,FALSE)</f>
        <v>0</v>
      </c>
      <c r="M183" s="1289">
        <f>VLOOKUP($A183,'Accounts by GL'!$C$6:$O$528,12,FALSE)</f>
        <v>0</v>
      </c>
    </row>
    <row r="184" spans="1:13">
      <c r="A184" s="1293" t="s">
        <v>1501</v>
      </c>
      <c r="B184" s="1287" t="str">
        <f t="shared" si="2"/>
        <v>SAMPLE STATE COLLEGE</v>
      </c>
      <c r="C184" s="1294" t="s">
        <v>1501</v>
      </c>
      <c r="D184" s="1289">
        <f>VLOOKUP($A184,'Accounts by GL'!$C$6:$O$528,2,FALSE)</f>
        <v>0</v>
      </c>
      <c r="E184" s="1289">
        <f>VLOOKUP($A184,'Accounts by GL'!$C$6:$O$528,3,FALSE)</f>
        <v>0</v>
      </c>
      <c r="F184" s="1289">
        <f>VLOOKUP($A184,'Accounts by GL'!$C$6:$O$528,4,FALSE)</f>
        <v>0</v>
      </c>
      <c r="G184" s="1289">
        <f>VLOOKUP($A184,'Accounts by GL'!$C$6:$O$528,5,FALSE)</f>
        <v>0</v>
      </c>
      <c r="H184" s="1289">
        <f>VLOOKUP($A184,'Accounts by GL'!$C$6:$O$528,6,FALSE)</f>
        <v>0</v>
      </c>
      <c r="I184" s="1289">
        <f>VLOOKUP($A184,'Accounts by GL'!$C$6:$O$528,7,FALSE)</f>
        <v>0</v>
      </c>
      <c r="J184" s="1289">
        <f>VLOOKUP($A184,'Accounts by GL'!$C$6:$O$528,8,FALSE)</f>
        <v>0</v>
      </c>
      <c r="K184" s="1289">
        <f>VLOOKUP($A184,'Accounts by GL'!$C$6:$O$528,9,FALSE)</f>
        <v>0</v>
      </c>
      <c r="L184" s="1289">
        <f>VLOOKUP($A184,'Accounts by GL'!$C$6:$O$528,10,FALSE)</f>
        <v>0</v>
      </c>
      <c r="M184" s="1289">
        <f>VLOOKUP($A184,'Accounts by GL'!$C$6:$O$528,12,FALSE)</f>
        <v>0</v>
      </c>
    </row>
    <row r="185" spans="1:13">
      <c r="A185" s="1293" t="s">
        <v>1503</v>
      </c>
      <c r="B185" s="1287" t="str">
        <f t="shared" si="2"/>
        <v>SAMPLE STATE COLLEGE</v>
      </c>
      <c r="C185" s="1294" t="s">
        <v>1503</v>
      </c>
      <c r="D185" s="1289">
        <f>VLOOKUP($A185,'Accounts by GL'!$C$6:$O$528,2,FALSE)</f>
        <v>0</v>
      </c>
      <c r="E185" s="1289">
        <f>VLOOKUP($A185,'Accounts by GL'!$C$6:$O$528,3,FALSE)</f>
        <v>0</v>
      </c>
      <c r="F185" s="1289">
        <f>VLOOKUP($A185,'Accounts by GL'!$C$6:$O$528,4,FALSE)</f>
        <v>0</v>
      </c>
      <c r="G185" s="1289">
        <f>VLOOKUP($A185,'Accounts by GL'!$C$6:$O$528,5,FALSE)</f>
        <v>0</v>
      </c>
      <c r="H185" s="1289">
        <f>VLOOKUP($A185,'Accounts by GL'!$C$6:$O$528,6,FALSE)</f>
        <v>0</v>
      </c>
      <c r="I185" s="1289">
        <f>VLOOKUP($A185,'Accounts by GL'!$C$6:$O$528,7,FALSE)</f>
        <v>0</v>
      </c>
      <c r="J185" s="1289">
        <f>VLOOKUP($A185,'Accounts by GL'!$C$6:$O$528,8,FALSE)</f>
        <v>0</v>
      </c>
      <c r="K185" s="1289">
        <f>VLOOKUP($A185,'Accounts by GL'!$C$6:$O$528,9,FALSE)</f>
        <v>0</v>
      </c>
      <c r="L185" s="1289">
        <f>VLOOKUP($A185,'Accounts by GL'!$C$6:$O$528,10,FALSE)</f>
        <v>0</v>
      </c>
      <c r="M185" s="1289">
        <f>VLOOKUP($A185,'Accounts by GL'!$C$6:$O$528,12,FALSE)</f>
        <v>0</v>
      </c>
    </row>
    <row r="186" spans="1:13">
      <c r="A186" s="1293" t="s">
        <v>1506</v>
      </c>
      <c r="B186" s="1287" t="str">
        <f t="shared" si="2"/>
        <v>SAMPLE STATE COLLEGE</v>
      </c>
      <c r="C186" s="1294" t="s">
        <v>1506</v>
      </c>
      <c r="D186" s="1289">
        <f>VLOOKUP($A186,'Accounts by GL'!$C$6:$O$528,2,FALSE)</f>
        <v>0</v>
      </c>
      <c r="E186" s="1289">
        <f>VLOOKUP($A186,'Accounts by GL'!$C$6:$O$528,3,FALSE)</f>
        <v>0</v>
      </c>
      <c r="F186" s="1289">
        <f>VLOOKUP($A186,'Accounts by GL'!$C$6:$O$528,4,FALSE)</f>
        <v>0</v>
      </c>
      <c r="G186" s="1289">
        <f>VLOOKUP($A186,'Accounts by GL'!$C$6:$O$528,5,FALSE)</f>
        <v>0</v>
      </c>
      <c r="H186" s="1289">
        <f>VLOOKUP($A186,'Accounts by GL'!$C$6:$O$528,6,FALSE)</f>
        <v>0</v>
      </c>
      <c r="I186" s="1289">
        <f>VLOOKUP($A186,'Accounts by GL'!$C$6:$O$528,7,FALSE)</f>
        <v>0</v>
      </c>
      <c r="J186" s="1289">
        <f>VLOOKUP($A186,'Accounts by GL'!$C$6:$O$528,8,FALSE)</f>
        <v>0</v>
      </c>
      <c r="K186" s="1289">
        <f>VLOOKUP($A186,'Accounts by GL'!$C$6:$O$528,9,FALSE)</f>
        <v>0</v>
      </c>
      <c r="L186" s="1289">
        <f>VLOOKUP($A186,'Accounts by GL'!$C$6:$O$528,10,FALSE)</f>
        <v>0</v>
      </c>
      <c r="M186" s="1289">
        <f>VLOOKUP($A186,'Accounts by GL'!$C$6:$O$528,12,FALSE)</f>
        <v>0</v>
      </c>
    </row>
    <row r="187" spans="1:13">
      <c r="A187" s="1293" t="s">
        <v>1509</v>
      </c>
      <c r="B187" s="1287" t="str">
        <f t="shared" si="2"/>
        <v>SAMPLE STATE COLLEGE</v>
      </c>
      <c r="C187" s="1294" t="s">
        <v>1509</v>
      </c>
      <c r="D187" s="1289">
        <f>VLOOKUP($A187,'Accounts by GL'!$C$6:$O$528,2,FALSE)</f>
        <v>0</v>
      </c>
      <c r="E187" s="1289">
        <f>VLOOKUP($A187,'Accounts by GL'!$C$6:$O$528,3,FALSE)</f>
        <v>0</v>
      </c>
      <c r="F187" s="1289">
        <f>VLOOKUP($A187,'Accounts by GL'!$C$6:$O$528,4,FALSE)</f>
        <v>0</v>
      </c>
      <c r="G187" s="1289">
        <f>VLOOKUP($A187,'Accounts by GL'!$C$6:$O$528,5,FALSE)</f>
        <v>0</v>
      </c>
      <c r="H187" s="1289">
        <f>VLOOKUP($A187,'Accounts by GL'!$C$6:$O$528,6,FALSE)</f>
        <v>0</v>
      </c>
      <c r="I187" s="1289">
        <f>VLOOKUP($A187,'Accounts by GL'!$C$6:$O$528,7,FALSE)</f>
        <v>0</v>
      </c>
      <c r="J187" s="1289">
        <f>VLOOKUP($A187,'Accounts by GL'!$C$6:$O$528,8,FALSE)</f>
        <v>0</v>
      </c>
      <c r="K187" s="1289">
        <f>VLOOKUP($A187,'Accounts by GL'!$C$6:$O$528,9,FALSE)</f>
        <v>0</v>
      </c>
      <c r="L187" s="1289">
        <f>VLOOKUP($A187,'Accounts by GL'!$C$6:$O$528,10,FALSE)</f>
        <v>0</v>
      </c>
      <c r="M187" s="1289">
        <f>VLOOKUP($A187,'Accounts by GL'!$C$6:$O$528,12,FALSE)</f>
        <v>0</v>
      </c>
    </row>
    <row r="188" spans="1:13">
      <c r="A188" s="1293" t="s">
        <v>1512</v>
      </c>
      <c r="B188" s="1287" t="str">
        <f t="shared" si="2"/>
        <v>SAMPLE STATE COLLEGE</v>
      </c>
      <c r="C188" s="1294" t="s">
        <v>1512</v>
      </c>
      <c r="D188" s="1289">
        <f>VLOOKUP($A188,'Accounts by GL'!$C$6:$O$528,2,FALSE)</f>
        <v>0</v>
      </c>
      <c r="E188" s="1289">
        <f>VLOOKUP($A188,'Accounts by GL'!$C$6:$O$528,3,FALSE)</f>
        <v>0</v>
      </c>
      <c r="F188" s="1289">
        <f>VLOOKUP($A188,'Accounts by GL'!$C$6:$O$528,4,FALSE)</f>
        <v>0</v>
      </c>
      <c r="G188" s="1289">
        <f>VLOOKUP($A188,'Accounts by GL'!$C$6:$O$528,5,FALSE)</f>
        <v>0</v>
      </c>
      <c r="H188" s="1289">
        <f>VLOOKUP($A188,'Accounts by GL'!$C$6:$O$528,6,FALSE)</f>
        <v>0</v>
      </c>
      <c r="I188" s="1289">
        <f>VLOOKUP($A188,'Accounts by GL'!$C$6:$O$528,7,FALSE)</f>
        <v>0</v>
      </c>
      <c r="J188" s="1289">
        <f>VLOOKUP($A188,'Accounts by GL'!$C$6:$O$528,8,FALSE)</f>
        <v>0</v>
      </c>
      <c r="K188" s="1289">
        <f>VLOOKUP($A188,'Accounts by GL'!$C$6:$O$528,9,FALSE)</f>
        <v>0</v>
      </c>
      <c r="L188" s="1289">
        <f>VLOOKUP($A188,'Accounts by GL'!$C$6:$O$528,10,FALSE)</f>
        <v>0</v>
      </c>
      <c r="M188" s="1289">
        <f>VLOOKUP($A188,'Accounts by GL'!$C$6:$O$528,12,FALSE)</f>
        <v>0</v>
      </c>
    </row>
    <row r="189" spans="1:13">
      <c r="A189" s="1293" t="s">
        <v>1515</v>
      </c>
      <c r="B189" s="1287" t="str">
        <f t="shared" si="2"/>
        <v>SAMPLE STATE COLLEGE</v>
      </c>
      <c r="C189" s="1294" t="s">
        <v>1515</v>
      </c>
      <c r="D189" s="1289">
        <f>VLOOKUP($A189,'Accounts by GL'!$C$6:$O$528,2,FALSE)</f>
        <v>0</v>
      </c>
      <c r="E189" s="1289">
        <f>VLOOKUP($A189,'Accounts by GL'!$C$6:$O$528,3,FALSE)</f>
        <v>0</v>
      </c>
      <c r="F189" s="1289">
        <f>VLOOKUP($A189,'Accounts by GL'!$C$6:$O$528,4,FALSE)</f>
        <v>0</v>
      </c>
      <c r="G189" s="1289">
        <f>VLOOKUP($A189,'Accounts by GL'!$C$6:$O$528,5,FALSE)</f>
        <v>0</v>
      </c>
      <c r="H189" s="1289">
        <f>VLOOKUP($A189,'Accounts by GL'!$C$6:$O$528,6,FALSE)</f>
        <v>0</v>
      </c>
      <c r="I189" s="1289">
        <f>VLOOKUP($A189,'Accounts by GL'!$C$6:$O$528,7,FALSE)</f>
        <v>0</v>
      </c>
      <c r="J189" s="1289">
        <f>VLOOKUP($A189,'Accounts by GL'!$C$6:$O$528,8,FALSE)</f>
        <v>0</v>
      </c>
      <c r="K189" s="1289">
        <f>VLOOKUP($A189,'Accounts by GL'!$C$6:$O$528,9,FALSE)</f>
        <v>0</v>
      </c>
      <c r="L189" s="1289">
        <f>VLOOKUP($A189,'Accounts by GL'!$C$6:$O$528,10,FALSE)</f>
        <v>0</v>
      </c>
      <c r="M189" s="1289">
        <f>VLOOKUP($A189,'Accounts by GL'!$C$6:$O$528,12,FALSE)</f>
        <v>0</v>
      </c>
    </row>
    <row r="190" spans="1:13">
      <c r="A190" s="1293" t="s">
        <v>1519</v>
      </c>
      <c r="B190" s="1287" t="str">
        <f t="shared" si="2"/>
        <v>SAMPLE STATE COLLEGE</v>
      </c>
      <c r="C190" s="1294" t="s">
        <v>1519</v>
      </c>
      <c r="D190" s="1289">
        <f>VLOOKUP($A190,'Accounts by GL'!$C$6:$O$528,2,FALSE)</f>
        <v>0</v>
      </c>
      <c r="E190" s="1289">
        <f>VLOOKUP($A190,'Accounts by GL'!$C$6:$O$528,3,FALSE)</f>
        <v>0</v>
      </c>
      <c r="F190" s="1289">
        <f>VLOOKUP($A190,'Accounts by GL'!$C$6:$O$528,4,FALSE)</f>
        <v>0</v>
      </c>
      <c r="G190" s="1289">
        <f>VLOOKUP($A190,'Accounts by GL'!$C$6:$O$528,5,FALSE)</f>
        <v>0</v>
      </c>
      <c r="H190" s="1289">
        <f>VLOOKUP($A190,'Accounts by GL'!$C$6:$O$528,6,FALSE)</f>
        <v>0</v>
      </c>
      <c r="I190" s="1289">
        <f>VLOOKUP($A190,'Accounts by GL'!$C$6:$O$528,7,FALSE)</f>
        <v>0</v>
      </c>
      <c r="J190" s="1289">
        <f>VLOOKUP($A190,'Accounts by GL'!$C$6:$O$528,8,FALSE)</f>
        <v>0</v>
      </c>
      <c r="K190" s="1289">
        <f>VLOOKUP($A190,'Accounts by GL'!$C$6:$O$528,9,FALSE)</f>
        <v>0</v>
      </c>
      <c r="L190" s="1289">
        <f>VLOOKUP($A190,'Accounts by GL'!$C$6:$O$528,10,FALSE)</f>
        <v>0</v>
      </c>
      <c r="M190" s="1289">
        <f>VLOOKUP($A190,'Accounts by GL'!$C$6:$O$528,12,FALSE)</f>
        <v>0</v>
      </c>
    </row>
    <row r="191" spans="1:13">
      <c r="A191" s="1293" t="s">
        <v>1522</v>
      </c>
      <c r="B191" s="1287" t="str">
        <f t="shared" si="2"/>
        <v>SAMPLE STATE COLLEGE</v>
      </c>
      <c r="C191" s="1294" t="s">
        <v>1522</v>
      </c>
      <c r="D191" s="1289">
        <f>VLOOKUP($A191,'Accounts by GL'!$C$6:$O$528,2,FALSE)</f>
        <v>0</v>
      </c>
      <c r="E191" s="1289">
        <f>VLOOKUP($A191,'Accounts by GL'!$C$6:$O$528,3,FALSE)</f>
        <v>0</v>
      </c>
      <c r="F191" s="1289">
        <f>VLOOKUP($A191,'Accounts by GL'!$C$6:$O$528,4,FALSE)</f>
        <v>0</v>
      </c>
      <c r="G191" s="1289">
        <f>VLOOKUP($A191,'Accounts by GL'!$C$6:$O$528,5,FALSE)</f>
        <v>0</v>
      </c>
      <c r="H191" s="1289">
        <f>VLOOKUP($A191,'Accounts by GL'!$C$6:$O$528,6,FALSE)</f>
        <v>0</v>
      </c>
      <c r="I191" s="1289">
        <f>VLOOKUP($A191,'Accounts by GL'!$C$6:$O$528,7,FALSE)</f>
        <v>0</v>
      </c>
      <c r="J191" s="1289">
        <f>VLOOKUP($A191,'Accounts by GL'!$C$6:$O$528,8,FALSE)</f>
        <v>0</v>
      </c>
      <c r="K191" s="1289">
        <f>VLOOKUP($A191,'Accounts by GL'!$C$6:$O$528,9,FALSE)</f>
        <v>0</v>
      </c>
      <c r="L191" s="1289">
        <f>VLOOKUP($A191,'Accounts by GL'!$C$6:$O$528,10,FALSE)</f>
        <v>0</v>
      </c>
      <c r="M191" s="1289">
        <f>VLOOKUP($A191,'Accounts by GL'!$C$6:$O$528,12,FALSE)</f>
        <v>0</v>
      </c>
    </row>
    <row r="192" spans="1:13">
      <c r="A192" s="1293" t="s">
        <v>1523</v>
      </c>
      <c r="B192" s="1287" t="str">
        <f t="shared" si="2"/>
        <v>SAMPLE STATE COLLEGE</v>
      </c>
      <c r="C192" s="1294" t="s">
        <v>1523</v>
      </c>
      <c r="D192" s="1289">
        <f>VLOOKUP($A192,'Accounts by GL'!$C$6:$O$528,2,FALSE)</f>
        <v>0</v>
      </c>
      <c r="E192" s="1289">
        <f>VLOOKUP($A192,'Accounts by GL'!$C$6:$O$528,3,FALSE)</f>
        <v>0</v>
      </c>
      <c r="F192" s="1289">
        <f>VLOOKUP($A192,'Accounts by GL'!$C$6:$O$528,4,FALSE)</f>
        <v>0</v>
      </c>
      <c r="G192" s="1289">
        <f>VLOOKUP($A192,'Accounts by GL'!$C$6:$O$528,5,FALSE)</f>
        <v>0</v>
      </c>
      <c r="H192" s="1289">
        <f>VLOOKUP($A192,'Accounts by GL'!$C$6:$O$528,6,FALSE)</f>
        <v>0</v>
      </c>
      <c r="I192" s="1289">
        <f>VLOOKUP($A192,'Accounts by GL'!$C$6:$O$528,7,FALSE)</f>
        <v>0</v>
      </c>
      <c r="J192" s="1289">
        <f>VLOOKUP($A192,'Accounts by GL'!$C$6:$O$528,8,FALSE)</f>
        <v>0</v>
      </c>
      <c r="K192" s="1289">
        <f>VLOOKUP($A192,'Accounts by GL'!$C$6:$O$528,9,FALSE)</f>
        <v>0</v>
      </c>
      <c r="L192" s="1289">
        <f>VLOOKUP($A192,'Accounts by GL'!$C$6:$O$528,10,FALSE)</f>
        <v>0</v>
      </c>
      <c r="M192" s="1289">
        <f>VLOOKUP($A192,'Accounts by GL'!$C$6:$O$528,12,FALSE)</f>
        <v>0</v>
      </c>
    </row>
    <row r="193" spans="1:13">
      <c r="A193" s="1293" t="s">
        <v>1526</v>
      </c>
      <c r="B193" s="1287" t="str">
        <f t="shared" si="2"/>
        <v>SAMPLE STATE COLLEGE</v>
      </c>
      <c r="C193" s="1294" t="s">
        <v>1526</v>
      </c>
      <c r="D193" s="1289">
        <f>VLOOKUP($A193,'Accounts by GL'!$C$6:$O$528,2,FALSE)</f>
        <v>0</v>
      </c>
      <c r="E193" s="1289">
        <f>VLOOKUP($A193,'Accounts by GL'!$C$6:$O$528,3,FALSE)</f>
        <v>0</v>
      </c>
      <c r="F193" s="1289">
        <f>VLOOKUP($A193,'Accounts by GL'!$C$6:$O$528,4,FALSE)</f>
        <v>0</v>
      </c>
      <c r="G193" s="1289">
        <f>VLOOKUP($A193,'Accounts by GL'!$C$6:$O$528,5,FALSE)</f>
        <v>0</v>
      </c>
      <c r="H193" s="1289">
        <f>VLOOKUP($A193,'Accounts by GL'!$C$6:$O$528,6,FALSE)</f>
        <v>0</v>
      </c>
      <c r="I193" s="1289">
        <f>VLOOKUP($A193,'Accounts by GL'!$C$6:$O$528,7,FALSE)</f>
        <v>0</v>
      </c>
      <c r="J193" s="1289">
        <f>VLOOKUP($A193,'Accounts by GL'!$C$6:$O$528,8,FALSE)</f>
        <v>0</v>
      </c>
      <c r="K193" s="1289">
        <f>VLOOKUP($A193,'Accounts by GL'!$C$6:$O$528,9,FALSE)</f>
        <v>0</v>
      </c>
      <c r="L193" s="1289">
        <f>VLOOKUP($A193,'Accounts by GL'!$C$6:$O$528,10,FALSE)</f>
        <v>0</v>
      </c>
      <c r="M193" s="1289">
        <f>VLOOKUP($A193,'Accounts by GL'!$C$6:$O$528,12,FALSE)</f>
        <v>0</v>
      </c>
    </row>
    <row r="194" spans="1:13">
      <c r="A194" s="1293" t="s">
        <v>1529</v>
      </c>
      <c r="B194" s="1287" t="str">
        <f t="shared" si="2"/>
        <v>SAMPLE STATE COLLEGE</v>
      </c>
      <c r="C194" s="1294" t="s">
        <v>1529</v>
      </c>
      <c r="D194" s="1289">
        <f>VLOOKUP($A194,'Accounts by GL'!$C$6:$O$528,2,FALSE)</f>
        <v>0</v>
      </c>
      <c r="E194" s="1289">
        <f>VLOOKUP($A194,'Accounts by GL'!$C$6:$O$528,3,FALSE)</f>
        <v>0</v>
      </c>
      <c r="F194" s="1289">
        <f>VLOOKUP($A194,'Accounts by GL'!$C$6:$O$528,4,FALSE)</f>
        <v>0</v>
      </c>
      <c r="G194" s="1289">
        <f>VLOOKUP($A194,'Accounts by GL'!$C$6:$O$528,5,FALSE)</f>
        <v>0</v>
      </c>
      <c r="H194" s="1289">
        <f>VLOOKUP($A194,'Accounts by GL'!$C$6:$O$528,6,FALSE)</f>
        <v>0</v>
      </c>
      <c r="I194" s="1289">
        <f>VLOOKUP($A194,'Accounts by GL'!$C$6:$O$528,7,FALSE)</f>
        <v>0</v>
      </c>
      <c r="J194" s="1289">
        <f>VLOOKUP($A194,'Accounts by GL'!$C$6:$O$528,8,FALSE)</f>
        <v>0</v>
      </c>
      <c r="K194" s="1289">
        <f>VLOOKUP($A194,'Accounts by GL'!$C$6:$O$528,9,FALSE)</f>
        <v>0</v>
      </c>
      <c r="L194" s="1289">
        <f>VLOOKUP($A194,'Accounts by GL'!$C$6:$O$528,10,FALSE)</f>
        <v>0</v>
      </c>
      <c r="M194" s="1289">
        <f>VLOOKUP($A194,'Accounts by GL'!$C$6:$O$528,12,FALSE)</f>
        <v>0</v>
      </c>
    </row>
    <row r="195" spans="1:13">
      <c r="A195" s="1293" t="s">
        <v>1532</v>
      </c>
      <c r="B195" s="1287" t="str">
        <f t="shared" si="2"/>
        <v>SAMPLE STATE COLLEGE</v>
      </c>
      <c r="C195" s="1294" t="s">
        <v>1532</v>
      </c>
      <c r="D195" s="1289">
        <f>VLOOKUP($A195,'Accounts by GL'!$C$6:$O$528,2,FALSE)</f>
        <v>0</v>
      </c>
      <c r="E195" s="1289">
        <f>VLOOKUP($A195,'Accounts by GL'!$C$6:$O$528,3,FALSE)</f>
        <v>0</v>
      </c>
      <c r="F195" s="1289">
        <f>VLOOKUP($A195,'Accounts by GL'!$C$6:$O$528,4,FALSE)</f>
        <v>0</v>
      </c>
      <c r="G195" s="1289">
        <f>VLOOKUP($A195,'Accounts by GL'!$C$6:$O$528,5,FALSE)</f>
        <v>0</v>
      </c>
      <c r="H195" s="1289">
        <f>VLOOKUP($A195,'Accounts by GL'!$C$6:$O$528,6,FALSE)</f>
        <v>0</v>
      </c>
      <c r="I195" s="1289">
        <f>VLOOKUP($A195,'Accounts by GL'!$C$6:$O$528,7,FALSE)</f>
        <v>0</v>
      </c>
      <c r="J195" s="1289">
        <f>VLOOKUP($A195,'Accounts by GL'!$C$6:$O$528,8,FALSE)</f>
        <v>0</v>
      </c>
      <c r="K195" s="1289">
        <f>VLOOKUP($A195,'Accounts by GL'!$C$6:$O$528,9,FALSE)</f>
        <v>0</v>
      </c>
      <c r="L195" s="1289">
        <f>VLOOKUP($A195,'Accounts by GL'!$C$6:$O$528,10,FALSE)</f>
        <v>0</v>
      </c>
      <c r="M195" s="1289">
        <f>VLOOKUP($A195,'Accounts by GL'!$C$6:$O$528,12,FALSE)</f>
        <v>0</v>
      </c>
    </row>
    <row r="196" spans="1:13">
      <c r="A196" s="1293" t="s">
        <v>1535</v>
      </c>
      <c r="B196" s="1287" t="str">
        <f t="shared" si="2"/>
        <v>SAMPLE STATE COLLEGE</v>
      </c>
      <c r="C196" s="1294" t="s">
        <v>1535</v>
      </c>
      <c r="D196" s="1289">
        <f>VLOOKUP($A196,'Accounts by GL'!$C$6:$O$528,2,FALSE)</f>
        <v>0</v>
      </c>
      <c r="E196" s="1289">
        <f>VLOOKUP($A196,'Accounts by GL'!$C$6:$O$528,3,FALSE)</f>
        <v>0</v>
      </c>
      <c r="F196" s="1289">
        <f>VLOOKUP($A196,'Accounts by GL'!$C$6:$O$528,4,FALSE)</f>
        <v>0</v>
      </c>
      <c r="G196" s="1289">
        <f>VLOOKUP($A196,'Accounts by GL'!$C$6:$O$528,5,FALSE)</f>
        <v>0</v>
      </c>
      <c r="H196" s="1289">
        <f>VLOOKUP($A196,'Accounts by GL'!$C$6:$O$528,6,FALSE)</f>
        <v>0</v>
      </c>
      <c r="I196" s="1289">
        <f>VLOOKUP($A196,'Accounts by GL'!$C$6:$O$528,7,FALSE)</f>
        <v>0</v>
      </c>
      <c r="J196" s="1289">
        <f>VLOOKUP($A196,'Accounts by GL'!$C$6:$O$528,8,FALSE)</f>
        <v>0</v>
      </c>
      <c r="K196" s="1289">
        <f>VLOOKUP($A196,'Accounts by GL'!$C$6:$O$528,9,FALSE)</f>
        <v>0</v>
      </c>
      <c r="L196" s="1289">
        <f>VLOOKUP($A196,'Accounts by GL'!$C$6:$O$528,10,FALSE)</f>
        <v>0</v>
      </c>
      <c r="M196" s="1289">
        <f>VLOOKUP($A196,'Accounts by GL'!$C$6:$O$528,12,FALSE)</f>
        <v>0</v>
      </c>
    </row>
    <row r="197" spans="1:13">
      <c r="A197" s="1293" t="s">
        <v>1538</v>
      </c>
      <c r="B197" s="1287" t="str">
        <f t="shared" si="2"/>
        <v>SAMPLE STATE COLLEGE</v>
      </c>
      <c r="C197" s="1294" t="s">
        <v>1538</v>
      </c>
      <c r="D197" s="1289">
        <f>VLOOKUP($A197,'Accounts by GL'!$C$6:$O$528,2,FALSE)</f>
        <v>0</v>
      </c>
      <c r="E197" s="1289">
        <f>VLOOKUP($A197,'Accounts by GL'!$C$6:$O$528,3,FALSE)</f>
        <v>0</v>
      </c>
      <c r="F197" s="1289">
        <f>VLOOKUP($A197,'Accounts by GL'!$C$6:$O$528,4,FALSE)</f>
        <v>0</v>
      </c>
      <c r="G197" s="1289">
        <f>VLOOKUP($A197,'Accounts by GL'!$C$6:$O$528,5,FALSE)</f>
        <v>0</v>
      </c>
      <c r="H197" s="1289">
        <f>VLOOKUP($A197,'Accounts by GL'!$C$6:$O$528,6,FALSE)</f>
        <v>0</v>
      </c>
      <c r="I197" s="1289">
        <f>VLOOKUP($A197,'Accounts by GL'!$C$6:$O$528,7,FALSE)</f>
        <v>0</v>
      </c>
      <c r="J197" s="1289">
        <f>VLOOKUP($A197,'Accounts by GL'!$C$6:$O$528,8,FALSE)</f>
        <v>0</v>
      </c>
      <c r="K197" s="1289">
        <f>VLOOKUP($A197,'Accounts by GL'!$C$6:$O$528,9,FALSE)</f>
        <v>0</v>
      </c>
      <c r="L197" s="1289">
        <f>VLOOKUP($A197,'Accounts by GL'!$C$6:$O$528,10,FALSE)</f>
        <v>0</v>
      </c>
      <c r="M197" s="1289">
        <f>VLOOKUP($A197,'Accounts by GL'!$C$6:$O$528,12,FALSE)</f>
        <v>0</v>
      </c>
    </row>
    <row r="198" spans="1:13">
      <c r="A198" s="1293" t="s">
        <v>1541</v>
      </c>
      <c r="B198" s="1287" t="str">
        <f t="shared" si="2"/>
        <v>SAMPLE STATE COLLEGE</v>
      </c>
      <c r="C198" s="1294" t="s">
        <v>1541</v>
      </c>
      <c r="D198" s="1289">
        <f>VLOOKUP($A198,'Accounts by GL'!$C$6:$O$528,2,FALSE)</f>
        <v>0</v>
      </c>
      <c r="E198" s="1289">
        <f>VLOOKUP($A198,'Accounts by GL'!$C$6:$O$528,3,FALSE)</f>
        <v>0</v>
      </c>
      <c r="F198" s="1289">
        <f>VLOOKUP($A198,'Accounts by GL'!$C$6:$O$528,4,FALSE)</f>
        <v>0</v>
      </c>
      <c r="G198" s="1289">
        <f>VLOOKUP($A198,'Accounts by GL'!$C$6:$O$528,5,FALSE)</f>
        <v>0</v>
      </c>
      <c r="H198" s="1289">
        <f>VLOOKUP($A198,'Accounts by GL'!$C$6:$O$528,6,FALSE)</f>
        <v>0</v>
      </c>
      <c r="I198" s="1289">
        <f>VLOOKUP($A198,'Accounts by GL'!$C$6:$O$528,7,FALSE)</f>
        <v>0</v>
      </c>
      <c r="J198" s="1289">
        <f>VLOOKUP($A198,'Accounts by GL'!$C$6:$O$528,8,FALSE)</f>
        <v>0</v>
      </c>
      <c r="K198" s="1289">
        <f>VLOOKUP($A198,'Accounts by GL'!$C$6:$O$528,9,FALSE)</f>
        <v>0</v>
      </c>
      <c r="L198" s="1289">
        <f>VLOOKUP($A198,'Accounts by GL'!$C$6:$O$528,10,FALSE)</f>
        <v>0</v>
      </c>
      <c r="M198" s="1289">
        <f>VLOOKUP($A198,'Accounts by GL'!$C$6:$O$528,12,FALSE)</f>
        <v>0</v>
      </c>
    </row>
    <row r="199" spans="1:13">
      <c r="A199" s="1293" t="s">
        <v>1544</v>
      </c>
      <c r="B199" s="1287" t="str">
        <f t="shared" si="2"/>
        <v>SAMPLE STATE COLLEGE</v>
      </c>
      <c r="C199" s="1294" t="s">
        <v>1544</v>
      </c>
      <c r="D199" s="1289">
        <f>VLOOKUP($A199,'Accounts by GL'!$C$6:$O$528,2,FALSE)</f>
        <v>0</v>
      </c>
      <c r="E199" s="1289">
        <f>VLOOKUP($A199,'Accounts by GL'!$C$6:$O$528,3,FALSE)</f>
        <v>0</v>
      </c>
      <c r="F199" s="1289">
        <f>VLOOKUP($A199,'Accounts by GL'!$C$6:$O$528,4,FALSE)</f>
        <v>0</v>
      </c>
      <c r="G199" s="1289">
        <f>VLOOKUP($A199,'Accounts by GL'!$C$6:$O$528,5,FALSE)</f>
        <v>0</v>
      </c>
      <c r="H199" s="1289">
        <f>VLOOKUP($A199,'Accounts by GL'!$C$6:$O$528,6,FALSE)</f>
        <v>0</v>
      </c>
      <c r="I199" s="1289">
        <f>VLOOKUP($A199,'Accounts by GL'!$C$6:$O$528,7,FALSE)</f>
        <v>0</v>
      </c>
      <c r="J199" s="1289">
        <f>VLOOKUP($A199,'Accounts by GL'!$C$6:$O$528,8,FALSE)</f>
        <v>0</v>
      </c>
      <c r="K199" s="1289">
        <f>VLOOKUP($A199,'Accounts by GL'!$C$6:$O$528,9,FALSE)</f>
        <v>0</v>
      </c>
      <c r="L199" s="1289">
        <f>VLOOKUP($A199,'Accounts by GL'!$C$6:$O$528,10,FALSE)</f>
        <v>0</v>
      </c>
      <c r="M199" s="1289">
        <f>VLOOKUP($A199,'Accounts by GL'!$C$6:$O$528,12,FALSE)</f>
        <v>0</v>
      </c>
    </row>
    <row r="200" spans="1:13">
      <c r="A200" s="1293" t="s">
        <v>1547</v>
      </c>
      <c r="B200" s="1287" t="str">
        <f t="shared" si="2"/>
        <v>SAMPLE STATE COLLEGE</v>
      </c>
      <c r="C200" s="1294" t="s">
        <v>1547</v>
      </c>
      <c r="D200" s="1289">
        <f>VLOOKUP($A200,'Accounts by GL'!$C$6:$O$528,2,FALSE)</f>
        <v>0</v>
      </c>
      <c r="E200" s="1289">
        <f>VLOOKUP($A200,'Accounts by GL'!$C$6:$O$528,3,FALSE)</f>
        <v>0</v>
      </c>
      <c r="F200" s="1289">
        <f>VLOOKUP($A200,'Accounts by GL'!$C$6:$O$528,4,FALSE)</f>
        <v>0</v>
      </c>
      <c r="G200" s="1289">
        <f>VLOOKUP($A200,'Accounts by GL'!$C$6:$O$528,5,FALSE)</f>
        <v>0</v>
      </c>
      <c r="H200" s="1289">
        <f>VLOOKUP($A200,'Accounts by GL'!$C$6:$O$528,6,FALSE)</f>
        <v>0</v>
      </c>
      <c r="I200" s="1289">
        <f>VLOOKUP($A200,'Accounts by GL'!$C$6:$O$528,7,FALSE)</f>
        <v>0</v>
      </c>
      <c r="J200" s="1289">
        <f>VLOOKUP($A200,'Accounts by GL'!$C$6:$O$528,8,FALSE)</f>
        <v>0</v>
      </c>
      <c r="K200" s="1289">
        <f>VLOOKUP($A200,'Accounts by GL'!$C$6:$O$528,9,FALSE)</f>
        <v>0</v>
      </c>
      <c r="L200" s="1289">
        <f>VLOOKUP($A200,'Accounts by GL'!$C$6:$O$528,10,FALSE)</f>
        <v>0</v>
      </c>
      <c r="M200" s="1289">
        <f>VLOOKUP($A200,'Accounts by GL'!$C$6:$O$528,12,FALSE)</f>
        <v>0</v>
      </c>
    </row>
    <row r="201" spans="1:13">
      <c r="A201" s="1293" t="s">
        <v>1550</v>
      </c>
      <c r="B201" s="1287" t="str">
        <f t="shared" si="2"/>
        <v>SAMPLE STATE COLLEGE</v>
      </c>
      <c r="C201" s="1294" t="s">
        <v>1550</v>
      </c>
      <c r="D201" s="1289">
        <f>VLOOKUP($A201,'Accounts by GL'!$C$6:$O$528,2,FALSE)</f>
        <v>0</v>
      </c>
      <c r="E201" s="1289">
        <f>VLOOKUP($A201,'Accounts by GL'!$C$6:$O$528,3,FALSE)</f>
        <v>0</v>
      </c>
      <c r="F201" s="1289">
        <f>VLOOKUP($A201,'Accounts by GL'!$C$6:$O$528,4,FALSE)</f>
        <v>0</v>
      </c>
      <c r="G201" s="1289">
        <f>VLOOKUP($A201,'Accounts by GL'!$C$6:$O$528,5,FALSE)</f>
        <v>0</v>
      </c>
      <c r="H201" s="1289">
        <f>VLOOKUP($A201,'Accounts by GL'!$C$6:$O$528,6,FALSE)</f>
        <v>0</v>
      </c>
      <c r="I201" s="1289">
        <f>VLOOKUP($A201,'Accounts by GL'!$C$6:$O$528,7,FALSE)</f>
        <v>0</v>
      </c>
      <c r="J201" s="1289">
        <f>VLOOKUP($A201,'Accounts by GL'!$C$6:$O$528,8,FALSE)</f>
        <v>0</v>
      </c>
      <c r="K201" s="1289">
        <f>VLOOKUP($A201,'Accounts by GL'!$C$6:$O$528,9,FALSE)</f>
        <v>0</v>
      </c>
      <c r="L201" s="1289">
        <f>VLOOKUP($A201,'Accounts by GL'!$C$6:$O$528,10,FALSE)</f>
        <v>0</v>
      </c>
      <c r="M201" s="1289">
        <f>VLOOKUP($A201,'Accounts by GL'!$C$6:$O$528,12,FALSE)</f>
        <v>0</v>
      </c>
    </row>
    <row r="202" spans="1:13">
      <c r="A202" s="1293" t="s">
        <v>1553</v>
      </c>
      <c r="B202" s="1287" t="str">
        <f t="shared" si="2"/>
        <v>SAMPLE STATE COLLEGE</v>
      </c>
      <c r="C202" s="1294" t="s">
        <v>1553</v>
      </c>
      <c r="D202" s="1289">
        <f>VLOOKUP($A202,'Accounts by GL'!$C$6:$O$528,2,FALSE)</f>
        <v>0</v>
      </c>
      <c r="E202" s="1289">
        <f>VLOOKUP($A202,'Accounts by GL'!$C$6:$O$528,3,FALSE)</f>
        <v>0</v>
      </c>
      <c r="F202" s="1289">
        <f>VLOOKUP($A202,'Accounts by GL'!$C$6:$O$528,4,FALSE)</f>
        <v>0</v>
      </c>
      <c r="G202" s="1289">
        <f>VLOOKUP($A202,'Accounts by GL'!$C$6:$O$528,5,FALSE)</f>
        <v>0</v>
      </c>
      <c r="H202" s="1289">
        <f>VLOOKUP($A202,'Accounts by GL'!$C$6:$O$528,6,FALSE)</f>
        <v>0</v>
      </c>
      <c r="I202" s="1289">
        <f>VLOOKUP($A202,'Accounts by GL'!$C$6:$O$528,7,FALSE)</f>
        <v>0</v>
      </c>
      <c r="J202" s="1289">
        <f>VLOOKUP($A202,'Accounts by GL'!$C$6:$O$528,8,FALSE)</f>
        <v>0</v>
      </c>
      <c r="K202" s="1289">
        <f>VLOOKUP($A202,'Accounts by GL'!$C$6:$O$528,9,FALSE)</f>
        <v>0</v>
      </c>
      <c r="L202" s="1289">
        <f>VLOOKUP($A202,'Accounts by GL'!$C$6:$O$528,10,FALSE)</f>
        <v>0</v>
      </c>
      <c r="M202" s="1289">
        <f>VLOOKUP($A202,'Accounts by GL'!$C$6:$O$528,12,FALSE)</f>
        <v>0</v>
      </c>
    </row>
    <row r="203" spans="1:13">
      <c r="A203" s="1293" t="s">
        <v>1556</v>
      </c>
      <c r="B203" s="1287" t="str">
        <f t="shared" si="2"/>
        <v>SAMPLE STATE COLLEGE</v>
      </c>
      <c r="C203" s="1294" t="s">
        <v>1556</v>
      </c>
      <c r="D203" s="1289">
        <f>VLOOKUP($A203,'Accounts by GL'!$C$6:$O$528,2,FALSE)</f>
        <v>0</v>
      </c>
      <c r="E203" s="1289">
        <f>VLOOKUP($A203,'Accounts by GL'!$C$6:$O$528,3,FALSE)</f>
        <v>0</v>
      </c>
      <c r="F203" s="1289">
        <f>VLOOKUP($A203,'Accounts by GL'!$C$6:$O$528,4,FALSE)</f>
        <v>0</v>
      </c>
      <c r="G203" s="1289">
        <f>VLOOKUP($A203,'Accounts by GL'!$C$6:$O$528,5,FALSE)</f>
        <v>0</v>
      </c>
      <c r="H203" s="1289">
        <f>VLOOKUP($A203,'Accounts by GL'!$C$6:$O$528,6,FALSE)</f>
        <v>0</v>
      </c>
      <c r="I203" s="1289">
        <f>VLOOKUP($A203,'Accounts by GL'!$C$6:$O$528,7,FALSE)</f>
        <v>0</v>
      </c>
      <c r="J203" s="1289">
        <f>VLOOKUP($A203,'Accounts by GL'!$C$6:$O$528,8,FALSE)</f>
        <v>0</v>
      </c>
      <c r="K203" s="1289">
        <f>VLOOKUP($A203,'Accounts by GL'!$C$6:$O$528,9,FALSE)</f>
        <v>0</v>
      </c>
      <c r="L203" s="1289">
        <f>VLOOKUP($A203,'Accounts by GL'!$C$6:$O$528,10,FALSE)</f>
        <v>0</v>
      </c>
      <c r="M203" s="1289">
        <f>VLOOKUP($A203,'Accounts by GL'!$C$6:$O$528,12,FALSE)</f>
        <v>0</v>
      </c>
    </row>
    <row r="204" spans="1:13">
      <c r="A204" s="1293" t="s">
        <v>1562</v>
      </c>
      <c r="B204" s="1287" t="str">
        <f t="shared" si="2"/>
        <v>SAMPLE STATE COLLEGE</v>
      </c>
      <c r="C204" s="1294" t="s">
        <v>1562</v>
      </c>
      <c r="D204" s="1289">
        <f>VLOOKUP($A204,'Accounts by GL'!$C$6:$O$528,2,FALSE)</f>
        <v>0</v>
      </c>
      <c r="E204" s="1289">
        <f>VLOOKUP($A204,'Accounts by GL'!$C$6:$O$528,3,FALSE)</f>
        <v>0</v>
      </c>
      <c r="F204" s="1289">
        <f>VLOOKUP($A204,'Accounts by GL'!$C$6:$O$528,4,FALSE)</f>
        <v>0</v>
      </c>
      <c r="G204" s="1289">
        <f>VLOOKUP($A204,'Accounts by GL'!$C$6:$O$528,5,FALSE)</f>
        <v>0</v>
      </c>
      <c r="H204" s="1289">
        <f>VLOOKUP($A204,'Accounts by GL'!$C$6:$O$528,6,FALSE)</f>
        <v>0</v>
      </c>
      <c r="I204" s="1289">
        <f>VLOOKUP($A204,'Accounts by GL'!$C$6:$O$528,7,FALSE)</f>
        <v>0</v>
      </c>
      <c r="J204" s="1289">
        <f>VLOOKUP($A204,'Accounts by GL'!$C$6:$O$528,8,FALSE)</f>
        <v>0</v>
      </c>
      <c r="K204" s="1289">
        <f>VLOOKUP($A204,'Accounts by GL'!$C$6:$O$528,9,FALSE)</f>
        <v>0</v>
      </c>
      <c r="L204" s="1289">
        <f>VLOOKUP($A204,'Accounts by GL'!$C$6:$O$528,10,FALSE)</f>
        <v>0</v>
      </c>
      <c r="M204" s="1289">
        <f>VLOOKUP($A204,'Accounts by GL'!$C$6:$O$528,12,FALSE)</f>
        <v>0</v>
      </c>
    </row>
    <row r="205" spans="1:13">
      <c r="A205" s="1293" t="s">
        <v>1566</v>
      </c>
      <c r="B205" s="1287" t="str">
        <f t="shared" si="2"/>
        <v>SAMPLE STATE COLLEGE</v>
      </c>
      <c r="C205" s="1294" t="s">
        <v>1566</v>
      </c>
      <c r="D205" s="1289">
        <f>VLOOKUP($A205,'Accounts by GL'!$C$6:$O$528,2,FALSE)</f>
        <v>0</v>
      </c>
      <c r="E205" s="1289">
        <f>VLOOKUP($A205,'Accounts by GL'!$C$6:$O$528,3,FALSE)</f>
        <v>0</v>
      </c>
      <c r="F205" s="1289">
        <f>VLOOKUP($A205,'Accounts by GL'!$C$6:$O$528,4,FALSE)</f>
        <v>0</v>
      </c>
      <c r="G205" s="1289">
        <f>VLOOKUP($A205,'Accounts by GL'!$C$6:$O$528,5,FALSE)</f>
        <v>0</v>
      </c>
      <c r="H205" s="1289">
        <f>VLOOKUP($A205,'Accounts by GL'!$C$6:$O$528,6,FALSE)</f>
        <v>0</v>
      </c>
      <c r="I205" s="1289">
        <f>VLOOKUP($A205,'Accounts by GL'!$C$6:$O$528,7,FALSE)</f>
        <v>0</v>
      </c>
      <c r="J205" s="1289">
        <f>VLOOKUP($A205,'Accounts by GL'!$C$6:$O$528,8,FALSE)</f>
        <v>0</v>
      </c>
      <c r="K205" s="1289">
        <f>VLOOKUP($A205,'Accounts by GL'!$C$6:$O$528,9,FALSE)</f>
        <v>0</v>
      </c>
      <c r="L205" s="1289">
        <f>VLOOKUP($A205,'Accounts by GL'!$C$6:$O$528,10,FALSE)</f>
        <v>0</v>
      </c>
      <c r="M205" s="1289">
        <f>VLOOKUP($A205,'Accounts by GL'!$C$6:$O$528,12,FALSE)</f>
        <v>0</v>
      </c>
    </row>
    <row r="206" spans="1:13">
      <c r="A206" s="1293" t="s">
        <v>1570</v>
      </c>
      <c r="B206" s="1287" t="str">
        <f t="shared" si="2"/>
        <v>SAMPLE STATE COLLEGE</v>
      </c>
      <c r="C206" s="1294" t="s">
        <v>1570</v>
      </c>
      <c r="D206" s="1289">
        <f>VLOOKUP($A206,'Accounts by GL'!$C$6:$O$528,2,FALSE)</f>
        <v>0</v>
      </c>
      <c r="E206" s="1289">
        <f>VLOOKUP($A206,'Accounts by GL'!$C$6:$O$528,3,FALSE)</f>
        <v>0</v>
      </c>
      <c r="F206" s="1289">
        <f>VLOOKUP($A206,'Accounts by GL'!$C$6:$O$528,4,FALSE)</f>
        <v>0</v>
      </c>
      <c r="G206" s="1289">
        <f>VLOOKUP($A206,'Accounts by GL'!$C$6:$O$528,5,FALSE)</f>
        <v>0</v>
      </c>
      <c r="H206" s="1289">
        <f>VLOOKUP($A206,'Accounts by GL'!$C$6:$O$528,6,FALSE)</f>
        <v>0</v>
      </c>
      <c r="I206" s="1289">
        <f>VLOOKUP($A206,'Accounts by GL'!$C$6:$O$528,7,FALSE)</f>
        <v>0</v>
      </c>
      <c r="J206" s="1289">
        <f>VLOOKUP($A206,'Accounts by GL'!$C$6:$O$528,8,FALSE)</f>
        <v>0</v>
      </c>
      <c r="K206" s="1289">
        <f>VLOOKUP($A206,'Accounts by GL'!$C$6:$O$528,9,FALSE)</f>
        <v>0</v>
      </c>
      <c r="L206" s="1289">
        <f>VLOOKUP($A206,'Accounts by GL'!$C$6:$O$528,10,FALSE)</f>
        <v>0</v>
      </c>
      <c r="M206" s="1289">
        <f>VLOOKUP($A206,'Accounts by GL'!$C$6:$O$528,12,FALSE)</f>
        <v>0</v>
      </c>
    </row>
    <row r="207" spans="1:13">
      <c r="A207" s="1293" t="s">
        <v>1573</v>
      </c>
      <c r="B207" s="1287" t="str">
        <f t="shared" ref="B207:B273" si="3">$B$2</f>
        <v>SAMPLE STATE COLLEGE</v>
      </c>
      <c r="C207" s="1294" t="s">
        <v>1573</v>
      </c>
      <c r="D207" s="1289">
        <f>VLOOKUP($A207,'Accounts by GL'!$C$6:$O$528,2,FALSE)</f>
        <v>0</v>
      </c>
      <c r="E207" s="1289">
        <f>VLOOKUP($A207,'Accounts by GL'!$C$6:$O$528,3,FALSE)</f>
        <v>0</v>
      </c>
      <c r="F207" s="1289">
        <f>VLOOKUP($A207,'Accounts by GL'!$C$6:$O$528,4,FALSE)</f>
        <v>0</v>
      </c>
      <c r="G207" s="1289">
        <f>VLOOKUP($A207,'Accounts by GL'!$C$6:$O$528,5,FALSE)</f>
        <v>0</v>
      </c>
      <c r="H207" s="1289">
        <f>VLOOKUP($A207,'Accounts by GL'!$C$6:$O$528,6,FALSE)</f>
        <v>0</v>
      </c>
      <c r="I207" s="1289">
        <f>VLOOKUP($A207,'Accounts by GL'!$C$6:$O$528,7,FALSE)</f>
        <v>0</v>
      </c>
      <c r="J207" s="1289">
        <f>VLOOKUP($A207,'Accounts by GL'!$C$6:$O$528,8,FALSE)</f>
        <v>0</v>
      </c>
      <c r="K207" s="1289">
        <f>VLOOKUP($A207,'Accounts by GL'!$C$6:$O$528,9,FALSE)</f>
        <v>0</v>
      </c>
      <c r="L207" s="1289">
        <f>VLOOKUP($A207,'Accounts by GL'!$C$6:$O$528,10,FALSE)</f>
        <v>0</v>
      </c>
      <c r="M207" s="1289">
        <f>VLOOKUP($A207,'Accounts by GL'!$C$6:$O$528,12,FALSE)</f>
        <v>0</v>
      </c>
    </row>
    <row r="208" spans="1:13">
      <c r="A208" s="1293" t="s">
        <v>1576</v>
      </c>
      <c r="B208" s="1287" t="str">
        <f t="shared" si="3"/>
        <v>SAMPLE STATE COLLEGE</v>
      </c>
      <c r="C208" s="1294" t="s">
        <v>1576</v>
      </c>
      <c r="D208" s="1289">
        <f>VLOOKUP($A208,'Accounts by GL'!$C$6:$O$528,2,FALSE)</f>
        <v>0</v>
      </c>
      <c r="E208" s="1289">
        <f>VLOOKUP($A208,'Accounts by GL'!$C$6:$O$528,3,FALSE)</f>
        <v>0</v>
      </c>
      <c r="F208" s="1289">
        <f>VLOOKUP($A208,'Accounts by GL'!$C$6:$O$528,4,FALSE)</f>
        <v>0</v>
      </c>
      <c r="G208" s="1289">
        <f>VLOOKUP($A208,'Accounts by GL'!$C$6:$O$528,5,FALSE)</f>
        <v>0</v>
      </c>
      <c r="H208" s="1289">
        <f>VLOOKUP($A208,'Accounts by GL'!$C$6:$O$528,6,FALSE)</f>
        <v>0</v>
      </c>
      <c r="I208" s="1289">
        <f>VLOOKUP($A208,'Accounts by GL'!$C$6:$O$528,7,FALSE)</f>
        <v>0</v>
      </c>
      <c r="J208" s="1289">
        <f>VLOOKUP($A208,'Accounts by GL'!$C$6:$O$528,8,FALSE)</f>
        <v>0</v>
      </c>
      <c r="K208" s="1289">
        <f>VLOOKUP($A208,'Accounts by GL'!$C$6:$O$528,9,FALSE)</f>
        <v>0</v>
      </c>
      <c r="L208" s="1289">
        <f>VLOOKUP($A208,'Accounts by GL'!$C$6:$O$528,10,FALSE)</f>
        <v>0</v>
      </c>
      <c r="M208" s="1289">
        <f>VLOOKUP($A208,'Accounts by GL'!$C$6:$O$528,12,FALSE)</f>
        <v>0</v>
      </c>
    </row>
    <row r="209" spans="1:13">
      <c r="A209" s="1293" t="s">
        <v>1579</v>
      </c>
      <c r="B209" s="1287" t="str">
        <f t="shared" si="3"/>
        <v>SAMPLE STATE COLLEGE</v>
      </c>
      <c r="C209" s="1294" t="s">
        <v>1579</v>
      </c>
      <c r="D209" s="1289">
        <f>VLOOKUP($A209,'Accounts by GL'!$C$6:$O$528,2,FALSE)</f>
        <v>0</v>
      </c>
      <c r="E209" s="1289">
        <f>VLOOKUP($A209,'Accounts by GL'!$C$6:$O$528,3,FALSE)</f>
        <v>0</v>
      </c>
      <c r="F209" s="1289">
        <f>VLOOKUP($A209,'Accounts by GL'!$C$6:$O$528,4,FALSE)</f>
        <v>0</v>
      </c>
      <c r="G209" s="1289">
        <f>VLOOKUP($A209,'Accounts by GL'!$C$6:$O$528,5,FALSE)</f>
        <v>0</v>
      </c>
      <c r="H209" s="1289">
        <f>VLOOKUP($A209,'Accounts by GL'!$C$6:$O$528,6,FALSE)</f>
        <v>0</v>
      </c>
      <c r="I209" s="1289">
        <f>VLOOKUP($A209,'Accounts by GL'!$C$6:$O$528,7,FALSE)</f>
        <v>0</v>
      </c>
      <c r="J209" s="1289">
        <f>VLOOKUP($A209,'Accounts by GL'!$C$6:$O$528,8,FALSE)</f>
        <v>0</v>
      </c>
      <c r="K209" s="1289">
        <f>VLOOKUP($A209,'Accounts by GL'!$C$6:$O$528,9,FALSE)</f>
        <v>0</v>
      </c>
      <c r="L209" s="1289">
        <f>VLOOKUP($A209,'Accounts by GL'!$C$6:$O$528,10,FALSE)</f>
        <v>0</v>
      </c>
      <c r="M209" s="1289">
        <f>VLOOKUP($A209,'Accounts by GL'!$C$6:$O$528,12,FALSE)</f>
        <v>0</v>
      </c>
    </row>
    <row r="210" spans="1:13">
      <c r="A210" s="1293" t="s">
        <v>1582</v>
      </c>
      <c r="B210" s="1287" t="str">
        <f t="shared" si="3"/>
        <v>SAMPLE STATE COLLEGE</v>
      </c>
      <c r="C210" s="1294" t="s">
        <v>1582</v>
      </c>
      <c r="D210" s="1289">
        <f>VLOOKUP($A210,'Accounts by GL'!$C$6:$O$528,2,FALSE)</f>
        <v>0</v>
      </c>
      <c r="E210" s="1289">
        <f>VLOOKUP($A210,'Accounts by GL'!$C$6:$O$528,3,FALSE)</f>
        <v>0</v>
      </c>
      <c r="F210" s="1289">
        <f>VLOOKUP($A210,'Accounts by GL'!$C$6:$O$528,4,FALSE)</f>
        <v>0</v>
      </c>
      <c r="G210" s="1289">
        <f>VLOOKUP($A210,'Accounts by GL'!$C$6:$O$528,5,FALSE)</f>
        <v>0</v>
      </c>
      <c r="H210" s="1289">
        <f>VLOOKUP($A210,'Accounts by GL'!$C$6:$O$528,6,FALSE)</f>
        <v>0</v>
      </c>
      <c r="I210" s="1289">
        <f>VLOOKUP($A210,'Accounts by GL'!$C$6:$O$528,7,FALSE)</f>
        <v>0</v>
      </c>
      <c r="J210" s="1289">
        <f>VLOOKUP($A210,'Accounts by GL'!$C$6:$O$528,8,FALSE)</f>
        <v>0</v>
      </c>
      <c r="K210" s="1289">
        <f>VLOOKUP($A210,'Accounts by GL'!$C$6:$O$528,9,FALSE)</f>
        <v>0</v>
      </c>
      <c r="L210" s="1289">
        <f>VLOOKUP($A210,'Accounts by GL'!$C$6:$O$528,10,FALSE)</f>
        <v>0</v>
      </c>
      <c r="M210" s="1289">
        <f>VLOOKUP($A210,'Accounts by GL'!$C$6:$O$528,12,FALSE)</f>
        <v>0</v>
      </c>
    </row>
    <row r="211" spans="1:13">
      <c r="A211" s="1293" t="s">
        <v>1585</v>
      </c>
      <c r="B211" s="1287" t="str">
        <f t="shared" si="3"/>
        <v>SAMPLE STATE COLLEGE</v>
      </c>
      <c r="C211" s="1294" t="s">
        <v>1585</v>
      </c>
      <c r="D211" s="1289">
        <f>VLOOKUP($A211,'Accounts by GL'!$C$6:$O$528,2,FALSE)</f>
        <v>0</v>
      </c>
      <c r="E211" s="1289">
        <f>VLOOKUP($A211,'Accounts by GL'!$C$6:$O$528,3,FALSE)</f>
        <v>0</v>
      </c>
      <c r="F211" s="1289">
        <f>VLOOKUP($A211,'Accounts by GL'!$C$6:$O$528,4,FALSE)</f>
        <v>0</v>
      </c>
      <c r="G211" s="1289">
        <f>VLOOKUP($A211,'Accounts by GL'!$C$6:$O$528,5,FALSE)</f>
        <v>0</v>
      </c>
      <c r="H211" s="1289">
        <f>VLOOKUP($A211,'Accounts by GL'!$C$6:$O$528,6,FALSE)</f>
        <v>0</v>
      </c>
      <c r="I211" s="1289">
        <f>VLOOKUP($A211,'Accounts by GL'!$C$6:$O$528,7,FALSE)</f>
        <v>0</v>
      </c>
      <c r="J211" s="1289">
        <f>VLOOKUP($A211,'Accounts by GL'!$C$6:$O$528,8,FALSE)</f>
        <v>0</v>
      </c>
      <c r="K211" s="1289">
        <f>VLOOKUP($A211,'Accounts by GL'!$C$6:$O$528,9,FALSE)</f>
        <v>0</v>
      </c>
      <c r="L211" s="1289">
        <f>VLOOKUP($A211,'Accounts by GL'!$C$6:$O$528,10,FALSE)</f>
        <v>0</v>
      </c>
      <c r="M211" s="1289">
        <f>VLOOKUP($A211,'Accounts by GL'!$C$6:$O$528,12,FALSE)</f>
        <v>0</v>
      </c>
    </row>
    <row r="212" spans="1:13">
      <c r="A212" s="1293" t="s">
        <v>1588</v>
      </c>
      <c r="B212" s="1287" t="str">
        <f t="shared" si="3"/>
        <v>SAMPLE STATE COLLEGE</v>
      </c>
      <c r="C212" s="1294" t="s">
        <v>1588</v>
      </c>
      <c r="D212" s="1289">
        <f>VLOOKUP($A212,'Accounts by GL'!$C$6:$O$528,2,FALSE)</f>
        <v>0</v>
      </c>
      <c r="E212" s="1289">
        <f>VLOOKUP($A212,'Accounts by GL'!$C$6:$O$528,3,FALSE)</f>
        <v>0</v>
      </c>
      <c r="F212" s="1289">
        <f>VLOOKUP($A212,'Accounts by GL'!$C$6:$O$528,4,FALSE)</f>
        <v>0</v>
      </c>
      <c r="G212" s="1289">
        <f>VLOOKUP($A212,'Accounts by GL'!$C$6:$O$528,5,FALSE)</f>
        <v>0</v>
      </c>
      <c r="H212" s="1289">
        <f>VLOOKUP($A212,'Accounts by GL'!$C$6:$O$528,6,FALSE)</f>
        <v>0</v>
      </c>
      <c r="I212" s="1289">
        <f>VLOOKUP($A212,'Accounts by GL'!$C$6:$O$528,7,FALSE)</f>
        <v>0</v>
      </c>
      <c r="J212" s="1289">
        <f>VLOOKUP($A212,'Accounts by GL'!$C$6:$O$528,8,FALSE)</f>
        <v>0</v>
      </c>
      <c r="K212" s="1289">
        <f>VLOOKUP($A212,'Accounts by GL'!$C$6:$O$528,9,FALSE)</f>
        <v>0</v>
      </c>
      <c r="L212" s="1289">
        <f>VLOOKUP($A212,'Accounts by GL'!$C$6:$O$528,10,FALSE)</f>
        <v>0</v>
      </c>
      <c r="M212" s="1289">
        <f>VLOOKUP($A212,'Accounts by GL'!$C$6:$O$528,12,FALSE)</f>
        <v>0</v>
      </c>
    </row>
    <row r="213" spans="1:13">
      <c r="A213" s="1293" t="s">
        <v>1591</v>
      </c>
      <c r="B213" s="1287" t="str">
        <f t="shared" si="3"/>
        <v>SAMPLE STATE COLLEGE</v>
      </c>
      <c r="C213" s="1294" t="s">
        <v>1591</v>
      </c>
      <c r="D213" s="1289">
        <f>VLOOKUP($A213,'Accounts by GL'!$C$6:$O$528,2,FALSE)</f>
        <v>0</v>
      </c>
      <c r="E213" s="1289">
        <f>VLOOKUP($A213,'Accounts by GL'!$C$6:$O$528,3,FALSE)</f>
        <v>0</v>
      </c>
      <c r="F213" s="1289">
        <f>VLOOKUP($A213,'Accounts by GL'!$C$6:$O$528,4,FALSE)</f>
        <v>0</v>
      </c>
      <c r="G213" s="1289">
        <f>VLOOKUP($A213,'Accounts by GL'!$C$6:$O$528,5,FALSE)</f>
        <v>0</v>
      </c>
      <c r="H213" s="1289">
        <f>VLOOKUP($A213,'Accounts by GL'!$C$6:$O$528,6,FALSE)</f>
        <v>0</v>
      </c>
      <c r="I213" s="1289">
        <f>VLOOKUP($A213,'Accounts by GL'!$C$6:$O$528,7,FALSE)</f>
        <v>0</v>
      </c>
      <c r="J213" s="1289">
        <f>VLOOKUP($A213,'Accounts by GL'!$C$6:$O$528,8,FALSE)</f>
        <v>0</v>
      </c>
      <c r="K213" s="1289">
        <f>VLOOKUP($A213,'Accounts by GL'!$C$6:$O$528,9,FALSE)</f>
        <v>0</v>
      </c>
      <c r="L213" s="1289">
        <f>VLOOKUP($A213,'Accounts by GL'!$C$6:$O$528,10,FALSE)</f>
        <v>0</v>
      </c>
      <c r="M213" s="1289">
        <f>VLOOKUP($A213,'Accounts by GL'!$C$6:$O$528,12,FALSE)</f>
        <v>0</v>
      </c>
    </row>
    <row r="214" spans="1:13">
      <c r="A214" s="1293" t="s">
        <v>1594</v>
      </c>
      <c r="B214" s="1287" t="str">
        <f t="shared" si="3"/>
        <v>SAMPLE STATE COLLEGE</v>
      </c>
      <c r="C214" s="1294" t="s">
        <v>1594</v>
      </c>
      <c r="D214" s="1289">
        <f>VLOOKUP($A214,'Accounts by GL'!$C$6:$O$528,2,FALSE)</f>
        <v>0</v>
      </c>
      <c r="E214" s="1289">
        <f>VLOOKUP($A214,'Accounts by GL'!$C$6:$O$528,3,FALSE)</f>
        <v>0</v>
      </c>
      <c r="F214" s="1289">
        <f>VLOOKUP($A214,'Accounts by GL'!$C$6:$O$528,4,FALSE)</f>
        <v>0</v>
      </c>
      <c r="G214" s="1289">
        <f>VLOOKUP($A214,'Accounts by GL'!$C$6:$O$528,5,FALSE)</f>
        <v>0</v>
      </c>
      <c r="H214" s="1289">
        <f>VLOOKUP($A214,'Accounts by GL'!$C$6:$O$528,6,FALSE)</f>
        <v>0</v>
      </c>
      <c r="I214" s="1289">
        <f>VLOOKUP($A214,'Accounts by GL'!$C$6:$O$528,7,FALSE)</f>
        <v>0</v>
      </c>
      <c r="J214" s="1289">
        <f>VLOOKUP($A214,'Accounts by GL'!$C$6:$O$528,8,FALSE)</f>
        <v>0</v>
      </c>
      <c r="K214" s="1289">
        <f>VLOOKUP($A214,'Accounts by GL'!$C$6:$O$528,9,FALSE)</f>
        <v>0</v>
      </c>
      <c r="L214" s="1289">
        <f>VLOOKUP($A214,'Accounts by GL'!$C$6:$O$528,10,FALSE)</f>
        <v>0</v>
      </c>
      <c r="M214" s="1289">
        <f>VLOOKUP($A214,'Accounts by GL'!$C$6:$O$528,12,FALSE)</f>
        <v>0</v>
      </c>
    </row>
    <row r="215" spans="1:13">
      <c r="A215" s="1293" t="s">
        <v>1597</v>
      </c>
      <c r="B215" s="1287" t="str">
        <f t="shared" si="3"/>
        <v>SAMPLE STATE COLLEGE</v>
      </c>
      <c r="C215" s="1294" t="s">
        <v>1597</v>
      </c>
      <c r="D215" s="1289">
        <f>VLOOKUP($A215,'Accounts by GL'!$C$6:$O$528,2,FALSE)</f>
        <v>0</v>
      </c>
      <c r="E215" s="1289">
        <f>VLOOKUP($A215,'Accounts by GL'!$C$6:$O$528,3,FALSE)</f>
        <v>0</v>
      </c>
      <c r="F215" s="1289">
        <f>VLOOKUP($A215,'Accounts by GL'!$C$6:$O$528,4,FALSE)</f>
        <v>0</v>
      </c>
      <c r="G215" s="1289">
        <f>VLOOKUP($A215,'Accounts by GL'!$C$6:$O$528,5,FALSE)</f>
        <v>0</v>
      </c>
      <c r="H215" s="1289">
        <f>VLOOKUP($A215,'Accounts by GL'!$C$6:$O$528,6,FALSE)</f>
        <v>0</v>
      </c>
      <c r="I215" s="1289">
        <f>VLOOKUP($A215,'Accounts by GL'!$C$6:$O$528,7,FALSE)</f>
        <v>0</v>
      </c>
      <c r="J215" s="1289">
        <f>VLOOKUP($A215,'Accounts by GL'!$C$6:$O$528,8,FALSE)</f>
        <v>0</v>
      </c>
      <c r="K215" s="1289">
        <f>VLOOKUP($A215,'Accounts by GL'!$C$6:$O$528,9,FALSE)</f>
        <v>0</v>
      </c>
      <c r="L215" s="1289">
        <f>VLOOKUP($A215,'Accounts by GL'!$C$6:$O$528,10,FALSE)</f>
        <v>0</v>
      </c>
      <c r="M215" s="1289">
        <f>VLOOKUP($A215,'Accounts by GL'!$C$6:$O$528,12,FALSE)</f>
        <v>0</v>
      </c>
    </row>
    <row r="216" spans="1:13">
      <c r="A216" s="1293" t="s">
        <v>1602</v>
      </c>
      <c r="B216" s="1287" t="str">
        <f t="shared" si="3"/>
        <v>SAMPLE STATE COLLEGE</v>
      </c>
      <c r="C216" s="1294" t="s">
        <v>1602</v>
      </c>
      <c r="D216" s="1289">
        <f>VLOOKUP($A216,'Accounts by GL'!$C$6:$O$528,2,FALSE)</f>
        <v>0</v>
      </c>
      <c r="E216" s="1289">
        <f>VLOOKUP($A216,'Accounts by GL'!$C$6:$O$528,3,FALSE)</f>
        <v>0</v>
      </c>
      <c r="F216" s="1289">
        <f>VLOOKUP($A216,'Accounts by GL'!$C$6:$O$528,4,FALSE)</f>
        <v>0</v>
      </c>
      <c r="G216" s="1289">
        <f>VLOOKUP($A216,'Accounts by GL'!$C$6:$O$528,5,FALSE)</f>
        <v>0</v>
      </c>
      <c r="H216" s="1289">
        <f>VLOOKUP($A216,'Accounts by GL'!$C$6:$O$528,6,FALSE)</f>
        <v>0</v>
      </c>
      <c r="I216" s="1289">
        <f>VLOOKUP($A216,'Accounts by GL'!$C$6:$O$528,7,FALSE)</f>
        <v>0</v>
      </c>
      <c r="J216" s="1289">
        <f>VLOOKUP($A216,'Accounts by GL'!$C$6:$O$528,8,FALSE)</f>
        <v>0</v>
      </c>
      <c r="K216" s="1289">
        <f>VLOOKUP($A216,'Accounts by GL'!$C$6:$O$528,9,FALSE)</f>
        <v>0</v>
      </c>
      <c r="L216" s="1289">
        <f>VLOOKUP($A216,'Accounts by GL'!$C$6:$O$528,10,FALSE)</f>
        <v>0</v>
      </c>
      <c r="M216" s="1289">
        <f>VLOOKUP($A216,'Accounts by GL'!$C$6:$O$528,12,FALSE)</f>
        <v>0</v>
      </c>
    </row>
    <row r="217" spans="1:13">
      <c r="A217" s="1293" t="s">
        <v>1606</v>
      </c>
      <c r="B217" s="1287" t="str">
        <f t="shared" si="3"/>
        <v>SAMPLE STATE COLLEGE</v>
      </c>
      <c r="C217" s="1294" t="s">
        <v>1606</v>
      </c>
      <c r="D217" s="1289">
        <f>VLOOKUP($A217,'Accounts by GL'!$C$6:$O$528,2,FALSE)</f>
        <v>0</v>
      </c>
      <c r="E217" s="1289">
        <f>VLOOKUP($A217,'Accounts by GL'!$C$6:$O$528,3,FALSE)</f>
        <v>0</v>
      </c>
      <c r="F217" s="1289">
        <f>VLOOKUP($A217,'Accounts by GL'!$C$6:$O$528,4,FALSE)</f>
        <v>0</v>
      </c>
      <c r="G217" s="1289">
        <f>VLOOKUP($A217,'Accounts by GL'!$C$6:$O$528,5,FALSE)</f>
        <v>0</v>
      </c>
      <c r="H217" s="1289">
        <f>VLOOKUP($A217,'Accounts by GL'!$C$6:$O$528,6,FALSE)</f>
        <v>0</v>
      </c>
      <c r="I217" s="1289">
        <f>VLOOKUP($A217,'Accounts by GL'!$C$6:$O$528,7,FALSE)</f>
        <v>0</v>
      </c>
      <c r="J217" s="1289">
        <f>VLOOKUP($A217,'Accounts by GL'!$C$6:$O$528,8,FALSE)</f>
        <v>0</v>
      </c>
      <c r="K217" s="1289">
        <f>VLOOKUP($A217,'Accounts by GL'!$C$6:$O$528,9,FALSE)</f>
        <v>0</v>
      </c>
      <c r="L217" s="1289">
        <f>VLOOKUP($A217,'Accounts by GL'!$C$6:$O$528,10,FALSE)</f>
        <v>0</v>
      </c>
      <c r="M217" s="1289">
        <f>VLOOKUP($A217,'Accounts by GL'!$C$6:$O$528,12,FALSE)</f>
        <v>0</v>
      </c>
    </row>
    <row r="218" spans="1:13">
      <c r="A218" s="1293" t="s">
        <v>1609</v>
      </c>
      <c r="B218" s="1287" t="str">
        <f t="shared" si="3"/>
        <v>SAMPLE STATE COLLEGE</v>
      </c>
      <c r="C218" s="1294" t="s">
        <v>1609</v>
      </c>
      <c r="D218" s="1289">
        <f>VLOOKUP($A218,'Accounts by GL'!$C$6:$O$528,2,FALSE)</f>
        <v>0</v>
      </c>
      <c r="E218" s="1289">
        <f>VLOOKUP($A218,'Accounts by GL'!$C$6:$O$528,3,FALSE)</f>
        <v>0</v>
      </c>
      <c r="F218" s="1289">
        <f>VLOOKUP($A218,'Accounts by GL'!$C$6:$O$528,4,FALSE)</f>
        <v>0</v>
      </c>
      <c r="G218" s="1289">
        <f>VLOOKUP($A218,'Accounts by GL'!$C$6:$O$528,5,FALSE)</f>
        <v>0</v>
      </c>
      <c r="H218" s="1289">
        <f>VLOOKUP($A218,'Accounts by GL'!$C$6:$O$528,6,FALSE)</f>
        <v>0</v>
      </c>
      <c r="I218" s="1289">
        <f>VLOOKUP($A218,'Accounts by GL'!$C$6:$O$528,7,FALSE)</f>
        <v>0</v>
      </c>
      <c r="J218" s="1289">
        <f>VLOOKUP($A218,'Accounts by GL'!$C$6:$O$528,8,FALSE)</f>
        <v>0</v>
      </c>
      <c r="K218" s="1289">
        <f>VLOOKUP($A218,'Accounts by GL'!$C$6:$O$528,9,FALSE)</f>
        <v>0</v>
      </c>
      <c r="L218" s="1289">
        <f>VLOOKUP($A218,'Accounts by GL'!$C$6:$O$528,10,FALSE)</f>
        <v>0</v>
      </c>
      <c r="M218" s="1289">
        <f>VLOOKUP($A218,'Accounts by GL'!$C$6:$O$528,12,FALSE)</f>
        <v>0</v>
      </c>
    </row>
    <row r="219" spans="1:13">
      <c r="A219" s="1293" t="s">
        <v>1612</v>
      </c>
      <c r="B219" s="1287" t="str">
        <f t="shared" si="3"/>
        <v>SAMPLE STATE COLLEGE</v>
      </c>
      <c r="C219" s="1294" t="s">
        <v>1612</v>
      </c>
      <c r="D219" s="1289">
        <f>VLOOKUP($A219,'Accounts by GL'!$C$6:$O$528,2,FALSE)</f>
        <v>0</v>
      </c>
      <c r="E219" s="1289">
        <f>VLOOKUP($A219,'Accounts by GL'!$C$6:$O$528,3,FALSE)</f>
        <v>0</v>
      </c>
      <c r="F219" s="1289">
        <f>VLOOKUP($A219,'Accounts by GL'!$C$6:$O$528,4,FALSE)</f>
        <v>0</v>
      </c>
      <c r="G219" s="1289">
        <f>VLOOKUP($A219,'Accounts by GL'!$C$6:$O$528,5,FALSE)</f>
        <v>0</v>
      </c>
      <c r="H219" s="1289">
        <f>VLOOKUP($A219,'Accounts by GL'!$C$6:$O$528,6,FALSE)</f>
        <v>0</v>
      </c>
      <c r="I219" s="1289">
        <f>VLOOKUP($A219,'Accounts by GL'!$C$6:$O$528,7,FALSE)</f>
        <v>0</v>
      </c>
      <c r="J219" s="1289">
        <f>VLOOKUP($A219,'Accounts by GL'!$C$6:$O$528,8,FALSE)</f>
        <v>0</v>
      </c>
      <c r="K219" s="1289">
        <f>VLOOKUP($A219,'Accounts by GL'!$C$6:$O$528,9,FALSE)</f>
        <v>0</v>
      </c>
      <c r="L219" s="1289">
        <f>VLOOKUP($A219,'Accounts by GL'!$C$6:$O$528,10,FALSE)</f>
        <v>0</v>
      </c>
      <c r="M219" s="1289">
        <f>VLOOKUP($A219,'Accounts by GL'!$C$6:$O$528,12,FALSE)</f>
        <v>0</v>
      </c>
    </row>
    <row r="220" spans="1:13">
      <c r="A220" s="1293" t="s">
        <v>1615</v>
      </c>
      <c r="B220" s="1287" t="str">
        <f t="shared" si="3"/>
        <v>SAMPLE STATE COLLEGE</v>
      </c>
      <c r="C220" s="1294" t="s">
        <v>1615</v>
      </c>
      <c r="D220" s="1289">
        <f>VLOOKUP($A220,'Accounts by GL'!$C$6:$O$528,2,FALSE)</f>
        <v>0</v>
      </c>
      <c r="E220" s="1289">
        <f>VLOOKUP($A220,'Accounts by GL'!$C$6:$O$528,3,FALSE)</f>
        <v>0</v>
      </c>
      <c r="F220" s="1289">
        <f>VLOOKUP($A220,'Accounts by GL'!$C$6:$O$528,4,FALSE)</f>
        <v>0</v>
      </c>
      <c r="G220" s="1289">
        <f>VLOOKUP($A220,'Accounts by GL'!$C$6:$O$528,5,FALSE)</f>
        <v>0</v>
      </c>
      <c r="H220" s="1289">
        <f>VLOOKUP($A220,'Accounts by GL'!$C$6:$O$528,6,FALSE)</f>
        <v>0</v>
      </c>
      <c r="I220" s="1289">
        <f>VLOOKUP($A220,'Accounts by GL'!$C$6:$O$528,7,FALSE)</f>
        <v>0</v>
      </c>
      <c r="J220" s="1289">
        <f>VLOOKUP($A220,'Accounts by GL'!$C$6:$O$528,8,FALSE)</f>
        <v>0</v>
      </c>
      <c r="K220" s="1289">
        <f>VLOOKUP($A220,'Accounts by GL'!$C$6:$O$528,9,FALSE)</f>
        <v>0</v>
      </c>
      <c r="L220" s="1289">
        <f>VLOOKUP($A220,'Accounts by GL'!$C$6:$O$528,10,FALSE)</f>
        <v>0</v>
      </c>
      <c r="M220" s="1289">
        <f>VLOOKUP($A220,'Accounts by GL'!$C$6:$O$528,12,FALSE)</f>
        <v>0</v>
      </c>
    </row>
    <row r="221" spans="1:13">
      <c r="A221" s="1293" t="s">
        <v>1618</v>
      </c>
      <c r="B221" s="1287" t="str">
        <f t="shared" si="3"/>
        <v>SAMPLE STATE COLLEGE</v>
      </c>
      <c r="C221" s="1294" t="s">
        <v>1618</v>
      </c>
      <c r="D221" s="1289">
        <f>VLOOKUP($A221,'Accounts by GL'!$C$6:$O$528,2,FALSE)</f>
        <v>0</v>
      </c>
      <c r="E221" s="1289">
        <f>VLOOKUP($A221,'Accounts by GL'!$C$6:$O$528,3,FALSE)</f>
        <v>0</v>
      </c>
      <c r="F221" s="1289">
        <f>VLOOKUP($A221,'Accounts by GL'!$C$6:$O$528,4,FALSE)</f>
        <v>0</v>
      </c>
      <c r="G221" s="1289">
        <f>VLOOKUP($A221,'Accounts by GL'!$C$6:$O$528,5,FALSE)</f>
        <v>0</v>
      </c>
      <c r="H221" s="1289">
        <f>VLOOKUP($A221,'Accounts by GL'!$C$6:$O$528,6,FALSE)</f>
        <v>0</v>
      </c>
      <c r="I221" s="1289">
        <f>VLOOKUP($A221,'Accounts by GL'!$C$6:$O$528,7,FALSE)</f>
        <v>0</v>
      </c>
      <c r="J221" s="1289">
        <f>VLOOKUP($A221,'Accounts by GL'!$C$6:$O$528,8,FALSE)</f>
        <v>0</v>
      </c>
      <c r="K221" s="1289">
        <f>VLOOKUP($A221,'Accounts by GL'!$C$6:$O$528,9,FALSE)</f>
        <v>0</v>
      </c>
      <c r="L221" s="1289">
        <f>VLOOKUP($A221,'Accounts by GL'!$C$6:$O$528,10,FALSE)</f>
        <v>0</v>
      </c>
      <c r="M221" s="1289">
        <f>VLOOKUP($A221,'Accounts by GL'!$C$6:$O$528,12,FALSE)</f>
        <v>0</v>
      </c>
    </row>
    <row r="222" spans="1:13">
      <c r="A222" s="1293" t="s">
        <v>1621</v>
      </c>
      <c r="B222" s="1287" t="str">
        <f t="shared" si="3"/>
        <v>SAMPLE STATE COLLEGE</v>
      </c>
      <c r="C222" s="1294" t="s">
        <v>1621</v>
      </c>
      <c r="D222" s="1289">
        <f>VLOOKUP($A222,'Accounts by GL'!$C$6:$O$528,2,FALSE)</f>
        <v>0</v>
      </c>
      <c r="E222" s="1289">
        <f>VLOOKUP($A222,'Accounts by GL'!$C$6:$O$528,3,FALSE)</f>
        <v>0</v>
      </c>
      <c r="F222" s="1289">
        <f>VLOOKUP($A222,'Accounts by GL'!$C$6:$O$528,4,FALSE)</f>
        <v>0</v>
      </c>
      <c r="G222" s="1289">
        <f>VLOOKUP($A222,'Accounts by GL'!$C$6:$O$528,5,FALSE)</f>
        <v>0</v>
      </c>
      <c r="H222" s="1289">
        <f>VLOOKUP($A222,'Accounts by GL'!$C$6:$O$528,6,FALSE)</f>
        <v>0</v>
      </c>
      <c r="I222" s="1289">
        <f>VLOOKUP($A222,'Accounts by GL'!$C$6:$O$528,7,FALSE)</f>
        <v>0</v>
      </c>
      <c r="J222" s="1289">
        <f>VLOOKUP($A222,'Accounts by GL'!$C$6:$O$528,8,FALSE)</f>
        <v>0</v>
      </c>
      <c r="K222" s="1289">
        <f>VLOOKUP($A222,'Accounts by GL'!$C$6:$O$528,9,FALSE)</f>
        <v>0</v>
      </c>
      <c r="L222" s="1289">
        <f>VLOOKUP($A222,'Accounts by GL'!$C$6:$O$528,10,FALSE)</f>
        <v>0</v>
      </c>
      <c r="M222" s="1289">
        <f>VLOOKUP($A222,'Accounts by GL'!$C$6:$O$528,12,FALSE)</f>
        <v>0</v>
      </c>
    </row>
    <row r="223" spans="1:13">
      <c r="A223" s="1293" t="s">
        <v>1624</v>
      </c>
      <c r="B223" s="1287" t="str">
        <f t="shared" si="3"/>
        <v>SAMPLE STATE COLLEGE</v>
      </c>
      <c r="C223" s="1294" t="s">
        <v>1624</v>
      </c>
      <c r="D223" s="1289">
        <f>VLOOKUP($A223,'Accounts by GL'!$C$6:$O$528,2,FALSE)</f>
        <v>0</v>
      </c>
      <c r="E223" s="1289">
        <f>VLOOKUP($A223,'Accounts by GL'!$C$6:$O$528,3,FALSE)</f>
        <v>0</v>
      </c>
      <c r="F223" s="1289">
        <f>VLOOKUP($A223,'Accounts by GL'!$C$6:$O$528,4,FALSE)</f>
        <v>0</v>
      </c>
      <c r="G223" s="1289">
        <f>VLOOKUP($A223,'Accounts by GL'!$C$6:$O$528,5,FALSE)</f>
        <v>0</v>
      </c>
      <c r="H223" s="1289">
        <f>VLOOKUP($A223,'Accounts by GL'!$C$6:$O$528,6,FALSE)</f>
        <v>0</v>
      </c>
      <c r="I223" s="1289">
        <f>VLOOKUP($A223,'Accounts by GL'!$C$6:$O$528,7,FALSE)</f>
        <v>0</v>
      </c>
      <c r="J223" s="1289">
        <f>VLOOKUP($A223,'Accounts by GL'!$C$6:$O$528,8,FALSE)</f>
        <v>0</v>
      </c>
      <c r="K223" s="1289">
        <f>VLOOKUP($A223,'Accounts by GL'!$C$6:$O$528,9,FALSE)</f>
        <v>0</v>
      </c>
      <c r="L223" s="1289">
        <f>VLOOKUP($A223,'Accounts by GL'!$C$6:$O$528,10,FALSE)</f>
        <v>0</v>
      </c>
      <c r="M223" s="1289">
        <f>VLOOKUP($A223,'Accounts by GL'!$C$6:$O$528,12,FALSE)</f>
        <v>0</v>
      </c>
    </row>
    <row r="224" spans="1:13">
      <c r="A224" s="1293" t="s">
        <v>1627</v>
      </c>
      <c r="B224" s="1287" t="str">
        <f t="shared" si="3"/>
        <v>SAMPLE STATE COLLEGE</v>
      </c>
      <c r="C224" s="1294" t="s">
        <v>1627</v>
      </c>
      <c r="D224" s="1289">
        <f>VLOOKUP($A224,'Accounts by GL'!$C$6:$O$528,2,FALSE)</f>
        <v>0</v>
      </c>
      <c r="E224" s="1289">
        <f>VLOOKUP($A224,'Accounts by GL'!$C$6:$O$528,3,FALSE)</f>
        <v>0</v>
      </c>
      <c r="F224" s="1289">
        <f>VLOOKUP($A224,'Accounts by GL'!$C$6:$O$528,4,FALSE)</f>
        <v>0</v>
      </c>
      <c r="G224" s="1289">
        <f>VLOOKUP($A224,'Accounts by GL'!$C$6:$O$528,5,FALSE)</f>
        <v>0</v>
      </c>
      <c r="H224" s="1289">
        <f>VLOOKUP($A224,'Accounts by GL'!$C$6:$O$528,6,FALSE)</f>
        <v>0</v>
      </c>
      <c r="I224" s="1289">
        <f>VLOOKUP($A224,'Accounts by GL'!$C$6:$O$528,7,FALSE)</f>
        <v>0</v>
      </c>
      <c r="J224" s="1289">
        <f>VLOOKUP($A224,'Accounts by GL'!$C$6:$O$528,8,FALSE)</f>
        <v>0</v>
      </c>
      <c r="K224" s="1289">
        <f>VLOOKUP($A224,'Accounts by GL'!$C$6:$O$528,9,FALSE)</f>
        <v>0</v>
      </c>
      <c r="L224" s="1289">
        <f>VLOOKUP($A224,'Accounts by GL'!$C$6:$O$528,10,FALSE)</f>
        <v>0</v>
      </c>
      <c r="M224" s="1289">
        <f>VLOOKUP($A224,'Accounts by GL'!$C$6:$O$528,12,FALSE)</f>
        <v>0</v>
      </c>
    </row>
    <row r="225" spans="1:13">
      <c r="A225" s="1299" t="s">
        <v>1630</v>
      </c>
      <c r="B225" s="1287" t="str">
        <f t="shared" si="3"/>
        <v>SAMPLE STATE COLLEGE</v>
      </c>
      <c r="C225" s="108" t="s">
        <v>1630</v>
      </c>
      <c r="D225" s="1289">
        <f>VLOOKUP($A225,'Accounts by GL'!$C$6:$O$528,2,FALSE)</f>
        <v>0</v>
      </c>
      <c r="E225" s="1289">
        <f>VLOOKUP($A225,'Accounts by GL'!$C$6:$O$528,3,FALSE)</f>
        <v>0</v>
      </c>
      <c r="F225" s="1289">
        <f>VLOOKUP($A225,'Accounts by GL'!$C$6:$O$528,4,FALSE)</f>
        <v>0</v>
      </c>
      <c r="G225" s="1289">
        <f>VLOOKUP($A225,'Accounts by GL'!$C$6:$O$528,5,FALSE)</f>
        <v>0</v>
      </c>
      <c r="H225" s="1289">
        <f>VLOOKUP($A225,'Accounts by GL'!$C$6:$O$528,6,FALSE)</f>
        <v>0</v>
      </c>
      <c r="I225" s="1289">
        <f>VLOOKUP($A225,'Accounts by GL'!$C$6:$O$528,7,FALSE)</f>
        <v>0</v>
      </c>
      <c r="J225" s="1289">
        <f>VLOOKUP($A225,'Accounts by GL'!$C$6:$O$528,8,FALSE)</f>
        <v>0</v>
      </c>
      <c r="K225" s="1289">
        <f>VLOOKUP($A225,'Accounts by GL'!$C$6:$O$528,9,FALSE)</f>
        <v>0</v>
      </c>
      <c r="L225" s="1289">
        <f>VLOOKUP($A225,'Accounts by GL'!$C$6:$O$528,10,FALSE)</f>
        <v>0</v>
      </c>
      <c r="M225" s="1289">
        <f>VLOOKUP($A225,'Accounts by GL'!$C$6:$O$528,12,FALSE)</f>
        <v>0</v>
      </c>
    </row>
    <row r="226" spans="1:13">
      <c r="A226" s="1293" t="s">
        <v>1633</v>
      </c>
      <c r="B226" s="1287" t="str">
        <f t="shared" si="3"/>
        <v>SAMPLE STATE COLLEGE</v>
      </c>
      <c r="C226" s="1294" t="s">
        <v>1633</v>
      </c>
      <c r="D226" s="1289">
        <f>VLOOKUP($A226,'Accounts by GL'!$C$6:$O$528,2,FALSE)</f>
        <v>0</v>
      </c>
      <c r="E226" s="1289">
        <f>VLOOKUP($A226,'Accounts by GL'!$C$6:$O$528,3,FALSE)</f>
        <v>0</v>
      </c>
      <c r="F226" s="1289">
        <f>VLOOKUP($A226,'Accounts by GL'!$C$6:$O$528,4,FALSE)</f>
        <v>0</v>
      </c>
      <c r="G226" s="1289">
        <f>VLOOKUP($A226,'Accounts by GL'!$C$6:$O$528,5,FALSE)</f>
        <v>0</v>
      </c>
      <c r="H226" s="1289">
        <f>VLOOKUP($A226,'Accounts by GL'!$C$6:$O$528,6,FALSE)</f>
        <v>0</v>
      </c>
      <c r="I226" s="1289">
        <f>VLOOKUP($A226,'Accounts by GL'!$C$6:$O$528,7,FALSE)</f>
        <v>0</v>
      </c>
      <c r="J226" s="1289">
        <f>VLOOKUP($A226,'Accounts by GL'!$C$6:$O$528,8,FALSE)</f>
        <v>0</v>
      </c>
      <c r="K226" s="1289">
        <f>VLOOKUP($A226,'Accounts by GL'!$C$6:$O$528,9,FALSE)</f>
        <v>0</v>
      </c>
      <c r="L226" s="1289">
        <f>VLOOKUP($A226,'Accounts by GL'!$C$6:$O$528,10,FALSE)</f>
        <v>0</v>
      </c>
      <c r="M226" s="1289">
        <f>VLOOKUP($A226,'Accounts by GL'!$C$6:$O$528,12,FALSE)</f>
        <v>0</v>
      </c>
    </row>
    <row r="227" spans="1:13">
      <c r="A227" s="1293" t="s">
        <v>1636</v>
      </c>
      <c r="B227" s="1287" t="str">
        <f t="shared" si="3"/>
        <v>SAMPLE STATE COLLEGE</v>
      </c>
      <c r="C227" s="1294" t="s">
        <v>1636</v>
      </c>
      <c r="D227" s="1289">
        <f>VLOOKUP($A227,'Accounts by GL'!$C$6:$O$528,2,FALSE)</f>
        <v>0</v>
      </c>
      <c r="E227" s="1289">
        <f>VLOOKUP($A227,'Accounts by GL'!$C$6:$O$528,3,FALSE)</f>
        <v>0</v>
      </c>
      <c r="F227" s="1289">
        <f>VLOOKUP($A227,'Accounts by GL'!$C$6:$O$528,4,FALSE)</f>
        <v>0</v>
      </c>
      <c r="G227" s="1289">
        <f>VLOOKUP($A227,'Accounts by GL'!$C$6:$O$528,5,FALSE)</f>
        <v>0</v>
      </c>
      <c r="H227" s="1289">
        <f>VLOOKUP($A227,'Accounts by GL'!$C$6:$O$528,6,FALSE)</f>
        <v>0</v>
      </c>
      <c r="I227" s="1289">
        <f>VLOOKUP($A227,'Accounts by GL'!$C$6:$O$528,7,FALSE)</f>
        <v>0</v>
      </c>
      <c r="J227" s="1289">
        <f>VLOOKUP($A227,'Accounts by GL'!$C$6:$O$528,8,FALSE)</f>
        <v>0</v>
      </c>
      <c r="K227" s="1289">
        <f>VLOOKUP($A227,'Accounts by GL'!$C$6:$O$528,9,FALSE)</f>
        <v>0</v>
      </c>
      <c r="L227" s="1289">
        <f>VLOOKUP($A227,'Accounts by GL'!$C$6:$O$528,10,FALSE)</f>
        <v>0</v>
      </c>
      <c r="M227" s="1289">
        <f>VLOOKUP($A227,'Accounts by GL'!$C$6:$O$528,12,FALSE)</f>
        <v>0</v>
      </c>
    </row>
    <row r="228" spans="1:13">
      <c r="A228" s="1293" t="s">
        <v>1639</v>
      </c>
      <c r="B228" s="1287" t="str">
        <f t="shared" si="3"/>
        <v>SAMPLE STATE COLLEGE</v>
      </c>
      <c r="C228" s="1294" t="s">
        <v>1639</v>
      </c>
      <c r="D228" s="1289">
        <f>VLOOKUP($A228,'Accounts by GL'!$C$6:$O$528,2,FALSE)</f>
        <v>0</v>
      </c>
      <c r="E228" s="1289">
        <f>VLOOKUP($A228,'Accounts by GL'!$C$6:$O$528,3,FALSE)</f>
        <v>0</v>
      </c>
      <c r="F228" s="1289">
        <f>VLOOKUP($A228,'Accounts by GL'!$C$6:$O$528,4,FALSE)</f>
        <v>0</v>
      </c>
      <c r="G228" s="1289">
        <f>VLOOKUP($A228,'Accounts by GL'!$C$6:$O$528,5,FALSE)</f>
        <v>0</v>
      </c>
      <c r="H228" s="1289">
        <f>VLOOKUP($A228,'Accounts by GL'!$C$6:$O$528,6,FALSE)</f>
        <v>0</v>
      </c>
      <c r="I228" s="1289">
        <f>VLOOKUP($A228,'Accounts by GL'!$C$6:$O$528,7,FALSE)</f>
        <v>0</v>
      </c>
      <c r="J228" s="1289">
        <f>VLOOKUP($A228,'Accounts by GL'!$C$6:$O$528,8,FALSE)</f>
        <v>0</v>
      </c>
      <c r="K228" s="1289">
        <f>VLOOKUP($A228,'Accounts by GL'!$C$6:$O$528,9,FALSE)</f>
        <v>0</v>
      </c>
      <c r="L228" s="1289">
        <f>VLOOKUP($A228,'Accounts by GL'!$C$6:$O$528,10,FALSE)</f>
        <v>0</v>
      </c>
      <c r="M228" s="1289">
        <f>VLOOKUP($A228,'Accounts by GL'!$C$6:$O$528,12,FALSE)</f>
        <v>0</v>
      </c>
    </row>
    <row r="229" spans="1:13">
      <c r="A229" s="1293" t="s">
        <v>1642</v>
      </c>
      <c r="B229" s="1287" t="str">
        <f t="shared" si="3"/>
        <v>SAMPLE STATE COLLEGE</v>
      </c>
      <c r="C229" s="1294" t="s">
        <v>1642</v>
      </c>
      <c r="D229" s="1289">
        <f>VLOOKUP($A229,'Accounts by GL'!$C$6:$O$528,2,FALSE)</f>
        <v>0</v>
      </c>
      <c r="E229" s="1289">
        <f>VLOOKUP($A229,'Accounts by GL'!$C$6:$O$528,3,FALSE)</f>
        <v>0</v>
      </c>
      <c r="F229" s="1289">
        <f>VLOOKUP($A229,'Accounts by GL'!$C$6:$O$528,4,FALSE)</f>
        <v>0</v>
      </c>
      <c r="G229" s="1289">
        <f>VLOOKUP($A229,'Accounts by GL'!$C$6:$O$528,5,FALSE)</f>
        <v>0</v>
      </c>
      <c r="H229" s="1289">
        <f>VLOOKUP($A229,'Accounts by GL'!$C$6:$O$528,6,FALSE)</f>
        <v>0</v>
      </c>
      <c r="I229" s="1289">
        <f>VLOOKUP($A229,'Accounts by GL'!$C$6:$O$528,7,FALSE)</f>
        <v>0</v>
      </c>
      <c r="J229" s="1289">
        <f>VLOOKUP($A229,'Accounts by GL'!$C$6:$O$528,8,FALSE)</f>
        <v>0</v>
      </c>
      <c r="K229" s="1289">
        <f>VLOOKUP($A229,'Accounts by GL'!$C$6:$O$528,9,FALSE)</f>
        <v>0</v>
      </c>
      <c r="L229" s="1289">
        <f>VLOOKUP($A229,'Accounts by GL'!$C$6:$O$528,10,FALSE)</f>
        <v>0</v>
      </c>
      <c r="M229" s="1289">
        <f>VLOOKUP($A229,'Accounts by GL'!$C$6:$O$528,12,FALSE)</f>
        <v>0</v>
      </c>
    </row>
    <row r="230" spans="1:13">
      <c r="A230" s="1293" t="s">
        <v>1645</v>
      </c>
      <c r="B230" s="1287" t="str">
        <f t="shared" si="3"/>
        <v>SAMPLE STATE COLLEGE</v>
      </c>
      <c r="C230" s="1294" t="s">
        <v>1645</v>
      </c>
      <c r="D230" s="1289">
        <f>VLOOKUP($A230,'Accounts by GL'!$C$6:$O$528,2,FALSE)</f>
        <v>0</v>
      </c>
      <c r="E230" s="1289">
        <f>VLOOKUP($A230,'Accounts by GL'!$C$6:$O$528,3,FALSE)</f>
        <v>0</v>
      </c>
      <c r="F230" s="1289">
        <f>VLOOKUP($A230,'Accounts by GL'!$C$6:$O$528,4,FALSE)</f>
        <v>0</v>
      </c>
      <c r="G230" s="1289">
        <f>VLOOKUP($A230,'Accounts by GL'!$C$6:$O$528,5,FALSE)</f>
        <v>0</v>
      </c>
      <c r="H230" s="1289">
        <f>VLOOKUP($A230,'Accounts by GL'!$C$6:$O$528,6,FALSE)</f>
        <v>0</v>
      </c>
      <c r="I230" s="1289">
        <f>VLOOKUP($A230,'Accounts by GL'!$C$6:$O$528,7,FALSE)</f>
        <v>0</v>
      </c>
      <c r="J230" s="1289">
        <f>VLOOKUP($A230,'Accounts by GL'!$C$6:$O$528,8,FALSE)</f>
        <v>0</v>
      </c>
      <c r="K230" s="1289">
        <f>VLOOKUP($A230,'Accounts by GL'!$C$6:$O$528,9,FALSE)</f>
        <v>0</v>
      </c>
      <c r="L230" s="1289">
        <f>VLOOKUP($A230,'Accounts by GL'!$C$6:$O$528,10,FALSE)</f>
        <v>0</v>
      </c>
      <c r="M230" s="1289">
        <f>VLOOKUP($A230,'Accounts by GL'!$C$6:$O$528,12,FALSE)</f>
        <v>0</v>
      </c>
    </row>
    <row r="231" spans="1:13">
      <c r="A231" s="1293" t="s">
        <v>1648</v>
      </c>
      <c r="B231" s="1287" t="str">
        <f t="shared" si="3"/>
        <v>SAMPLE STATE COLLEGE</v>
      </c>
      <c r="C231" s="1294" t="s">
        <v>1648</v>
      </c>
      <c r="D231" s="1289">
        <f>VLOOKUP($A231,'Accounts by GL'!$C$6:$O$528,2,FALSE)</f>
        <v>0</v>
      </c>
      <c r="E231" s="1289">
        <f>VLOOKUP($A231,'Accounts by GL'!$C$6:$O$528,3,FALSE)</f>
        <v>0</v>
      </c>
      <c r="F231" s="1289">
        <f>VLOOKUP($A231,'Accounts by GL'!$C$6:$O$528,4,FALSE)</f>
        <v>0</v>
      </c>
      <c r="G231" s="1289">
        <f>VLOOKUP($A231,'Accounts by GL'!$C$6:$O$528,5,FALSE)</f>
        <v>0</v>
      </c>
      <c r="H231" s="1289">
        <f>VLOOKUP($A231,'Accounts by GL'!$C$6:$O$528,6,FALSE)</f>
        <v>0</v>
      </c>
      <c r="I231" s="1289">
        <f>VLOOKUP($A231,'Accounts by GL'!$C$6:$O$528,7,FALSE)</f>
        <v>0</v>
      </c>
      <c r="J231" s="1289">
        <f>VLOOKUP($A231,'Accounts by GL'!$C$6:$O$528,8,FALSE)</f>
        <v>0</v>
      </c>
      <c r="K231" s="1289">
        <f>VLOOKUP($A231,'Accounts by GL'!$C$6:$O$528,9,FALSE)</f>
        <v>0</v>
      </c>
      <c r="L231" s="1289">
        <f>VLOOKUP($A231,'Accounts by GL'!$C$6:$O$528,10,FALSE)</f>
        <v>0</v>
      </c>
      <c r="M231" s="1289">
        <f>VLOOKUP($A231,'Accounts by GL'!$C$6:$O$528,12,FALSE)</f>
        <v>0</v>
      </c>
    </row>
    <row r="232" spans="1:13">
      <c r="A232" s="1293" t="s">
        <v>1651</v>
      </c>
      <c r="B232" s="1287" t="str">
        <f t="shared" si="3"/>
        <v>SAMPLE STATE COLLEGE</v>
      </c>
      <c r="C232" s="1294" t="s">
        <v>1651</v>
      </c>
      <c r="D232" s="1289">
        <f>VLOOKUP($A232,'Accounts by GL'!$C$6:$O$528,2,FALSE)</f>
        <v>0</v>
      </c>
      <c r="E232" s="1289">
        <f>VLOOKUP($A232,'Accounts by GL'!$C$6:$O$528,3,FALSE)</f>
        <v>0</v>
      </c>
      <c r="F232" s="1289">
        <f>VLOOKUP($A232,'Accounts by GL'!$C$6:$O$528,4,FALSE)</f>
        <v>0</v>
      </c>
      <c r="G232" s="1289">
        <f>VLOOKUP($A232,'Accounts by GL'!$C$6:$O$528,5,FALSE)</f>
        <v>0</v>
      </c>
      <c r="H232" s="1289">
        <f>VLOOKUP($A232,'Accounts by GL'!$C$6:$O$528,6,FALSE)</f>
        <v>0</v>
      </c>
      <c r="I232" s="1289">
        <f>VLOOKUP($A232,'Accounts by GL'!$C$6:$O$528,7,FALSE)</f>
        <v>0</v>
      </c>
      <c r="J232" s="1289">
        <f>VLOOKUP($A232,'Accounts by GL'!$C$6:$O$528,8,FALSE)</f>
        <v>0</v>
      </c>
      <c r="K232" s="1289">
        <f>VLOOKUP($A232,'Accounts by GL'!$C$6:$O$528,9,FALSE)</f>
        <v>0</v>
      </c>
      <c r="L232" s="1289">
        <f>VLOOKUP($A232,'Accounts by GL'!$C$6:$O$528,10,FALSE)</f>
        <v>0</v>
      </c>
      <c r="M232" s="1289">
        <f>VLOOKUP($A232,'Accounts by GL'!$C$6:$O$528,12,FALSE)</f>
        <v>0</v>
      </c>
    </row>
    <row r="233" spans="1:13">
      <c r="A233" s="1293" t="s">
        <v>1654</v>
      </c>
      <c r="B233" s="1287" t="str">
        <f t="shared" si="3"/>
        <v>SAMPLE STATE COLLEGE</v>
      </c>
      <c r="C233" s="1294" t="s">
        <v>1654</v>
      </c>
      <c r="D233" s="1289">
        <f>VLOOKUP($A233,'Accounts by GL'!$C$6:$O$528,2,FALSE)</f>
        <v>0</v>
      </c>
      <c r="E233" s="1289">
        <f>VLOOKUP($A233,'Accounts by GL'!$C$6:$O$528,3,FALSE)</f>
        <v>0</v>
      </c>
      <c r="F233" s="1289">
        <f>VLOOKUP($A233,'Accounts by GL'!$C$6:$O$528,4,FALSE)</f>
        <v>0</v>
      </c>
      <c r="G233" s="1289">
        <f>VLOOKUP($A233,'Accounts by GL'!$C$6:$O$528,5,FALSE)</f>
        <v>0</v>
      </c>
      <c r="H233" s="1289">
        <f>VLOOKUP($A233,'Accounts by GL'!$C$6:$O$528,6,FALSE)</f>
        <v>0</v>
      </c>
      <c r="I233" s="1289">
        <f>VLOOKUP($A233,'Accounts by GL'!$C$6:$O$528,7,FALSE)</f>
        <v>0</v>
      </c>
      <c r="J233" s="1289">
        <f>VLOOKUP($A233,'Accounts by GL'!$C$6:$O$528,8,FALSE)</f>
        <v>0</v>
      </c>
      <c r="K233" s="1289">
        <f>VLOOKUP($A233,'Accounts by GL'!$C$6:$O$528,9,FALSE)</f>
        <v>0</v>
      </c>
      <c r="L233" s="1289">
        <f>VLOOKUP($A233,'Accounts by GL'!$C$6:$O$528,10,FALSE)</f>
        <v>0</v>
      </c>
      <c r="M233" s="1289">
        <f>VLOOKUP($A233,'Accounts by GL'!$C$6:$O$528,12,FALSE)</f>
        <v>0</v>
      </c>
    </row>
    <row r="234" spans="1:13">
      <c r="A234" s="1293" t="s">
        <v>1659</v>
      </c>
      <c r="B234" s="1287" t="str">
        <f t="shared" si="3"/>
        <v>SAMPLE STATE COLLEGE</v>
      </c>
      <c r="C234" s="1294" t="s">
        <v>1659</v>
      </c>
      <c r="D234" s="1289">
        <f>VLOOKUP($A234,'Accounts by GL'!$C$6:$O$528,2,FALSE)</f>
        <v>0</v>
      </c>
      <c r="E234" s="1289">
        <f>VLOOKUP($A234,'Accounts by GL'!$C$6:$O$528,3,FALSE)</f>
        <v>0</v>
      </c>
      <c r="F234" s="1289">
        <f>VLOOKUP($A234,'Accounts by GL'!$C$6:$O$528,4,FALSE)</f>
        <v>0</v>
      </c>
      <c r="G234" s="1289">
        <f>VLOOKUP($A234,'Accounts by GL'!$C$6:$O$528,5,FALSE)</f>
        <v>0</v>
      </c>
      <c r="H234" s="1289">
        <f>VLOOKUP($A234,'Accounts by GL'!$C$6:$O$528,6,FALSE)</f>
        <v>0</v>
      </c>
      <c r="I234" s="1289">
        <f>VLOOKUP($A234,'Accounts by GL'!$C$6:$O$528,7,FALSE)</f>
        <v>0</v>
      </c>
      <c r="J234" s="1289">
        <f>VLOOKUP($A234,'Accounts by GL'!$C$6:$O$528,8,FALSE)</f>
        <v>0</v>
      </c>
      <c r="K234" s="1289">
        <f>VLOOKUP($A234,'Accounts by GL'!$C$6:$O$528,9,FALSE)</f>
        <v>0</v>
      </c>
      <c r="L234" s="1289">
        <f>VLOOKUP($A234,'Accounts by GL'!$C$6:$O$528,10,FALSE)</f>
        <v>0</v>
      </c>
      <c r="M234" s="1289">
        <f>VLOOKUP($A234,'Accounts by GL'!$C$6:$O$528,12,FALSE)</f>
        <v>0</v>
      </c>
    </row>
    <row r="235" spans="1:13">
      <c r="A235" s="1293" t="s">
        <v>1662</v>
      </c>
      <c r="B235" s="1287" t="str">
        <f t="shared" si="3"/>
        <v>SAMPLE STATE COLLEGE</v>
      </c>
      <c r="C235" s="1294" t="s">
        <v>1662</v>
      </c>
      <c r="D235" s="1289">
        <f>VLOOKUP($A235,'Accounts by GL'!$C$6:$O$528,2,FALSE)</f>
        <v>0</v>
      </c>
      <c r="E235" s="1289">
        <f>VLOOKUP($A235,'Accounts by GL'!$C$6:$O$528,3,FALSE)</f>
        <v>0</v>
      </c>
      <c r="F235" s="1289">
        <f>VLOOKUP($A235,'Accounts by GL'!$C$6:$O$528,4,FALSE)</f>
        <v>0</v>
      </c>
      <c r="G235" s="1289">
        <f>VLOOKUP($A235,'Accounts by GL'!$C$6:$O$528,5,FALSE)</f>
        <v>0</v>
      </c>
      <c r="H235" s="1289">
        <f>VLOOKUP($A235,'Accounts by GL'!$C$6:$O$528,6,FALSE)</f>
        <v>0</v>
      </c>
      <c r="I235" s="1289">
        <f>VLOOKUP($A235,'Accounts by GL'!$C$6:$O$528,7,FALSE)</f>
        <v>0</v>
      </c>
      <c r="J235" s="1289">
        <f>VLOOKUP($A235,'Accounts by GL'!$C$6:$O$528,8,FALSE)</f>
        <v>0</v>
      </c>
      <c r="K235" s="1289">
        <f>VLOOKUP($A235,'Accounts by GL'!$C$6:$O$528,9,FALSE)</f>
        <v>0</v>
      </c>
      <c r="L235" s="1289">
        <f>VLOOKUP($A235,'Accounts by GL'!$C$6:$O$528,10,FALSE)</f>
        <v>0</v>
      </c>
      <c r="M235" s="1289">
        <f>VLOOKUP($A235,'Accounts by GL'!$C$6:$O$528,12,FALSE)</f>
        <v>0</v>
      </c>
    </row>
    <row r="236" spans="1:13">
      <c r="A236" s="1293" t="s">
        <v>1666</v>
      </c>
      <c r="B236" s="1287" t="str">
        <f t="shared" si="3"/>
        <v>SAMPLE STATE COLLEGE</v>
      </c>
      <c r="C236" s="1294" t="s">
        <v>1666</v>
      </c>
      <c r="D236" s="1289">
        <f>VLOOKUP($A236,'Accounts by GL'!$C$6:$O$528,2,FALSE)</f>
        <v>0</v>
      </c>
      <c r="E236" s="1289">
        <f>VLOOKUP($A236,'Accounts by GL'!$C$6:$O$528,3,FALSE)</f>
        <v>0</v>
      </c>
      <c r="F236" s="1289">
        <f>VLOOKUP($A236,'Accounts by GL'!$C$6:$O$528,4,FALSE)</f>
        <v>0</v>
      </c>
      <c r="G236" s="1289">
        <f>VLOOKUP($A236,'Accounts by GL'!$C$6:$O$528,5,FALSE)</f>
        <v>0</v>
      </c>
      <c r="H236" s="1289">
        <f>VLOOKUP($A236,'Accounts by GL'!$C$6:$O$528,6,FALSE)</f>
        <v>0</v>
      </c>
      <c r="I236" s="1289">
        <f>VLOOKUP($A236,'Accounts by GL'!$C$6:$O$528,7,FALSE)</f>
        <v>0</v>
      </c>
      <c r="J236" s="1289">
        <f>VLOOKUP($A236,'Accounts by GL'!$C$6:$O$528,8,FALSE)</f>
        <v>0</v>
      </c>
      <c r="K236" s="1289">
        <f>VLOOKUP($A236,'Accounts by GL'!$C$6:$O$528,9,FALSE)</f>
        <v>0</v>
      </c>
      <c r="L236" s="1289">
        <f>VLOOKUP($A236,'Accounts by GL'!$C$6:$O$528,10,FALSE)</f>
        <v>0</v>
      </c>
      <c r="M236" s="1289">
        <f>VLOOKUP($A236,'Accounts by GL'!$C$6:$O$528,12,FALSE)</f>
        <v>0</v>
      </c>
    </row>
    <row r="237" spans="1:13">
      <c r="A237" s="1293" t="s">
        <v>1670</v>
      </c>
      <c r="B237" s="1287" t="str">
        <f t="shared" si="3"/>
        <v>SAMPLE STATE COLLEGE</v>
      </c>
      <c r="C237" s="1294" t="s">
        <v>1670</v>
      </c>
      <c r="D237" s="1289">
        <f>VLOOKUP($A237,'Accounts by GL'!$C$6:$O$528,2,FALSE)</f>
        <v>0</v>
      </c>
      <c r="E237" s="1289">
        <f>VLOOKUP($A237,'Accounts by GL'!$C$6:$O$528,3,FALSE)</f>
        <v>0</v>
      </c>
      <c r="F237" s="1289">
        <f>VLOOKUP($A237,'Accounts by GL'!$C$6:$O$528,4,FALSE)</f>
        <v>0</v>
      </c>
      <c r="G237" s="1289">
        <f>VLOOKUP($A237,'Accounts by GL'!$C$6:$O$528,5,FALSE)</f>
        <v>0</v>
      </c>
      <c r="H237" s="1289">
        <f>VLOOKUP($A237,'Accounts by GL'!$C$6:$O$528,6,FALSE)</f>
        <v>0</v>
      </c>
      <c r="I237" s="1289">
        <f>VLOOKUP($A237,'Accounts by GL'!$C$6:$O$528,7,FALSE)</f>
        <v>0</v>
      </c>
      <c r="J237" s="1289">
        <f>VLOOKUP($A237,'Accounts by GL'!$C$6:$O$528,8,FALSE)</f>
        <v>0</v>
      </c>
      <c r="K237" s="1289">
        <f>VLOOKUP($A237,'Accounts by GL'!$C$6:$O$528,9,FALSE)</f>
        <v>0</v>
      </c>
      <c r="L237" s="1289">
        <f>VLOOKUP($A237,'Accounts by GL'!$C$6:$O$528,10,FALSE)</f>
        <v>0</v>
      </c>
      <c r="M237" s="1289">
        <f>VLOOKUP($A237,'Accounts by GL'!$C$6:$O$528,12,FALSE)</f>
        <v>0</v>
      </c>
    </row>
    <row r="238" spans="1:13">
      <c r="A238" s="1293" t="s">
        <v>1673</v>
      </c>
      <c r="B238" s="1287" t="str">
        <f t="shared" si="3"/>
        <v>SAMPLE STATE COLLEGE</v>
      </c>
      <c r="C238" s="1294" t="s">
        <v>1673</v>
      </c>
      <c r="D238" s="1289">
        <f>VLOOKUP($A238,'Accounts by GL'!$C$6:$O$528,2,FALSE)</f>
        <v>0</v>
      </c>
      <c r="E238" s="1289">
        <f>VLOOKUP($A238,'Accounts by GL'!$C$6:$O$528,3,FALSE)</f>
        <v>0</v>
      </c>
      <c r="F238" s="1289">
        <f>VLOOKUP($A238,'Accounts by GL'!$C$6:$O$528,4,FALSE)</f>
        <v>0</v>
      </c>
      <c r="G238" s="1289">
        <f>VLOOKUP($A238,'Accounts by GL'!$C$6:$O$528,5,FALSE)</f>
        <v>0</v>
      </c>
      <c r="H238" s="1289">
        <f>VLOOKUP($A238,'Accounts by GL'!$C$6:$O$528,6,FALSE)</f>
        <v>0</v>
      </c>
      <c r="I238" s="1289">
        <f>VLOOKUP($A238,'Accounts by GL'!$C$6:$O$528,7,FALSE)</f>
        <v>0</v>
      </c>
      <c r="J238" s="1289">
        <f>VLOOKUP($A238,'Accounts by GL'!$C$6:$O$528,8,FALSE)</f>
        <v>0</v>
      </c>
      <c r="K238" s="1289">
        <f>VLOOKUP($A238,'Accounts by GL'!$C$6:$O$528,9,FALSE)</f>
        <v>0</v>
      </c>
      <c r="L238" s="1289">
        <f>VLOOKUP($A238,'Accounts by GL'!$C$6:$O$528,10,FALSE)</f>
        <v>0</v>
      </c>
      <c r="M238" s="1289">
        <f>VLOOKUP($A238,'Accounts by GL'!$C$6:$O$528,12,FALSE)</f>
        <v>0</v>
      </c>
    </row>
    <row r="239" spans="1:13">
      <c r="A239" s="1293" t="s">
        <v>1677</v>
      </c>
      <c r="B239" s="1287" t="str">
        <f t="shared" si="3"/>
        <v>SAMPLE STATE COLLEGE</v>
      </c>
      <c r="C239" s="1294" t="s">
        <v>1677</v>
      </c>
      <c r="D239" s="1289">
        <f>VLOOKUP($A239,'Accounts by GL'!$C$6:$O$528,2,FALSE)</f>
        <v>0</v>
      </c>
      <c r="E239" s="1289">
        <f>VLOOKUP($A239,'Accounts by GL'!$C$6:$O$528,3,FALSE)</f>
        <v>0</v>
      </c>
      <c r="F239" s="1289">
        <f>VLOOKUP($A239,'Accounts by GL'!$C$6:$O$528,4,FALSE)</f>
        <v>0</v>
      </c>
      <c r="G239" s="1289">
        <f>VLOOKUP($A239,'Accounts by GL'!$C$6:$O$528,5,FALSE)</f>
        <v>0</v>
      </c>
      <c r="H239" s="1289">
        <f>VLOOKUP($A239,'Accounts by GL'!$C$6:$O$528,6,FALSE)</f>
        <v>0</v>
      </c>
      <c r="I239" s="1289">
        <f>VLOOKUP($A239,'Accounts by GL'!$C$6:$O$528,7,FALSE)</f>
        <v>0</v>
      </c>
      <c r="J239" s="1289">
        <f>VLOOKUP($A239,'Accounts by GL'!$C$6:$O$528,8,FALSE)</f>
        <v>0</v>
      </c>
      <c r="K239" s="1289">
        <f>VLOOKUP($A239,'Accounts by GL'!$C$6:$O$528,9,FALSE)</f>
        <v>0</v>
      </c>
      <c r="L239" s="1289">
        <f>VLOOKUP($A239,'Accounts by GL'!$C$6:$O$528,10,FALSE)</f>
        <v>0</v>
      </c>
      <c r="M239" s="1289">
        <f>VLOOKUP($A239,'Accounts by GL'!$C$6:$O$528,12,FALSE)</f>
        <v>0</v>
      </c>
    </row>
    <row r="240" spans="1:13">
      <c r="A240" s="1293" t="s">
        <v>1680</v>
      </c>
      <c r="B240" s="1287" t="str">
        <f t="shared" si="3"/>
        <v>SAMPLE STATE COLLEGE</v>
      </c>
      <c r="C240" s="1294" t="s">
        <v>1680</v>
      </c>
      <c r="D240" s="1289">
        <f>VLOOKUP($A240,'Accounts by GL'!$C$6:$O$528,2,FALSE)</f>
        <v>0</v>
      </c>
      <c r="E240" s="1289">
        <f>VLOOKUP($A240,'Accounts by GL'!$C$6:$O$528,3,FALSE)</f>
        <v>0</v>
      </c>
      <c r="F240" s="1289">
        <f>VLOOKUP($A240,'Accounts by GL'!$C$6:$O$528,4,FALSE)</f>
        <v>0</v>
      </c>
      <c r="G240" s="1289">
        <f>VLOOKUP($A240,'Accounts by GL'!$C$6:$O$528,5,FALSE)</f>
        <v>0</v>
      </c>
      <c r="H240" s="1289">
        <f>VLOOKUP($A240,'Accounts by GL'!$C$6:$O$528,6,FALSE)</f>
        <v>0</v>
      </c>
      <c r="I240" s="1289">
        <f>VLOOKUP($A240,'Accounts by GL'!$C$6:$O$528,7,FALSE)</f>
        <v>0</v>
      </c>
      <c r="J240" s="1289">
        <f>VLOOKUP($A240,'Accounts by GL'!$C$6:$O$528,8,FALSE)</f>
        <v>0</v>
      </c>
      <c r="K240" s="1289">
        <f>VLOOKUP($A240,'Accounts by GL'!$C$6:$O$528,9,FALSE)</f>
        <v>0</v>
      </c>
      <c r="L240" s="1289">
        <f>VLOOKUP($A240,'Accounts by GL'!$C$6:$O$528,10,FALSE)</f>
        <v>0</v>
      </c>
      <c r="M240" s="1289">
        <f>VLOOKUP($A240,'Accounts by GL'!$C$6:$O$528,12,FALSE)</f>
        <v>0</v>
      </c>
    </row>
    <row r="241" spans="1:13">
      <c r="A241" s="1293" t="s">
        <v>1683</v>
      </c>
      <c r="B241" s="1287" t="str">
        <f t="shared" si="3"/>
        <v>SAMPLE STATE COLLEGE</v>
      </c>
      <c r="C241" s="1294" t="s">
        <v>1683</v>
      </c>
      <c r="D241" s="1289">
        <f>VLOOKUP($A241,'Accounts by GL'!$C$6:$O$528,2,FALSE)</f>
        <v>0</v>
      </c>
      <c r="E241" s="1289">
        <f>VLOOKUP($A241,'Accounts by GL'!$C$6:$O$528,3,FALSE)</f>
        <v>0</v>
      </c>
      <c r="F241" s="1289">
        <f>VLOOKUP($A241,'Accounts by GL'!$C$6:$O$528,4,FALSE)</f>
        <v>0</v>
      </c>
      <c r="G241" s="1289">
        <f>VLOOKUP($A241,'Accounts by GL'!$C$6:$O$528,5,FALSE)</f>
        <v>0</v>
      </c>
      <c r="H241" s="1289">
        <f>VLOOKUP($A241,'Accounts by GL'!$C$6:$O$528,6,FALSE)</f>
        <v>0</v>
      </c>
      <c r="I241" s="1289">
        <f>VLOOKUP($A241,'Accounts by GL'!$C$6:$O$528,7,FALSE)</f>
        <v>0</v>
      </c>
      <c r="J241" s="1289">
        <f>VLOOKUP($A241,'Accounts by GL'!$C$6:$O$528,8,FALSE)</f>
        <v>0</v>
      </c>
      <c r="K241" s="1289">
        <f>VLOOKUP($A241,'Accounts by GL'!$C$6:$O$528,9,FALSE)</f>
        <v>0</v>
      </c>
      <c r="L241" s="1289">
        <f>VLOOKUP($A241,'Accounts by GL'!$C$6:$O$528,10,FALSE)</f>
        <v>0</v>
      </c>
      <c r="M241" s="1289">
        <f>VLOOKUP($A241,'Accounts by GL'!$C$6:$O$528,12,FALSE)</f>
        <v>0</v>
      </c>
    </row>
    <row r="242" spans="1:13">
      <c r="A242" s="1293" t="s">
        <v>1686</v>
      </c>
      <c r="B242" s="1287" t="str">
        <f t="shared" si="3"/>
        <v>SAMPLE STATE COLLEGE</v>
      </c>
      <c r="C242" s="1294" t="s">
        <v>1686</v>
      </c>
      <c r="D242" s="1289">
        <f>VLOOKUP($A242,'Accounts by GL'!$C$6:$O$528,2,FALSE)</f>
        <v>0</v>
      </c>
      <c r="E242" s="1289">
        <f>VLOOKUP($A242,'Accounts by GL'!$C$6:$O$528,3,FALSE)</f>
        <v>0</v>
      </c>
      <c r="F242" s="1289">
        <f>VLOOKUP($A242,'Accounts by GL'!$C$6:$O$528,4,FALSE)</f>
        <v>0</v>
      </c>
      <c r="G242" s="1289">
        <f>VLOOKUP($A242,'Accounts by GL'!$C$6:$O$528,5,FALSE)</f>
        <v>0</v>
      </c>
      <c r="H242" s="1289">
        <f>VLOOKUP($A242,'Accounts by GL'!$C$6:$O$528,6,FALSE)</f>
        <v>0</v>
      </c>
      <c r="I242" s="1289">
        <f>VLOOKUP($A242,'Accounts by GL'!$C$6:$O$528,7,FALSE)</f>
        <v>0</v>
      </c>
      <c r="J242" s="1289">
        <f>VLOOKUP($A242,'Accounts by GL'!$C$6:$O$528,8,FALSE)</f>
        <v>0</v>
      </c>
      <c r="K242" s="1289">
        <f>VLOOKUP($A242,'Accounts by GL'!$C$6:$O$528,9,FALSE)</f>
        <v>0</v>
      </c>
      <c r="L242" s="1289">
        <f>VLOOKUP($A242,'Accounts by GL'!$C$6:$O$528,10,FALSE)</f>
        <v>0</v>
      </c>
      <c r="M242" s="1289">
        <f>VLOOKUP($A242,'Accounts by GL'!$C$6:$O$528,12,FALSE)</f>
        <v>0</v>
      </c>
    </row>
    <row r="243" spans="1:13">
      <c r="A243" s="1293" t="s">
        <v>1691</v>
      </c>
      <c r="B243" s="1287" t="str">
        <f t="shared" si="3"/>
        <v>SAMPLE STATE COLLEGE</v>
      </c>
      <c r="C243" s="1294" t="s">
        <v>1691</v>
      </c>
      <c r="D243" s="1289">
        <f>VLOOKUP($A243,'Accounts by GL'!$C$6:$O$528,2,FALSE)</f>
        <v>0</v>
      </c>
      <c r="E243" s="1289">
        <f>VLOOKUP($A243,'Accounts by GL'!$C$6:$O$528,3,FALSE)</f>
        <v>0</v>
      </c>
      <c r="F243" s="1289">
        <f>VLOOKUP($A243,'Accounts by GL'!$C$6:$O$528,4,FALSE)</f>
        <v>0</v>
      </c>
      <c r="G243" s="1289">
        <f>VLOOKUP($A243,'Accounts by GL'!$C$6:$O$528,5,FALSE)</f>
        <v>0</v>
      </c>
      <c r="H243" s="1289">
        <f>VLOOKUP($A243,'Accounts by GL'!$C$6:$O$528,6,FALSE)</f>
        <v>0</v>
      </c>
      <c r="I243" s="1289">
        <f>VLOOKUP($A243,'Accounts by GL'!$C$6:$O$528,7,FALSE)</f>
        <v>0</v>
      </c>
      <c r="J243" s="1289">
        <f>VLOOKUP($A243,'Accounts by GL'!$C$6:$O$528,8,FALSE)</f>
        <v>0</v>
      </c>
      <c r="K243" s="1289">
        <f>VLOOKUP($A243,'Accounts by GL'!$C$6:$O$528,9,FALSE)</f>
        <v>0</v>
      </c>
      <c r="L243" s="1289">
        <f>VLOOKUP($A243,'Accounts by GL'!$C$6:$O$528,10,FALSE)</f>
        <v>0</v>
      </c>
      <c r="M243" s="1289">
        <f>VLOOKUP($A243,'Accounts by GL'!$C$6:$O$528,12,FALSE)</f>
        <v>0</v>
      </c>
    </row>
    <row r="244" spans="1:13">
      <c r="A244" s="1293" t="s">
        <v>1695</v>
      </c>
      <c r="B244" s="1287" t="str">
        <f t="shared" si="3"/>
        <v>SAMPLE STATE COLLEGE</v>
      </c>
      <c r="C244" s="1294" t="s">
        <v>1695</v>
      </c>
      <c r="D244" s="1289">
        <f>VLOOKUP($A244,'Accounts by GL'!$C$6:$O$528,2,FALSE)</f>
        <v>0</v>
      </c>
      <c r="E244" s="1289">
        <f>VLOOKUP($A244,'Accounts by GL'!$C$6:$O$528,3,FALSE)</f>
        <v>0</v>
      </c>
      <c r="F244" s="1289">
        <f>VLOOKUP($A244,'Accounts by GL'!$C$6:$O$528,4,FALSE)</f>
        <v>0</v>
      </c>
      <c r="G244" s="1289">
        <f>VLOOKUP($A244,'Accounts by GL'!$C$6:$O$528,5,FALSE)</f>
        <v>0</v>
      </c>
      <c r="H244" s="1289">
        <f>VLOOKUP($A244,'Accounts by GL'!$C$6:$O$528,6,FALSE)</f>
        <v>0</v>
      </c>
      <c r="I244" s="1289">
        <f>VLOOKUP($A244,'Accounts by GL'!$C$6:$O$528,7,FALSE)</f>
        <v>0</v>
      </c>
      <c r="J244" s="1289">
        <f>VLOOKUP($A244,'Accounts by GL'!$C$6:$O$528,8,FALSE)</f>
        <v>0</v>
      </c>
      <c r="K244" s="1289">
        <f>VLOOKUP($A244,'Accounts by GL'!$C$6:$O$528,9,FALSE)</f>
        <v>0</v>
      </c>
      <c r="L244" s="1289">
        <f>VLOOKUP($A244,'Accounts by GL'!$C$6:$O$528,10,FALSE)</f>
        <v>0</v>
      </c>
      <c r="M244" s="1289">
        <f>VLOOKUP($A244,'Accounts by GL'!$C$6:$O$528,12,FALSE)</f>
        <v>0</v>
      </c>
    </row>
    <row r="245" spans="1:13">
      <c r="A245" s="1293" t="s">
        <v>1699</v>
      </c>
      <c r="B245" s="1287" t="str">
        <f t="shared" si="3"/>
        <v>SAMPLE STATE COLLEGE</v>
      </c>
      <c r="C245" s="1294" t="s">
        <v>1699</v>
      </c>
      <c r="D245" s="1289">
        <f>VLOOKUP($A245,'Accounts by GL'!$C$6:$O$528,2,FALSE)</f>
        <v>0</v>
      </c>
      <c r="E245" s="1289">
        <f>VLOOKUP($A245,'Accounts by GL'!$C$6:$O$528,3,FALSE)</f>
        <v>0</v>
      </c>
      <c r="F245" s="1289">
        <f>VLOOKUP($A245,'Accounts by GL'!$C$6:$O$528,4,FALSE)</f>
        <v>0</v>
      </c>
      <c r="G245" s="1289">
        <f>VLOOKUP($A245,'Accounts by GL'!$C$6:$O$528,5,FALSE)</f>
        <v>0</v>
      </c>
      <c r="H245" s="1289">
        <f>VLOOKUP($A245,'Accounts by GL'!$C$6:$O$528,6,FALSE)</f>
        <v>0</v>
      </c>
      <c r="I245" s="1289">
        <f>VLOOKUP($A245,'Accounts by GL'!$C$6:$O$528,7,FALSE)</f>
        <v>0</v>
      </c>
      <c r="J245" s="1289">
        <f>VLOOKUP($A245,'Accounts by GL'!$C$6:$O$528,8,FALSE)</f>
        <v>0</v>
      </c>
      <c r="K245" s="1289">
        <f>VLOOKUP($A245,'Accounts by GL'!$C$6:$O$528,9,FALSE)</f>
        <v>0</v>
      </c>
      <c r="L245" s="1289">
        <f>VLOOKUP($A245,'Accounts by GL'!$C$6:$O$528,10,FALSE)</f>
        <v>0</v>
      </c>
      <c r="M245" s="1289">
        <f>VLOOKUP($A245,'Accounts by GL'!$C$6:$O$528,12,FALSE)</f>
        <v>0</v>
      </c>
    </row>
    <row r="246" spans="1:13">
      <c r="A246" s="1293" t="s">
        <v>1705</v>
      </c>
      <c r="B246" s="1287" t="str">
        <f t="shared" si="3"/>
        <v>SAMPLE STATE COLLEGE</v>
      </c>
      <c r="C246" s="1294" t="s">
        <v>1705</v>
      </c>
      <c r="D246" s="1289">
        <f>VLOOKUP($A246,'Accounts by GL'!$C$6:$O$528,2,FALSE)</f>
        <v>0</v>
      </c>
      <c r="E246" s="1289">
        <f>VLOOKUP($A246,'Accounts by GL'!$C$6:$O$528,3,FALSE)</f>
        <v>0</v>
      </c>
      <c r="F246" s="1289">
        <f>VLOOKUP($A246,'Accounts by GL'!$C$6:$O$528,4,FALSE)</f>
        <v>0</v>
      </c>
      <c r="G246" s="1289">
        <f>VLOOKUP($A246,'Accounts by GL'!$C$6:$O$528,5,FALSE)</f>
        <v>0</v>
      </c>
      <c r="H246" s="1289">
        <f>VLOOKUP($A246,'Accounts by GL'!$C$6:$O$528,6,FALSE)</f>
        <v>0</v>
      </c>
      <c r="I246" s="1289">
        <f>VLOOKUP($A246,'Accounts by GL'!$C$6:$O$528,7,FALSE)</f>
        <v>0</v>
      </c>
      <c r="J246" s="1289">
        <f>VLOOKUP($A246,'Accounts by GL'!$C$6:$O$528,8,FALSE)</f>
        <v>0</v>
      </c>
      <c r="K246" s="1289">
        <f>VLOOKUP($A246,'Accounts by GL'!$C$6:$O$528,9,FALSE)</f>
        <v>0</v>
      </c>
      <c r="L246" s="1289">
        <f>VLOOKUP($A246,'Accounts by GL'!$C$6:$O$528,10,FALSE)</f>
        <v>0</v>
      </c>
      <c r="M246" s="1289">
        <f>VLOOKUP($A246,'Accounts by GL'!$C$6:$O$528,12,FALSE)</f>
        <v>0</v>
      </c>
    </row>
    <row r="247" spans="1:13">
      <c r="A247" s="1293" t="s">
        <v>1708</v>
      </c>
      <c r="B247" s="1287" t="str">
        <f t="shared" si="3"/>
        <v>SAMPLE STATE COLLEGE</v>
      </c>
      <c r="C247" s="1294" t="s">
        <v>1708</v>
      </c>
      <c r="D247" s="1289">
        <f>VLOOKUP($A247,'Accounts by GL'!$C$6:$O$528,2,FALSE)</f>
        <v>0</v>
      </c>
      <c r="E247" s="1289">
        <f>VLOOKUP($A247,'Accounts by GL'!$C$6:$O$528,3,FALSE)</f>
        <v>0</v>
      </c>
      <c r="F247" s="1289">
        <f>VLOOKUP($A247,'Accounts by GL'!$C$6:$O$528,4,FALSE)</f>
        <v>0</v>
      </c>
      <c r="G247" s="1289">
        <f>VLOOKUP($A247,'Accounts by GL'!$C$6:$O$528,5,FALSE)</f>
        <v>0</v>
      </c>
      <c r="H247" s="1289">
        <f>VLOOKUP($A247,'Accounts by GL'!$C$6:$O$528,6,FALSE)</f>
        <v>0</v>
      </c>
      <c r="I247" s="1289">
        <f>VLOOKUP($A247,'Accounts by GL'!$C$6:$O$528,7,FALSE)</f>
        <v>0</v>
      </c>
      <c r="J247" s="1289">
        <f>VLOOKUP($A247,'Accounts by GL'!$C$6:$O$528,8,FALSE)</f>
        <v>0</v>
      </c>
      <c r="K247" s="1289">
        <f>VLOOKUP($A247,'Accounts by GL'!$C$6:$O$528,9,FALSE)</f>
        <v>0</v>
      </c>
      <c r="L247" s="1289">
        <f>VLOOKUP($A247,'Accounts by GL'!$C$6:$O$528,10,FALSE)</f>
        <v>0</v>
      </c>
      <c r="M247" s="1289">
        <f>VLOOKUP($A247,'Accounts by GL'!$C$6:$O$528,12,FALSE)</f>
        <v>0</v>
      </c>
    </row>
    <row r="248" spans="1:13">
      <c r="A248" s="1293" t="s">
        <v>1711</v>
      </c>
      <c r="B248" s="1287" t="str">
        <f t="shared" si="3"/>
        <v>SAMPLE STATE COLLEGE</v>
      </c>
      <c r="C248" s="1294" t="s">
        <v>1711</v>
      </c>
      <c r="D248" s="1289">
        <f>VLOOKUP($A248,'Accounts by GL'!$C$6:$O$528,2,FALSE)</f>
        <v>0</v>
      </c>
      <c r="E248" s="1289">
        <f>VLOOKUP($A248,'Accounts by GL'!$C$6:$O$528,3,FALSE)</f>
        <v>0</v>
      </c>
      <c r="F248" s="1289">
        <f>VLOOKUP($A248,'Accounts by GL'!$C$6:$O$528,4,FALSE)</f>
        <v>0</v>
      </c>
      <c r="G248" s="1289">
        <f>VLOOKUP($A248,'Accounts by GL'!$C$6:$O$528,5,FALSE)</f>
        <v>0</v>
      </c>
      <c r="H248" s="1289">
        <f>VLOOKUP($A248,'Accounts by GL'!$C$6:$O$528,6,FALSE)</f>
        <v>0</v>
      </c>
      <c r="I248" s="1289">
        <f>VLOOKUP($A248,'Accounts by GL'!$C$6:$O$528,7,FALSE)</f>
        <v>0</v>
      </c>
      <c r="J248" s="1289">
        <f>VLOOKUP($A248,'Accounts by GL'!$C$6:$O$528,8,FALSE)</f>
        <v>0</v>
      </c>
      <c r="K248" s="1289">
        <f>VLOOKUP($A248,'Accounts by GL'!$C$6:$O$528,9,FALSE)</f>
        <v>0</v>
      </c>
      <c r="L248" s="1289">
        <f>VLOOKUP($A248,'Accounts by GL'!$C$6:$O$528,10,FALSE)</f>
        <v>0</v>
      </c>
      <c r="M248" s="1289">
        <f>VLOOKUP($A248,'Accounts by GL'!$C$6:$O$528,12,FALSE)</f>
        <v>0</v>
      </c>
    </row>
    <row r="249" spans="1:13">
      <c r="A249" s="1293" t="s">
        <v>1714</v>
      </c>
      <c r="B249" s="1287" t="str">
        <f t="shared" si="3"/>
        <v>SAMPLE STATE COLLEGE</v>
      </c>
      <c r="C249" s="1294" t="s">
        <v>1714</v>
      </c>
      <c r="D249" s="1289">
        <f>VLOOKUP($A249,'Accounts by GL'!$C$6:$O$528,2,FALSE)</f>
        <v>0</v>
      </c>
      <c r="E249" s="1289">
        <f>VLOOKUP($A249,'Accounts by GL'!$C$6:$O$528,3,FALSE)</f>
        <v>0</v>
      </c>
      <c r="F249" s="1289">
        <f>VLOOKUP($A249,'Accounts by GL'!$C$6:$O$528,4,FALSE)</f>
        <v>0</v>
      </c>
      <c r="G249" s="1289">
        <f>VLOOKUP($A249,'Accounts by GL'!$C$6:$O$528,5,FALSE)</f>
        <v>0</v>
      </c>
      <c r="H249" s="1289">
        <f>VLOOKUP($A249,'Accounts by GL'!$C$6:$O$528,6,FALSE)</f>
        <v>0</v>
      </c>
      <c r="I249" s="1289">
        <f>VLOOKUP($A249,'Accounts by GL'!$C$6:$O$528,7,FALSE)</f>
        <v>0</v>
      </c>
      <c r="J249" s="1289">
        <f>VLOOKUP($A249,'Accounts by GL'!$C$6:$O$528,8,FALSE)</f>
        <v>0</v>
      </c>
      <c r="K249" s="1289">
        <f>VLOOKUP($A249,'Accounts by GL'!$C$6:$O$528,9,FALSE)</f>
        <v>0</v>
      </c>
      <c r="L249" s="1289">
        <f>VLOOKUP($A249,'Accounts by GL'!$C$6:$O$528,10,FALSE)</f>
        <v>0</v>
      </c>
      <c r="M249" s="1289">
        <f>VLOOKUP($A249,'Accounts by GL'!$C$6:$O$528,12,FALSE)</f>
        <v>0</v>
      </c>
    </row>
    <row r="250" spans="1:13">
      <c r="A250" s="1293" t="s">
        <v>1717</v>
      </c>
      <c r="B250" s="1287" t="str">
        <f t="shared" si="3"/>
        <v>SAMPLE STATE COLLEGE</v>
      </c>
      <c r="C250" s="1294" t="s">
        <v>1717</v>
      </c>
      <c r="D250" s="1289">
        <f>VLOOKUP($A250,'Accounts by GL'!$C$6:$O$528,2,FALSE)</f>
        <v>0</v>
      </c>
      <c r="E250" s="1289">
        <f>VLOOKUP($A250,'Accounts by GL'!$C$6:$O$528,3,FALSE)</f>
        <v>0</v>
      </c>
      <c r="F250" s="1289">
        <f>VLOOKUP($A250,'Accounts by GL'!$C$6:$O$528,4,FALSE)</f>
        <v>0</v>
      </c>
      <c r="G250" s="1289">
        <f>VLOOKUP($A250,'Accounts by GL'!$C$6:$O$528,5,FALSE)</f>
        <v>0</v>
      </c>
      <c r="H250" s="1289">
        <f>VLOOKUP($A250,'Accounts by GL'!$C$6:$O$528,6,FALSE)</f>
        <v>0</v>
      </c>
      <c r="I250" s="1289">
        <f>VLOOKUP($A250,'Accounts by GL'!$C$6:$O$528,7,FALSE)</f>
        <v>0</v>
      </c>
      <c r="J250" s="1289">
        <f>VLOOKUP($A250,'Accounts by GL'!$C$6:$O$528,8,FALSE)</f>
        <v>0</v>
      </c>
      <c r="K250" s="1289">
        <f>VLOOKUP($A250,'Accounts by GL'!$C$6:$O$528,9,FALSE)</f>
        <v>0</v>
      </c>
      <c r="L250" s="1289">
        <f>VLOOKUP($A250,'Accounts by GL'!$C$6:$O$528,10,FALSE)</f>
        <v>0</v>
      </c>
      <c r="M250" s="1289">
        <f>VLOOKUP($A250,'Accounts by GL'!$C$6:$O$528,12,FALSE)</f>
        <v>0</v>
      </c>
    </row>
    <row r="251" spans="1:13">
      <c r="A251" s="1293" t="s">
        <v>1722</v>
      </c>
      <c r="B251" s="1287" t="str">
        <f t="shared" si="3"/>
        <v>SAMPLE STATE COLLEGE</v>
      </c>
      <c r="C251" s="1294" t="s">
        <v>1722</v>
      </c>
      <c r="D251" s="1289">
        <f>VLOOKUP($A251,'Accounts by GL'!$C$6:$O$528,2,FALSE)</f>
        <v>0</v>
      </c>
      <c r="E251" s="1289">
        <f>VLOOKUP($A251,'Accounts by GL'!$C$6:$O$528,3,FALSE)</f>
        <v>0</v>
      </c>
      <c r="F251" s="1289">
        <f>VLOOKUP($A251,'Accounts by GL'!$C$6:$O$528,4,FALSE)</f>
        <v>0</v>
      </c>
      <c r="G251" s="1289">
        <f>VLOOKUP($A251,'Accounts by GL'!$C$6:$O$528,5,FALSE)</f>
        <v>0</v>
      </c>
      <c r="H251" s="1289">
        <f>VLOOKUP($A251,'Accounts by GL'!$C$6:$O$528,6,FALSE)</f>
        <v>0</v>
      </c>
      <c r="I251" s="1289">
        <f>VLOOKUP($A251,'Accounts by GL'!$C$6:$O$528,7,FALSE)</f>
        <v>0</v>
      </c>
      <c r="J251" s="1289">
        <f>VLOOKUP($A251,'Accounts by GL'!$C$6:$O$528,8,FALSE)</f>
        <v>0</v>
      </c>
      <c r="K251" s="1289">
        <f>VLOOKUP($A251,'Accounts by GL'!$C$6:$O$528,9,FALSE)</f>
        <v>0</v>
      </c>
      <c r="L251" s="1289">
        <f>VLOOKUP($A251,'Accounts by GL'!$C$6:$O$528,10,FALSE)</f>
        <v>0</v>
      </c>
      <c r="M251" s="1289">
        <f>VLOOKUP($A251,'Accounts by GL'!$C$6:$O$528,12,FALSE)</f>
        <v>0</v>
      </c>
    </row>
    <row r="252" spans="1:13">
      <c r="A252" s="1293" t="s">
        <v>1725</v>
      </c>
      <c r="B252" s="1287" t="str">
        <f t="shared" si="3"/>
        <v>SAMPLE STATE COLLEGE</v>
      </c>
      <c r="C252" s="1294" t="s">
        <v>1725</v>
      </c>
      <c r="D252" s="1289">
        <f>VLOOKUP($A252,'Accounts by GL'!$C$6:$O$528,2,FALSE)</f>
        <v>0</v>
      </c>
      <c r="E252" s="1289">
        <f>VLOOKUP($A252,'Accounts by GL'!$C$6:$O$528,3,FALSE)</f>
        <v>0</v>
      </c>
      <c r="F252" s="1289">
        <f>VLOOKUP($A252,'Accounts by GL'!$C$6:$O$528,4,FALSE)</f>
        <v>0</v>
      </c>
      <c r="G252" s="1289">
        <f>VLOOKUP($A252,'Accounts by GL'!$C$6:$O$528,5,FALSE)</f>
        <v>0</v>
      </c>
      <c r="H252" s="1289">
        <f>VLOOKUP($A252,'Accounts by GL'!$C$6:$O$528,6,FALSE)</f>
        <v>0</v>
      </c>
      <c r="I252" s="1289">
        <f>VLOOKUP($A252,'Accounts by GL'!$C$6:$O$528,7,FALSE)</f>
        <v>0</v>
      </c>
      <c r="J252" s="1289">
        <f>VLOOKUP($A252,'Accounts by GL'!$C$6:$O$528,8,FALSE)</f>
        <v>0</v>
      </c>
      <c r="K252" s="1289">
        <f>VLOOKUP($A252,'Accounts by GL'!$C$6:$O$528,9,FALSE)</f>
        <v>0</v>
      </c>
      <c r="L252" s="1289">
        <f>VLOOKUP($A252,'Accounts by GL'!$C$6:$O$528,10,FALSE)</f>
        <v>0</v>
      </c>
      <c r="M252" s="1289">
        <f>VLOOKUP($A252,'Accounts by GL'!$C$6:$O$528,12,FALSE)</f>
        <v>0</v>
      </c>
    </row>
    <row r="253" spans="1:13">
      <c r="A253" s="1293" t="s">
        <v>1729</v>
      </c>
      <c r="B253" s="1287" t="str">
        <f t="shared" si="3"/>
        <v>SAMPLE STATE COLLEGE</v>
      </c>
      <c r="C253" s="1294" t="s">
        <v>1729</v>
      </c>
      <c r="D253" s="1289">
        <f>VLOOKUP($A253,'Accounts by GL'!$C$6:$O$528,2,FALSE)</f>
        <v>0</v>
      </c>
      <c r="E253" s="1289">
        <f>VLOOKUP($A253,'Accounts by GL'!$C$6:$O$528,3,FALSE)</f>
        <v>0</v>
      </c>
      <c r="F253" s="1289">
        <f>VLOOKUP($A253,'Accounts by GL'!$C$6:$O$528,4,FALSE)</f>
        <v>0</v>
      </c>
      <c r="G253" s="1289">
        <f>VLOOKUP($A253,'Accounts by GL'!$C$6:$O$528,5,FALSE)</f>
        <v>0</v>
      </c>
      <c r="H253" s="1289">
        <f>VLOOKUP($A253,'Accounts by GL'!$C$6:$O$528,6,FALSE)</f>
        <v>0</v>
      </c>
      <c r="I253" s="1289">
        <f>VLOOKUP($A253,'Accounts by GL'!$C$6:$O$528,7,FALSE)</f>
        <v>0</v>
      </c>
      <c r="J253" s="1289">
        <f>VLOOKUP($A253,'Accounts by GL'!$C$6:$O$528,8,FALSE)</f>
        <v>0</v>
      </c>
      <c r="K253" s="1289">
        <f>VLOOKUP($A253,'Accounts by GL'!$C$6:$O$528,9,FALSE)</f>
        <v>0</v>
      </c>
      <c r="L253" s="1289">
        <f>VLOOKUP($A253,'Accounts by GL'!$C$6:$O$528,10,FALSE)</f>
        <v>0</v>
      </c>
      <c r="M253" s="1289">
        <f>VLOOKUP($A253,'Accounts by GL'!$C$6:$O$528,12,FALSE)</f>
        <v>0</v>
      </c>
    </row>
    <row r="254" spans="1:13">
      <c r="A254" s="1293" t="s">
        <v>1732</v>
      </c>
      <c r="B254" s="1287" t="str">
        <f t="shared" si="3"/>
        <v>SAMPLE STATE COLLEGE</v>
      </c>
      <c r="C254" s="1294" t="s">
        <v>1732</v>
      </c>
      <c r="D254" s="1289">
        <f>VLOOKUP($A254,'Accounts by GL'!$C$6:$O$528,2,FALSE)</f>
        <v>0</v>
      </c>
      <c r="E254" s="1289">
        <f>VLOOKUP($A254,'Accounts by GL'!$C$6:$O$528,3,FALSE)</f>
        <v>0</v>
      </c>
      <c r="F254" s="1289">
        <f>VLOOKUP($A254,'Accounts by GL'!$C$6:$O$528,4,FALSE)</f>
        <v>0</v>
      </c>
      <c r="G254" s="1289">
        <f>VLOOKUP($A254,'Accounts by GL'!$C$6:$O$528,5,FALSE)</f>
        <v>0</v>
      </c>
      <c r="H254" s="1289">
        <f>VLOOKUP($A254,'Accounts by GL'!$C$6:$O$528,6,FALSE)</f>
        <v>0</v>
      </c>
      <c r="I254" s="1289">
        <f>VLOOKUP($A254,'Accounts by GL'!$C$6:$O$528,7,FALSE)</f>
        <v>0</v>
      </c>
      <c r="J254" s="1289">
        <f>VLOOKUP($A254,'Accounts by GL'!$C$6:$O$528,8,FALSE)</f>
        <v>0</v>
      </c>
      <c r="K254" s="1289">
        <f>VLOOKUP($A254,'Accounts by GL'!$C$6:$O$528,9,FALSE)</f>
        <v>0</v>
      </c>
      <c r="L254" s="1289">
        <f>VLOOKUP($A254,'Accounts by GL'!$C$6:$O$528,10,FALSE)</f>
        <v>0</v>
      </c>
      <c r="M254" s="1289">
        <f>VLOOKUP($A254,'Accounts by GL'!$C$6:$O$528,12,FALSE)</f>
        <v>0</v>
      </c>
    </row>
    <row r="255" spans="1:13">
      <c r="A255" s="1293" t="s">
        <v>1735</v>
      </c>
      <c r="B255" s="1287" t="str">
        <f t="shared" si="3"/>
        <v>SAMPLE STATE COLLEGE</v>
      </c>
      <c r="C255" s="1294" t="s">
        <v>1735</v>
      </c>
      <c r="D255" s="1289">
        <f>VLOOKUP($A255,'Accounts by GL'!$C$6:$O$528,2,FALSE)</f>
        <v>0</v>
      </c>
      <c r="E255" s="1289">
        <f>VLOOKUP($A255,'Accounts by GL'!$C$6:$O$528,3,FALSE)</f>
        <v>0</v>
      </c>
      <c r="F255" s="1289">
        <f>VLOOKUP($A255,'Accounts by GL'!$C$6:$O$528,4,FALSE)</f>
        <v>0</v>
      </c>
      <c r="G255" s="1289">
        <f>VLOOKUP($A255,'Accounts by GL'!$C$6:$O$528,5,FALSE)</f>
        <v>0</v>
      </c>
      <c r="H255" s="1289">
        <f>VLOOKUP($A255,'Accounts by GL'!$C$6:$O$528,6,FALSE)</f>
        <v>0</v>
      </c>
      <c r="I255" s="1289">
        <f>VLOOKUP($A255,'Accounts by GL'!$C$6:$O$528,7,FALSE)</f>
        <v>0</v>
      </c>
      <c r="J255" s="1289">
        <f>VLOOKUP($A255,'Accounts by GL'!$C$6:$O$528,8,FALSE)</f>
        <v>0</v>
      </c>
      <c r="K255" s="1289">
        <f>VLOOKUP($A255,'Accounts by GL'!$C$6:$O$528,9,FALSE)</f>
        <v>0</v>
      </c>
      <c r="L255" s="1289">
        <f>VLOOKUP($A255,'Accounts by GL'!$C$6:$O$528,10,FALSE)</f>
        <v>0</v>
      </c>
      <c r="M255" s="1289">
        <f>VLOOKUP($A255,'Accounts by GL'!$C$6:$O$528,12,FALSE)</f>
        <v>0</v>
      </c>
    </row>
    <row r="256" spans="1:13">
      <c r="A256" s="1293" t="s">
        <v>1738</v>
      </c>
      <c r="B256" s="1287" t="str">
        <f t="shared" si="3"/>
        <v>SAMPLE STATE COLLEGE</v>
      </c>
      <c r="C256" s="1294" t="s">
        <v>1738</v>
      </c>
      <c r="D256" s="1289">
        <f>VLOOKUP($A256,'Accounts by GL'!$C$6:$O$528,2,FALSE)</f>
        <v>0</v>
      </c>
      <c r="E256" s="1289">
        <f>VLOOKUP($A256,'Accounts by GL'!$C$6:$O$528,3,FALSE)</f>
        <v>0</v>
      </c>
      <c r="F256" s="1289">
        <f>VLOOKUP($A256,'Accounts by GL'!$C$6:$O$528,4,FALSE)</f>
        <v>0</v>
      </c>
      <c r="G256" s="1289">
        <f>VLOOKUP($A256,'Accounts by GL'!$C$6:$O$528,5,FALSE)</f>
        <v>0</v>
      </c>
      <c r="H256" s="1289">
        <f>VLOOKUP($A256,'Accounts by GL'!$C$6:$O$528,6,FALSE)</f>
        <v>0</v>
      </c>
      <c r="I256" s="1289">
        <f>VLOOKUP($A256,'Accounts by GL'!$C$6:$O$528,7,FALSE)</f>
        <v>0</v>
      </c>
      <c r="J256" s="1289">
        <f>VLOOKUP($A256,'Accounts by GL'!$C$6:$O$528,8,FALSE)</f>
        <v>0</v>
      </c>
      <c r="K256" s="1289">
        <f>VLOOKUP($A256,'Accounts by GL'!$C$6:$O$528,9,FALSE)</f>
        <v>0</v>
      </c>
      <c r="L256" s="1289">
        <f>VLOOKUP($A256,'Accounts by GL'!$C$6:$O$528,10,FALSE)</f>
        <v>0</v>
      </c>
      <c r="M256" s="1289">
        <f>VLOOKUP($A256,'Accounts by GL'!$C$6:$O$528,12,FALSE)</f>
        <v>0</v>
      </c>
    </row>
    <row r="257" spans="1:13">
      <c r="A257" s="1293" t="s">
        <v>1741</v>
      </c>
      <c r="B257" s="1287" t="str">
        <f t="shared" si="3"/>
        <v>SAMPLE STATE COLLEGE</v>
      </c>
      <c r="C257" s="1294" t="s">
        <v>1741</v>
      </c>
      <c r="D257" s="1289">
        <f>VLOOKUP($A257,'Accounts by GL'!$C$6:$O$528,2,FALSE)</f>
        <v>0</v>
      </c>
      <c r="E257" s="1289">
        <f>VLOOKUP($A257,'Accounts by GL'!$C$6:$O$528,3,FALSE)</f>
        <v>0</v>
      </c>
      <c r="F257" s="1289">
        <f>VLOOKUP($A257,'Accounts by GL'!$C$6:$O$528,4,FALSE)</f>
        <v>0</v>
      </c>
      <c r="G257" s="1289">
        <f>VLOOKUP($A257,'Accounts by GL'!$C$6:$O$528,5,FALSE)</f>
        <v>0</v>
      </c>
      <c r="H257" s="1289">
        <f>VLOOKUP($A257,'Accounts by GL'!$C$6:$O$528,6,FALSE)</f>
        <v>0</v>
      </c>
      <c r="I257" s="1289">
        <f>VLOOKUP($A257,'Accounts by GL'!$C$6:$O$528,7,FALSE)</f>
        <v>0</v>
      </c>
      <c r="J257" s="1289">
        <f>VLOOKUP($A257,'Accounts by GL'!$C$6:$O$528,8,FALSE)</f>
        <v>0</v>
      </c>
      <c r="K257" s="1289">
        <f>VLOOKUP($A257,'Accounts by GL'!$C$6:$O$528,9,FALSE)</f>
        <v>0</v>
      </c>
      <c r="L257" s="1289">
        <f>VLOOKUP($A257,'Accounts by GL'!$C$6:$O$528,10,FALSE)</f>
        <v>0</v>
      </c>
      <c r="M257" s="1289">
        <f>VLOOKUP($A257,'Accounts by GL'!$C$6:$O$528,12,FALSE)</f>
        <v>0</v>
      </c>
    </row>
    <row r="258" spans="1:13">
      <c r="A258" s="1293" t="s">
        <v>1744</v>
      </c>
      <c r="B258" s="1287" t="str">
        <f t="shared" si="3"/>
        <v>SAMPLE STATE COLLEGE</v>
      </c>
      <c r="C258" s="1294" t="s">
        <v>1744</v>
      </c>
      <c r="D258" s="1289">
        <f>VLOOKUP($A258,'Accounts by GL'!$C$6:$O$528,2,FALSE)</f>
        <v>0</v>
      </c>
      <c r="E258" s="1289">
        <f>VLOOKUP($A258,'Accounts by GL'!$C$6:$O$528,3,FALSE)</f>
        <v>0</v>
      </c>
      <c r="F258" s="1289">
        <f>VLOOKUP($A258,'Accounts by GL'!$C$6:$O$528,4,FALSE)</f>
        <v>0</v>
      </c>
      <c r="G258" s="1289">
        <f>VLOOKUP($A258,'Accounts by GL'!$C$6:$O$528,5,FALSE)</f>
        <v>0</v>
      </c>
      <c r="H258" s="1289">
        <f>VLOOKUP($A258,'Accounts by GL'!$C$6:$O$528,6,FALSE)</f>
        <v>0</v>
      </c>
      <c r="I258" s="1289">
        <f>VLOOKUP($A258,'Accounts by GL'!$C$6:$O$528,7,FALSE)</f>
        <v>0</v>
      </c>
      <c r="J258" s="1289">
        <f>VLOOKUP($A258,'Accounts by GL'!$C$6:$O$528,8,FALSE)</f>
        <v>0</v>
      </c>
      <c r="K258" s="1289">
        <f>VLOOKUP($A258,'Accounts by GL'!$C$6:$O$528,9,FALSE)</f>
        <v>0</v>
      </c>
      <c r="L258" s="1289">
        <f>VLOOKUP($A258,'Accounts by GL'!$C$6:$O$528,10,FALSE)</f>
        <v>0</v>
      </c>
      <c r="M258" s="1289">
        <f>VLOOKUP($A258,'Accounts by GL'!$C$6:$O$528,12,FALSE)</f>
        <v>0</v>
      </c>
    </row>
    <row r="259" spans="1:13">
      <c r="A259" s="1293" t="s">
        <v>1747</v>
      </c>
      <c r="B259" s="1287" t="str">
        <f t="shared" si="3"/>
        <v>SAMPLE STATE COLLEGE</v>
      </c>
      <c r="C259" s="1294" t="s">
        <v>1747</v>
      </c>
      <c r="D259" s="1289">
        <f>VLOOKUP($A259,'Accounts by GL'!$C$6:$O$528,2,FALSE)</f>
        <v>0</v>
      </c>
      <c r="E259" s="1289">
        <f>VLOOKUP($A259,'Accounts by GL'!$C$6:$O$528,3,FALSE)</f>
        <v>0</v>
      </c>
      <c r="F259" s="1289">
        <f>VLOOKUP($A259,'Accounts by GL'!$C$6:$O$528,4,FALSE)</f>
        <v>0</v>
      </c>
      <c r="G259" s="1289">
        <f>VLOOKUP($A259,'Accounts by GL'!$C$6:$O$528,5,FALSE)</f>
        <v>0</v>
      </c>
      <c r="H259" s="1289">
        <f>VLOOKUP($A259,'Accounts by GL'!$C$6:$O$528,6,FALSE)</f>
        <v>0</v>
      </c>
      <c r="I259" s="1289">
        <f>VLOOKUP($A259,'Accounts by GL'!$C$6:$O$528,7,FALSE)</f>
        <v>0</v>
      </c>
      <c r="J259" s="1289">
        <f>VLOOKUP($A259,'Accounts by GL'!$C$6:$O$528,8,FALSE)</f>
        <v>0</v>
      </c>
      <c r="K259" s="1289">
        <f>VLOOKUP($A259,'Accounts by GL'!$C$6:$O$528,9,FALSE)</f>
        <v>0</v>
      </c>
      <c r="L259" s="1289">
        <f>VLOOKUP($A259,'Accounts by GL'!$C$6:$O$528,10,FALSE)</f>
        <v>0</v>
      </c>
      <c r="M259" s="1289">
        <f>VLOOKUP($A259,'Accounts by GL'!$C$6:$O$528,12,FALSE)</f>
        <v>0</v>
      </c>
    </row>
    <row r="260" spans="1:13">
      <c r="A260" s="1293" t="s">
        <v>1752</v>
      </c>
      <c r="B260" s="1287" t="str">
        <f t="shared" si="3"/>
        <v>SAMPLE STATE COLLEGE</v>
      </c>
      <c r="C260" s="1294" t="s">
        <v>1752</v>
      </c>
      <c r="D260" s="1289">
        <f>VLOOKUP($A260,'Accounts by GL'!$C$6:$O$528,2,FALSE)</f>
        <v>0</v>
      </c>
      <c r="E260" s="1289">
        <f>VLOOKUP($A260,'Accounts by GL'!$C$6:$O$528,3,FALSE)</f>
        <v>0</v>
      </c>
      <c r="F260" s="1289">
        <f>VLOOKUP($A260,'Accounts by GL'!$C$6:$O$528,4,FALSE)</f>
        <v>0</v>
      </c>
      <c r="G260" s="1289">
        <f>VLOOKUP($A260,'Accounts by GL'!$C$6:$O$528,5,FALSE)</f>
        <v>0</v>
      </c>
      <c r="H260" s="1289">
        <f>VLOOKUP($A260,'Accounts by GL'!$C$6:$O$528,6,FALSE)</f>
        <v>0</v>
      </c>
      <c r="I260" s="1289">
        <f>VLOOKUP($A260,'Accounts by GL'!$C$6:$O$528,7,FALSE)</f>
        <v>0</v>
      </c>
      <c r="J260" s="1289">
        <f>VLOOKUP($A260,'Accounts by GL'!$C$6:$O$528,8,FALSE)</f>
        <v>0</v>
      </c>
      <c r="K260" s="1289">
        <f>VLOOKUP($A260,'Accounts by GL'!$C$6:$O$528,9,FALSE)</f>
        <v>0</v>
      </c>
      <c r="L260" s="1289">
        <f>VLOOKUP($A260,'Accounts by GL'!$C$6:$O$528,10,FALSE)</f>
        <v>0</v>
      </c>
      <c r="M260" s="1289">
        <f>VLOOKUP($A260,'Accounts by GL'!$C$6:$O$528,12,FALSE)</f>
        <v>0</v>
      </c>
    </row>
    <row r="261" spans="1:13">
      <c r="A261" s="1293" t="s">
        <v>1755</v>
      </c>
      <c r="B261" s="1287" t="str">
        <f t="shared" si="3"/>
        <v>SAMPLE STATE COLLEGE</v>
      </c>
      <c r="C261" s="1294" t="s">
        <v>1755</v>
      </c>
      <c r="D261" s="1289">
        <f>VLOOKUP($A261,'Accounts by GL'!$C$6:$O$528,2,FALSE)</f>
        <v>0</v>
      </c>
      <c r="E261" s="1289">
        <f>VLOOKUP($A261,'Accounts by GL'!$C$6:$O$528,3,FALSE)</f>
        <v>0</v>
      </c>
      <c r="F261" s="1289">
        <f>VLOOKUP($A261,'Accounts by GL'!$C$6:$O$528,4,FALSE)</f>
        <v>0</v>
      </c>
      <c r="G261" s="1289">
        <f>VLOOKUP($A261,'Accounts by GL'!$C$6:$O$528,5,FALSE)</f>
        <v>0</v>
      </c>
      <c r="H261" s="1289">
        <f>VLOOKUP($A261,'Accounts by GL'!$C$6:$O$528,6,FALSE)</f>
        <v>0</v>
      </c>
      <c r="I261" s="1289">
        <f>VLOOKUP($A261,'Accounts by GL'!$C$6:$O$528,7,FALSE)</f>
        <v>0</v>
      </c>
      <c r="J261" s="1289">
        <f>VLOOKUP($A261,'Accounts by GL'!$C$6:$O$528,8,FALSE)</f>
        <v>0</v>
      </c>
      <c r="K261" s="1289">
        <f>VLOOKUP($A261,'Accounts by GL'!$C$6:$O$528,9,FALSE)</f>
        <v>0</v>
      </c>
      <c r="L261" s="1289">
        <f>VLOOKUP($A261,'Accounts by GL'!$C$6:$O$528,10,FALSE)</f>
        <v>0</v>
      </c>
      <c r="M261" s="1289">
        <f>VLOOKUP($A261,'Accounts by GL'!$C$6:$O$528,12,FALSE)</f>
        <v>0</v>
      </c>
    </row>
    <row r="262" spans="1:13">
      <c r="A262" s="1293" t="s">
        <v>1757</v>
      </c>
      <c r="B262" s="1287" t="str">
        <f t="shared" si="3"/>
        <v>SAMPLE STATE COLLEGE</v>
      </c>
      <c r="C262" s="1294" t="s">
        <v>1757</v>
      </c>
      <c r="D262" s="1289">
        <f>VLOOKUP($A262,'Accounts by GL'!$C$6:$O$528,2,FALSE)</f>
        <v>0</v>
      </c>
      <c r="E262" s="1289">
        <f>VLOOKUP($A262,'Accounts by GL'!$C$6:$O$528,3,FALSE)</f>
        <v>0</v>
      </c>
      <c r="F262" s="1289">
        <f>VLOOKUP($A262,'Accounts by GL'!$C$6:$O$528,4,FALSE)</f>
        <v>0</v>
      </c>
      <c r="G262" s="1289">
        <f>VLOOKUP($A262,'Accounts by GL'!$C$6:$O$528,5,FALSE)</f>
        <v>0</v>
      </c>
      <c r="H262" s="1289">
        <f>VLOOKUP($A262,'Accounts by GL'!$C$6:$O$528,6,FALSE)</f>
        <v>0</v>
      </c>
      <c r="I262" s="1289">
        <f>VLOOKUP($A262,'Accounts by GL'!$C$6:$O$528,7,FALSE)</f>
        <v>0</v>
      </c>
      <c r="J262" s="1289">
        <f>VLOOKUP($A262,'Accounts by GL'!$C$6:$O$528,8,FALSE)</f>
        <v>0</v>
      </c>
      <c r="K262" s="1289">
        <f>VLOOKUP($A262,'Accounts by GL'!$C$6:$O$528,9,FALSE)</f>
        <v>0</v>
      </c>
      <c r="L262" s="1289">
        <f>VLOOKUP($A262,'Accounts by GL'!$C$6:$O$528,10,FALSE)</f>
        <v>0</v>
      </c>
      <c r="M262" s="1289">
        <f>VLOOKUP($A262,'Accounts by GL'!$C$6:$O$528,12,FALSE)</f>
        <v>0</v>
      </c>
    </row>
    <row r="263" spans="1:13">
      <c r="A263" s="1293" t="s">
        <v>1760</v>
      </c>
      <c r="B263" s="1287" t="str">
        <f t="shared" si="3"/>
        <v>SAMPLE STATE COLLEGE</v>
      </c>
      <c r="C263" s="1294" t="s">
        <v>1760</v>
      </c>
      <c r="D263" s="1289">
        <f>VLOOKUP($A263,'Accounts by GL'!$C$6:$O$528,2,FALSE)</f>
        <v>0</v>
      </c>
      <c r="E263" s="1289">
        <f>VLOOKUP($A263,'Accounts by GL'!$C$6:$O$528,3,FALSE)</f>
        <v>0</v>
      </c>
      <c r="F263" s="1289">
        <f>VLOOKUP($A263,'Accounts by GL'!$C$6:$O$528,4,FALSE)</f>
        <v>0</v>
      </c>
      <c r="G263" s="1289">
        <f>VLOOKUP($A263,'Accounts by GL'!$C$6:$O$528,5,FALSE)</f>
        <v>0</v>
      </c>
      <c r="H263" s="1289">
        <f>VLOOKUP($A263,'Accounts by GL'!$C$6:$O$528,6,FALSE)</f>
        <v>0</v>
      </c>
      <c r="I263" s="1289">
        <f>VLOOKUP($A263,'Accounts by GL'!$C$6:$O$528,7,FALSE)</f>
        <v>0</v>
      </c>
      <c r="J263" s="1289">
        <f>VLOOKUP($A263,'Accounts by GL'!$C$6:$O$528,8,FALSE)</f>
        <v>0</v>
      </c>
      <c r="K263" s="1289">
        <f>VLOOKUP($A263,'Accounts by GL'!$C$6:$O$528,9,FALSE)</f>
        <v>0</v>
      </c>
      <c r="L263" s="1289">
        <f>VLOOKUP($A263,'Accounts by GL'!$C$6:$O$528,10,FALSE)</f>
        <v>0</v>
      </c>
      <c r="M263" s="1289">
        <f>VLOOKUP($A263,'Accounts by GL'!$C$6:$O$528,12,FALSE)</f>
        <v>0</v>
      </c>
    </row>
    <row r="264" spans="1:13">
      <c r="A264" s="1293" t="s">
        <v>1763</v>
      </c>
      <c r="B264" s="1287" t="str">
        <f t="shared" si="3"/>
        <v>SAMPLE STATE COLLEGE</v>
      </c>
      <c r="C264" s="1294" t="s">
        <v>1763</v>
      </c>
      <c r="D264" s="1289">
        <f>VLOOKUP($A264,'Accounts by GL'!$C$6:$O$528,2,FALSE)</f>
        <v>0</v>
      </c>
      <c r="E264" s="1289">
        <f>VLOOKUP($A264,'Accounts by GL'!$C$6:$O$528,3,FALSE)</f>
        <v>0</v>
      </c>
      <c r="F264" s="1289">
        <f>VLOOKUP($A264,'Accounts by GL'!$C$6:$O$528,4,FALSE)</f>
        <v>0</v>
      </c>
      <c r="G264" s="1289">
        <f>VLOOKUP($A264,'Accounts by GL'!$C$6:$O$528,5,FALSE)</f>
        <v>0</v>
      </c>
      <c r="H264" s="1289">
        <f>VLOOKUP($A264,'Accounts by GL'!$C$6:$O$528,6,FALSE)</f>
        <v>0</v>
      </c>
      <c r="I264" s="1289">
        <f>VLOOKUP($A264,'Accounts by GL'!$C$6:$O$528,7,FALSE)</f>
        <v>0</v>
      </c>
      <c r="J264" s="1289">
        <f>VLOOKUP($A264,'Accounts by GL'!$C$6:$O$528,8,FALSE)</f>
        <v>0</v>
      </c>
      <c r="K264" s="1289">
        <f>VLOOKUP($A264,'Accounts by GL'!$C$6:$O$528,9,FALSE)</f>
        <v>0</v>
      </c>
      <c r="L264" s="1289">
        <f>VLOOKUP($A264,'Accounts by GL'!$C$6:$O$528,10,FALSE)</f>
        <v>0</v>
      </c>
      <c r="M264" s="1289">
        <f>VLOOKUP($A264,'Accounts by GL'!$C$6:$O$528,12,FALSE)</f>
        <v>0</v>
      </c>
    </row>
    <row r="265" spans="1:13">
      <c r="A265" s="1293" t="s">
        <v>1766</v>
      </c>
      <c r="B265" s="1287" t="str">
        <f t="shared" si="3"/>
        <v>SAMPLE STATE COLLEGE</v>
      </c>
      <c r="C265" s="1294" t="s">
        <v>1766</v>
      </c>
      <c r="D265" s="1289">
        <f>VLOOKUP($A265,'Accounts by GL'!$C$6:$O$528,2,FALSE)</f>
        <v>0</v>
      </c>
      <c r="E265" s="1289">
        <f>VLOOKUP($A265,'Accounts by GL'!$C$6:$O$528,3,FALSE)</f>
        <v>0</v>
      </c>
      <c r="F265" s="1289">
        <f>VLOOKUP($A265,'Accounts by GL'!$C$6:$O$528,4,FALSE)</f>
        <v>0</v>
      </c>
      <c r="G265" s="1289">
        <f>VLOOKUP($A265,'Accounts by GL'!$C$6:$O$528,5,FALSE)</f>
        <v>0</v>
      </c>
      <c r="H265" s="1289">
        <f>VLOOKUP($A265,'Accounts by GL'!$C$6:$O$528,6,FALSE)</f>
        <v>0</v>
      </c>
      <c r="I265" s="1289">
        <f>VLOOKUP($A265,'Accounts by GL'!$C$6:$O$528,7,FALSE)</f>
        <v>0</v>
      </c>
      <c r="J265" s="1289">
        <f>VLOOKUP($A265,'Accounts by GL'!$C$6:$O$528,8,FALSE)</f>
        <v>0</v>
      </c>
      <c r="K265" s="1289">
        <f>VLOOKUP($A265,'Accounts by GL'!$C$6:$O$528,9,FALSE)</f>
        <v>0</v>
      </c>
      <c r="L265" s="1289">
        <f>VLOOKUP($A265,'Accounts by GL'!$C$6:$O$528,10,FALSE)</f>
        <v>0</v>
      </c>
      <c r="M265" s="1289">
        <f>VLOOKUP($A265,'Accounts by GL'!$C$6:$O$528,12,FALSE)</f>
        <v>0</v>
      </c>
    </row>
    <row r="266" spans="1:13">
      <c r="A266" s="1293" t="s">
        <v>1772</v>
      </c>
      <c r="B266" s="1287" t="str">
        <f t="shared" si="3"/>
        <v>SAMPLE STATE COLLEGE</v>
      </c>
      <c r="C266" s="1294" t="s">
        <v>1772</v>
      </c>
      <c r="D266" s="1289">
        <f>VLOOKUP($A266,'Accounts by GL'!$C$6:$O$528,2,FALSE)</f>
        <v>0</v>
      </c>
      <c r="E266" s="1289">
        <f>VLOOKUP($A266,'Accounts by GL'!$C$6:$O$528,3,FALSE)</f>
        <v>0</v>
      </c>
      <c r="F266" s="1289">
        <f>VLOOKUP($A266,'Accounts by GL'!$C$6:$O$528,4,FALSE)</f>
        <v>0</v>
      </c>
      <c r="G266" s="1289">
        <f>VLOOKUP($A266,'Accounts by GL'!$C$6:$O$528,5,FALSE)</f>
        <v>0</v>
      </c>
      <c r="H266" s="1289">
        <f>VLOOKUP($A266,'Accounts by GL'!$C$6:$O$528,6,FALSE)</f>
        <v>0</v>
      </c>
      <c r="I266" s="1289">
        <f>VLOOKUP($A266,'Accounts by GL'!$C$6:$O$528,7,FALSE)</f>
        <v>0</v>
      </c>
      <c r="J266" s="1289">
        <f>VLOOKUP($A266,'Accounts by GL'!$C$6:$O$528,8,FALSE)</f>
        <v>0</v>
      </c>
      <c r="K266" s="1289">
        <f>VLOOKUP($A266,'Accounts by GL'!$C$6:$O$528,9,FALSE)</f>
        <v>0</v>
      </c>
      <c r="L266" s="1289">
        <f>VLOOKUP($A266,'Accounts by GL'!$C$6:$O$528,10,FALSE)</f>
        <v>0</v>
      </c>
      <c r="M266" s="1289">
        <f>VLOOKUP($A266,'Accounts by GL'!$C$6:$O$528,12,FALSE)</f>
        <v>0</v>
      </c>
    </row>
    <row r="267" spans="1:13">
      <c r="A267" s="1293" t="s">
        <v>1776</v>
      </c>
      <c r="B267" s="1287" t="str">
        <f t="shared" si="3"/>
        <v>SAMPLE STATE COLLEGE</v>
      </c>
      <c r="C267" s="1294" t="s">
        <v>1776</v>
      </c>
      <c r="D267" s="1289">
        <f>VLOOKUP($A267,'Accounts by GL'!$C$6:$O$528,2,FALSE)</f>
        <v>0</v>
      </c>
      <c r="E267" s="1289">
        <f>VLOOKUP($A267,'Accounts by GL'!$C$6:$O$528,3,FALSE)</f>
        <v>0</v>
      </c>
      <c r="F267" s="1289">
        <f>VLOOKUP($A267,'Accounts by GL'!$C$6:$O$528,4,FALSE)</f>
        <v>0</v>
      </c>
      <c r="G267" s="1289">
        <f>VLOOKUP($A267,'Accounts by GL'!$C$6:$O$528,5,FALSE)</f>
        <v>0</v>
      </c>
      <c r="H267" s="1289">
        <f>VLOOKUP($A267,'Accounts by GL'!$C$6:$O$528,6,FALSE)</f>
        <v>0</v>
      </c>
      <c r="I267" s="1289">
        <f>VLOOKUP($A267,'Accounts by GL'!$C$6:$O$528,7,FALSE)</f>
        <v>0</v>
      </c>
      <c r="J267" s="1289">
        <f>VLOOKUP($A267,'Accounts by GL'!$C$6:$O$528,8,FALSE)</f>
        <v>0</v>
      </c>
      <c r="K267" s="1289">
        <f>VLOOKUP($A267,'Accounts by GL'!$C$6:$O$528,9,FALSE)</f>
        <v>0</v>
      </c>
      <c r="L267" s="1289">
        <f>VLOOKUP($A267,'Accounts by GL'!$C$6:$O$528,10,FALSE)</f>
        <v>0</v>
      </c>
      <c r="M267" s="1289">
        <f>VLOOKUP($A267,'Accounts by GL'!$C$6:$O$528,12,FALSE)</f>
        <v>0</v>
      </c>
    </row>
    <row r="268" spans="1:13">
      <c r="A268" s="1293" t="s">
        <v>1779</v>
      </c>
      <c r="B268" s="1287" t="str">
        <f t="shared" si="3"/>
        <v>SAMPLE STATE COLLEGE</v>
      </c>
      <c r="C268" s="1294" t="s">
        <v>1779</v>
      </c>
      <c r="D268" s="1289">
        <f>VLOOKUP($A268,'Accounts by GL'!$C$6:$O$528,2,FALSE)</f>
        <v>0</v>
      </c>
      <c r="E268" s="1289">
        <f>VLOOKUP($A268,'Accounts by GL'!$C$6:$O$528,3,FALSE)</f>
        <v>0</v>
      </c>
      <c r="F268" s="1289">
        <f>VLOOKUP($A268,'Accounts by GL'!$C$6:$O$528,4,FALSE)</f>
        <v>0</v>
      </c>
      <c r="G268" s="1289">
        <f>VLOOKUP($A268,'Accounts by GL'!$C$6:$O$528,5,FALSE)</f>
        <v>0</v>
      </c>
      <c r="H268" s="1289">
        <f>VLOOKUP($A268,'Accounts by GL'!$C$6:$O$528,6,FALSE)</f>
        <v>0</v>
      </c>
      <c r="I268" s="1289">
        <f>VLOOKUP($A268,'Accounts by GL'!$C$6:$O$528,7,FALSE)</f>
        <v>0</v>
      </c>
      <c r="J268" s="1289">
        <f>VLOOKUP($A268,'Accounts by GL'!$C$6:$O$528,8,FALSE)</f>
        <v>0</v>
      </c>
      <c r="K268" s="1289">
        <f>VLOOKUP($A268,'Accounts by GL'!$C$6:$O$528,9,FALSE)</f>
        <v>0</v>
      </c>
      <c r="L268" s="1289">
        <f>VLOOKUP($A268,'Accounts by GL'!$C$6:$O$528,10,FALSE)</f>
        <v>0</v>
      </c>
      <c r="M268" s="1289">
        <f>VLOOKUP($A268,'Accounts by GL'!$C$6:$O$528,12,FALSE)</f>
        <v>0</v>
      </c>
    </row>
    <row r="269" spans="1:13">
      <c r="A269" s="1293" t="s">
        <v>1782</v>
      </c>
      <c r="B269" s="1287" t="str">
        <f t="shared" si="3"/>
        <v>SAMPLE STATE COLLEGE</v>
      </c>
      <c r="C269" s="1294" t="s">
        <v>1782</v>
      </c>
      <c r="D269" s="1289">
        <f>VLOOKUP($A269,'Accounts by GL'!$C$6:$O$528,2,FALSE)</f>
        <v>0</v>
      </c>
      <c r="E269" s="1289">
        <f>VLOOKUP($A269,'Accounts by GL'!$C$6:$O$528,3,FALSE)</f>
        <v>0</v>
      </c>
      <c r="F269" s="1289">
        <f>VLOOKUP($A269,'Accounts by GL'!$C$6:$O$528,4,FALSE)</f>
        <v>0</v>
      </c>
      <c r="G269" s="1289">
        <f>VLOOKUP($A269,'Accounts by GL'!$C$6:$O$528,5,FALSE)</f>
        <v>0</v>
      </c>
      <c r="H269" s="1289">
        <f>VLOOKUP($A269,'Accounts by GL'!$C$6:$O$528,6,FALSE)</f>
        <v>0</v>
      </c>
      <c r="I269" s="1289">
        <f>VLOOKUP($A269,'Accounts by GL'!$C$6:$O$528,7,FALSE)</f>
        <v>0</v>
      </c>
      <c r="J269" s="1289">
        <f>VLOOKUP($A269,'Accounts by GL'!$C$6:$O$528,8,FALSE)</f>
        <v>0</v>
      </c>
      <c r="K269" s="1289">
        <f>VLOOKUP($A269,'Accounts by GL'!$C$6:$O$528,9,FALSE)</f>
        <v>0</v>
      </c>
      <c r="L269" s="1289">
        <f>VLOOKUP($A269,'Accounts by GL'!$C$6:$O$528,10,FALSE)</f>
        <v>0</v>
      </c>
      <c r="M269" s="1289">
        <f>VLOOKUP($A269,'Accounts by GL'!$C$6:$O$528,12,FALSE)</f>
        <v>0</v>
      </c>
    </row>
    <row r="270" spans="1:13">
      <c r="A270" s="1293" t="s">
        <v>1784</v>
      </c>
      <c r="B270" s="1287" t="str">
        <f t="shared" si="3"/>
        <v>SAMPLE STATE COLLEGE</v>
      </c>
      <c r="C270" s="1294" t="s">
        <v>1784</v>
      </c>
      <c r="D270" s="1289">
        <f>VLOOKUP($A270,'Accounts by GL'!$C$6:$O$528,2,FALSE)</f>
        <v>0</v>
      </c>
      <c r="E270" s="1289">
        <f>VLOOKUP($A270,'Accounts by GL'!$C$6:$O$528,3,FALSE)</f>
        <v>0</v>
      </c>
      <c r="F270" s="1289">
        <f>VLOOKUP($A270,'Accounts by GL'!$C$6:$O$528,4,FALSE)</f>
        <v>0</v>
      </c>
      <c r="G270" s="1289">
        <f>VLOOKUP($A270,'Accounts by GL'!$C$6:$O$528,5,FALSE)</f>
        <v>0</v>
      </c>
      <c r="H270" s="1289">
        <f>VLOOKUP($A270,'Accounts by GL'!$C$6:$O$528,6,FALSE)</f>
        <v>0</v>
      </c>
      <c r="I270" s="1289">
        <f>VLOOKUP($A270,'Accounts by GL'!$C$6:$O$528,7,FALSE)</f>
        <v>0</v>
      </c>
      <c r="J270" s="1289">
        <f>VLOOKUP($A270,'Accounts by GL'!$C$6:$O$528,8,FALSE)</f>
        <v>0</v>
      </c>
      <c r="K270" s="1289">
        <f>VLOOKUP($A270,'Accounts by GL'!$C$6:$O$528,9,FALSE)</f>
        <v>0</v>
      </c>
      <c r="L270" s="1289">
        <f>VLOOKUP($A270,'Accounts by GL'!$C$6:$O$528,10,FALSE)</f>
        <v>0</v>
      </c>
      <c r="M270" s="1289">
        <f>VLOOKUP($A270,'Accounts by GL'!$C$6:$O$528,12,FALSE)</f>
        <v>0</v>
      </c>
    </row>
    <row r="271" spans="1:13">
      <c r="A271" s="1293" t="s">
        <v>1786</v>
      </c>
      <c r="B271" s="1287" t="str">
        <f t="shared" si="3"/>
        <v>SAMPLE STATE COLLEGE</v>
      </c>
      <c r="C271" s="1294" t="s">
        <v>1786</v>
      </c>
      <c r="D271" s="1289">
        <f>VLOOKUP($A271,'Accounts by GL'!$C$6:$O$528,2,FALSE)</f>
        <v>0</v>
      </c>
      <c r="E271" s="1289">
        <f>VLOOKUP($A271,'Accounts by GL'!$C$6:$O$528,3,FALSE)</f>
        <v>0</v>
      </c>
      <c r="F271" s="1289">
        <f>VLOOKUP($A271,'Accounts by GL'!$C$6:$O$528,4,FALSE)</f>
        <v>0</v>
      </c>
      <c r="G271" s="1289">
        <f>VLOOKUP($A271,'Accounts by GL'!$C$6:$O$528,5,FALSE)</f>
        <v>0</v>
      </c>
      <c r="H271" s="1289">
        <f>VLOOKUP($A271,'Accounts by GL'!$C$6:$O$528,6,FALSE)</f>
        <v>0</v>
      </c>
      <c r="I271" s="1289">
        <f>VLOOKUP($A271,'Accounts by GL'!$C$6:$O$528,7,FALSE)</f>
        <v>0</v>
      </c>
      <c r="J271" s="1289">
        <f>VLOOKUP($A271,'Accounts by GL'!$C$6:$O$528,8,FALSE)</f>
        <v>0</v>
      </c>
      <c r="K271" s="1289">
        <f>VLOOKUP($A271,'Accounts by GL'!$C$6:$O$528,9,FALSE)</f>
        <v>0</v>
      </c>
      <c r="L271" s="1289">
        <f>VLOOKUP($A271,'Accounts by GL'!$C$6:$O$528,10,FALSE)</f>
        <v>0</v>
      </c>
      <c r="M271" s="1289">
        <f>VLOOKUP($A271,'Accounts by GL'!$C$6:$O$528,12,FALSE)</f>
        <v>0</v>
      </c>
    </row>
    <row r="272" spans="1:13">
      <c r="A272" s="1293" t="s">
        <v>1788</v>
      </c>
      <c r="B272" s="1287" t="str">
        <f t="shared" si="3"/>
        <v>SAMPLE STATE COLLEGE</v>
      </c>
      <c r="C272" s="1294" t="s">
        <v>1788</v>
      </c>
      <c r="D272" s="1289">
        <f>VLOOKUP($A272,'Accounts by GL'!$C$6:$O$528,2,FALSE)</f>
        <v>0</v>
      </c>
      <c r="E272" s="1289">
        <f>VLOOKUP($A272,'Accounts by GL'!$C$6:$O$528,3,FALSE)</f>
        <v>0</v>
      </c>
      <c r="F272" s="1289">
        <f>VLOOKUP($A272,'Accounts by GL'!$C$6:$O$528,4,FALSE)</f>
        <v>0</v>
      </c>
      <c r="G272" s="1289">
        <f>VLOOKUP($A272,'Accounts by GL'!$C$6:$O$528,5,FALSE)</f>
        <v>0</v>
      </c>
      <c r="H272" s="1289">
        <f>VLOOKUP($A272,'Accounts by GL'!$C$6:$O$528,6,FALSE)</f>
        <v>0</v>
      </c>
      <c r="I272" s="1289">
        <f>VLOOKUP($A272,'Accounts by GL'!$C$6:$O$528,7,FALSE)</f>
        <v>0</v>
      </c>
      <c r="J272" s="1289">
        <f>VLOOKUP($A272,'Accounts by GL'!$C$6:$O$528,8,FALSE)</f>
        <v>0</v>
      </c>
      <c r="K272" s="1289">
        <f>VLOOKUP($A272,'Accounts by GL'!$C$6:$O$528,9,FALSE)</f>
        <v>0</v>
      </c>
      <c r="L272" s="1289">
        <f>VLOOKUP($A272,'Accounts by GL'!$C$6:$O$528,10,FALSE)</f>
        <v>0</v>
      </c>
      <c r="M272" s="1289">
        <f>VLOOKUP($A272,'Accounts by GL'!$C$6:$O$528,12,FALSE)</f>
        <v>0</v>
      </c>
    </row>
    <row r="273" spans="1:13">
      <c r="A273" s="1293" t="s">
        <v>353</v>
      </c>
      <c r="B273" s="1287" t="str">
        <f t="shared" si="3"/>
        <v>SAMPLE STATE COLLEGE</v>
      </c>
      <c r="C273" s="1294" t="s">
        <v>353</v>
      </c>
      <c r="D273" s="1289">
        <f>VLOOKUP($A273,'Accounts by GL'!$C$6:$O$528,2,FALSE)</f>
        <v>0</v>
      </c>
      <c r="E273" s="1289">
        <f>VLOOKUP($A273,'Accounts by GL'!$C$6:$O$528,3,FALSE)</f>
        <v>0</v>
      </c>
      <c r="F273" s="1289">
        <f>VLOOKUP($A273,'Accounts by GL'!$C$6:$O$528,4,FALSE)</f>
        <v>0</v>
      </c>
      <c r="G273" s="1289">
        <f>VLOOKUP($A273,'Accounts by GL'!$C$6:$O$528,5,FALSE)</f>
        <v>0</v>
      </c>
      <c r="H273" s="1289">
        <f>VLOOKUP($A273,'Accounts by GL'!$C$6:$O$528,6,FALSE)</f>
        <v>0</v>
      </c>
      <c r="I273" s="1289">
        <f>VLOOKUP($A273,'Accounts by GL'!$C$6:$O$528,7,FALSE)</f>
        <v>0</v>
      </c>
      <c r="J273" s="1289">
        <f>VLOOKUP($A273,'Accounts by GL'!$C$6:$O$528,8,FALSE)</f>
        <v>0</v>
      </c>
      <c r="K273" s="1289">
        <f>VLOOKUP($A273,'Accounts by GL'!$C$6:$O$528,9,FALSE)</f>
        <v>0</v>
      </c>
      <c r="L273" s="1289">
        <f>VLOOKUP($A273,'Accounts by GL'!$C$6:$O$528,10,FALSE)</f>
        <v>0</v>
      </c>
      <c r="M273" s="1289">
        <f>VLOOKUP($A273,'Accounts by GL'!$C$6:$O$528,12,FALSE)</f>
        <v>0</v>
      </c>
    </row>
    <row r="274" spans="1:13">
      <c r="A274" s="1293" t="s">
        <v>362</v>
      </c>
      <c r="B274" s="1287" t="str">
        <f t="shared" ref="B274:B338" si="4">$B$2</f>
        <v>SAMPLE STATE COLLEGE</v>
      </c>
      <c r="C274" s="1294" t="s">
        <v>362</v>
      </c>
      <c r="D274" s="1289">
        <f>VLOOKUP($A274,'Accounts by GL'!$C$6:$O$528,2,FALSE)</f>
        <v>0</v>
      </c>
      <c r="E274" s="1289">
        <f>VLOOKUP($A274,'Accounts by GL'!$C$6:$O$528,3,FALSE)</f>
        <v>0</v>
      </c>
      <c r="F274" s="1289">
        <f>VLOOKUP($A274,'Accounts by GL'!$C$6:$O$528,4,FALSE)</f>
        <v>0</v>
      </c>
      <c r="G274" s="1289">
        <f>VLOOKUP($A274,'Accounts by GL'!$C$6:$O$528,5,FALSE)</f>
        <v>0</v>
      </c>
      <c r="H274" s="1289">
        <f>VLOOKUP($A274,'Accounts by GL'!$C$6:$O$528,6,FALSE)</f>
        <v>0</v>
      </c>
      <c r="I274" s="1289">
        <f>VLOOKUP($A274,'Accounts by GL'!$C$6:$O$528,7,FALSE)</f>
        <v>0</v>
      </c>
      <c r="J274" s="1289">
        <f>VLOOKUP($A274,'Accounts by GL'!$C$6:$O$528,8,FALSE)</f>
        <v>0</v>
      </c>
      <c r="K274" s="1289">
        <f>VLOOKUP($A274,'Accounts by GL'!$C$6:$O$528,9,FALSE)</f>
        <v>0</v>
      </c>
      <c r="L274" s="1289">
        <f>VLOOKUP($A274,'Accounts by GL'!$C$6:$O$528,10,FALSE)</f>
        <v>0</v>
      </c>
      <c r="M274" s="1289">
        <f>VLOOKUP($A274,'Accounts by GL'!$C$6:$O$528,12,FALSE)</f>
        <v>0</v>
      </c>
    </row>
    <row r="275" spans="1:13">
      <c r="A275" s="1293" t="s">
        <v>360</v>
      </c>
      <c r="B275" s="1287" t="str">
        <f t="shared" si="4"/>
        <v>SAMPLE STATE COLLEGE</v>
      </c>
      <c r="C275" s="1294" t="s">
        <v>360</v>
      </c>
      <c r="D275" s="1289">
        <f>VLOOKUP($A275,'Accounts by GL'!$C$6:$O$528,2,FALSE)</f>
        <v>0</v>
      </c>
      <c r="E275" s="1289">
        <f>VLOOKUP($A275,'Accounts by GL'!$C$6:$O$528,3,FALSE)</f>
        <v>0</v>
      </c>
      <c r="F275" s="1289">
        <f>VLOOKUP($A275,'Accounts by GL'!$C$6:$O$528,4,FALSE)</f>
        <v>0</v>
      </c>
      <c r="G275" s="1289">
        <f>VLOOKUP($A275,'Accounts by GL'!$C$6:$O$528,5,FALSE)</f>
        <v>0</v>
      </c>
      <c r="H275" s="1289">
        <f>VLOOKUP($A275,'Accounts by GL'!$C$6:$O$528,6,FALSE)</f>
        <v>0</v>
      </c>
      <c r="I275" s="1289">
        <f>VLOOKUP($A275,'Accounts by GL'!$C$6:$O$528,7,FALSE)</f>
        <v>0</v>
      </c>
      <c r="J275" s="1289">
        <f>VLOOKUP($A275,'Accounts by GL'!$C$6:$O$528,8,FALSE)</f>
        <v>0</v>
      </c>
      <c r="K275" s="1289">
        <f>VLOOKUP($A275,'Accounts by GL'!$C$6:$O$528,9,FALSE)</f>
        <v>0</v>
      </c>
      <c r="L275" s="1289">
        <f>VLOOKUP($A275,'Accounts by GL'!$C$6:$O$528,10,FALSE)</f>
        <v>0</v>
      </c>
      <c r="M275" s="1289">
        <f>VLOOKUP($A275,'Accounts by GL'!$C$6:$O$528,12,FALSE)</f>
        <v>0</v>
      </c>
    </row>
    <row r="276" spans="1:13">
      <c r="A276" s="1293" t="s">
        <v>312</v>
      </c>
      <c r="B276" s="1287" t="str">
        <f t="shared" si="4"/>
        <v>SAMPLE STATE COLLEGE</v>
      </c>
      <c r="C276" s="1294" t="s">
        <v>312</v>
      </c>
      <c r="D276" s="1289">
        <f>VLOOKUP($A276,'Accounts by GL'!$C$6:$O$528,2,FALSE)</f>
        <v>0</v>
      </c>
      <c r="E276" s="1289">
        <f>VLOOKUP($A276,'Accounts by GL'!$C$6:$O$528,3,FALSE)</f>
        <v>0</v>
      </c>
      <c r="F276" s="1289">
        <f>VLOOKUP($A276,'Accounts by GL'!$C$6:$O$528,4,FALSE)</f>
        <v>0</v>
      </c>
      <c r="G276" s="1289">
        <f>VLOOKUP($A276,'Accounts by GL'!$C$6:$O$528,5,FALSE)</f>
        <v>0</v>
      </c>
      <c r="H276" s="1289">
        <f>VLOOKUP($A276,'Accounts by GL'!$C$6:$O$528,6,FALSE)</f>
        <v>0</v>
      </c>
      <c r="I276" s="1289">
        <f>VLOOKUP($A276,'Accounts by GL'!$C$6:$O$528,7,FALSE)</f>
        <v>0</v>
      </c>
      <c r="J276" s="1289">
        <f>VLOOKUP($A276,'Accounts by GL'!$C$6:$O$528,8,FALSE)</f>
        <v>0</v>
      </c>
      <c r="K276" s="1289">
        <f>VLOOKUP($A276,'Accounts by GL'!$C$6:$O$528,9,FALSE)</f>
        <v>0</v>
      </c>
      <c r="L276" s="1289">
        <f>VLOOKUP($A276,'Accounts by GL'!$C$6:$O$528,10,FALSE)</f>
        <v>0</v>
      </c>
      <c r="M276" s="1289">
        <f>VLOOKUP($A276,'Accounts by GL'!$C$6:$O$528,12,FALSE)</f>
        <v>0</v>
      </c>
    </row>
    <row r="277" spans="1:13">
      <c r="A277" s="1293" t="s">
        <v>1804</v>
      </c>
      <c r="B277" s="1287" t="str">
        <f t="shared" si="4"/>
        <v>SAMPLE STATE COLLEGE</v>
      </c>
      <c r="C277" s="1294" t="s">
        <v>1804</v>
      </c>
      <c r="D277" s="1289">
        <f>VLOOKUP($A277,'Accounts by GL'!$C$6:$O$528,2,FALSE)</f>
        <v>0</v>
      </c>
      <c r="E277" s="1289">
        <f>VLOOKUP($A277,'Accounts by GL'!$C$6:$O$528,3,FALSE)</f>
        <v>0</v>
      </c>
      <c r="F277" s="1289">
        <f>VLOOKUP($A277,'Accounts by GL'!$C$6:$O$528,4,FALSE)</f>
        <v>0</v>
      </c>
      <c r="G277" s="1289">
        <f>VLOOKUP($A277,'Accounts by GL'!$C$6:$O$528,5,FALSE)</f>
        <v>0</v>
      </c>
      <c r="H277" s="1289">
        <f>VLOOKUP($A277,'Accounts by GL'!$C$6:$O$528,6,FALSE)</f>
        <v>0</v>
      </c>
      <c r="I277" s="1289">
        <f>VLOOKUP($A277,'Accounts by GL'!$C$6:$O$528,7,FALSE)</f>
        <v>0</v>
      </c>
      <c r="J277" s="1289">
        <f>VLOOKUP($A277,'Accounts by GL'!$C$6:$O$528,8,FALSE)</f>
        <v>0</v>
      </c>
      <c r="K277" s="1289">
        <f>VLOOKUP($A277,'Accounts by GL'!$C$6:$O$528,9,FALSE)</f>
        <v>0</v>
      </c>
      <c r="L277" s="1289">
        <f>VLOOKUP($A277,'Accounts by GL'!$C$6:$O$528,10,FALSE)</f>
        <v>0</v>
      </c>
      <c r="M277" s="1289">
        <f>VLOOKUP($A277,'Accounts by GL'!$C$6:$O$528,12,FALSE)</f>
        <v>0</v>
      </c>
    </row>
    <row r="278" spans="1:13">
      <c r="A278" s="1293" t="s">
        <v>1809</v>
      </c>
      <c r="B278" s="1287" t="str">
        <f t="shared" si="4"/>
        <v>SAMPLE STATE COLLEGE</v>
      </c>
      <c r="C278" s="1294" t="s">
        <v>1809</v>
      </c>
      <c r="D278" s="1289">
        <f>VLOOKUP($A278,'Accounts by GL'!$C$6:$O$528,2,FALSE)</f>
        <v>0</v>
      </c>
      <c r="E278" s="1289">
        <f>VLOOKUP($A278,'Accounts by GL'!$C$6:$O$528,3,FALSE)</f>
        <v>0</v>
      </c>
      <c r="F278" s="1289">
        <f>VLOOKUP($A278,'Accounts by GL'!$C$6:$O$528,4,FALSE)</f>
        <v>0</v>
      </c>
      <c r="G278" s="1289">
        <f>VLOOKUP($A278,'Accounts by GL'!$C$6:$O$528,5,FALSE)</f>
        <v>0</v>
      </c>
      <c r="H278" s="1289">
        <f>VLOOKUP($A278,'Accounts by GL'!$C$6:$O$528,6,FALSE)</f>
        <v>0</v>
      </c>
      <c r="I278" s="1289">
        <f>VLOOKUP($A278,'Accounts by GL'!$C$6:$O$528,7,FALSE)</f>
        <v>0</v>
      </c>
      <c r="J278" s="1289">
        <f>VLOOKUP($A278,'Accounts by GL'!$C$6:$O$528,8,FALSE)</f>
        <v>0</v>
      </c>
      <c r="K278" s="1289">
        <f>VLOOKUP($A278,'Accounts by GL'!$C$6:$O$528,9,FALSE)</f>
        <v>0</v>
      </c>
      <c r="L278" s="1289">
        <f>VLOOKUP($A278,'Accounts by GL'!$C$6:$O$528,10,FALSE)</f>
        <v>0</v>
      </c>
      <c r="M278" s="1289">
        <f>VLOOKUP($A278,'Accounts by GL'!$C$6:$O$528,12,FALSE)</f>
        <v>0</v>
      </c>
    </row>
    <row r="279" spans="1:13">
      <c r="A279" s="1293" t="s">
        <v>1812</v>
      </c>
      <c r="B279" s="1287" t="str">
        <f t="shared" si="4"/>
        <v>SAMPLE STATE COLLEGE</v>
      </c>
      <c r="C279" s="1294" t="s">
        <v>1812</v>
      </c>
      <c r="D279" s="1289">
        <f>VLOOKUP($A279,'Accounts by GL'!$C$6:$O$528,2,FALSE)</f>
        <v>0</v>
      </c>
      <c r="E279" s="1289">
        <f>VLOOKUP($A279,'Accounts by GL'!$C$6:$O$528,3,FALSE)</f>
        <v>0</v>
      </c>
      <c r="F279" s="1289">
        <f>VLOOKUP($A279,'Accounts by GL'!$C$6:$O$528,4,FALSE)</f>
        <v>0</v>
      </c>
      <c r="G279" s="1289">
        <f>VLOOKUP($A279,'Accounts by GL'!$C$6:$O$528,5,FALSE)</f>
        <v>0</v>
      </c>
      <c r="H279" s="1289">
        <f>VLOOKUP($A279,'Accounts by GL'!$C$6:$O$528,6,FALSE)</f>
        <v>0</v>
      </c>
      <c r="I279" s="1289">
        <f>VLOOKUP($A279,'Accounts by GL'!$C$6:$O$528,7,FALSE)</f>
        <v>0</v>
      </c>
      <c r="J279" s="1289">
        <f>VLOOKUP($A279,'Accounts by GL'!$C$6:$O$528,8,FALSE)</f>
        <v>0</v>
      </c>
      <c r="K279" s="1289">
        <f>VLOOKUP($A279,'Accounts by GL'!$C$6:$O$528,9,FALSE)</f>
        <v>0</v>
      </c>
      <c r="L279" s="1289">
        <f>VLOOKUP($A279,'Accounts by GL'!$C$6:$O$528,10,FALSE)</f>
        <v>0</v>
      </c>
      <c r="M279" s="1289">
        <f>VLOOKUP($A279,'Accounts by GL'!$C$6:$O$528,12,FALSE)</f>
        <v>0</v>
      </c>
    </row>
    <row r="280" spans="1:13">
      <c r="A280" s="1293" t="s">
        <v>1815</v>
      </c>
      <c r="B280" s="1287" t="str">
        <f t="shared" si="4"/>
        <v>SAMPLE STATE COLLEGE</v>
      </c>
      <c r="C280" s="1294" t="s">
        <v>1815</v>
      </c>
      <c r="D280" s="1289">
        <f>VLOOKUP($A280,'Accounts by GL'!$C$6:$O$528,2,FALSE)</f>
        <v>0</v>
      </c>
      <c r="E280" s="1289">
        <f>VLOOKUP($A280,'Accounts by GL'!$C$6:$O$528,3,FALSE)</f>
        <v>0</v>
      </c>
      <c r="F280" s="1289">
        <f>VLOOKUP($A280,'Accounts by GL'!$C$6:$O$528,4,FALSE)</f>
        <v>0</v>
      </c>
      <c r="G280" s="1289">
        <f>VLOOKUP($A280,'Accounts by GL'!$C$6:$O$528,5,FALSE)</f>
        <v>0</v>
      </c>
      <c r="H280" s="1289">
        <f>VLOOKUP($A280,'Accounts by GL'!$C$6:$O$528,6,FALSE)</f>
        <v>0</v>
      </c>
      <c r="I280" s="1289">
        <f>VLOOKUP($A280,'Accounts by GL'!$C$6:$O$528,7,FALSE)</f>
        <v>0</v>
      </c>
      <c r="J280" s="1289">
        <f>VLOOKUP($A280,'Accounts by GL'!$C$6:$O$528,8,FALSE)</f>
        <v>0</v>
      </c>
      <c r="K280" s="1289">
        <f>VLOOKUP($A280,'Accounts by GL'!$C$6:$O$528,9,FALSE)</f>
        <v>0</v>
      </c>
      <c r="L280" s="1289">
        <f>VLOOKUP($A280,'Accounts by GL'!$C$6:$O$528,10,FALSE)</f>
        <v>0</v>
      </c>
      <c r="M280" s="1289">
        <f>VLOOKUP($A280,'Accounts by GL'!$C$6:$O$528,12,FALSE)</f>
        <v>0</v>
      </c>
    </row>
    <row r="281" spans="1:13">
      <c r="A281" s="1293" t="s">
        <v>1817</v>
      </c>
      <c r="B281" s="1287" t="str">
        <f t="shared" si="4"/>
        <v>SAMPLE STATE COLLEGE</v>
      </c>
      <c r="C281" s="1294" t="s">
        <v>1817</v>
      </c>
      <c r="D281" s="1289">
        <f>VLOOKUP($A281,'Accounts by GL'!$C$6:$O$528,2,FALSE)</f>
        <v>0</v>
      </c>
      <c r="E281" s="1289">
        <f>VLOOKUP($A281,'Accounts by GL'!$C$6:$O$528,3,FALSE)</f>
        <v>0</v>
      </c>
      <c r="F281" s="1289">
        <f>VLOOKUP($A281,'Accounts by GL'!$C$6:$O$528,4,FALSE)</f>
        <v>0</v>
      </c>
      <c r="G281" s="1289">
        <f>VLOOKUP($A281,'Accounts by GL'!$C$6:$O$528,5,FALSE)</f>
        <v>0</v>
      </c>
      <c r="H281" s="1289">
        <f>VLOOKUP($A281,'Accounts by GL'!$C$6:$O$528,6,FALSE)</f>
        <v>0</v>
      </c>
      <c r="I281" s="1289">
        <f>VLOOKUP($A281,'Accounts by GL'!$C$6:$O$528,7,FALSE)</f>
        <v>0</v>
      </c>
      <c r="J281" s="1289">
        <f>VLOOKUP($A281,'Accounts by GL'!$C$6:$O$528,8,FALSE)</f>
        <v>0</v>
      </c>
      <c r="K281" s="1289">
        <f>VLOOKUP($A281,'Accounts by GL'!$C$6:$O$528,9,FALSE)</f>
        <v>0</v>
      </c>
      <c r="L281" s="1289">
        <f>VLOOKUP($A281,'Accounts by GL'!$C$6:$O$528,10,FALSE)</f>
        <v>0</v>
      </c>
      <c r="M281" s="1289">
        <f>VLOOKUP($A281,'Accounts by GL'!$C$6:$O$528,12,FALSE)</f>
        <v>0</v>
      </c>
    </row>
    <row r="282" spans="1:13">
      <c r="A282" s="1293" t="s">
        <v>1820</v>
      </c>
      <c r="B282" s="1287" t="str">
        <f t="shared" si="4"/>
        <v>SAMPLE STATE COLLEGE</v>
      </c>
      <c r="C282" s="1294" t="s">
        <v>1820</v>
      </c>
      <c r="D282" s="1289">
        <f>VLOOKUP($A282,'Accounts by GL'!$C$6:$O$528,2,FALSE)</f>
        <v>0</v>
      </c>
      <c r="E282" s="1289">
        <f>VLOOKUP($A282,'Accounts by GL'!$C$6:$O$528,3,FALSE)</f>
        <v>0</v>
      </c>
      <c r="F282" s="1289">
        <f>VLOOKUP($A282,'Accounts by GL'!$C$6:$O$528,4,FALSE)</f>
        <v>0</v>
      </c>
      <c r="G282" s="1289">
        <f>VLOOKUP($A282,'Accounts by GL'!$C$6:$O$528,5,FALSE)</f>
        <v>0</v>
      </c>
      <c r="H282" s="1289">
        <f>VLOOKUP($A282,'Accounts by GL'!$C$6:$O$528,6,FALSE)</f>
        <v>0</v>
      </c>
      <c r="I282" s="1289">
        <f>VLOOKUP($A282,'Accounts by GL'!$C$6:$O$528,7,FALSE)</f>
        <v>0</v>
      </c>
      <c r="J282" s="1289">
        <f>VLOOKUP($A282,'Accounts by GL'!$C$6:$O$528,8,FALSE)</f>
        <v>0</v>
      </c>
      <c r="K282" s="1289">
        <f>VLOOKUP($A282,'Accounts by GL'!$C$6:$O$528,9,FALSE)</f>
        <v>0</v>
      </c>
      <c r="L282" s="1289">
        <f>VLOOKUP($A282,'Accounts by GL'!$C$6:$O$528,10,FALSE)</f>
        <v>0</v>
      </c>
      <c r="M282" s="1289">
        <f>VLOOKUP($A282,'Accounts by GL'!$C$6:$O$528,12,FALSE)</f>
        <v>0</v>
      </c>
    </row>
    <row r="283" spans="1:13">
      <c r="A283" s="1293" t="s">
        <v>1823</v>
      </c>
      <c r="B283" s="1287" t="str">
        <f t="shared" si="4"/>
        <v>SAMPLE STATE COLLEGE</v>
      </c>
      <c r="C283" s="1294" t="s">
        <v>1823</v>
      </c>
      <c r="D283" s="1289">
        <f>VLOOKUP($A283,'Accounts by GL'!$C$6:$O$528,2,FALSE)</f>
        <v>0</v>
      </c>
      <c r="E283" s="1289">
        <f>VLOOKUP($A283,'Accounts by GL'!$C$6:$O$528,3,FALSE)</f>
        <v>0</v>
      </c>
      <c r="F283" s="1289">
        <f>VLOOKUP($A283,'Accounts by GL'!$C$6:$O$528,4,FALSE)</f>
        <v>0</v>
      </c>
      <c r="G283" s="1289">
        <f>VLOOKUP($A283,'Accounts by GL'!$C$6:$O$528,5,FALSE)</f>
        <v>0</v>
      </c>
      <c r="H283" s="1289">
        <f>VLOOKUP($A283,'Accounts by GL'!$C$6:$O$528,6,FALSE)</f>
        <v>0</v>
      </c>
      <c r="I283" s="1289">
        <f>VLOOKUP($A283,'Accounts by GL'!$C$6:$O$528,7,FALSE)</f>
        <v>0</v>
      </c>
      <c r="J283" s="1289">
        <f>VLOOKUP($A283,'Accounts by GL'!$C$6:$O$528,8,FALSE)</f>
        <v>0</v>
      </c>
      <c r="K283" s="1289">
        <f>VLOOKUP($A283,'Accounts by GL'!$C$6:$O$528,9,FALSE)</f>
        <v>0</v>
      </c>
      <c r="L283" s="1289">
        <f>VLOOKUP($A283,'Accounts by GL'!$C$6:$O$528,10,FALSE)</f>
        <v>0</v>
      </c>
      <c r="M283" s="1289">
        <f>VLOOKUP($A283,'Accounts by GL'!$C$6:$O$528,12,FALSE)</f>
        <v>0</v>
      </c>
    </row>
    <row r="284" spans="1:13">
      <c r="A284" s="1293" t="s">
        <v>1826</v>
      </c>
      <c r="B284" s="1287" t="str">
        <f t="shared" si="4"/>
        <v>SAMPLE STATE COLLEGE</v>
      </c>
      <c r="C284" s="1294" t="s">
        <v>1826</v>
      </c>
      <c r="D284" s="1289">
        <f>VLOOKUP($A284,'Accounts by GL'!$C$6:$O$528,2,FALSE)</f>
        <v>0</v>
      </c>
      <c r="E284" s="1289">
        <f>VLOOKUP($A284,'Accounts by GL'!$C$6:$O$528,3,FALSE)</f>
        <v>0</v>
      </c>
      <c r="F284" s="1289">
        <f>VLOOKUP($A284,'Accounts by GL'!$C$6:$O$528,4,FALSE)</f>
        <v>0</v>
      </c>
      <c r="G284" s="1289">
        <f>VLOOKUP($A284,'Accounts by GL'!$C$6:$O$528,5,FALSE)</f>
        <v>0</v>
      </c>
      <c r="H284" s="1289">
        <f>VLOOKUP($A284,'Accounts by GL'!$C$6:$O$528,6,FALSE)</f>
        <v>0</v>
      </c>
      <c r="I284" s="1289">
        <f>VLOOKUP($A284,'Accounts by GL'!$C$6:$O$528,7,FALSE)</f>
        <v>0</v>
      </c>
      <c r="J284" s="1289">
        <f>VLOOKUP($A284,'Accounts by GL'!$C$6:$O$528,8,FALSE)</f>
        <v>0</v>
      </c>
      <c r="K284" s="1289">
        <f>VLOOKUP($A284,'Accounts by GL'!$C$6:$O$528,9,FALSE)</f>
        <v>0</v>
      </c>
      <c r="L284" s="1289">
        <f>VLOOKUP($A284,'Accounts by GL'!$C$6:$O$528,10,FALSE)</f>
        <v>0</v>
      </c>
      <c r="M284" s="1289">
        <f>VLOOKUP($A284,'Accounts by GL'!$C$6:$O$528,12,FALSE)</f>
        <v>0</v>
      </c>
    </row>
    <row r="285" spans="1:13">
      <c r="A285" s="1293" t="s">
        <v>1829</v>
      </c>
      <c r="B285" s="1287" t="str">
        <f t="shared" si="4"/>
        <v>SAMPLE STATE COLLEGE</v>
      </c>
      <c r="C285" s="1294" t="s">
        <v>1829</v>
      </c>
      <c r="D285" s="1289">
        <f>VLOOKUP($A285,'Accounts by GL'!$C$6:$O$528,2,FALSE)</f>
        <v>0</v>
      </c>
      <c r="E285" s="1289">
        <f>VLOOKUP($A285,'Accounts by GL'!$C$6:$O$528,3,FALSE)</f>
        <v>0</v>
      </c>
      <c r="F285" s="1289">
        <f>VLOOKUP($A285,'Accounts by GL'!$C$6:$O$528,4,FALSE)</f>
        <v>0</v>
      </c>
      <c r="G285" s="1289">
        <f>VLOOKUP($A285,'Accounts by GL'!$C$6:$O$528,5,FALSE)</f>
        <v>0</v>
      </c>
      <c r="H285" s="1289">
        <f>VLOOKUP($A285,'Accounts by GL'!$C$6:$O$528,6,FALSE)</f>
        <v>0</v>
      </c>
      <c r="I285" s="1289">
        <f>VLOOKUP($A285,'Accounts by GL'!$C$6:$O$528,7,FALSE)</f>
        <v>0</v>
      </c>
      <c r="J285" s="1289">
        <f>VLOOKUP($A285,'Accounts by GL'!$C$6:$O$528,8,FALSE)</f>
        <v>0</v>
      </c>
      <c r="K285" s="1289">
        <f>VLOOKUP($A285,'Accounts by GL'!$C$6:$O$528,9,FALSE)</f>
        <v>0</v>
      </c>
      <c r="L285" s="1289">
        <f>VLOOKUP($A285,'Accounts by GL'!$C$6:$O$528,10,FALSE)</f>
        <v>0</v>
      </c>
      <c r="M285" s="1289">
        <f>VLOOKUP($A285,'Accounts by GL'!$C$6:$O$528,12,FALSE)</f>
        <v>0</v>
      </c>
    </row>
    <row r="286" spans="1:13">
      <c r="A286" s="1293" t="s">
        <v>1832</v>
      </c>
      <c r="B286" s="1287" t="str">
        <f t="shared" si="4"/>
        <v>SAMPLE STATE COLLEGE</v>
      </c>
      <c r="C286" s="1294" t="s">
        <v>1832</v>
      </c>
      <c r="D286" s="1289">
        <f>VLOOKUP($A286,'Accounts by GL'!$C$6:$O$528,2,FALSE)</f>
        <v>0</v>
      </c>
      <c r="E286" s="1289">
        <f>VLOOKUP($A286,'Accounts by GL'!$C$6:$O$528,3,FALSE)</f>
        <v>0</v>
      </c>
      <c r="F286" s="1289">
        <f>VLOOKUP($A286,'Accounts by GL'!$C$6:$O$528,4,FALSE)</f>
        <v>0</v>
      </c>
      <c r="G286" s="1289">
        <f>VLOOKUP($A286,'Accounts by GL'!$C$6:$O$528,5,FALSE)</f>
        <v>0</v>
      </c>
      <c r="H286" s="1289">
        <f>VLOOKUP($A286,'Accounts by GL'!$C$6:$O$528,6,FALSE)</f>
        <v>0</v>
      </c>
      <c r="I286" s="1289">
        <f>VLOOKUP($A286,'Accounts by GL'!$C$6:$O$528,7,FALSE)</f>
        <v>0</v>
      </c>
      <c r="J286" s="1289">
        <f>VLOOKUP($A286,'Accounts by GL'!$C$6:$O$528,8,FALSE)</f>
        <v>0</v>
      </c>
      <c r="K286" s="1289">
        <f>VLOOKUP($A286,'Accounts by GL'!$C$6:$O$528,9,FALSE)</f>
        <v>0</v>
      </c>
      <c r="L286" s="1289">
        <f>VLOOKUP($A286,'Accounts by GL'!$C$6:$O$528,10,FALSE)</f>
        <v>0</v>
      </c>
      <c r="M286" s="1289">
        <f>VLOOKUP($A286,'Accounts by GL'!$C$6:$O$528,12,FALSE)</f>
        <v>0</v>
      </c>
    </row>
    <row r="287" spans="1:13">
      <c r="A287" s="1293" t="s">
        <v>1835</v>
      </c>
      <c r="B287" s="1287" t="str">
        <f t="shared" si="4"/>
        <v>SAMPLE STATE COLLEGE</v>
      </c>
      <c r="C287" s="1294" t="s">
        <v>1835</v>
      </c>
      <c r="D287" s="1289">
        <f>VLOOKUP($A287,'Accounts by GL'!$C$6:$O$528,2,FALSE)</f>
        <v>0</v>
      </c>
      <c r="E287" s="1289">
        <f>VLOOKUP($A287,'Accounts by GL'!$C$6:$O$528,3,FALSE)</f>
        <v>0</v>
      </c>
      <c r="F287" s="1289">
        <f>VLOOKUP($A287,'Accounts by GL'!$C$6:$O$528,4,FALSE)</f>
        <v>0</v>
      </c>
      <c r="G287" s="1289">
        <f>VLOOKUP($A287,'Accounts by GL'!$C$6:$O$528,5,FALSE)</f>
        <v>0</v>
      </c>
      <c r="H287" s="1289">
        <f>VLOOKUP($A287,'Accounts by GL'!$C$6:$O$528,6,FALSE)</f>
        <v>0</v>
      </c>
      <c r="I287" s="1289">
        <f>VLOOKUP($A287,'Accounts by GL'!$C$6:$O$528,7,FALSE)</f>
        <v>0</v>
      </c>
      <c r="J287" s="1289">
        <f>VLOOKUP($A287,'Accounts by GL'!$C$6:$O$528,8,FALSE)</f>
        <v>0</v>
      </c>
      <c r="K287" s="1289">
        <f>VLOOKUP($A287,'Accounts by GL'!$C$6:$O$528,9,FALSE)</f>
        <v>0</v>
      </c>
      <c r="L287" s="1289">
        <f>VLOOKUP($A287,'Accounts by GL'!$C$6:$O$528,10,FALSE)</f>
        <v>0</v>
      </c>
      <c r="M287" s="1289">
        <f>VLOOKUP($A287,'Accounts by GL'!$C$6:$O$528,12,FALSE)</f>
        <v>0</v>
      </c>
    </row>
    <row r="288" spans="1:13">
      <c r="A288" s="1293" t="s">
        <v>1838</v>
      </c>
      <c r="B288" s="1287" t="str">
        <f t="shared" si="4"/>
        <v>SAMPLE STATE COLLEGE</v>
      </c>
      <c r="C288" s="1294" t="s">
        <v>1838</v>
      </c>
      <c r="D288" s="1289">
        <f>VLOOKUP($A288,'Accounts by GL'!$C$6:$O$528,2,FALSE)</f>
        <v>0</v>
      </c>
      <c r="E288" s="1289">
        <f>VLOOKUP($A288,'Accounts by GL'!$C$6:$O$528,3,FALSE)</f>
        <v>0</v>
      </c>
      <c r="F288" s="1289">
        <f>VLOOKUP($A288,'Accounts by GL'!$C$6:$O$528,4,FALSE)</f>
        <v>0</v>
      </c>
      <c r="G288" s="1289">
        <f>VLOOKUP($A288,'Accounts by GL'!$C$6:$O$528,5,FALSE)</f>
        <v>0</v>
      </c>
      <c r="H288" s="1289">
        <f>VLOOKUP($A288,'Accounts by GL'!$C$6:$O$528,6,FALSE)</f>
        <v>0</v>
      </c>
      <c r="I288" s="1289">
        <f>VLOOKUP($A288,'Accounts by GL'!$C$6:$O$528,7,FALSE)</f>
        <v>0</v>
      </c>
      <c r="J288" s="1289">
        <f>VLOOKUP($A288,'Accounts by GL'!$C$6:$O$528,8,FALSE)</f>
        <v>0</v>
      </c>
      <c r="K288" s="1289">
        <f>VLOOKUP($A288,'Accounts by GL'!$C$6:$O$528,9,FALSE)</f>
        <v>0</v>
      </c>
      <c r="L288" s="1289">
        <f>VLOOKUP($A288,'Accounts by GL'!$C$6:$O$528,10,FALSE)</f>
        <v>0</v>
      </c>
      <c r="M288" s="1289">
        <f>VLOOKUP($A288,'Accounts by GL'!$C$6:$O$528,12,FALSE)</f>
        <v>0</v>
      </c>
    </row>
    <row r="289" spans="1:13">
      <c r="A289" s="1293" t="s">
        <v>1841</v>
      </c>
      <c r="B289" s="1287" t="str">
        <f t="shared" si="4"/>
        <v>SAMPLE STATE COLLEGE</v>
      </c>
      <c r="C289" s="1294" t="s">
        <v>1841</v>
      </c>
      <c r="D289" s="1289">
        <f>VLOOKUP($A289,'Accounts by GL'!$C$6:$O$528,2,FALSE)</f>
        <v>0</v>
      </c>
      <c r="E289" s="1289">
        <f>VLOOKUP($A289,'Accounts by GL'!$C$6:$O$528,3,FALSE)</f>
        <v>0</v>
      </c>
      <c r="F289" s="1289">
        <f>VLOOKUP($A289,'Accounts by GL'!$C$6:$O$528,4,FALSE)</f>
        <v>0</v>
      </c>
      <c r="G289" s="1289">
        <f>VLOOKUP($A289,'Accounts by GL'!$C$6:$O$528,5,FALSE)</f>
        <v>0</v>
      </c>
      <c r="H289" s="1289">
        <f>VLOOKUP($A289,'Accounts by GL'!$C$6:$O$528,6,FALSE)</f>
        <v>0</v>
      </c>
      <c r="I289" s="1289">
        <f>VLOOKUP($A289,'Accounts by GL'!$C$6:$O$528,7,FALSE)</f>
        <v>0</v>
      </c>
      <c r="J289" s="1289">
        <f>VLOOKUP($A289,'Accounts by GL'!$C$6:$O$528,8,FALSE)</f>
        <v>0</v>
      </c>
      <c r="K289" s="1289">
        <f>VLOOKUP($A289,'Accounts by GL'!$C$6:$O$528,9,FALSE)</f>
        <v>0</v>
      </c>
      <c r="L289" s="1289">
        <f>VLOOKUP($A289,'Accounts by GL'!$C$6:$O$528,10,FALSE)</f>
        <v>0</v>
      </c>
      <c r="M289" s="1289">
        <f>VLOOKUP($A289,'Accounts by GL'!$C$6:$O$528,12,FALSE)</f>
        <v>0</v>
      </c>
    </row>
    <row r="290" spans="1:13">
      <c r="A290" s="1293" t="s">
        <v>1844</v>
      </c>
      <c r="B290" s="1287" t="str">
        <f t="shared" si="4"/>
        <v>SAMPLE STATE COLLEGE</v>
      </c>
      <c r="C290" s="1294" t="s">
        <v>1844</v>
      </c>
      <c r="D290" s="1289">
        <f>VLOOKUP($A290,'Accounts by GL'!$C$6:$O$528,2,FALSE)</f>
        <v>0</v>
      </c>
      <c r="E290" s="1289">
        <f>VLOOKUP($A290,'Accounts by GL'!$C$6:$O$528,3,FALSE)</f>
        <v>0</v>
      </c>
      <c r="F290" s="1289">
        <f>VLOOKUP($A290,'Accounts by GL'!$C$6:$O$528,4,FALSE)</f>
        <v>0</v>
      </c>
      <c r="G290" s="1289">
        <f>VLOOKUP($A290,'Accounts by GL'!$C$6:$O$528,5,FALSE)</f>
        <v>0</v>
      </c>
      <c r="H290" s="1289">
        <f>VLOOKUP($A290,'Accounts by GL'!$C$6:$O$528,6,FALSE)</f>
        <v>0</v>
      </c>
      <c r="I290" s="1289">
        <f>VLOOKUP($A290,'Accounts by GL'!$C$6:$O$528,7,FALSE)</f>
        <v>0</v>
      </c>
      <c r="J290" s="1289">
        <f>VLOOKUP($A290,'Accounts by GL'!$C$6:$O$528,8,FALSE)</f>
        <v>0</v>
      </c>
      <c r="K290" s="1289">
        <f>VLOOKUP($A290,'Accounts by GL'!$C$6:$O$528,9,FALSE)</f>
        <v>0</v>
      </c>
      <c r="L290" s="1289">
        <f>VLOOKUP($A290,'Accounts by GL'!$C$6:$O$528,10,FALSE)</f>
        <v>0</v>
      </c>
      <c r="M290" s="1289">
        <f>VLOOKUP($A290,'Accounts by GL'!$C$6:$O$528,12,FALSE)</f>
        <v>0</v>
      </c>
    </row>
    <row r="291" spans="1:13">
      <c r="A291" s="1293" t="s">
        <v>1846</v>
      </c>
      <c r="B291" s="1287" t="str">
        <f t="shared" si="4"/>
        <v>SAMPLE STATE COLLEGE</v>
      </c>
      <c r="C291" s="1294" t="s">
        <v>1846</v>
      </c>
      <c r="D291" s="1289">
        <f>VLOOKUP($A291,'Accounts by GL'!$C$6:$O$528,2,FALSE)</f>
        <v>0</v>
      </c>
      <c r="E291" s="1289">
        <f>VLOOKUP($A291,'Accounts by GL'!$C$6:$O$528,3,FALSE)</f>
        <v>0</v>
      </c>
      <c r="F291" s="1289">
        <f>VLOOKUP($A291,'Accounts by GL'!$C$6:$O$528,4,FALSE)</f>
        <v>0</v>
      </c>
      <c r="G291" s="1289">
        <f>VLOOKUP($A291,'Accounts by GL'!$C$6:$O$528,5,FALSE)</f>
        <v>0</v>
      </c>
      <c r="H291" s="1289">
        <f>VLOOKUP($A291,'Accounts by GL'!$C$6:$O$528,6,FALSE)</f>
        <v>0</v>
      </c>
      <c r="I291" s="1289">
        <f>VLOOKUP($A291,'Accounts by GL'!$C$6:$O$528,7,FALSE)</f>
        <v>0</v>
      </c>
      <c r="J291" s="1289">
        <f>VLOOKUP($A291,'Accounts by GL'!$C$6:$O$528,8,FALSE)</f>
        <v>0</v>
      </c>
      <c r="K291" s="1289">
        <f>VLOOKUP($A291,'Accounts by GL'!$C$6:$O$528,9,FALSE)</f>
        <v>0</v>
      </c>
      <c r="L291" s="1289">
        <f>VLOOKUP($A291,'Accounts by GL'!$C$6:$O$528,10,FALSE)</f>
        <v>0</v>
      </c>
      <c r="M291" s="1289">
        <f>VLOOKUP($A291,'Accounts by GL'!$C$6:$O$528,12,FALSE)</f>
        <v>0</v>
      </c>
    </row>
    <row r="292" spans="1:13">
      <c r="A292" s="1293" t="s">
        <v>322</v>
      </c>
      <c r="B292" s="1287" t="str">
        <f t="shared" si="4"/>
        <v>SAMPLE STATE COLLEGE</v>
      </c>
      <c r="C292" s="1294" t="s">
        <v>322</v>
      </c>
      <c r="D292" s="1289">
        <f>VLOOKUP($A292,'Accounts by GL'!$C$6:$O$528,2,FALSE)</f>
        <v>0</v>
      </c>
      <c r="E292" s="1289">
        <f>VLOOKUP($A292,'Accounts by GL'!$C$6:$O$528,3,FALSE)</f>
        <v>0</v>
      </c>
      <c r="F292" s="1289">
        <f>VLOOKUP($A292,'Accounts by GL'!$C$6:$O$528,4,FALSE)</f>
        <v>0</v>
      </c>
      <c r="G292" s="1289">
        <f>VLOOKUP($A292,'Accounts by GL'!$C$6:$O$528,5,FALSE)</f>
        <v>0</v>
      </c>
      <c r="H292" s="1289">
        <f>VLOOKUP($A292,'Accounts by GL'!$C$6:$O$528,6,FALSE)</f>
        <v>0</v>
      </c>
      <c r="I292" s="1289">
        <f>VLOOKUP($A292,'Accounts by GL'!$C$6:$O$528,7,FALSE)</f>
        <v>0</v>
      </c>
      <c r="J292" s="1289">
        <f>VLOOKUP($A292,'Accounts by GL'!$C$6:$O$528,8,FALSE)</f>
        <v>0</v>
      </c>
      <c r="K292" s="1289">
        <f>VLOOKUP($A292,'Accounts by GL'!$C$6:$O$528,9,FALSE)</f>
        <v>0</v>
      </c>
      <c r="L292" s="1289">
        <f>VLOOKUP($A292,'Accounts by GL'!$C$6:$O$528,10,FALSE)</f>
        <v>0</v>
      </c>
      <c r="M292" s="1289">
        <f>VLOOKUP($A292,'Accounts by GL'!$C$6:$O$528,12,FALSE)</f>
        <v>0</v>
      </c>
    </row>
    <row r="293" spans="1:13">
      <c r="A293" s="1293" t="s">
        <v>1850</v>
      </c>
      <c r="B293" s="1287" t="str">
        <f t="shared" si="4"/>
        <v>SAMPLE STATE COLLEGE</v>
      </c>
      <c r="C293" s="1294" t="s">
        <v>1850</v>
      </c>
      <c r="D293" s="1289">
        <f>VLOOKUP($A293,'Accounts by GL'!$C$6:$O$528,2,FALSE)</f>
        <v>0</v>
      </c>
      <c r="E293" s="1289">
        <f>VLOOKUP($A293,'Accounts by GL'!$C$6:$O$528,3,FALSE)</f>
        <v>0</v>
      </c>
      <c r="F293" s="1289">
        <f>VLOOKUP($A293,'Accounts by GL'!$C$6:$O$528,4,FALSE)</f>
        <v>0</v>
      </c>
      <c r="G293" s="1289">
        <f>VLOOKUP($A293,'Accounts by GL'!$C$6:$O$528,5,FALSE)</f>
        <v>0</v>
      </c>
      <c r="H293" s="1289">
        <f>VLOOKUP($A293,'Accounts by GL'!$C$6:$O$528,6,FALSE)</f>
        <v>0</v>
      </c>
      <c r="I293" s="1289">
        <f>VLOOKUP($A293,'Accounts by GL'!$C$6:$O$528,7,FALSE)</f>
        <v>0</v>
      </c>
      <c r="J293" s="1289">
        <f>VLOOKUP($A293,'Accounts by GL'!$C$6:$O$528,8,FALSE)</f>
        <v>0</v>
      </c>
      <c r="K293" s="1289">
        <f>VLOOKUP($A293,'Accounts by GL'!$C$6:$O$528,9,FALSE)</f>
        <v>0</v>
      </c>
      <c r="L293" s="1289">
        <f>VLOOKUP($A293,'Accounts by GL'!$C$6:$O$528,10,FALSE)</f>
        <v>0</v>
      </c>
      <c r="M293" s="1289">
        <f>VLOOKUP($A293,'Accounts by GL'!$C$6:$O$528,12,FALSE)</f>
        <v>0</v>
      </c>
    </row>
    <row r="294" spans="1:13">
      <c r="A294" s="1293" t="s">
        <v>1853</v>
      </c>
      <c r="B294" s="1287" t="str">
        <f t="shared" si="4"/>
        <v>SAMPLE STATE COLLEGE</v>
      </c>
      <c r="C294" s="1294" t="s">
        <v>1853</v>
      </c>
      <c r="D294" s="1289">
        <f>VLOOKUP($A294,'Accounts by GL'!$C$6:$O$528,2,FALSE)</f>
        <v>0</v>
      </c>
      <c r="E294" s="1289">
        <f>VLOOKUP($A294,'Accounts by GL'!$C$6:$O$528,3,FALSE)</f>
        <v>0</v>
      </c>
      <c r="F294" s="1289">
        <f>VLOOKUP($A294,'Accounts by GL'!$C$6:$O$528,4,FALSE)</f>
        <v>0</v>
      </c>
      <c r="G294" s="1289">
        <f>VLOOKUP($A294,'Accounts by GL'!$C$6:$O$528,5,FALSE)</f>
        <v>0</v>
      </c>
      <c r="H294" s="1289">
        <f>VLOOKUP($A294,'Accounts by GL'!$C$6:$O$528,6,FALSE)</f>
        <v>0</v>
      </c>
      <c r="I294" s="1289">
        <f>VLOOKUP($A294,'Accounts by GL'!$C$6:$O$528,7,FALSE)</f>
        <v>0</v>
      </c>
      <c r="J294" s="1289">
        <f>VLOOKUP($A294,'Accounts by GL'!$C$6:$O$528,8,FALSE)</f>
        <v>0</v>
      </c>
      <c r="K294" s="1289">
        <f>VLOOKUP($A294,'Accounts by GL'!$C$6:$O$528,9,FALSE)</f>
        <v>0</v>
      </c>
      <c r="L294" s="1289">
        <f>VLOOKUP($A294,'Accounts by GL'!$C$6:$O$528,10,FALSE)</f>
        <v>0</v>
      </c>
      <c r="M294" s="1289">
        <f>VLOOKUP($A294,'Accounts by GL'!$C$6:$O$528,12,FALSE)</f>
        <v>0</v>
      </c>
    </row>
    <row r="295" spans="1:13">
      <c r="A295" s="1293" t="s">
        <v>1856</v>
      </c>
      <c r="B295" s="1287" t="str">
        <f t="shared" si="4"/>
        <v>SAMPLE STATE COLLEGE</v>
      </c>
      <c r="C295" s="1294" t="s">
        <v>1856</v>
      </c>
      <c r="D295" s="1289">
        <f>VLOOKUP($A295,'Accounts by GL'!$C$6:$O$528,2,FALSE)</f>
        <v>0</v>
      </c>
      <c r="E295" s="1289">
        <f>VLOOKUP($A295,'Accounts by GL'!$C$6:$O$528,3,FALSE)</f>
        <v>0</v>
      </c>
      <c r="F295" s="1289">
        <f>VLOOKUP($A295,'Accounts by GL'!$C$6:$O$528,4,FALSE)</f>
        <v>0</v>
      </c>
      <c r="G295" s="1289">
        <f>VLOOKUP($A295,'Accounts by GL'!$C$6:$O$528,5,FALSE)</f>
        <v>0</v>
      </c>
      <c r="H295" s="1289">
        <f>VLOOKUP($A295,'Accounts by GL'!$C$6:$O$528,6,FALSE)</f>
        <v>0</v>
      </c>
      <c r="I295" s="1289">
        <f>VLOOKUP($A295,'Accounts by GL'!$C$6:$O$528,7,FALSE)</f>
        <v>0</v>
      </c>
      <c r="J295" s="1289">
        <f>VLOOKUP($A295,'Accounts by GL'!$C$6:$O$528,8,FALSE)</f>
        <v>0</v>
      </c>
      <c r="K295" s="1289">
        <f>VLOOKUP($A295,'Accounts by GL'!$C$6:$O$528,9,FALSE)</f>
        <v>0</v>
      </c>
      <c r="L295" s="1289">
        <f>VLOOKUP($A295,'Accounts by GL'!$C$6:$O$528,10,FALSE)</f>
        <v>0</v>
      </c>
      <c r="M295" s="1289">
        <f>VLOOKUP($A295,'Accounts by GL'!$C$6:$O$528,12,FALSE)</f>
        <v>0</v>
      </c>
    </row>
    <row r="296" spans="1:13">
      <c r="A296" s="1293" t="s">
        <v>1859</v>
      </c>
      <c r="B296" s="1287" t="str">
        <f t="shared" si="4"/>
        <v>SAMPLE STATE COLLEGE</v>
      </c>
      <c r="C296" s="1294" t="s">
        <v>1859</v>
      </c>
      <c r="D296" s="1289">
        <f>VLOOKUP($A296,'Accounts by GL'!$C$6:$O$528,2,FALSE)</f>
        <v>0</v>
      </c>
      <c r="E296" s="1289">
        <f>VLOOKUP($A296,'Accounts by GL'!$C$6:$O$528,3,FALSE)</f>
        <v>0</v>
      </c>
      <c r="F296" s="1289">
        <f>VLOOKUP($A296,'Accounts by GL'!$C$6:$O$528,4,FALSE)</f>
        <v>0</v>
      </c>
      <c r="G296" s="1289">
        <f>VLOOKUP($A296,'Accounts by GL'!$C$6:$O$528,5,FALSE)</f>
        <v>0</v>
      </c>
      <c r="H296" s="1289">
        <f>VLOOKUP($A296,'Accounts by GL'!$C$6:$O$528,6,FALSE)</f>
        <v>0</v>
      </c>
      <c r="I296" s="1289">
        <f>VLOOKUP($A296,'Accounts by GL'!$C$6:$O$528,7,FALSE)</f>
        <v>0</v>
      </c>
      <c r="J296" s="1289">
        <f>VLOOKUP($A296,'Accounts by GL'!$C$6:$O$528,8,FALSE)</f>
        <v>0</v>
      </c>
      <c r="K296" s="1289">
        <f>VLOOKUP($A296,'Accounts by GL'!$C$6:$O$528,9,FALSE)</f>
        <v>0</v>
      </c>
      <c r="L296" s="1289">
        <f>VLOOKUP($A296,'Accounts by GL'!$C$6:$O$528,10,FALSE)</f>
        <v>0</v>
      </c>
      <c r="M296" s="1289">
        <f>VLOOKUP($A296,'Accounts by GL'!$C$6:$O$528,12,FALSE)</f>
        <v>0</v>
      </c>
    </row>
    <row r="297" spans="1:13">
      <c r="A297" s="1293" t="s">
        <v>1862</v>
      </c>
      <c r="B297" s="1287" t="str">
        <f t="shared" si="4"/>
        <v>SAMPLE STATE COLLEGE</v>
      </c>
      <c r="C297" s="1294" t="s">
        <v>1862</v>
      </c>
      <c r="D297" s="1289">
        <f>VLOOKUP($A297,'Accounts by GL'!$C$6:$O$528,2,FALSE)</f>
        <v>0</v>
      </c>
      <c r="E297" s="1289">
        <f>VLOOKUP($A297,'Accounts by GL'!$C$6:$O$528,3,FALSE)</f>
        <v>0</v>
      </c>
      <c r="F297" s="1289">
        <f>VLOOKUP($A297,'Accounts by GL'!$C$6:$O$528,4,FALSE)</f>
        <v>0</v>
      </c>
      <c r="G297" s="1289">
        <f>VLOOKUP($A297,'Accounts by GL'!$C$6:$O$528,5,FALSE)</f>
        <v>0</v>
      </c>
      <c r="H297" s="1289">
        <f>VLOOKUP($A297,'Accounts by GL'!$C$6:$O$528,6,FALSE)</f>
        <v>0</v>
      </c>
      <c r="I297" s="1289">
        <f>VLOOKUP($A297,'Accounts by GL'!$C$6:$O$528,7,FALSE)</f>
        <v>0</v>
      </c>
      <c r="J297" s="1289">
        <f>VLOOKUP($A297,'Accounts by GL'!$C$6:$O$528,8,FALSE)</f>
        <v>0</v>
      </c>
      <c r="K297" s="1289">
        <f>VLOOKUP($A297,'Accounts by GL'!$C$6:$O$528,9,FALSE)</f>
        <v>0</v>
      </c>
      <c r="L297" s="1289">
        <f>VLOOKUP($A297,'Accounts by GL'!$C$6:$O$528,10,FALSE)</f>
        <v>0</v>
      </c>
      <c r="M297" s="1289">
        <f>VLOOKUP($A297,'Accounts by GL'!$C$6:$O$528,12,FALSE)</f>
        <v>0</v>
      </c>
    </row>
    <row r="298" spans="1:13">
      <c r="A298" s="1293" t="s">
        <v>308</v>
      </c>
      <c r="B298" s="1287" t="str">
        <f t="shared" si="4"/>
        <v>SAMPLE STATE COLLEGE</v>
      </c>
      <c r="C298" s="1294" t="s">
        <v>308</v>
      </c>
      <c r="D298" s="1289">
        <f>VLOOKUP($A298,'Accounts by GL'!$C$6:$O$528,2,FALSE)</f>
        <v>0</v>
      </c>
      <c r="E298" s="1289">
        <f>VLOOKUP($A298,'Accounts by GL'!$C$6:$O$528,3,FALSE)</f>
        <v>0</v>
      </c>
      <c r="F298" s="1289">
        <f>VLOOKUP($A298,'Accounts by GL'!$C$6:$O$528,4,FALSE)</f>
        <v>0</v>
      </c>
      <c r="G298" s="1289">
        <f>VLOOKUP($A298,'Accounts by GL'!$C$6:$O$528,5,FALSE)</f>
        <v>0</v>
      </c>
      <c r="H298" s="1289">
        <f>VLOOKUP($A298,'Accounts by GL'!$C$6:$O$528,6,FALSE)</f>
        <v>0</v>
      </c>
      <c r="I298" s="1289">
        <f>VLOOKUP($A298,'Accounts by GL'!$C$6:$O$528,7,FALSE)</f>
        <v>0</v>
      </c>
      <c r="J298" s="1289">
        <f>VLOOKUP($A298,'Accounts by GL'!$C$6:$O$528,8,FALSE)</f>
        <v>0</v>
      </c>
      <c r="K298" s="1289">
        <f>VLOOKUP($A298,'Accounts by GL'!$C$6:$O$528,9,FALSE)</f>
        <v>0</v>
      </c>
      <c r="L298" s="1289">
        <f>VLOOKUP($A298,'Accounts by GL'!$C$6:$O$528,10,FALSE)</f>
        <v>0</v>
      </c>
      <c r="M298" s="1289">
        <f>VLOOKUP($A298,'Accounts by GL'!$C$6:$O$528,12,FALSE)</f>
        <v>0</v>
      </c>
    </row>
    <row r="299" spans="1:13">
      <c r="A299" s="1292" t="s">
        <v>1869</v>
      </c>
      <c r="B299" s="1287" t="str">
        <f t="shared" si="4"/>
        <v>SAMPLE STATE COLLEGE</v>
      </c>
      <c r="C299" s="1291" t="s">
        <v>1869</v>
      </c>
      <c r="D299" s="1289">
        <f>VLOOKUP($A299,'Accounts by GL'!$C$6:$O$528,2,FALSE)</f>
        <v>0</v>
      </c>
      <c r="E299" s="1289">
        <f>VLOOKUP($A299,'Accounts by GL'!$C$6:$O$528,3,FALSE)</f>
        <v>0</v>
      </c>
      <c r="F299" s="1289">
        <f>VLOOKUP($A299,'Accounts by GL'!$C$6:$O$528,4,FALSE)</f>
        <v>0</v>
      </c>
      <c r="G299" s="1289">
        <f>VLOOKUP($A299,'Accounts by GL'!$C$6:$O$528,5,FALSE)</f>
        <v>0</v>
      </c>
      <c r="H299" s="1289">
        <f>VLOOKUP($A299,'Accounts by GL'!$C$6:$O$528,6,FALSE)</f>
        <v>0</v>
      </c>
      <c r="I299" s="1289">
        <f>VLOOKUP($A299,'Accounts by GL'!$C$6:$O$528,7,FALSE)</f>
        <v>0</v>
      </c>
      <c r="J299" s="1289">
        <f>VLOOKUP($A299,'Accounts by GL'!$C$6:$O$528,8,FALSE)</f>
        <v>0</v>
      </c>
      <c r="K299" s="1289">
        <f>VLOOKUP($A299,'Accounts by GL'!$C$6:$O$528,9,FALSE)</f>
        <v>0</v>
      </c>
      <c r="L299" s="1289">
        <f>VLOOKUP($A299,'Accounts by GL'!$C$6:$O$528,10,FALSE)</f>
        <v>0</v>
      </c>
      <c r="M299" s="1289">
        <f>VLOOKUP($A299,'Accounts by GL'!$C$6:$O$528,12,FALSE)</f>
        <v>0</v>
      </c>
    </row>
    <row r="300" spans="1:13">
      <c r="A300" s="1293" t="s">
        <v>1872</v>
      </c>
      <c r="B300" s="1287" t="str">
        <f t="shared" si="4"/>
        <v>SAMPLE STATE COLLEGE</v>
      </c>
      <c r="C300" s="1294" t="s">
        <v>1872</v>
      </c>
      <c r="D300" s="1289">
        <f>VLOOKUP($A300,'Accounts by GL'!$C$6:$O$528,2,FALSE)</f>
        <v>0</v>
      </c>
      <c r="E300" s="1289">
        <f>VLOOKUP($A300,'Accounts by GL'!$C$6:$O$528,3,FALSE)</f>
        <v>0</v>
      </c>
      <c r="F300" s="1289">
        <f>VLOOKUP($A300,'Accounts by GL'!$C$6:$O$528,4,FALSE)</f>
        <v>0</v>
      </c>
      <c r="G300" s="1289">
        <f>VLOOKUP($A300,'Accounts by GL'!$C$6:$O$528,5,FALSE)</f>
        <v>0</v>
      </c>
      <c r="H300" s="1289">
        <f>VLOOKUP($A300,'Accounts by GL'!$C$6:$O$528,6,FALSE)</f>
        <v>0</v>
      </c>
      <c r="I300" s="1289">
        <f>VLOOKUP($A300,'Accounts by GL'!$C$6:$O$528,7,FALSE)</f>
        <v>0</v>
      </c>
      <c r="J300" s="1289">
        <f>VLOOKUP($A300,'Accounts by GL'!$C$6:$O$528,8,FALSE)</f>
        <v>0</v>
      </c>
      <c r="K300" s="1289">
        <f>VLOOKUP($A300,'Accounts by GL'!$C$6:$O$528,9,FALSE)</f>
        <v>0</v>
      </c>
      <c r="L300" s="1289">
        <f>VLOOKUP($A300,'Accounts by GL'!$C$6:$O$528,10,FALSE)</f>
        <v>0</v>
      </c>
      <c r="M300" s="1289">
        <f>VLOOKUP($A300,'Accounts by GL'!$C$6:$O$528,12,FALSE)</f>
        <v>0</v>
      </c>
    </row>
    <row r="301" spans="1:13">
      <c r="A301" s="1293" t="s">
        <v>1875</v>
      </c>
      <c r="B301" s="1287" t="str">
        <f t="shared" si="4"/>
        <v>SAMPLE STATE COLLEGE</v>
      </c>
      <c r="C301" s="1294" t="s">
        <v>1875</v>
      </c>
      <c r="D301" s="1289">
        <f>VLOOKUP($A301,'Accounts by GL'!$C$6:$O$528,2,FALSE)</f>
        <v>0</v>
      </c>
      <c r="E301" s="1289">
        <f>VLOOKUP($A301,'Accounts by GL'!$C$6:$O$528,3,FALSE)</f>
        <v>0</v>
      </c>
      <c r="F301" s="1289">
        <f>VLOOKUP($A301,'Accounts by GL'!$C$6:$O$528,4,FALSE)</f>
        <v>0</v>
      </c>
      <c r="G301" s="1289">
        <f>VLOOKUP($A301,'Accounts by GL'!$C$6:$O$528,5,FALSE)</f>
        <v>0</v>
      </c>
      <c r="H301" s="1289">
        <f>VLOOKUP($A301,'Accounts by GL'!$C$6:$O$528,6,FALSE)</f>
        <v>0</v>
      </c>
      <c r="I301" s="1289">
        <f>VLOOKUP($A301,'Accounts by GL'!$C$6:$O$528,7,FALSE)</f>
        <v>0</v>
      </c>
      <c r="J301" s="1289">
        <f>VLOOKUP($A301,'Accounts by GL'!$C$6:$O$528,8,FALSE)</f>
        <v>0</v>
      </c>
      <c r="K301" s="1289">
        <f>VLOOKUP($A301,'Accounts by GL'!$C$6:$O$528,9,FALSE)</f>
        <v>0</v>
      </c>
      <c r="L301" s="1289">
        <f>VLOOKUP($A301,'Accounts by GL'!$C$6:$O$528,10,FALSE)</f>
        <v>0</v>
      </c>
      <c r="M301" s="1289">
        <f>VLOOKUP($A301,'Accounts by GL'!$C$6:$O$528,12,FALSE)</f>
        <v>0</v>
      </c>
    </row>
    <row r="302" spans="1:13">
      <c r="A302" s="1293" t="s">
        <v>1878</v>
      </c>
      <c r="B302" s="1287" t="str">
        <f t="shared" si="4"/>
        <v>SAMPLE STATE COLLEGE</v>
      </c>
      <c r="C302" s="1294" t="s">
        <v>1878</v>
      </c>
      <c r="D302" s="1289">
        <f>VLOOKUP($A302,'Accounts by GL'!$C$6:$O$528,2,FALSE)</f>
        <v>0</v>
      </c>
      <c r="E302" s="1289">
        <f>VLOOKUP($A302,'Accounts by GL'!$C$6:$O$528,3,FALSE)</f>
        <v>0</v>
      </c>
      <c r="F302" s="1289">
        <f>VLOOKUP($A302,'Accounts by GL'!$C$6:$O$528,4,FALSE)</f>
        <v>0</v>
      </c>
      <c r="G302" s="1289">
        <f>VLOOKUP($A302,'Accounts by GL'!$C$6:$O$528,5,FALSE)</f>
        <v>0</v>
      </c>
      <c r="H302" s="1289">
        <f>VLOOKUP($A302,'Accounts by GL'!$C$6:$O$528,6,FALSE)</f>
        <v>0</v>
      </c>
      <c r="I302" s="1289">
        <f>VLOOKUP($A302,'Accounts by GL'!$C$6:$O$528,7,FALSE)</f>
        <v>0</v>
      </c>
      <c r="J302" s="1289">
        <f>VLOOKUP($A302,'Accounts by GL'!$C$6:$O$528,8,FALSE)</f>
        <v>0</v>
      </c>
      <c r="K302" s="1289">
        <f>VLOOKUP($A302,'Accounts by GL'!$C$6:$O$528,9,FALSE)</f>
        <v>0</v>
      </c>
      <c r="L302" s="1289">
        <f>VLOOKUP($A302,'Accounts by GL'!$C$6:$O$528,10,FALSE)</f>
        <v>0</v>
      </c>
      <c r="M302" s="1289">
        <f>VLOOKUP($A302,'Accounts by GL'!$C$6:$O$528,12,FALSE)</f>
        <v>0</v>
      </c>
    </row>
    <row r="303" spans="1:13">
      <c r="A303" s="1293" t="s">
        <v>1881</v>
      </c>
      <c r="B303" s="1287" t="str">
        <f t="shared" si="4"/>
        <v>SAMPLE STATE COLLEGE</v>
      </c>
      <c r="C303" s="1294" t="s">
        <v>1881</v>
      </c>
      <c r="D303" s="1289">
        <f>VLOOKUP($A303,'Accounts by GL'!$C$6:$O$528,2,FALSE)</f>
        <v>0</v>
      </c>
      <c r="E303" s="1289">
        <f>VLOOKUP($A303,'Accounts by GL'!$C$6:$O$528,3,FALSE)</f>
        <v>0</v>
      </c>
      <c r="F303" s="1289">
        <f>VLOOKUP($A303,'Accounts by GL'!$C$6:$O$528,4,FALSE)</f>
        <v>0</v>
      </c>
      <c r="G303" s="1289">
        <f>VLOOKUP($A303,'Accounts by GL'!$C$6:$O$528,5,FALSE)</f>
        <v>0</v>
      </c>
      <c r="H303" s="1289">
        <f>VLOOKUP($A303,'Accounts by GL'!$C$6:$O$528,6,FALSE)</f>
        <v>0</v>
      </c>
      <c r="I303" s="1289">
        <f>VLOOKUP($A303,'Accounts by GL'!$C$6:$O$528,7,FALSE)</f>
        <v>0</v>
      </c>
      <c r="J303" s="1289">
        <f>VLOOKUP($A303,'Accounts by GL'!$C$6:$O$528,8,FALSE)</f>
        <v>0</v>
      </c>
      <c r="K303" s="1289">
        <f>VLOOKUP($A303,'Accounts by GL'!$C$6:$O$528,9,FALSE)</f>
        <v>0</v>
      </c>
      <c r="L303" s="1289">
        <f>VLOOKUP($A303,'Accounts by GL'!$C$6:$O$528,10,FALSE)</f>
        <v>0</v>
      </c>
      <c r="M303" s="1289">
        <f>VLOOKUP($A303,'Accounts by GL'!$C$6:$O$528,12,FALSE)</f>
        <v>0</v>
      </c>
    </row>
    <row r="304" spans="1:13">
      <c r="A304" s="1293" t="s">
        <v>1884</v>
      </c>
      <c r="B304" s="1287" t="str">
        <f t="shared" si="4"/>
        <v>SAMPLE STATE COLLEGE</v>
      </c>
      <c r="C304" s="1294" t="s">
        <v>1884</v>
      </c>
      <c r="D304" s="1289">
        <f>VLOOKUP($A304,'Accounts by GL'!$C$6:$O$528,2,FALSE)</f>
        <v>0</v>
      </c>
      <c r="E304" s="1289">
        <f>VLOOKUP($A304,'Accounts by GL'!$C$6:$O$528,3,FALSE)</f>
        <v>0</v>
      </c>
      <c r="F304" s="1289">
        <f>VLOOKUP($A304,'Accounts by GL'!$C$6:$O$528,4,FALSE)</f>
        <v>0</v>
      </c>
      <c r="G304" s="1289">
        <f>VLOOKUP($A304,'Accounts by GL'!$C$6:$O$528,5,FALSE)</f>
        <v>0</v>
      </c>
      <c r="H304" s="1289">
        <f>VLOOKUP($A304,'Accounts by GL'!$C$6:$O$528,6,FALSE)</f>
        <v>0</v>
      </c>
      <c r="I304" s="1289">
        <f>VLOOKUP($A304,'Accounts by GL'!$C$6:$O$528,7,FALSE)</f>
        <v>0</v>
      </c>
      <c r="J304" s="1289">
        <f>VLOOKUP($A304,'Accounts by GL'!$C$6:$O$528,8,FALSE)</f>
        <v>0</v>
      </c>
      <c r="K304" s="1289">
        <f>VLOOKUP($A304,'Accounts by GL'!$C$6:$O$528,9,FALSE)</f>
        <v>0</v>
      </c>
      <c r="L304" s="1289">
        <f>VLOOKUP($A304,'Accounts by GL'!$C$6:$O$528,10,FALSE)</f>
        <v>0</v>
      </c>
      <c r="M304" s="1289">
        <f>VLOOKUP($A304,'Accounts by GL'!$C$6:$O$528,12,FALSE)</f>
        <v>0</v>
      </c>
    </row>
    <row r="305" spans="1:13">
      <c r="A305" s="1293" t="s">
        <v>1887</v>
      </c>
      <c r="B305" s="1287" t="str">
        <f t="shared" si="4"/>
        <v>SAMPLE STATE COLLEGE</v>
      </c>
      <c r="C305" s="1294" t="s">
        <v>1887</v>
      </c>
      <c r="D305" s="1289">
        <f>VLOOKUP($A305,'Accounts by GL'!$C$6:$O$528,2,FALSE)</f>
        <v>0</v>
      </c>
      <c r="E305" s="1289">
        <f>VLOOKUP($A305,'Accounts by GL'!$C$6:$O$528,3,FALSE)</f>
        <v>0</v>
      </c>
      <c r="F305" s="1289">
        <f>VLOOKUP($A305,'Accounts by GL'!$C$6:$O$528,4,FALSE)</f>
        <v>0</v>
      </c>
      <c r="G305" s="1289">
        <f>VLOOKUP($A305,'Accounts by GL'!$C$6:$O$528,5,FALSE)</f>
        <v>0</v>
      </c>
      <c r="H305" s="1289">
        <f>VLOOKUP($A305,'Accounts by GL'!$C$6:$O$528,6,FALSE)</f>
        <v>0</v>
      </c>
      <c r="I305" s="1289">
        <f>VLOOKUP($A305,'Accounts by GL'!$C$6:$O$528,7,FALSE)</f>
        <v>0</v>
      </c>
      <c r="J305" s="1289">
        <f>VLOOKUP($A305,'Accounts by GL'!$C$6:$O$528,8,FALSE)</f>
        <v>0</v>
      </c>
      <c r="K305" s="1289">
        <f>VLOOKUP($A305,'Accounts by GL'!$C$6:$O$528,9,FALSE)</f>
        <v>0</v>
      </c>
      <c r="L305" s="1289">
        <f>VLOOKUP($A305,'Accounts by GL'!$C$6:$O$528,10,FALSE)</f>
        <v>0</v>
      </c>
      <c r="M305" s="1289">
        <f>VLOOKUP($A305,'Accounts by GL'!$C$6:$O$528,12,FALSE)</f>
        <v>0</v>
      </c>
    </row>
    <row r="306" spans="1:13">
      <c r="A306" s="1293" t="s">
        <v>1890</v>
      </c>
      <c r="B306" s="1287" t="str">
        <f t="shared" si="4"/>
        <v>SAMPLE STATE COLLEGE</v>
      </c>
      <c r="C306" s="1294" t="s">
        <v>1890</v>
      </c>
      <c r="D306" s="1289">
        <f>VLOOKUP($A306,'Accounts by GL'!$C$6:$O$528,2,FALSE)</f>
        <v>0</v>
      </c>
      <c r="E306" s="1289">
        <f>VLOOKUP($A306,'Accounts by GL'!$C$6:$O$528,3,FALSE)</f>
        <v>0</v>
      </c>
      <c r="F306" s="1289">
        <f>VLOOKUP($A306,'Accounts by GL'!$C$6:$O$528,4,FALSE)</f>
        <v>0</v>
      </c>
      <c r="G306" s="1289">
        <f>VLOOKUP($A306,'Accounts by GL'!$C$6:$O$528,5,FALSE)</f>
        <v>0</v>
      </c>
      <c r="H306" s="1289">
        <f>VLOOKUP($A306,'Accounts by GL'!$C$6:$O$528,6,FALSE)</f>
        <v>0</v>
      </c>
      <c r="I306" s="1289">
        <f>VLOOKUP($A306,'Accounts by GL'!$C$6:$O$528,7,FALSE)</f>
        <v>0</v>
      </c>
      <c r="J306" s="1289">
        <f>VLOOKUP($A306,'Accounts by GL'!$C$6:$O$528,8,FALSE)</f>
        <v>0</v>
      </c>
      <c r="K306" s="1289">
        <f>VLOOKUP($A306,'Accounts by GL'!$C$6:$O$528,9,FALSE)</f>
        <v>0</v>
      </c>
      <c r="L306" s="1289">
        <f>VLOOKUP($A306,'Accounts by GL'!$C$6:$O$528,10,FALSE)</f>
        <v>0</v>
      </c>
      <c r="M306" s="1289">
        <f>VLOOKUP($A306,'Accounts by GL'!$C$6:$O$528,12,FALSE)</f>
        <v>0</v>
      </c>
    </row>
    <row r="307" spans="1:13">
      <c r="A307" s="1293" t="s">
        <v>1893</v>
      </c>
      <c r="B307" s="1287" t="str">
        <f t="shared" si="4"/>
        <v>SAMPLE STATE COLLEGE</v>
      </c>
      <c r="C307" s="1294" t="s">
        <v>1893</v>
      </c>
      <c r="D307" s="1289">
        <f>VLOOKUP($A307,'Accounts by GL'!$C$6:$O$528,2,FALSE)</f>
        <v>0</v>
      </c>
      <c r="E307" s="1289">
        <f>VLOOKUP($A307,'Accounts by GL'!$C$6:$O$528,3,FALSE)</f>
        <v>0</v>
      </c>
      <c r="F307" s="1289">
        <f>VLOOKUP($A307,'Accounts by GL'!$C$6:$O$528,4,FALSE)</f>
        <v>0</v>
      </c>
      <c r="G307" s="1289">
        <f>VLOOKUP($A307,'Accounts by GL'!$C$6:$O$528,5,FALSE)</f>
        <v>0</v>
      </c>
      <c r="H307" s="1289">
        <f>VLOOKUP($A307,'Accounts by GL'!$C$6:$O$528,6,FALSE)</f>
        <v>0</v>
      </c>
      <c r="I307" s="1289">
        <f>VLOOKUP($A307,'Accounts by GL'!$C$6:$O$528,7,FALSE)</f>
        <v>0</v>
      </c>
      <c r="J307" s="1289">
        <f>VLOOKUP($A307,'Accounts by GL'!$C$6:$O$528,8,FALSE)</f>
        <v>0</v>
      </c>
      <c r="K307" s="1289">
        <f>VLOOKUP($A307,'Accounts by GL'!$C$6:$O$528,9,FALSE)</f>
        <v>0</v>
      </c>
      <c r="L307" s="1289">
        <f>VLOOKUP($A307,'Accounts by GL'!$C$6:$O$528,10,FALSE)</f>
        <v>0</v>
      </c>
      <c r="M307" s="1289">
        <f>VLOOKUP($A307,'Accounts by GL'!$C$6:$O$528,12,FALSE)</f>
        <v>0</v>
      </c>
    </row>
    <row r="308" spans="1:13">
      <c r="A308" s="1293" t="s">
        <v>1896</v>
      </c>
      <c r="B308" s="1287" t="str">
        <f t="shared" si="4"/>
        <v>SAMPLE STATE COLLEGE</v>
      </c>
      <c r="C308" s="1294" t="s">
        <v>1896</v>
      </c>
      <c r="D308" s="1289">
        <f>VLOOKUP($A308,'Accounts by GL'!$C$6:$O$528,2,FALSE)</f>
        <v>0</v>
      </c>
      <c r="E308" s="1289">
        <f>VLOOKUP($A308,'Accounts by GL'!$C$6:$O$528,3,FALSE)</f>
        <v>0</v>
      </c>
      <c r="F308" s="1289">
        <f>VLOOKUP($A308,'Accounts by GL'!$C$6:$O$528,4,FALSE)</f>
        <v>0</v>
      </c>
      <c r="G308" s="1289">
        <f>VLOOKUP($A308,'Accounts by GL'!$C$6:$O$528,5,FALSE)</f>
        <v>0</v>
      </c>
      <c r="H308" s="1289">
        <f>VLOOKUP($A308,'Accounts by GL'!$C$6:$O$528,6,FALSE)</f>
        <v>0</v>
      </c>
      <c r="I308" s="1289">
        <f>VLOOKUP($A308,'Accounts by GL'!$C$6:$O$528,7,FALSE)</f>
        <v>0</v>
      </c>
      <c r="J308" s="1289">
        <f>VLOOKUP($A308,'Accounts by GL'!$C$6:$O$528,8,FALSE)</f>
        <v>0</v>
      </c>
      <c r="K308" s="1289">
        <f>VLOOKUP($A308,'Accounts by GL'!$C$6:$O$528,9,FALSE)</f>
        <v>0</v>
      </c>
      <c r="L308" s="1289">
        <f>VLOOKUP($A308,'Accounts by GL'!$C$6:$O$528,10,FALSE)</f>
        <v>0</v>
      </c>
      <c r="M308" s="1289">
        <f>VLOOKUP($A308,'Accounts by GL'!$C$6:$O$528,12,FALSE)</f>
        <v>0</v>
      </c>
    </row>
    <row r="309" spans="1:13">
      <c r="A309" s="1293" t="s">
        <v>1899</v>
      </c>
      <c r="B309" s="1287" t="str">
        <f t="shared" si="4"/>
        <v>SAMPLE STATE COLLEGE</v>
      </c>
      <c r="C309" s="1294" t="s">
        <v>1899</v>
      </c>
      <c r="D309" s="1289">
        <f>VLOOKUP($A309,'Accounts by GL'!$C$6:$O$528,2,FALSE)</f>
        <v>0</v>
      </c>
      <c r="E309" s="1289">
        <f>VLOOKUP($A309,'Accounts by GL'!$C$6:$O$528,3,FALSE)</f>
        <v>0</v>
      </c>
      <c r="F309" s="1289">
        <f>VLOOKUP($A309,'Accounts by GL'!$C$6:$O$528,4,FALSE)</f>
        <v>0</v>
      </c>
      <c r="G309" s="1289">
        <f>VLOOKUP($A309,'Accounts by GL'!$C$6:$O$528,5,FALSE)</f>
        <v>0</v>
      </c>
      <c r="H309" s="1289">
        <f>VLOOKUP($A309,'Accounts by GL'!$C$6:$O$528,6,FALSE)</f>
        <v>0</v>
      </c>
      <c r="I309" s="1289">
        <f>VLOOKUP($A309,'Accounts by GL'!$C$6:$O$528,7,FALSE)</f>
        <v>0</v>
      </c>
      <c r="J309" s="1289">
        <f>VLOOKUP($A309,'Accounts by GL'!$C$6:$O$528,8,FALSE)</f>
        <v>0</v>
      </c>
      <c r="K309" s="1289">
        <f>VLOOKUP($A309,'Accounts by GL'!$C$6:$O$528,9,FALSE)</f>
        <v>0</v>
      </c>
      <c r="L309" s="1289">
        <f>VLOOKUP($A309,'Accounts by GL'!$C$6:$O$528,10,FALSE)</f>
        <v>0</v>
      </c>
      <c r="M309" s="1289">
        <f>VLOOKUP($A309,'Accounts by GL'!$C$6:$O$528,12,FALSE)</f>
        <v>0</v>
      </c>
    </row>
    <row r="310" spans="1:13">
      <c r="A310" s="1293" t="s">
        <v>1902</v>
      </c>
      <c r="B310" s="1287" t="str">
        <f t="shared" si="4"/>
        <v>SAMPLE STATE COLLEGE</v>
      </c>
      <c r="C310" s="1294" t="s">
        <v>1902</v>
      </c>
      <c r="D310" s="1289">
        <f>VLOOKUP($A310,'Accounts by GL'!$C$6:$O$528,2,FALSE)</f>
        <v>0</v>
      </c>
      <c r="E310" s="1289">
        <f>VLOOKUP($A310,'Accounts by GL'!$C$6:$O$528,3,FALSE)</f>
        <v>0</v>
      </c>
      <c r="F310" s="1289">
        <f>VLOOKUP($A310,'Accounts by GL'!$C$6:$O$528,4,FALSE)</f>
        <v>0</v>
      </c>
      <c r="G310" s="1289">
        <f>VLOOKUP($A310,'Accounts by GL'!$C$6:$O$528,5,FALSE)</f>
        <v>0</v>
      </c>
      <c r="H310" s="1289">
        <f>VLOOKUP($A310,'Accounts by GL'!$C$6:$O$528,6,FALSE)</f>
        <v>0</v>
      </c>
      <c r="I310" s="1289">
        <f>VLOOKUP($A310,'Accounts by GL'!$C$6:$O$528,7,FALSE)</f>
        <v>0</v>
      </c>
      <c r="J310" s="1289">
        <f>VLOOKUP($A310,'Accounts by GL'!$C$6:$O$528,8,FALSE)</f>
        <v>0</v>
      </c>
      <c r="K310" s="1289">
        <f>VLOOKUP($A310,'Accounts by GL'!$C$6:$O$528,9,FALSE)</f>
        <v>0</v>
      </c>
      <c r="L310" s="1289">
        <f>VLOOKUP($A310,'Accounts by GL'!$C$6:$O$528,10,FALSE)</f>
        <v>0</v>
      </c>
      <c r="M310" s="1289">
        <f>VLOOKUP($A310,'Accounts by GL'!$C$6:$O$528,12,FALSE)</f>
        <v>0</v>
      </c>
    </row>
    <row r="311" spans="1:13">
      <c r="A311" s="1293" t="s">
        <v>1905</v>
      </c>
      <c r="B311" s="1287" t="str">
        <f t="shared" si="4"/>
        <v>SAMPLE STATE COLLEGE</v>
      </c>
      <c r="C311" s="1294" t="s">
        <v>1905</v>
      </c>
      <c r="D311" s="1289">
        <f>VLOOKUP($A311,'Accounts by GL'!$C$6:$O$528,2,FALSE)</f>
        <v>0</v>
      </c>
      <c r="E311" s="1289">
        <f>VLOOKUP($A311,'Accounts by GL'!$C$6:$O$528,3,FALSE)</f>
        <v>0</v>
      </c>
      <c r="F311" s="1289">
        <f>VLOOKUP($A311,'Accounts by GL'!$C$6:$O$528,4,FALSE)</f>
        <v>0</v>
      </c>
      <c r="G311" s="1289">
        <f>VLOOKUP($A311,'Accounts by GL'!$C$6:$O$528,5,FALSE)</f>
        <v>0</v>
      </c>
      <c r="H311" s="1289">
        <f>VLOOKUP($A311,'Accounts by GL'!$C$6:$O$528,6,FALSE)</f>
        <v>0</v>
      </c>
      <c r="I311" s="1289">
        <f>VLOOKUP($A311,'Accounts by GL'!$C$6:$O$528,7,FALSE)</f>
        <v>0</v>
      </c>
      <c r="J311" s="1289">
        <f>VLOOKUP($A311,'Accounts by GL'!$C$6:$O$528,8,FALSE)</f>
        <v>0</v>
      </c>
      <c r="K311" s="1289">
        <f>VLOOKUP($A311,'Accounts by GL'!$C$6:$O$528,9,FALSE)</f>
        <v>0</v>
      </c>
      <c r="L311" s="1289">
        <f>VLOOKUP($A311,'Accounts by GL'!$C$6:$O$528,10,FALSE)</f>
        <v>0</v>
      </c>
      <c r="M311" s="1289">
        <f>VLOOKUP($A311,'Accounts by GL'!$C$6:$O$528,12,FALSE)</f>
        <v>0</v>
      </c>
    </row>
    <row r="312" spans="1:13">
      <c r="A312" s="1293" t="s">
        <v>1908</v>
      </c>
      <c r="B312" s="1287" t="str">
        <f t="shared" si="4"/>
        <v>SAMPLE STATE COLLEGE</v>
      </c>
      <c r="C312" s="1294" t="s">
        <v>1908</v>
      </c>
      <c r="D312" s="1289">
        <f>VLOOKUP($A312,'Accounts by GL'!$C$6:$O$528,2,FALSE)</f>
        <v>0</v>
      </c>
      <c r="E312" s="1289">
        <f>VLOOKUP($A312,'Accounts by GL'!$C$6:$O$528,3,FALSE)</f>
        <v>0</v>
      </c>
      <c r="F312" s="1289">
        <f>VLOOKUP($A312,'Accounts by GL'!$C$6:$O$528,4,FALSE)</f>
        <v>0</v>
      </c>
      <c r="G312" s="1289">
        <f>VLOOKUP($A312,'Accounts by GL'!$C$6:$O$528,5,FALSE)</f>
        <v>0</v>
      </c>
      <c r="H312" s="1289">
        <f>VLOOKUP($A312,'Accounts by GL'!$C$6:$O$528,6,FALSE)</f>
        <v>0</v>
      </c>
      <c r="I312" s="1289">
        <f>VLOOKUP($A312,'Accounts by GL'!$C$6:$O$528,7,FALSE)</f>
        <v>0</v>
      </c>
      <c r="J312" s="1289">
        <f>VLOOKUP($A312,'Accounts by GL'!$C$6:$O$528,8,FALSE)</f>
        <v>0</v>
      </c>
      <c r="K312" s="1289">
        <f>VLOOKUP($A312,'Accounts by GL'!$C$6:$O$528,9,FALSE)</f>
        <v>0</v>
      </c>
      <c r="L312" s="1289">
        <f>VLOOKUP($A312,'Accounts by GL'!$C$6:$O$528,10,FALSE)</f>
        <v>0</v>
      </c>
      <c r="M312" s="1289">
        <f>VLOOKUP($A312,'Accounts by GL'!$C$6:$O$528,12,FALSE)</f>
        <v>0</v>
      </c>
    </row>
    <row r="313" spans="1:13">
      <c r="A313" s="1293" t="s">
        <v>1911</v>
      </c>
      <c r="B313" s="1287" t="str">
        <f t="shared" si="4"/>
        <v>SAMPLE STATE COLLEGE</v>
      </c>
      <c r="C313" s="1294" t="s">
        <v>1911</v>
      </c>
      <c r="D313" s="1289">
        <f>VLOOKUP($A313,'Accounts by GL'!$C$6:$O$528,2,FALSE)</f>
        <v>0</v>
      </c>
      <c r="E313" s="1289">
        <f>VLOOKUP($A313,'Accounts by GL'!$C$6:$O$528,3,FALSE)</f>
        <v>0</v>
      </c>
      <c r="F313" s="1289">
        <f>VLOOKUP($A313,'Accounts by GL'!$C$6:$O$528,4,FALSE)</f>
        <v>0</v>
      </c>
      <c r="G313" s="1289">
        <f>VLOOKUP($A313,'Accounts by GL'!$C$6:$O$528,5,FALSE)</f>
        <v>0</v>
      </c>
      <c r="H313" s="1289">
        <f>VLOOKUP($A313,'Accounts by GL'!$C$6:$O$528,6,FALSE)</f>
        <v>0</v>
      </c>
      <c r="I313" s="1289">
        <f>VLOOKUP($A313,'Accounts by GL'!$C$6:$O$528,7,FALSE)</f>
        <v>0</v>
      </c>
      <c r="J313" s="1289">
        <f>VLOOKUP($A313,'Accounts by GL'!$C$6:$O$528,8,FALSE)</f>
        <v>0</v>
      </c>
      <c r="K313" s="1289">
        <f>VLOOKUP($A313,'Accounts by GL'!$C$6:$O$528,9,FALSE)</f>
        <v>0</v>
      </c>
      <c r="L313" s="1289">
        <f>VLOOKUP($A313,'Accounts by GL'!$C$6:$O$528,10,FALSE)</f>
        <v>0</v>
      </c>
      <c r="M313" s="1289">
        <f>VLOOKUP($A313,'Accounts by GL'!$C$6:$O$528,12,FALSE)</f>
        <v>0</v>
      </c>
    </row>
    <row r="314" spans="1:13">
      <c r="A314" s="1293" t="s">
        <v>1914</v>
      </c>
      <c r="B314" s="1287" t="str">
        <f t="shared" si="4"/>
        <v>SAMPLE STATE COLLEGE</v>
      </c>
      <c r="C314" s="1294" t="s">
        <v>1914</v>
      </c>
      <c r="D314" s="1289">
        <f>VLOOKUP($A314,'Accounts by GL'!$C$6:$O$528,2,FALSE)</f>
        <v>0</v>
      </c>
      <c r="E314" s="1289">
        <f>VLOOKUP($A314,'Accounts by GL'!$C$6:$O$528,3,FALSE)</f>
        <v>0</v>
      </c>
      <c r="F314" s="1289">
        <f>VLOOKUP($A314,'Accounts by GL'!$C$6:$O$528,4,FALSE)</f>
        <v>0</v>
      </c>
      <c r="G314" s="1289">
        <f>VLOOKUP($A314,'Accounts by GL'!$C$6:$O$528,5,FALSE)</f>
        <v>0</v>
      </c>
      <c r="H314" s="1289">
        <f>VLOOKUP($A314,'Accounts by GL'!$C$6:$O$528,6,FALSE)</f>
        <v>0</v>
      </c>
      <c r="I314" s="1289">
        <f>VLOOKUP($A314,'Accounts by GL'!$C$6:$O$528,7,FALSE)</f>
        <v>0</v>
      </c>
      <c r="J314" s="1289">
        <f>VLOOKUP($A314,'Accounts by GL'!$C$6:$O$528,8,FALSE)</f>
        <v>0</v>
      </c>
      <c r="K314" s="1289">
        <f>VLOOKUP($A314,'Accounts by GL'!$C$6:$O$528,9,FALSE)</f>
        <v>0</v>
      </c>
      <c r="L314" s="1289">
        <f>VLOOKUP($A314,'Accounts by GL'!$C$6:$O$528,10,FALSE)</f>
        <v>0</v>
      </c>
      <c r="M314" s="1289">
        <f>VLOOKUP($A314,'Accounts by GL'!$C$6:$O$528,12,FALSE)</f>
        <v>0</v>
      </c>
    </row>
    <row r="315" spans="1:13">
      <c r="A315" s="1293" t="s">
        <v>1917</v>
      </c>
      <c r="B315" s="1287" t="str">
        <f t="shared" si="4"/>
        <v>SAMPLE STATE COLLEGE</v>
      </c>
      <c r="C315" s="1294" t="s">
        <v>1917</v>
      </c>
      <c r="D315" s="1289">
        <f>VLOOKUP($A315,'Accounts by GL'!$C$6:$O$528,2,FALSE)</f>
        <v>0</v>
      </c>
      <c r="E315" s="1289">
        <f>VLOOKUP($A315,'Accounts by GL'!$C$6:$O$528,3,FALSE)</f>
        <v>0</v>
      </c>
      <c r="F315" s="1289">
        <f>VLOOKUP($A315,'Accounts by GL'!$C$6:$O$528,4,FALSE)</f>
        <v>0</v>
      </c>
      <c r="G315" s="1289">
        <f>VLOOKUP($A315,'Accounts by GL'!$C$6:$O$528,5,FALSE)</f>
        <v>0</v>
      </c>
      <c r="H315" s="1289">
        <f>VLOOKUP($A315,'Accounts by GL'!$C$6:$O$528,6,FALSE)</f>
        <v>0</v>
      </c>
      <c r="I315" s="1289">
        <f>VLOOKUP($A315,'Accounts by GL'!$C$6:$O$528,7,FALSE)</f>
        <v>0</v>
      </c>
      <c r="J315" s="1289">
        <f>VLOOKUP($A315,'Accounts by GL'!$C$6:$O$528,8,FALSE)</f>
        <v>0</v>
      </c>
      <c r="K315" s="1289">
        <f>VLOOKUP($A315,'Accounts by GL'!$C$6:$O$528,9,FALSE)</f>
        <v>0</v>
      </c>
      <c r="L315" s="1289">
        <f>VLOOKUP($A315,'Accounts by GL'!$C$6:$O$528,10,FALSE)</f>
        <v>0</v>
      </c>
      <c r="M315" s="1289">
        <f>VLOOKUP($A315,'Accounts by GL'!$C$6:$O$528,12,FALSE)</f>
        <v>0</v>
      </c>
    </row>
    <row r="316" spans="1:13">
      <c r="A316" s="1293" t="s">
        <v>1920</v>
      </c>
      <c r="B316" s="1287" t="str">
        <f t="shared" si="4"/>
        <v>SAMPLE STATE COLLEGE</v>
      </c>
      <c r="C316" s="1294" t="s">
        <v>1920</v>
      </c>
      <c r="D316" s="1289">
        <f>VLOOKUP($A316,'Accounts by GL'!$C$6:$O$528,2,FALSE)</f>
        <v>0</v>
      </c>
      <c r="E316" s="1289">
        <f>VLOOKUP($A316,'Accounts by GL'!$C$6:$O$528,3,FALSE)</f>
        <v>0</v>
      </c>
      <c r="F316" s="1289">
        <f>VLOOKUP($A316,'Accounts by GL'!$C$6:$O$528,4,FALSE)</f>
        <v>0</v>
      </c>
      <c r="G316" s="1289">
        <f>VLOOKUP($A316,'Accounts by GL'!$C$6:$O$528,5,FALSE)</f>
        <v>0</v>
      </c>
      <c r="H316" s="1289">
        <f>VLOOKUP($A316,'Accounts by GL'!$C$6:$O$528,6,FALSE)</f>
        <v>0</v>
      </c>
      <c r="I316" s="1289">
        <f>VLOOKUP($A316,'Accounts by GL'!$C$6:$O$528,7,FALSE)</f>
        <v>0</v>
      </c>
      <c r="J316" s="1289">
        <f>VLOOKUP($A316,'Accounts by GL'!$C$6:$O$528,8,FALSE)</f>
        <v>0</v>
      </c>
      <c r="K316" s="1289">
        <f>VLOOKUP($A316,'Accounts by GL'!$C$6:$O$528,9,FALSE)</f>
        <v>0</v>
      </c>
      <c r="L316" s="1289">
        <f>VLOOKUP($A316,'Accounts by GL'!$C$6:$O$528,10,FALSE)</f>
        <v>0</v>
      </c>
      <c r="M316" s="1289">
        <f>VLOOKUP($A316,'Accounts by GL'!$C$6:$O$528,12,FALSE)</f>
        <v>0</v>
      </c>
    </row>
    <row r="317" spans="1:13">
      <c r="A317" s="1293" t="s">
        <v>1923</v>
      </c>
      <c r="B317" s="1287" t="str">
        <f t="shared" si="4"/>
        <v>SAMPLE STATE COLLEGE</v>
      </c>
      <c r="C317" s="1294" t="s">
        <v>1923</v>
      </c>
      <c r="D317" s="1289">
        <f>VLOOKUP($A317,'Accounts by GL'!$C$6:$O$528,2,FALSE)</f>
        <v>0</v>
      </c>
      <c r="E317" s="1289">
        <f>VLOOKUP($A317,'Accounts by GL'!$C$6:$O$528,3,FALSE)</f>
        <v>0</v>
      </c>
      <c r="F317" s="1289">
        <f>VLOOKUP($A317,'Accounts by GL'!$C$6:$O$528,4,FALSE)</f>
        <v>0</v>
      </c>
      <c r="G317" s="1289">
        <f>VLOOKUP($A317,'Accounts by GL'!$C$6:$O$528,5,FALSE)</f>
        <v>0</v>
      </c>
      <c r="H317" s="1289">
        <f>VLOOKUP($A317,'Accounts by GL'!$C$6:$O$528,6,FALSE)</f>
        <v>0</v>
      </c>
      <c r="I317" s="1289">
        <f>VLOOKUP($A317,'Accounts by GL'!$C$6:$O$528,7,FALSE)</f>
        <v>0</v>
      </c>
      <c r="J317" s="1289">
        <f>VLOOKUP($A317,'Accounts by GL'!$C$6:$O$528,8,FALSE)</f>
        <v>0</v>
      </c>
      <c r="K317" s="1289">
        <f>VLOOKUP($A317,'Accounts by GL'!$C$6:$O$528,9,FALSE)</f>
        <v>0</v>
      </c>
      <c r="L317" s="1289">
        <f>VLOOKUP($A317,'Accounts by GL'!$C$6:$O$528,10,FALSE)</f>
        <v>0</v>
      </c>
      <c r="M317" s="1289">
        <f>VLOOKUP($A317,'Accounts by GL'!$C$6:$O$528,12,FALSE)</f>
        <v>0</v>
      </c>
    </row>
    <row r="318" spans="1:13">
      <c r="A318" s="1293" t="s">
        <v>1926</v>
      </c>
      <c r="B318" s="1287" t="str">
        <f t="shared" si="4"/>
        <v>SAMPLE STATE COLLEGE</v>
      </c>
      <c r="C318" s="1294" t="s">
        <v>1926</v>
      </c>
      <c r="D318" s="1289">
        <f>VLOOKUP($A318,'Accounts by GL'!$C$6:$O$528,2,FALSE)</f>
        <v>0</v>
      </c>
      <c r="E318" s="1289">
        <f>VLOOKUP($A318,'Accounts by GL'!$C$6:$O$528,3,FALSE)</f>
        <v>0</v>
      </c>
      <c r="F318" s="1289">
        <f>VLOOKUP($A318,'Accounts by GL'!$C$6:$O$528,4,FALSE)</f>
        <v>0</v>
      </c>
      <c r="G318" s="1289">
        <f>VLOOKUP($A318,'Accounts by GL'!$C$6:$O$528,5,FALSE)</f>
        <v>0</v>
      </c>
      <c r="H318" s="1289">
        <f>VLOOKUP($A318,'Accounts by GL'!$C$6:$O$528,6,FALSE)</f>
        <v>0</v>
      </c>
      <c r="I318" s="1289">
        <f>VLOOKUP($A318,'Accounts by GL'!$C$6:$O$528,7,FALSE)</f>
        <v>0</v>
      </c>
      <c r="J318" s="1289">
        <f>VLOOKUP($A318,'Accounts by GL'!$C$6:$O$528,8,FALSE)</f>
        <v>0</v>
      </c>
      <c r="K318" s="1289">
        <f>VLOOKUP($A318,'Accounts by GL'!$C$6:$O$528,9,FALSE)</f>
        <v>0</v>
      </c>
      <c r="L318" s="1289">
        <f>VLOOKUP($A318,'Accounts by GL'!$C$6:$O$528,10,FALSE)</f>
        <v>0</v>
      </c>
      <c r="M318" s="1289">
        <f>VLOOKUP($A318,'Accounts by GL'!$C$6:$O$528,12,FALSE)</f>
        <v>0</v>
      </c>
    </row>
    <row r="319" spans="1:13">
      <c r="A319" s="1293" t="s">
        <v>1929</v>
      </c>
      <c r="B319" s="1287" t="str">
        <f t="shared" si="4"/>
        <v>SAMPLE STATE COLLEGE</v>
      </c>
      <c r="C319" s="1294" t="s">
        <v>1929</v>
      </c>
      <c r="D319" s="1289">
        <f>VLOOKUP($A319,'Accounts by GL'!$C$6:$O$528,2,FALSE)</f>
        <v>0</v>
      </c>
      <c r="E319" s="1289">
        <f>VLOOKUP($A319,'Accounts by GL'!$C$6:$O$528,3,FALSE)</f>
        <v>0</v>
      </c>
      <c r="F319" s="1289">
        <f>VLOOKUP($A319,'Accounts by GL'!$C$6:$O$528,4,FALSE)</f>
        <v>0</v>
      </c>
      <c r="G319" s="1289">
        <f>VLOOKUP($A319,'Accounts by GL'!$C$6:$O$528,5,FALSE)</f>
        <v>0</v>
      </c>
      <c r="H319" s="1289">
        <f>VLOOKUP($A319,'Accounts by GL'!$C$6:$O$528,6,FALSE)</f>
        <v>0</v>
      </c>
      <c r="I319" s="1289">
        <f>VLOOKUP($A319,'Accounts by GL'!$C$6:$O$528,7,FALSE)</f>
        <v>0</v>
      </c>
      <c r="J319" s="1289">
        <f>VLOOKUP($A319,'Accounts by GL'!$C$6:$O$528,8,FALSE)</f>
        <v>0</v>
      </c>
      <c r="K319" s="1289">
        <f>VLOOKUP($A319,'Accounts by GL'!$C$6:$O$528,9,FALSE)</f>
        <v>0</v>
      </c>
      <c r="L319" s="1289">
        <f>VLOOKUP($A319,'Accounts by GL'!$C$6:$O$528,10,FALSE)</f>
        <v>0</v>
      </c>
      <c r="M319" s="1289">
        <f>VLOOKUP($A319,'Accounts by GL'!$C$6:$O$528,12,FALSE)</f>
        <v>0</v>
      </c>
    </row>
    <row r="320" spans="1:13">
      <c r="A320" s="1293" t="s">
        <v>1932</v>
      </c>
      <c r="B320" s="1287" t="str">
        <f t="shared" si="4"/>
        <v>SAMPLE STATE COLLEGE</v>
      </c>
      <c r="C320" s="1294" t="s">
        <v>1932</v>
      </c>
      <c r="D320" s="1289">
        <f>VLOOKUP($A320,'Accounts by GL'!$C$6:$O$528,2,FALSE)</f>
        <v>0</v>
      </c>
      <c r="E320" s="1289">
        <f>VLOOKUP($A320,'Accounts by GL'!$C$6:$O$528,3,FALSE)</f>
        <v>0</v>
      </c>
      <c r="F320" s="1289">
        <f>VLOOKUP($A320,'Accounts by GL'!$C$6:$O$528,4,FALSE)</f>
        <v>0</v>
      </c>
      <c r="G320" s="1289">
        <f>VLOOKUP($A320,'Accounts by GL'!$C$6:$O$528,5,FALSE)</f>
        <v>0</v>
      </c>
      <c r="H320" s="1289">
        <f>VLOOKUP($A320,'Accounts by GL'!$C$6:$O$528,6,FALSE)</f>
        <v>0</v>
      </c>
      <c r="I320" s="1289">
        <f>VLOOKUP($A320,'Accounts by GL'!$C$6:$O$528,7,FALSE)</f>
        <v>0</v>
      </c>
      <c r="J320" s="1289">
        <f>VLOOKUP($A320,'Accounts by GL'!$C$6:$O$528,8,FALSE)</f>
        <v>0</v>
      </c>
      <c r="K320" s="1289">
        <f>VLOOKUP($A320,'Accounts by GL'!$C$6:$O$528,9,FALSE)</f>
        <v>0</v>
      </c>
      <c r="L320" s="1289">
        <f>VLOOKUP($A320,'Accounts by GL'!$C$6:$O$528,10,FALSE)</f>
        <v>0</v>
      </c>
      <c r="M320" s="1289">
        <f>VLOOKUP($A320,'Accounts by GL'!$C$6:$O$528,12,FALSE)</f>
        <v>0</v>
      </c>
    </row>
    <row r="321" spans="1:13">
      <c r="A321" s="1293" t="s">
        <v>1935</v>
      </c>
      <c r="B321" s="1287" t="str">
        <f t="shared" si="4"/>
        <v>SAMPLE STATE COLLEGE</v>
      </c>
      <c r="C321" s="1294" t="s">
        <v>1935</v>
      </c>
      <c r="D321" s="1289">
        <f>VLOOKUP($A321,'Accounts by GL'!$C$6:$O$528,2,FALSE)</f>
        <v>0</v>
      </c>
      <c r="E321" s="1289">
        <f>VLOOKUP($A321,'Accounts by GL'!$C$6:$O$528,3,FALSE)</f>
        <v>0</v>
      </c>
      <c r="F321" s="1289">
        <f>VLOOKUP($A321,'Accounts by GL'!$C$6:$O$528,4,FALSE)</f>
        <v>0</v>
      </c>
      <c r="G321" s="1289">
        <f>VLOOKUP($A321,'Accounts by GL'!$C$6:$O$528,5,FALSE)</f>
        <v>0</v>
      </c>
      <c r="H321" s="1289">
        <f>VLOOKUP($A321,'Accounts by GL'!$C$6:$O$528,6,FALSE)</f>
        <v>0</v>
      </c>
      <c r="I321" s="1289">
        <f>VLOOKUP($A321,'Accounts by GL'!$C$6:$O$528,7,FALSE)</f>
        <v>0</v>
      </c>
      <c r="J321" s="1289">
        <f>VLOOKUP($A321,'Accounts by GL'!$C$6:$O$528,8,FALSE)</f>
        <v>0</v>
      </c>
      <c r="K321" s="1289">
        <f>VLOOKUP($A321,'Accounts by GL'!$C$6:$O$528,9,FALSE)</f>
        <v>0</v>
      </c>
      <c r="L321" s="1289">
        <f>VLOOKUP($A321,'Accounts by GL'!$C$6:$O$528,10,FALSE)</f>
        <v>0</v>
      </c>
      <c r="M321" s="1289">
        <f>VLOOKUP($A321,'Accounts by GL'!$C$6:$O$528,12,FALSE)</f>
        <v>0</v>
      </c>
    </row>
    <row r="322" spans="1:13">
      <c r="A322" s="1293" t="s">
        <v>1938</v>
      </c>
      <c r="B322" s="1287" t="str">
        <f t="shared" si="4"/>
        <v>SAMPLE STATE COLLEGE</v>
      </c>
      <c r="C322" s="1294" t="s">
        <v>1938</v>
      </c>
      <c r="D322" s="1289">
        <f>VLOOKUP($A322,'Accounts by GL'!$C$6:$O$528,2,FALSE)</f>
        <v>0</v>
      </c>
      <c r="E322" s="1289">
        <f>VLOOKUP($A322,'Accounts by GL'!$C$6:$O$528,3,FALSE)</f>
        <v>0</v>
      </c>
      <c r="F322" s="1289">
        <f>VLOOKUP($A322,'Accounts by GL'!$C$6:$O$528,4,FALSE)</f>
        <v>0</v>
      </c>
      <c r="G322" s="1289">
        <f>VLOOKUP($A322,'Accounts by GL'!$C$6:$O$528,5,FALSE)</f>
        <v>0</v>
      </c>
      <c r="H322" s="1289">
        <f>VLOOKUP($A322,'Accounts by GL'!$C$6:$O$528,6,FALSE)</f>
        <v>0</v>
      </c>
      <c r="I322" s="1289">
        <f>VLOOKUP($A322,'Accounts by GL'!$C$6:$O$528,7,FALSE)</f>
        <v>0</v>
      </c>
      <c r="J322" s="1289">
        <f>VLOOKUP($A322,'Accounts by GL'!$C$6:$O$528,8,FALSE)</f>
        <v>0</v>
      </c>
      <c r="K322" s="1289">
        <f>VLOOKUP($A322,'Accounts by GL'!$C$6:$O$528,9,FALSE)</f>
        <v>0</v>
      </c>
      <c r="L322" s="1289">
        <f>VLOOKUP($A322,'Accounts by GL'!$C$6:$O$528,10,FALSE)</f>
        <v>0</v>
      </c>
      <c r="M322" s="1289">
        <f>VLOOKUP($A322,'Accounts by GL'!$C$6:$O$528,12,FALSE)</f>
        <v>0</v>
      </c>
    </row>
    <row r="323" spans="1:13">
      <c r="A323" s="1293" t="s">
        <v>1941</v>
      </c>
      <c r="B323" s="1287" t="str">
        <f t="shared" si="4"/>
        <v>SAMPLE STATE COLLEGE</v>
      </c>
      <c r="C323" s="1294" t="s">
        <v>1941</v>
      </c>
      <c r="D323" s="1289">
        <f>VLOOKUP($A323,'Accounts by GL'!$C$6:$O$528,2,FALSE)</f>
        <v>0</v>
      </c>
      <c r="E323" s="1289">
        <f>VLOOKUP($A323,'Accounts by GL'!$C$6:$O$528,3,FALSE)</f>
        <v>0</v>
      </c>
      <c r="F323" s="1289">
        <f>VLOOKUP($A323,'Accounts by GL'!$C$6:$O$528,4,FALSE)</f>
        <v>0</v>
      </c>
      <c r="G323" s="1289">
        <f>VLOOKUP($A323,'Accounts by GL'!$C$6:$O$528,5,FALSE)</f>
        <v>0</v>
      </c>
      <c r="H323" s="1289">
        <f>VLOOKUP($A323,'Accounts by GL'!$C$6:$O$528,6,FALSE)</f>
        <v>0</v>
      </c>
      <c r="I323" s="1289">
        <f>VLOOKUP($A323,'Accounts by GL'!$C$6:$O$528,7,FALSE)</f>
        <v>0</v>
      </c>
      <c r="J323" s="1289">
        <f>VLOOKUP($A323,'Accounts by GL'!$C$6:$O$528,8,FALSE)</f>
        <v>0</v>
      </c>
      <c r="K323" s="1289">
        <f>VLOOKUP($A323,'Accounts by GL'!$C$6:$O$528,9,FALSE)</f>
        <v>0</v>
      </c>
      <c r="L323" s="1289">
        <f>VLOOKUP($A323,'Accounts by GL'!$C$6:$O$528,10,FALSE)</f>
        <v>0</v>
      </c>
      <c r="M323" s="1289">
        <f>VLOOKUP($A323,'Accounts by GL'!$C$6:$O$528,12,FALSE)</f>
        <v>0</v>
      </c>
    </row>
    <row r="324" spans="1:13">
      <c r="A324" s="1293" t="s">
        <v>1944</v>
      </c>
      <c r="B324" s="1287" t="str">
        <f t="shared" si="4"/>
        <v>SAMPLE STATE COLLEGE</v>
      </c>
      <c r="C324" s="1294" t="s">
        <v>1944</v>
      </c>
      <c r="D324" s="1289">
        <f>VLOOKUP($A324,'Accounts by GL'!$C$6:$O$528,2,FALSE)</f>
        <v>0</v>
      </c>
      <c r="E324" s="1289">
        <f>VLOOKUP($A324,'Accounts by GL'!$C$6:$O$528,3,FALSE)</f>
        <v>0</v>
      </c>
      <c r="F324" s="1289">
        <f>VLOOKUP($A324,'Accounts by GL'!$C$6:$O$528,4,FALSE)</f>
        <v>0</v>
      </c>
      <c r="G324" s="1289">
        <f>VLOOKUP($A324,'Accounts by GL'!$C$6:$O$528,5,FALSE)</f>
        <v>0</v>
      </c>
      <c r="H324" s="1289">
        <f>VLOOKUP($A324,'Accounts by GL'!$C$6:$O$528,6,FALSE)</f>
        <v>0</v>
      </c>
      <c r="I324" s="1289">
        <f>VLOOKUP($A324,'Accounts by GL'!$C$6:$O$528,7,FALSE)</f>
        <v>0</v>
      </c>
      <c r="J324" s="1289">
        <f>VLOOKUP($A324,'Accounts by GL'!$C$6:$O$528,8,FALSE)</f>
        <v>0</v>
      </c>
      <c r="K324" s="1289">
        <f>VLOOKUP($A324,'Accounts by GL'!$C$6:$O$528,9,FALSE)</f>
        <v>0</v>
      </c>
      <c r="L324" s="1289">
        <f>VLOOKUP($A324,'Accounts by GL'!$C$6:$O$528,10,FALSE)</f>
        <v>0</v>
      </c>
      <c r="M324" s="1289">
        <f>VLOOKUP($A324,'Accounts by GL'!$C$6:$O$528,12,FALSE)</f>
        <v>0</v>
      </c>
    </row>
    <row r="325" spans="1:13">
      <c r="A325" s="1293" t="s">
        <v>1947</v>
      </c>
      <c r="B325" s="1287" t="str">
        <f t="shared" si="4"/>
        <v>SAMPLE STATE COLLEGE</v>
      </c>
      <c r="C325" s="1294" t="s">
        <v>1947</v>
      </c>
      <c r="D325" s="1289">
        <f>VLOOKUP($A325,'Accounts by GL'!$C$6:$O$528,2,FALSE)</f>
        <v>0</v>
      </c>
      <c r="E325" s="1289">
        <f>VLOOKUP($A325,'Accounts by GL'!$C$6:$O$528,3,FALSE)</f>
        <v>0</v>
      </c>
      <c r="F325" s="1289">
        <f>VLOOKUP($A325,'Accounts by GL'!$C$6:$O$528,4,FALSE)</f>
        <v>0</v>
      </c>
      <c r="G325" s="1289">
        <f>VLOOKUP($A325,'Accounts by GL'!$C$6:$O$528,5,FALSE)</f>
        <v>0</v>
      </c>
      <c r="H325" s="1289">
        <f>VLOOKUP($A325,'Accounts by GL'!$C$6:$O$528,6,FALSE)</f>
        <v>0</v>
      </c>
      <c r="I325" s="1289">
        <f>VLOOKUP($A325,'Accounts by GL'!$C$6:$O$528,7,FALSE)</f>
        <v>0</v>
      </c>
      <c r="J325" s="1289">
        <f>VLOOKUP($A325,'Accounts by GL'!$C$6:$O$528,8,FALSE)</f>
        <v>0</v>
      </c>
      <c r="K325" s="1289">
        <f>VLOOKUP($A325,'Accounts by GL'!$C$6:$O$528,9,FALSE)</f>
        <v>0</v>
      </c>
      <c r="L325" s="1289">
        <f>VLOOKUP($A325,'Accounts by GL'!$C$6:$O$528,10,FALSE)</f>
        <v>0</v>
      </c>
      <c r="M325" s="1289">
        <f>VLOOKUP($A325,'Accounts by GL'!$C$6:$O$528,12,FALSE)</f>
        <v>0</v>
      </c>
    </row>
    <row r="326" spans="1:13">
      <c r="A326" s="1293" t="s">
        <v>1950</v>
      </c>
      <c r="B326" s="1287" t="str">
        <f t="shared" si="4"/>
        <v>SAMPLE STATE COLLEGE</v>
      </c>
      <c r="C326" s="1294" t="s">
        <v>1950</v>
      </c>
      <c r="D326" s="1289">
        <f>VLOOKUP($A326,'Accounts by GL'!$C$6:$O$528,2,FALSE)</f>
        <v>0</v>
      </c>
      <c r="E326" s="1289">
        <f>VLOOKUP($A326,'Accounts by GL'!$C$6:$O$528,3,FALSE)</f>
        <v>0</v>
      </c>
      <c r="F326" s="1289">
        <f>VLOOKUP($A326,'Accounts by GL'!$C$6:$O$528,4,FALSE)</f>
        <v>0</v>
      </c>
      <c r="G326" s="1289">
        <f>VLOOKUP($A326,'Accounts by GL'!$C$6:$O$528,5,FALSE)</f>
        <v>0</v>
      </c>
      <c r="H326" s="1289">
        <f>VLOOKUP($A326,'Accounts by GL'!$C$6:$O$528,6,FALSE)</f>
        <v>0</v>
      </c>
      <c r="I326" s="1289">
        <f>VLOOKUP($A326,'Accounts by GL'!$C$6:$O$528,7,FALSE)</f>
        <v>0</v>
      </c>
      <c r="J326" s="1289">
        <f>VLOOKUP($A326,'Accounts by GL'!$C$6:$O$528,8,FALSE)</f>
        <v>0</v>
      </c>
      <c r="K326" s="1289">
        <f>VLOOKUP($A326,'Accounts by GL'!$C$6:$O$528,9,FALSE)</f>
        <v>0</v>
      </c>
      <c r="L326" s="1289">
        <f>VLOOKUP($A326,'Accounts by GL'!$C$6:$O$528,10,FALSE)</f>
        <v>0</v>
      </c>
      <c r="M326" s="1289">
        <f>VLOOKUP($A326,'Accounts by GL'!$C$6:$O$528,12,FALSE)</f>
        <v>0</v>
      </c>
    </row>
    <row r="327" spans="1:13">
      <c r="A327" s="1293" t="s">
        <v>1953</v>
      </c>
      <c r="B327" s="1287" t="str">
        <f t="shared" si="4"/>
        <v>SAMPLE STATE COLLEGE</v>
      </c>
      <c r="C327" s="1294" t="s">
        <v>1953</v>
      </c>
      <c r="D327" s="1289">
        <f>VLOOKUP($A327,'Accounts by GL'!$C$6:$O$528,2,FALSE)</f>
        <v>0</v>
      </c>
      <c r="E327" s="1289">
        <f>VLOOKUP($A327,'Accounts by GL'!$C$6:$O$528,3,FALSE)</f>
        <v>0</v>
      </c>
      <c r="F327" s="1289">
        <f>VLOOKUP($A327,'Accounts by GL'!$C$6:$O$528,4,FALSE)</f>
        <v>0</v>
      </c>
      <c r="G327" s="1289">
        <f>VLOOKUP($A327,'Accounts by GL'!$C$6:$O$528,5,FALSE)</f>
        <v>0</v>
      </c>
      <c r="H327" s="1289">
        <f>VLOOKUP($A327,'Accounts by GL'!$C$6:$O$528,6,FALSE)</f>
        <v>0</v>
      </c>
      <c r="I327" s="1289">
        <f>VLOOKUP($A327,'Accounts by GL'!$C$6:$O$528,7,FALSE)</f>
        <v>0</v>
      </c>
      <c r="J327" s="1289">
        <f>VLOOKUP($A327,'Accounts by GL'!$C$6:$O$528,8,FALSE)</f>
        <v>0</v>
      </c>
      <c r="K327" s="1289">
        <f>VLOOKUP($A327,'Accounts by GL'!$C$6:$O$528,9,FALSE)</f>
        <v>0</v>
      </c>
      <c r="L327" s="1289">
        <f>VLOOKUP($A327,'Accounts by GL'!$C$6:$O$528,10,FALSE)</f>
        <v>0</v>
      </c>
      <c r="M327" s="1289">
        <f>VLOOKUP($A327,'Accounts by GL'!$C$6:$O$528,12,FALSE)</f>
        <v>0</v>
      </c>
    </row>
    <row r="328" spans="1:13">
      <c r="A328" s="1293" t="s">
        <v>1956</v>
      </c>
      <c r="B328" s="1287" t="str">
        <f t="shared" si="4"/>
        <v>SAMPLE STATE COLLEGE</v>
      </c>
      <c r="C328" s="1294" t="s">
        <v>1956</v>
      </c>
      <c r="D328" s="1289">
        <f>VLOOKUP($A328,'Accounts by GL'!$C$6:$O$528,2,FALSE)</f>
        <v>0</v>
      </c>
      <c r="E328" s="1289">
        <f>VLOOKUP($A328,'Accounts by GL'!$C$6:$O$528,3,FALSE)</f>
        <v>0</v>
      </c>
      <c r="F328" s="1289">
        <f>VLOOKUP($A328,'Accounts by GL'!$C$6:$O$528,4,FALSE)</f>
        <v>0</v>
      </c>
      <c r="G328" s="1289">
        <f>VLOOKUP($A328,'Accounts by GL'!$C$6:$O$528,5,FALSE)</f>
        <v>0</v>
      </c>
      <c r="H328" s="1289">
        <f>VLOOKUP($A328,'Accounts by GL'!$C$6:$O$528,6,FALSE)</f>
        <v>0</v>
      </c>
      <c r="I328" s="1289">
        <f>VLOOKUP($A328,'Accounts by GL'!$C$6:$O$528,7,FALSE)</f>
        <v>0</v>
      </c>
      <c r="J328" s="1289">
        <f>VLOOKUP($A328,'Accounts by GL'!$C$6:$O$528,8,FALSE)</f>
        <v>0</v>
      </c>
      <c r="K328" s="1289">
        <f>VLOOKUP($A328,'Accounts by GL'!$C$6:$O$528,9,FALSE)</f>
        <v>0</v>
      </c>
      <c r="L328" s="1289">
        <f>VLOOKUP($A328,'Accounts by GL'!$C$6:$O$528,10,FALSE)</f>
        <v>0</v>
      </c>
      <c r="M328" s="1289">
        <f>VLOOKUP($A328,'Accounts by GL'!$C$6:$O$528,12,FALSE)</f>
        <v>0</v>
      </c>
    </row>
    <row r="329" spans="1:13">
      <c r="A329" s="1293" t="s">
        <v>1959</v>
      </c>
      <c r="B329" s="1287" t="str">
        <f t="shared" si="4"/>
        <v>SAMPLE STATE COLLEGE</v>
      </c>
      <c r="C329" s="1294" t="s">
        <v>1959</v>
      </c>
      <c r="D329" s="1289">
        <f>VLOOKUP($A329,'Accounts by GL'!$C$6:$O$528,2,FALSE)</f>
        <v>0</v>
      </c>
      <c r="E329" s="1289">
        <f>VLOOKUP($A329,'Accounts by GL'!$C$6:$O$528,3,FALSE)</f>
        <v>0</v>
      </c>
      <c r="F329" s="1289">
        <f>VLOOKUP($A329,'Accounts by GL'!$C$6:$O$528,4,FALSE)</f>
        <v>0</v>
      </c>
      <c r="G329" s="1289">
        <f>VLOOKUP($A329,'Accounts by GL'!$C$6:$O$528,5,FALSE)</f>
        <v>0</v>
      </c>
      <c r="H329" s="1289">
        <f>VLOOKUP($A329,'Accounts by GL'!$C$6:$O$528,6,FALSE)</f>
        <v>0</v>
      </c>
      <c r="I329" s="1289">
        <f>VLOOKUP($A329,'Accounts by GL'!$C$6:$O$528,7,FALSE)</f>
        <v>0</v>
      </c>
      <c r="J329" s="1289">
        <f>VLOOKUP($A329,'Accounts by GL'!$C$6:$O$528,8,FALSE)</f>
        <v>0</v>
      </c>
      <c r="K329" s="1289">
        <f>VLOOKUP($A329,'Accounts by GL'!$C$6:$O$528,9,FALSE)</f>
        <v>0</v>
      </c>
      <c r="L329" s="1289">
        <f>VLOOKUP($A329,'Accounts by GL'!$C$6:$O$528,10,FALSE)</f>
        <v>0</v>
      </c>
      <c r="M329" s="1289">
        <f>VLOOKUP($A329,'Accounts by GL'!$C$6:$O$528,12,FALSE)</f>
        <v>0</v>
      </c>
    </row>
    <row r="330" spans="1:13">
      <c r="A330" s="1293" t="s">
        <v>1962</v>
      </c>
      <c r="B330" s="1287" t="str">
        <f t="shared" si="4"/>
        <v>SAMPLE STATE COLLEGE</v>
      </c>
      <c r="C330" s="1294" t="s">
        <v>1962</v>
      </c>
      <c r="D330" s="1289">
        <f>VLOOKUP($A330,'Accounts by GL'!$C$6:$O$528,2,FALSE)</f>
        <v>0</v>
      </c>
      <c r="E330" s="1289">
        <f>VLOOKUP($A330,'Accounts by GL'!$C$6:$O$528,3,FALSE)</f>
        <v>0</v>
      </c>
      <c r="F330" s="1289">
        <f>VLOOKUP($A330,'Accounts by GL'!$C$6:$O$528,4,FALSE)</f>
        <v>0</v>
      </c>
      <c r="G330" s="1289">
        <f>VLOOKUP($A330,'Accounts by GL'!$C$6:$O$528,5,FALSE)</f>
        <v>0</v>
      </c>
      <c r="H330" s="1289">
        <f>VLOOKUP($A330,'Accounts by GL'!$C$6:$O$528,6,FALSE)</f>
        <v>0</v>
      </c>
      <c r="I330" s="1289">
        <f>VLOOKUP($A330,'Accounts by GL'!$C$6:$O$528,7,FALSE)</f>
        <v>0</v>
      </c>
      <c r="J330" s="1289">
        <f>VLOOKUP($A330,'Accounts by GL'!$C$6:$O$528,8,FALSE)</f>
        <v>0</v>
      </c>
      <c r="K330" s="1289">
        <f>VLOOKUP($A330,'Accounts by GL'!$C$6:$O$528,9,FALSE)</f>
        <v>0</v>
      </c>
      <c r="L330" s="1289">
        <f>VLOOKUP($A330,'Accounts by GL'!$C$6:$O$528,10,FALSE)</f>
        <v>0</v>
      </c>
      <c r="M330" s="1289">
        <f>VLOOKUP($A330,'Accounts by GL'!$C$6:$O$528,12,FALSE)</f>
        <v>0</v>
      </c>
    </row>
    <row r="331" spans="1:13">
      <c r="A331" s="1293" t="s">
        <v>1965</v>
      </c>
      <c r="B331" s="1287" t="str">
        <f t="shared" si="4"/>
        <v>SAMPLE STATE COLLEGE</v>
      </c>
      <c r="C331" s="1294" t="s">
        <v>1965</v>
      </c>
      <c r="D331" s="1289">
        <f>VLOOKUP($A331,'Accounts by GL'!$C$6:$O$528,2,FALSE)</f>
        <v>0</v>
      </c>
      <c r="E331" s="1289">
        <f>VLOOKUP($A331,'Accounts by GL'!$C$6:$O$528,3,FALSE)</f>
        <v>0</v>
      </c>
      <c r="F331" s="1289">
        <f>VLOOKUP($A331,'Accounts by GL'!$C$6:$O$528,4,FALSE)</f>
        <v>0</v>
      </c>
      <c r="G331" s="1289">
        <f>VLOOKUP($A331,'Accounts by GL'!$C$6:$O$528,5,FALSE)</f>
        <v>0</v>
      </c>
      <c r="H331" s="1289">
        <f>VLOOKUP($A331,'Accounts by GL'!$C$6:$O$528,6,FALSE)</f>
        <v>0</v>
      </c>
      <c r="I331" s="1289">
        <f>VLOOKUP($A331,'Accounts by GL'!$C$6:$O$528,7,FALSE)</f>
        <v>0</v>
      </c>
      <c r="J331" s="1289">
        <f>VLOOKUP($A331,'Accounts by GL'!$C$6:$O$528,8,FALSE)</f>
        <v>0</v>
      </c>
      <c r="K331" s="1289">
        <f>VLOOKUP($A331,'Accounts by GL'!$C$6:$O$528,9,FALSE)</f>
        <v>0</v>
      </c>
      <c r="L331" s="1289">
        <f>VLOOKUP($A331,'Accounts by GL'!$C$6:$O$528,10,FALSE)</f>
        <v>0</v>
      </c>
      <c r="M331" s="1289">
        <f>VLOOKUP($A331,'Accounts by GL'!$C$6:$O$528,12,FALSE)</f>
        <v>0</v>
      </c>
    </row>
    <row r="332" spans="1:13">
      <c r="A332" s="1293" t="s">
        <v>1968</v>
      </c>
      <c r="B332" s="1287" t="str">
        <f t="shared" si="4"/>
        <v>SAMPLE STATE COLLEGE</v>
      </c>
      <c r="C332" s="1294" t="s">
        <v>1968</v>
      </c>
      <c r="D332" s="1289">
        <f>VLOOKUP($A332,'Accounts by GL'!$C$6:$O$528,2,FALSE)</f>
        <v>0</v>
      </c>
      <c r="E332" s="1289">
        <f>VLOOKUP($A332,'Accounts by GL'!$C$6:$O$528,3,FALSE)</f>
        <v>0</v>
      </c>
      <c r="F332" s="1289">
        <f>VLOOKUP($A332,'Accounts by GL'!$C$6:$O$528,4,FALSE)</f>
        <v>0</v>
      </c>
      <c r="G332" s="1289">
        <f>VLOOKUP($A332,'Accounts by GL'!$C$6:$O$528,5,FALSE)</f>
        <v>0</v>
      </c>
      <c r="H332" s="1289">
        <f>VLOOKUP($A332,'Accounts by GL'!$C$6:$O$528,6,FALSE)</f>
        <v>0</v>
      </c>
      <c r="I332" s="1289">
        <f>VLOOKUP($A332,'Accounts by GL'!$C$6:$O$528,7,FALSE)</f>
        <v>0</v>
      </c>
      <c r="J332" s="1289">
        <f>VLOOKUP($A332,'Accounts by GL'!$C$6:$O$528,8,FALSE)</f>
        <v>0</v>
      </c>
      <c r="K332" s="1289">
        <f>VLOOKUP($A332,'Accounts by GL'!$C$6:$O$528,9,FALSE)</f>
        <v>0</v>
      </c>
      <c r="L332" s="1289">
        <f>VLOOKUP($A332,'Accounts by GL'!$C$6:$O$528,10,FALSE)</f>
        <v>0</v>
      </c>
      <c r="M332" s="1289">
        <f>VLOOKUP($A332,'Accounts by GL'!$C$6:$O$528,12,FALSE)</f>
        <v>0</v>
      </c>
    </row>
    <row r="333" spans="1:13">
      <c r="A333" s="1293" t="s">
        <v>1973</v>
      </c>
      <c r="B333" s="1287" t="str">
        <f t="shared" si="4"/>
        <v>SAMPLE STATE COLLEGE</v>
      </c>
      <c r="C333" s="1294" t="s">
        <v>1973</v>
      </c>
      <c r="D333" s="1289">
        <f>VLOOKUP($A333,'Accounts by GL'!$C$6:$O$528,2,FALSE)</f>
        <v>0</v>
      </c>
      <c r="E333" s="1289">
        <f>VLOOKUP($A333,'Accounts by GL'!$C$6:$O$528,3,FALSE)</f>
        <v>0</v>
      </c>
      <c r="F333" s="1289">
        <f>VLOOKUP($A333,'Accounts by GL'!$C$6:$O$528,4,FALSE)</f>
        <v>0</v>
      </c>
      <c r="G333" s="1289">
        <f>VLOOKUP($A333,'Accounts by GL'!$C$6:$O$528,5,FALSE)</f>
        <v>0</v>
      </c>
      <c r="H333" s="1289">
        <f>VLOOKUP($A333,'Accounts by GL'!$C$6:$O$528,6,FALSE)</f>
        <v>0</v>
      </c>
      <c r="I333" s="1289">
        <f>VLOOKUP($A333,'Accounts by GL'!$C$6:$O$528,7,FALSE)</f>
        <v>0</v>
      </c>
      <c r="J333" s="1289">
        <f>VLOOKUP($A333,'Accounts by GL'!$C$6:$O$528,8,FALSE)</f>
        <v>0</v>
      </c>
      <c r="K333" s="1289">
        <f>VLOOKUP($A333,'Accounts by GL'!$C$6:$O$528,9,FALSE)</f>
        <v>0</v>
      </c>
      <c r="L333" s="1289">
        <f>VLOOKUP($A333,'Accounts by GL'!$C$6:$O$528,10,FALSE)</f>
        <v>0</v>
      </c>
      <c r="M333" s="1289">
        <f>VLOOKUP($A333,'Accounts by GL'!$C$6:$O$528,12,FALSE)</f>
        <v>0</v>
      </c>
    </row>
    <row r="334" spans="1:13">
      <c r="A334" s="1293" t="s">
        <v>1976</v>
      </c>
      <c r="B334" s="1287" t="str">
        <f t="shared" si="4"/>
        <v>SAMPLE STATE COLLEGE</v>
      </c>
      <c r="C334" s="1294" t="s">
        <v>1976</v>
      </c>
      <c r="D334" s="1289">
        <f>VLOOKUP($A334,'Accounts by GL'!$C$6:$O$528,2,FALSE)</f>
        <v>0</v>
      </c>
      <c r="E334" s="1289">
        <f>VLOOKUP($A334,'Accounts by GL'!$C$6:$O$528,3,FALSE)</f>
        <v>0</v>
      </c>
      <c r="F334" s="1289">
        <f>VLOOKUP($A334,'Accounts by GL'!$C$6:$O$528,4,FALSE)</f>
        <v>0</v>
      </c>
      <c r="G334" s="1289">
        <f>VLOOKUP($A334,'Accounts by GL'!$C$6:$O$528,5,FALSE)</f>
        <v>0</v>
      </c>
      <c r="H334" s="1289">
        <f>VLOOKUP($A334,'Accounts by GL'!$C$6:$O$528,6,FALSE)</f>
        <v>0</v>
      </c>
      <c r="I334" s="1289">
        <f>VLOOKUP($A334,'Accounts by GL'!$C$6:$O$528,7,FALSE)</f>
        <v>0</v>
      </c>
      <c r="J334" s="1289">
        <f>VLOOKUP($A334,'Accounts by GL'!$C$6:$O$528,8,FALSE)</f>
        <v>0</v>
      </c>
      <c r="K334" s="1289">
        <f>VLOOKUP($A334,'Accounts by GL'!$C$6:$O$528,9,FALSE)</f>
        <v>0</v>
      </c>
      <c r="L334" s="1289">
        <f>VLOOKUP($A334,'Accounts by GL'!$C$6:$O$528,10,FALSE)</f>
        <v>0</v>
      </c>
      <c r="M334" s="1289">
        <f>VLOOKUP($A334,'Accounts by GL'!$C$6:$O$528,12,FALSE)</f>
        <v>0</v>
      </c>
    </row>
    <row r="335" spans="1:13">
      <c r="A335" s="1293" t="s">
        <v>1979</v>
      </c>
      <c r="B335" s="1287" t="str">
        <f t="shared" si="4"/>
        <v>SAMPLE STATE COLLEGE</v>
      </c>
      <c r="C335" s="1294" t="s">
        <v>1979</v>
      </c>
      <c r="D335" s="1289">
        <f>VLOOKUP($A335,'Accounts by GL'!$C$6:$O$528,2,FALSE)</f>
        <v>0</v>
      </c>
      <c r="E335" s="1289">
        <f>VLOOKUP($A335,'Accounts by GL'!$C$6:$O$528,3,FALSE)</f>
        <v>0</v>
      </c>
      <c r="F335" s="1289">
        <f>VLOOKUP($A335,'Accounts by GL'!$C$6:$O$528,4,FALSE)</f>
        <v>0</v>
      </c>
      <c r="G335" s="1289">
        <f>VLOOKUP($A335,'Accounts by GL'!$C$6:$O$528,5,FALSE)</f>
        <v>0</v>
      </c>
      <c r="H335" s="1289">
        <f>VLOOKUP($A335,'Accounts by GL'!$C$6:$O$528,6,FALSE)</f>
        <v>0</v>
      </c>
      <c r="I335" s="1289">
        <f>VLOOKUP($A335,'Accounts by GL'!$C$6:$O$528,7,FALSE)</f>
        <v>0</v>
      </c>
      <c r="J335" s="1289">
        <f>VLOOKUP($A335,'Accounts by GL'!$C$6:$O$528,8,FALSE)</f>
        <v>0</v>
      </c>
      <c r="K335" s="1289">
        <f>VLOOKUP($A335,'Accounts by GL'!$C$6:$O$528,9,FALSE)</f>
        <v>0</v>
      </c>
      <c r="L335" s="1289">
        <f>VLOOKUP($A335,'Accounts by GL'!$C$6:$O$528,10,FALSE)</f>
        <v>0</v>
      </c>
      <c r="M335" s="1289">
        <f>VLOOKUP($A335,'Accounts by GL'!$C$6:$O$528,12,FALSE)</f>
        <v>0</v>
      </c>
    </row>
    <row r="336" spans="1:13">
      <c r="A336" s="1293" t="s">
        <v>1983</v>
      </c>
      <c r="B336" s="1287" t="str">
        <f t="shared" si="4"/>
        <v>SAMPLE STATE COLLEGE</v>
      </c>
      <c r="C336" s="1294" t="s">
        <v>1983</v>
      </c>
      <c r="D336" s="1289">
        <f>VLOOKUP($A336,'Accounts by GL'!$C$6:$O$528,2,FALSE)</f>
        <v>0</v>
      </c>
      <c r="E336" s="1289">
        <f>VLOOKUP($A336,'Accounts by GL'!$C$6:$O$528,3,FALSE)</f>
        <v>0</v>
      </c>
      <c r="F336" s="1289">
        <f>VLOOKUP($A336,'Accounts by GL'!$C$6:$O$528,4,FALSE)</f>
        <v>0</v>
      </c>
      <c r="G336" s="1289">
        <f>VLOOKUP($A336,'Accounts by GL'!$C$6:$O$528,5,FALSE)</f>
        <v>0</v>
      </c>
      <c r="H336" s="1289">
        <f>VLOOKUP($A336,'Accounts by GL'!$C$6:$O$528,6,FALSE)</f>
        <v>0</v>
      </c>
      <c r="I336" s="1289">
        <f>VLOOKUP($A336,'Accounts by GL'!$C$6:$O$528,7,FALSE)</f>
        <v>0</v>
      </c>
      <c r="J336" s="1289">
        <f>VLOOKUP($A336,'Accounts by GL'!$C$6:$O$528,8,FALSE)</f>
        <v>0</v>
      </c>
      <c r="K336" s="1289">
        <f>VLOOKUP($A336,'Accounts by GL'!$C$6:$O$528,9,FALSE)</f>
        <v>0</v>
      </c>
      <c r="L336" s="1289">
        <f>VLOOKUP($A336,'Accounts by GL'!$C$6:$O$528,10,FALSE)</f>
        <v>0</v>
      </c>
      <c r="M336" s="1289">
        <f>VLOOKUP($A336,'Accounts by GL'!$C$6:$O$528,12,FALSE)</f>
        <v>0</v>
      </c>
    </row>
    <row r="337" spans="1:13">
      <c r="A337" s="1293" t="s">
        <v>1986</v>
      </c>
      <c r="B337" s="1287" t="str">
        <f t="shared" si="4"/>
        <v>SAMPLE STATE COLLEGE</v>
      </c>
      <c r="C337" s="1294" t="s">
        <v>1986</v>
      </c>
      <c r="D337" s="1289">
        <f>VLOOKUP($A337,'Accounts by GL'!$C$6:$O$528,2,FALSE)</f>
        <v>0</v>
      </c>
      <c r="E337" s="1289">
        <f>VLOOKUP($A337,'Accounts by GL'!$C$6:$O$528,3,FALSE)</f>
        <v>0</v>
      </c>
      <c r="F337" s="1289">
        <f>VLOOKUP($A337,'Accounts by GL'!$C$6:$O$528,4,FALSE)</f>
        <v>0</v>
      </c>
      <c r="G337" s="1289">
        <f>VLOOKUP($A337,'Accounts by GL'!$C$6:$O$528,5,FALSE)</f>
        <v>0</v>
      </c>
      <c r="H337" s="1289">
        <f>VLOOKUP($A337,'Accounts by GL'!$C$6:$O$528,6,FALSE)</f>
        <v>0</v>
      </c>
      <c r="I337" s="1289">
        <f>VLOOKUP($A337,'Accounts by GL'!$C$6:$O$528,7,FALSE)</f>
        <v>0</v>
      </c>
      <c r="J337" s="1289">
        <f>VLOOKUP($A337,'Accounts by GL'!$C$6:$O$528,8,FALSE)</f>
        <v>0</v>
      </c>
      <c r="K337" s="1289">
        <f>VLOOKUP($A337,'Accounts by GL'!$C$6:$O$528,9,FALSE)</f>
        <v>0</v>
      </c>
      <c r="L337" s="1289">
        <f>VLOOKUP($A337,'Accounts by GL'!$C$6:$O$528,10,FALSE)</f>
        <v>0</v>
      </c>
      <c r="M337" s="1289">
        <f>VLOOKUP($A337,'Accounts by GL'!$C$6:$O$528,12,FALSE)</f>
        <v>0</v>
      </c>
    </row>
    <row r="338" spans="1:13">
      <c r="A338" s="1295" t="s">
        <v>1989</v>
      </c>
      <c r="B338" s="1287" t="str">
        <f t="shared" si="4"/>
        <v>SAMPLE STATE COLLEGE</v>
      </c>
      <c r="C338" s="1296" t="s">
        <v>1989</v>
      </c>
      <c r="D338" s="1289">
        <f>VLOOKUP($A338,'Accounts by GL'!$C$6:$O$528,2,FALSE)</f>
        <v>0</v>
      </c>
      <c r="E338" s="1289">
        <f>VLOOKUP($A338,'Accounts by GL'!$C$6:$O$528,3,FALSE)</f>
        <v>0</v>
      </c>
      <c r="F338" s="1289">
        <f>VLOOKUP($A338,'Accounts by GL'!$C$6:$O$528,4,FALSE)</f>
        <v>0</v>
      </c>
      <c r="G338" s="1289">
        <f>VLOOKUP($A338,'Accounts by GL'!$C$6:$O$528,5,FALSE)</f>
        <v>0</v>
      </c>
      <c r="H338" s="1289">
        <f>VLOOKUP($A338,'Accounts by GL'!$C$6:$O$528,6,FALSE)</f>
        <v>0</v>
      </c>
      <c r="I338" s="1289">
        <f>VLOOKUP($A338,'Accounts by GL'!$C$6:$O$528,7,FALSE)</f>
        <v>0</v>
      </c>
      <c r="J338" s="1289">
        <f>VLOOKUP($A338,'Accounts by GL'!$C$6:$O$528,8,FALSE)</f>
        <v>0</v>
      </c>
      <c r="K338" s="1289">
        <f>VLOOKUP($A338,'Accounts by GL'!$C$6:$O$528,9,FALSE)</f>
        <v>0</v>
      </c>
      <c r="L338" s="1289">
        <f>VLOOKUP($A338,'Accounts by GL'!$C$6:$O$528,10,FALSE)</f>
        <v>0</v>
      </c>
      <c r="M338" s="1289">
        <f>VLOOKUP($A338,'Accounts by GL'!$C$6:$O$528,12,FALSE)</f>
        <v>0</v>
      </c>
    </row>
    <row r="339" spans="1:13">
      <c r="A339" s="1293" t="s">
        <v>1992</v>
      </c>
      <c r="B339" s="1287" t="str">
        <f t="shared" ref="B339:B402" si="5">$B$2</f>
        <v>SAMPLE STATE COLLEGE</v>
      </c>
      <c r="C339" s="1294" t="s">
        <v>1992</v>
      </c>
      <c r="D339" s="1289">
        <f>VLOOKUP($A339,'Accounts by GL'!$C$6:$O$528,2,FALSE)</f>
        <v>0</v>
      </c>
      <c r="E339" s="1289">
        <f>VLOOKUP($A339,'Accounts by GL'!$C$6:$O$528,3,FALSE)</f>
        <v>0</v>
      </c>
      <c r="F339" s="1289">
        <f>VLOOKUP($A339,'Accounts by GL'!$C$6:$O$528,4,FALSE)</f>
        <v>0</v>
      </c>
      <c r="G339" s="1289">
        <f>VLOOKUP($A339,'Accounts by GL'!$C$6:$O$528,5,FALSE)</f>
        <v>0</v>
      </c>
      <c r="H339" s="1289">
        <f>VLOOKUP($A339,'Accounts by GL'!$C$6:$O$528,6,FALSE)</f>
        <v>0</v>
      </c>
      <c r="I339" s="1289">
        <f>VLOOKUP($A339,'Accounts by GL'!$C$6:$O$528,7,FALSE)</f>
        <v>0</v>
      </c>
      <c r="J339" s="1289">
        <f>VLOOKUP($A339,'Accounts by GL'!$C$6:$O$528,8,FALSE)</f>
        <v>0</v>
      </c>
      <c r="K339" s="1289">
        <f>VLOOKUP($A339,'Accounts by GL'!$C$6:$O$528,9,FALSE)</f>
        <v>0</v>
      </c>
      <c r="L339" s="1289">
        <f>VLOOKUP($A339,'Accounts by GL'!$C$6:$O$528,10,FALSE)</f>
        <v>0</v>
      </c>
      <c r="M339" s="1289">
        <f>VLOOKUP($A339,'Accounts by GL'!$C$6:$O$528,12,FALSE)</f>
        <v>0</v>
      </c>
    </row>
    <row r="340" spans="1:13">
      <c r="A340" s="1293" t="s">
        <v>1995</v>
      </c>
      <c r="B340" s="1287" t="str">
        <f t="shared" si="5"/>
        <v>SAMPLE STATE COLLEGE</v>
      </c>
      <c r="C340" s="1294" t="s">
        <v>1995</v>
      </c>
      <c r="D340" s="1289">
        <f>VLOOKUP($A340,'Accounts by GL'!$C$6:$O$528,2,FALSE)</f>
        <v>0</v>
      </c>
      <c r="E340" s="1289">
        <f>VLOOKUP($A340,'Accounts by GL'!$C$6:$O$528,3,FALSE)</f>
        <v>0</v>
      </c>
      <c r="F340" s="1289">
        <f>VLOOKUP($A340,'Accounts by GL'!$C$6:$O$528,4,FALSE)</f>
        <v>0</v>
      </c>
      <c r="G340" s="1289">
        <f>VLOOKUP($A340,'Accounts by GL'!$C$6:$O$528,5,FALSE)</f>
        <v>0</v>
      </c>
      <c r="H340" s="1289">
        <f>VLOOKUP($A340,'Accounts by GL'!$C$6:$O$528,6,FALSE)</f>
        <v>0</v>
      </c>
      <c r="I340" s="1289">
        <f>VLOOKUP($A340,'Accounts by GL'!$C$6:$O$528,7,FALSE)</f>
        <v>0</v>
      </c>
      <c r="J340" s="1289">
        <f>VLOOKUP($A340,'Accounts by GL'!$C$6:$O$528,8,FALSE)</f>
        <v>0</v>
      </c>
      <c r="K340" s="1289">
        <f>VLOOKUP($A340,'Accounts by GL'!$C$6:$O$528,9,FALSE)</f>
        <v>0</v>
      </c>
      <c r="L340" s="1289">
        <f>VLOOKUP($A340,'Accounts by GL'!$C$6:$O$528,10,FALSE)</f>
        <v>0</v>
      </c>
      <c r="M340" s="1289">
        <f>VLOOKUP($A340,'Accounts by GL'!$C$6:$O$528,12,FALSE)</f>
        <v>0</v>
      </c>
    </row>
    <row r="341" spans="1:13">
      <c r="A341" s="1293" t="s">
        <v>1998</v>
      </c>
      <c r="B341" s="1287" t="str">
        <f t="shared" si="5"/>
        <v>SAMPLE STATE COLLEGE</v>
      </c>
      <c r="C341" s="1294" t="s">
        <v>1998</v>
      </c>
      <c r="D341" s="1289">
        <f>VLOOKUP($A341,'Accounts by GL'!$C$6:$O$528,2,FALSE)</f>
        <v>0</v>
      </c>
      <c r="E341" s="1289">
        <f>VLOOKUP($A341,'Accounts by GL'!$C$6:$O$528,3,FALSE)</f>
        <v>0</v>
      </c>
      <c r="F341" s="1289">
        <f>VLOOKUP($A341,'Accounts by GL'!$C$6:$O$528,4,FALSE)</f>
        <v>0</v>
      </c>
      <c r="G341" s="1289">
        <f>VLOOKUP($A341,'Accounts by GL'!$C$6:$O$528,5,FALSE)</f>
        <v>0</v>
      </c>
      <c r="H341" s="1289">
        <f>VLOOKUP($A341,'Accounts by GL'!$C$6:$O$528,6,FALSE)</f>
        <v>0</v>
      </c>
      <c r="I341" s="1289">
        <f>VLOOKUP($A341,'Accounts by GL'!$C$6:$O$528,7,FALSE)</f>
        <v>0</v>
      </c>
      <c r="J341" s="1289">
        <f>VLOOKUP($A341,'Accounts by GL'!$C$6:$O$528,8,FALSE)</f>
        <v>0</v>
      </c>
      <c r="K341" s="1289">
        <f>VLOOKUP($A341,'Accounts by GL'!$C$6:$O$528,9,FALSE)</f>
        <v>0</v>
      </c>
      <c r="L341" s="1289">
        <f>VLOOKUP($A341,'Accounts by GL'!$C$6:$O$528,10,FALSE)</f>
        <v>0</v>
      </c>
      <c r="M341" s="1289">
        <f>VLOOKUP($A341,'Accounts by GL'!$C$6:$O$528,12,FALSE)</f>
        <v>0</v>
      </c>
    </row>
    <row r="342" spans="1:13">
      <c r="A342" s="1293" t="s">
        <v>2001</v>
      </c>
      <c r="B342" s="1287" t="str">
        <f t="shared" si="5"/>
        <v>SAMPLE STATE COLLEGE</v>
      </c>
      <c r="C342" s="1294" t="s">
        <v>2001</v>
      </c>
      <c r="D342" s="1289">
        <f>VLOOKUP($A342,'Accounts by GL'!$C$6:$O$528,2,FALSE)</f>
        <v>0</v>
      </c>
      <c r="E342" s="1289">
        <f>VLOOKUP($A342,'Accounts by GL'!$C$6:$O$528,3,FALSE)</f>
        <v>0</v>
      </c>
      <c r="F342" s="1289">
        <f>VLOOKUP($A342,'Accounts by GL'!$C$6:$O$528,4,FALSE)</f>
        <v>0</v>
      </c>
      <c r="G342" s="1289">
        <f>VLOOKUP($A342,'Accounts by GL'!$C$6:$O$528,5,FALSE)</f>
        <v>0</v>
      </c>
      <c r="H342" s="1289">
        <f>VLOOKUP($A342,'Accounts by GL'!$C$6:$O$528,6,FALSE)</f>
        <v>0</v>
      </c>
      <c r="I342" s="1289">
        <f>VLOOKUP($A342,'Accounts by GL'!$C$6:$O$528,7,FALSE)</f>
        <v>0</v>
      </c>
      <c r="J342" s="1289">
        <f>VLOOKUP($A342,'Accounts by GL'!$C$6:$O$528,8,FALSE)</f>
        <v>0</v>
      </c>
      <c r="K342" s="1289">
        <f>VLOOKUP($A342,'Accounts by GL'!$C$6:$O$528,9,FALSE)</f>
        <v>0</v>
      </c>
      <c r="L342" s="1289">
        <f>VLOOKUP($A342,'Accounts by GL'!$C$6:$O$528,10,FALSE)</f>
        <v>0</v>
      </c>
      <c r="M342" s="1289">
        <f>VLOOKUP($A342,'Accounts by GL'!$C$6:$O$528,12,FALSE)</f>
        <v>0</v>
      </c>
    </row>
    <row r="343" spans="1:13">
      <c r="A343" s="1293" t="s">
        <v>2004</v>
      </c>
      <c r="B343" s="1287" t="str">
        <f t="shared" si="5"/>
        <v>SAMPLE STATE COLLEGE</v>
      </c>
      <c r="C343" s="1294" t="s">
        <v>2004</v>
      </c>
      <c r="D343" s="1289">
        <f>VLOOKUP($A343,'Accounts by GL'!$C$6:$O$528,2,FALSE)</f>
        <v>0</v>
      </c>
      <c r="E343" s="1289">
        <f>VLOOKUP($A343,'Accounts by GL'!$C$6:$O$528,3,FALSE)</f>
        <v>0</v>
      </c>
      <c r="F343" s="1289">
        <f>VLOOKUP($A343,'Accounts by GL'!$C$6:$O$528,4,FALSE)</f>
        <v>0</v>
      </c>
      <c r="G343" s="1289">
        <f>VLOOKUP($A343,'Accounts by GL'!$C$6:$O$528,5,FALSE)</f>
        <v>0</v>
      </c>
      <c r="H343" s="1289">
        <f>VLOOKUP($A343,'Accounts by GL'!$C$6:$O$528,6,FALSE)</f>
        <v>0</v>
      </c>
      <c r="I343" s="1289">
        <f>VLOOKUP($A343,'Accounts by GL'!$C$6:$O$528,7,FALSE)</f>
        <v>0</v>
      </c>
      <c r="J343" s="1289">
        <f>VLOOKUP($A343,'Accounts by GL'!$C$6:$O$528,8,FALSE)</f>
        <v>0</v>
      </c>
      <c r="K343" s="1289">
        <f>VLOOKUP($A343,'Accounts by GL'!$C$6:$O$528,9,FALSE)</f>
        <v>0</v>
      </c>
      <c r="L343" s="1289">
        <f>VLOOKUP($A343,'Accounts by GL'!$C$6:$O$528,10,FALSE)</f>
        <v>0</v>
      </c>
      <c r="M343" s="1289">
        <f>VLOOKUP($A343,'Accounts by GL'!$C$6:$O$528,12,FALSE)</f>
        <v>0</v>
      </c>
    </row>
    <row r="344" spans="1:13">
      <c r="A344" s="1293" t="s">
        <v>2007</v>
      </c>
      <c r="B344" s="1287" t="str">
        <f t="shared" si="5"/>
        <v>SAMPLE STATE COLLEGE</v>
      </c>
      <c r="C344" s="1294" t="s">
        <v>2007</v>
      </c>
      <c r="D344" s="1289">
        <f>VLOOKUP($A344,'Accounts by GL'!$C$6:$O$528,2,FALSE)</f>
        <v>0</v>
      </c>
      <c r="E344" s="1289">
        <f>VLOOKUP($A344,'Accounts by GL'!$C$6:$O$528,3,FALSE)</f>
        <v>0</v>
      </c>
      <c r="F344" s="1289">
        <f>VLOOKUP($A344,'Accounts by GL'!$C$6:$O$528,4,FALSE)</f>
        <v>0</v>
      </c>
      <c r="G344" s="1289">
        <f>VLOOKUP($A344,'Accounts by GL'!$C$6:$O$528,5,FALSE)</f>
        <v>0</v>
      </c>
      <c r="H344" s="1289">
        <f>VLOOKUP($A344,'Accounts by GL'!$C$6:$O$528,6,FALSE)</f>
        <v>0</v>
      </c>
      <c r="I344" s="1289">
        <f>VLOOKUP($A344,'Accounts by GL'!$C$6:$O$528,7,FALSE)</f>
        <v>0</v>
      </c>
      <c r="J344" s="1289">
        <f>VLOOKUP($A344,'Accounts by GL'!$C$6:$O$528,8,FALSE)</f>
        <v>0</v>
      </c>
      <c r="K344" s="1289">
        <f>VLOOKUP($A344,'Accounts by GL'!$C$6:$O$528,9,FALSE)</f>
        <v>0</v>
      </c>
      <c r="L344" s="1289">
        <f>VLOOKUP($A344,'Accounts by GL'!$C$6:$O$528,10,FALSE)</f>
        <v>0</v>
      </c>
      <c r="M344" s="1289">
        <f>VLOOKUP($A344,'Accounts by GL'!$C$6:$O$528,12,FALSE)</f>
        <v>0</v>
      </c>
    </row>
    <row r="345" spans="1:13">
      <c r="A345" s="1293" t="s">
        <v>2010</v>
      </c>
      <c r="B345" s="1287" t="str">
        <f t="shared" si="5"/>
        <v>SAMPLE STATE COLLEGE</v>
      </c>
      <c r="C345" s="1294" t="s">
        <v>2010</v>
      </c>
      <c r="D345" s="1289">
        <f>VLOOKUP($A345,'Accounts by GL'!$C$6:$O$528,2,FALSE)</f>
        <v>0</v>
      </c>
      <c r="E345" s="1289">
        <f>VLOOKUP($A345,'Accounts by GL'!$C$6:$O$528,3,FALSE)</f>
        <v>0</v>
      </c>
      <c r="F345" s="1289">
        <f>VLOOKUP($A345,'Accounts by GL'!$C$6:$O$528,4,FALSE)</f>
        <v>0</v>
      </c>
      <c r="G345" s="1289">
        <f>VLOOKUP($A345,'Accounts by GL'!$C$6:$O$528,5,FALSE)</f>
        <v>0</v>
      </c>
      <c r="H345" s="1289">
        <f>VLOOKUP($A345,'Accounts by GL'!$C$6:$O$528,6,FALSE)</f>
        <v>0</v>
      </c>
      <c r="I345" s="1289">
        <f>VLOOKUP($A345,'Accounts by GL'!$C$6:$O$528,7,FALSE)</f>
        <v>0</v>
      </c>
      <c r="J345" s="1289">
        <f>VLOOKUP($A345,'Accounts by GL'!$C$6:$O$528,8,FALSE)</f>
        <v>0</v>
      </c>
      <c r="K345" s="1289">
        <f>VLOOKUP($A345,'Accounts by GL'!$C$6:$O$528,9,FALSE)</f>
        <v>0</v>
      </c>
      <c r="L345" s="1289">
        <f>VLOOKUP($A345,'Accounts by GL'!$C$6:$O$528,10,FALSE)</f>
        <v>0</v>
      </c>
      <c r="M345" s="1289">
        <f>VLOOKUP($A345,'Accounts by GL'!$C$6:$O$528,12,FALSE)</f>
        <v>0</v>
      </c>
    </row>
    <row r="346" spans="1:13">
      <c r="A346" s="1292" t="s">
        <v>2014</v>
      </c>
      <c r="B346" s="1287" t="str">
        <f t="shared" si="5"/>
        <v>SAMPLE STATE COLLEGE</v>
      </c>
      <c r="C346" s="1291" t="s">
        <v>2014</v>
      </c>
      <c r="D346" s="1289">
        <f>VLOOKUP($A346,'Accounts by GL'!$C$6:$O$528,2,FALSE)</f>
        <v>0</v>
      </c>
      <c r="E346" s="1289">
        <f>VLOOKUP($A346,'Accounts by GL'!$C$6:$O$528,3,FALSE)</f>
        <v>0</v>
      </c>
      <c r="F346" s="1289">
        <f>VLOOKUP($A346,'Accounts by GL'!$C$6:$O$528,4,FALSE)</f>
        <v>0</v>
      </c>
      <c r="G346" s="1289">
        <f>VLOOKUP($A346,'Accounts by GL'!$C$6:$O$528,5,FALSE)</f>
        <v>0</v>
      </c>
      <c r="H346" s="1289">
        <f>VLOOKUP($A346,'Accounts by GL'!$C$6:$O$528,6,FALSE)</f>
        <v>0</v>
      </c>
      <c r="I346" s="1289">
        <f>VLOOKUP($A346,'Accounts by GL'!$C$6:$O$528,7,FALSE)</f>
        <v>0</v>
      </c>
      <c r="J346" s="1289">
        <f>VLOOKUP($A346,'Accounts by GL'!$C$6:$O$528,8,FALSE)</f>
        <v>0</v>
      </c>
      <c r="K346" s="1289">
        <f>VLOOKUP($A346,'Accounts by GL'!$C$6:$O$528,9,FALSE)</f>
        <v>0</v>
      </c>
      <c r="L346" s="1289">
        <f>VLOOKUP($A346,'Accounts by GL'!$C$6:$O$528,10,FALSE)</f>
        <v>0</v>
      </c>
      <c r="M346" s="1289">
        <f>VLOOKUP($A346,'Accounts by GL'!$C$6:$O$528,12,FALSE)</f>
        <v>0</v>
      </c>
    </row>
    <row r="347" spans="1:13">
      <c r="A347" s="1293" t="s">
        <v>2017</v>
      </c>
      <c r="B347" s="1287" t="str">
        <f t="shared" si="5"/>
        <v>SAMPLE STATE COLLEGE</v>
      </c>
      <c r="C347" s="1294" t="s">
        <v>2017</v>
      </c>
      <c r="D347" s="1289">
        <f>VLOOKUP($A347,'Accounts by GL'!$C$6:$O$528,2,FALSE)</f>
        <v>0</v>
      </c>
      <c r="E347" s="1289">
        <f>VLOOKUP($A347,'Accounts by GL'!$C$6:$O$528,3,FALSE)</f>
        <v>0</v>
      </c>
      <c r="F347" s="1289">
        <f>VLOOKUP($A347,'Accounts by GL'!$C$6:$O$528,4,FALSE)</f>
        <v>0</v>
      </c>
      <c r="G347" s="1289">
        <f>VLOOKUP($A347,'Accounts by GL'!$C$6:$O$528,5,FALSE)</f>
        <v>0</v>
      </c>
      <c r="H347" s="1289">
        <f>VLOOKUP($A347,'Accounts by GL'!$C$6:$O$528,6,FALSE)</f>
        <v>0</v>
      </c>
      <c r="I347" s="1289">
        <f>VLOOKUP($A347,'Accounts by GL'!$C$6:$O$528,7,FALSE)</f>
        <v>0</v>
      </c>
      <c r="J347" s="1289">
        <f>VLOOKUP($A347,'Accounts by GL'!$C$6:$O$528,8,FALSE)</f>
        <v>0</v>
      </c>
      <c r="K347" s="1289">
        <f>VLOOKUP($A347,'Accounts by GL'!$C$6:$O$528,9,FALSE)</f>
        <v>0</v>
      </c>
      <c r="L347" s="1289">
        <f>VLOOKUP($A347,'Accounts by GL'!$C$6:$O$528,10,FALSE)</f>
        <v>0</v>
      </c>
      <c r="M347" s="1289">
        <f>VLOOKUP($A347,'Accounts by GL'!$C$6:$O$528,12,FALSE)</f>
        <v>0</v>
      </c>
    </row>
    <row r="348" spans="1:13">
      <c r="A348" s="1293" t="s">
        <v>2020</v>
      </c>
      <c r="B348" s="1287" t="str">
        <f t="shared" si="5"/>
        <v>SAMPLE STATE COLLEGE</v>
      </c>
      <c r="C348" s="1294" t="s">
        <v>2020</v>
      </c>
      <c r="D348" s="1289">
        <f>VLOOKUP($A348,'Accounts by GL'!$C$6:$O$528,2,FALSE)</f>
        <v>0</v>
      </c>
      <c r="E348" s="1289">
        <f>VLOOKUP($A348,'Accounts by GL'!$C$6:$O$528,3,FALSE)</f>
        <v>0</v>
      </c>
      <c r="F348" s="1289">
        <f>VLOOKUP($A348,'Accounts by GL'!$C$6:$O$528,4,FALSE)</f>
        <v>0</v>
      </c>
      <c r="G348" s="1289">
        <f>VLOOKUP($A348,'Accounts by GL'!$C$6:$O$528,5,FALSE)</f>
        <v>0</v>
      </c>
      <c r="H348" s="1289">
        <f>VLOOKUP($A348,'Accounts by GL'!$C$6:$O$528,6,FALSE)</f>
        <v>0</v>
      </c>
      <c r="I348" s="1289">
        <f>VLOOKUP($A348,'Accounts by GL'!$C$6:$O$528,7,FALSE)</f>
        <v>0</v>
      </c>
      <c r="J348" s="1289">
        <f>VLOOKUP($A348,'Accounts by GL'!$C$6:$O$528,8,FALSE)</f>
        <v>0</v>
      </c>
      <c r="K348" s="1289">
        <f>VLOOKUP($A348,'Accounts by GL'!$C$6:$O$528,9,FALSE)</f>
        <v>0</v>
      </c>
      <c r="L348" s="1289">
        <f>VLOOKUP($A348,'Accounts by GL'!$C$6:$O$528,10,FALSE)</f>
        <v>0</v>
      </c>
      <c r="M348" s="1289">
        <f>VLOOKUP($A348,'Accounts by GL'!$C$6:$O$528,12,FALSE)</f>
        <v>0</v>
      </c>
    </row>
    <row r="349" spans="1:13">
      <c r="A349" s="1293" t="s">
        <v>2023</v>
      </c>
      <c r="B349" s="1287" t="str">
        <f t="shared" si="5"/>
        <v>SAMPLE STATE COLLEGE</v>
      </c>
      <c r="C349" s="1294" t="s">
        <v>2023</v>
      </c>
      <c r="D349" s="1289">
        <f>VLOOKUP($A349,'Accounts by GL'!$C$6:$O$528,2,FALSE)</f>
        <v>0</v>
      </c>
      <c r="E349" s="1289">
        <f>VLOOKUP($A349,'Accounts by GL'!$C$6:$O$528,3,FALSE)</f>
        <v>0</v>
      </c>
      <c r="F349" s="1289">
        <f>VLOOKUP($A349,'Accounts by GL'!$C$6:$O$528,4,FALSE)</f>
        <v>0</v>
      </c>
      <c r="G349" s="1289">
        <f>VLOOKUP($A349,'Accounts by GL'!$C$6:$O$528,5,FALSE)</f>
        <v>0</v>
      </c>
      <c r="H349" s="1289">
        <f>VLOOKUP($A349,'Accounts by GL'!$C$6:$O$528,6,FALSE)</f>
        <v>0</v>
      </c>
      <c r="I349" s="1289">
        <f>VLOOKUP($A349,'Accounts by GL'!$C$6:$O$528,7,FALSE)</f>
        <v>0</v>
      </c>
      <c r="J349" s="1289">
        <f>VLOOKUP($A349,'Accounts by GL'!$C$6:$O$528,8,FALSE)</f>
        <v>0</v>
      </c>
      <c r="K349" s="1289">
        <f>VLOOKUP($A349,'Accounts by GL'!$C$6:$O$528,9,FALSE)</f>
        <v>0</v>
      </c>
      <c r="L349" s="1289">
        <f>VLOOKUP($A349,'Accounts by GL'!$C$6:$O$528,10,FALSE)</f>
        <v>0</v>
      </c>
      <c r="M349" s="1289">
        <f>VLOOKUP($A349,'Accounts by GL'!$C$6:$O$528,12,FALSE)</f>
        <v>0</v>
      </c>
    </row>
    <row r="350" spans="1:13">
      <c r="A350" s="1293" t="s">
        <v>2026</v>
      </c>
      <c r="B350" s="1287" t="str">
        <f t="shared" si="5"/>
        <v>SAMPLE STATE COLLEGE</v>
      </c>
      <c r="C350" s="1294" t="s">
        <v>2026</v>
      </c>
      <c r="D350" s="1289">
        <f>VLOOKUP($A350,'Accounts by GL'!$C$6:$O$528,2,FALSE)</f>
        <v>0</v>
      </c>
      <c r="E350" s="1289">
        <f>VLOOKUP($A350,'Accounts by GL'!$C$6:$O$528,3,FALSE)</f>
        <v>0</v>
      </c>
      <c r="F350" s="1289">
        <f>VLOOKUP($A350,'Accounts by GL'!$C$6:$O$528,4,FALSE)</f>
        <v>0</v>
      </c>
      <c r="G350" s="1289">
        <f>VLOOKUP($A350,'Accounts by GL'!$C$6:$O$528,5,FALSE)</f>
        <v>0</v>
      </c>
      <c r="H350" s="1289">
        <f>VLOOKUP($A350,'Accounts by GL'!$C$6:$O$528,6,FALSE)</f>
        <v>0</v>
      </c>
      <c r="I350" s="1289">
        <f>VLOOKUP($A350,'Accounts by GL'!$C$6:$O$528,7,FALSE)</f>
        <v>0</v>
      </c>
      <c r="J350" s="1289">
        <f>VLOOKUP($A350,'Accounts by GL'!$C$6:$O$528,8,FALSE)</f>
        <v>0</v>
      </c>
      <c r="K350" s="1289">
        <f>VLOOKUP($A350,'Accounts by GL'!$C$6:$O$528,9,FALSE)</f>
        <v>0</v>
      </c>
      <c r="L350" s="1289">
        <f>VLOOKUP($A350,'Accounts by GL'!$C$6:$O$528,10,FALSE)</f>
        <v>0</v>
      </c>
      <c r="M350" s="1289">
        <f>VLOOKUP($A350,'Accounts by GL'!$C$6:$O$528,12,FALSE)</f>
        <v>0</v>
      </c>
    </row>
    <row r="351" spans="1:13">
      <c r="A351" s="1293" t="s">
        <v>2029</v>
      </c>
      <c r="B351" s="1287" t="str">
        <f t="shared" si="5"/>
        <v>SAMPLE STATE COLLEGE</v>
      </c>
      <c r="C351" s="1294" t="s">
        <v>2029</v>
      </c>
      <c r="D351" s="1289">
        <f>VLOOKUP($A351,'Accounts by GL'!$C$6:$O$528,2,FALSE)</f>
        <v>0</v>
      </c>
      <c r="E351" s="1289">
        <f>VLOOKUP($A351,'Accounts by GL'!$C$6:$O$528,3,FALSE)</f>
        <v>0</v>
      </c>
      <c r="F351" s="1289">
        <f>VLOOKUP($A351,'Accounts by GL'!$C$6:$O$528,4,FALSE)</f>
        <v>0</v>
      </c>
      <c r="G351" s="1289">
        <f>VLOOKUP($A351,'Accounts by GL'!$C$6:$O$528,5,FALSE)</f>
        <v>0</v>
      </c>
      <c r="H351" s="1289">
        <f>VLOOKUP($A351,'Accounts by GL'!$C$6:$O$528,6,FALSE)</f>
        <v>0</v>
      </c>
      <c r="I351" s="1289">
        <f>VLOOKUP($A351,'Accounts by GL'!$C$6:$O$528,7,FALSE)</f>
        <v>0</v>
      </c>
      <c r="J351" s="1289">
        <f>VLOOKUP($A351,'Accounts by GL'!$C$6:$O$528,8,FALSE)</f>
        <v>0</v>
      </c>
      <c r="K351" s="1289">
        <f>VLOOKUP($A351,'Accounts by GL'!$C$6:$O$528,9,FALSE)</f>
        <v>0</v>
      </c>
      <c r="L351" s="1289">
        <f>VLOOKUP($A351,'Accounts by GL'!$C$6:$O$528,10,FALSE)</f>
        <v>0</v>
      </c>
      <c r="M351" s="1289">
        <f>VLOOKUP($A351,'Accounts by GL'!$C$6:$O$528,12,FALSE)</f>
        <v>0</v>
      </c>
    </row>
    <row r="352" spans="1:13">
      <c r="A352" s="1293" t="s">
        <v>2032</v>
      </c>
      <c r="B352" s="1287" t="str">
        <f t="shared" si="5"/>
        <v>SAMPLE STATE COLLEGE</v>
      </c>
      <c r="C352" s="1294" t="s">
        <v>2032</v>
      </c>
      <c r="D352" s="1289">
        <f>VLOOKUP($A352,'Accounts by GL'!$C$6:$O$528,2,FALSE)</f>
        <v>0</v>
      </c>
      <c r="E352" s="1289">
        <f>VLOOKUP($A352,'Accounts by GL'!$C$6:$O$528,3,FALSE)</f>
        <v>0</v>
      </c>
      <c r="F352" s="1289">
        <f>VLOOKUP($A352,'Accounts by GL'!$C$6:$O$528,4,FALSE)</f>
        <v>0</v>
      </c>
      <c r="G352" s="1289">
        <f>VLOOKUP($A352,'Accounts by GL'!$C$6:$O$528,5,FALSE)</f>
        <v>0</v>
      </c>
      <c r="H352" s="1289">
        <f>VLOOKUP($A352,'Accounts by GL'!$C$6:$O$528,6,FALSE)</f>
        <v>0</v>
      </c>
      <c r="I352" s="1289">
        <f>VLOOKUP($A352,'Accounts by GL'!$C$6:$O$528,7,FALSE)</f>
        <v>0</v>
      </c>
      <c r="J352" s="1289">
        <f>VLOOKUP($A352,'Accounts by GL'!$C$6:$O$528,8,FALSE)</f>
        <v>0</v>
      </c>
      <c r="K352" s="1289">
        <f>VLOOKUP($A352,'Accounts by GL'!$C$6:$O$528,9,FALSE)</f>
        <v>0</v>
      </c>
      <c r="L352" s="1289">
        <f>VLOOKUP($A352,'Accounts by GL'!$C$6:$O$528,10,FALSE)</f>
        <v>0</v>
      </c>
      <c r="M352" s="1289">
        <f>VLOOKUP($A352,'Accounts by GL'!$C$6:$O$528,12,FALSE)</f>
        <v>0</v>
      </c>
    </row>
    <row r="353" spans="1:13">
      <c r="A353" s="1295" t="s">
        <v>2037</v>
      </c>
      <c r="B353" s="1287" t="str">
        <f t="shared" si="5"/>
        <v>SAMPLE STATE COLLEGE</v>
      </c>
      <c r="C353" s="1296" t="s">
        <v>2037</v>
      </c>
      <c r="D353" s="1289">
        <f>VLOOKUP($A353,'Accounts by GL'!$C$6:$O$528,2,FALSE)</f>
        <v>0</v>
      </c>
      <c r="E353" s="1289">
        <f>VLOOKUP($A353,'Accounts by GL'!$C$6:$O$528,3,FALSE)</f>
        <v>0</v>
      </c>
      <c r="F353" s="1289">
        <f>VLOOKUP($A353,'Accounts by GL'!$C$6:$O$528,4,FALSE)</f>
        <v>0</v>
      </c>
      <c r="G353" s="1289">
        <f>VLOOKUP($A353,'Accounts by GL'!$C$6:$O$528,5,FALSE)</f>
        <v>0</v>
      </c>
      <c r="H353" s="1289">
        <f>VLOOKUP($A353,'Accounts by GL'!$C$6:$O$528,6,FALSE)</f>
        <v>0</v>
      </c>
      <c r="I353" s="1289">
        <f>VLOOKUP($A353,'Accounts by GL'!$C$6:$O$528,7,FALSE)</f>
        <v>0</v>
      </c>
      <c r="J353" s="1289">
        <f>VLOOKUP($A353,'Accounts by GL'!$C$6:$O$528,8,FALSE)</f>
        <v>0</v>
      </c>
      <c r="K353" s="1289">
        <f>VLOOKUP($A353,'Accounts by GL'!$C$6:$O$528,9,FALSE)</f>
        <v>0</v>
      </c>
      <c r="L353" s="1289">
        <f>VLOOKUP($A353,'Accounts by GL'!$C$6:$O$528,10,FALSE)</f>
        <v>0</v>
      </c>
      <c r="M353" s="1289">
        <f>VLOOKUP($A353,'Accounts by GL'!$C$6:$O$528,12,FALSE)</f>
        <v>0</v>
      </c>
    </row>
    <row r="354" spans="1:13">
      <c r="A354" s="1293" t="s">
        <v>2040</v>
      </c>
      <c r="B354" s="1287" t="str">
        <f t="shared" si="5"/>
        <v>SAMPLE STATE COLLEGE</v>
      </c>
      <c r="C354" s="1294" t="s">
        <v>2040</v>
      </c>
      <c r="D354" s="1289">
        <f>VLOOKUP($A354,'Accounts by GL'!$C$6:$O$528,2,FALSE)</f>
        <v>0</v>
      </c>
      <c r="E354" s="1289">
        <f>VLOOKUP($A354,'Accounts by GL'!$C$6:$O$528,3,FALSE)</f>
        <v>0</v>
      </c>
      <c r="F354" s="1289">
        <f>VLOOKUP($A354,'Accounts by GL'!$C$6:$O$528,4,FALSE)</f>
        <v>0</v>
      </c>
      <c r="G354" s="1289">
        <f>VLOOKUP($A354,'Accounts by GL'!$C$6:$O$528,5,FALSE)</f>
        <v>0</v>
      </c>
      <c r="H354" s="1289">
        <f>VLOOKUP($A354,'Accounts by GL'!$C$6:$O$528,6,FALSE)</f>
        <v>0</v>
      </c>
      <c r="I354" s="1289">
        <f>VLOOKUP($A354,'Accounts by GL'!$C$6:$O$528,7,FALSE)</f>
        <v>0</v>
      </c>
      <c r="J354" s="1289">
        <f>VLOOKUP($A354,'Accounts by GL'!$C$6:$O$528,8,FALSE)</f>
        <v>0</v>
      </c>
      <c r="K354" s="1289">
        <f>VLOOKUP($A354,'Accounts by GL'!$C$6:$O$528,9,FALSE)</f>
        <v>0</v>
      </c>
      <c r="L354" s="1289">
        <f>VLOOKUP($A354,'Accounts by GL'!$C$6:$O$528,10,FALSE)</f>
        <v>0</v>
      </c>
      <c r="M354" s="1289">
        <f>VLOOKUP($A354,'Accounts by GL'!$C$6:$O$528,12,FALSE)</f>
        <v>0</v>
      </c>
    </row>
    <row r="355" spans="1:13">
      <c r="A355" s="1293" t="s">
        <v>2043</v>
      </c>
      <c r="B355" s="1287" t="str">
        <f t="shared" si="5"/>
        <v>SAMPLE STATE COLLEGE</v>
      </c>
      <c r="C355" s="1294" t="s">
        <v>2043</v>
      </c>
      <c r="D355" s="1289">
        <f>VLOOKUP($A355,'Accounts by GL'!$C$6:$O$528,2,FALSE)</f>
        <v>0</v>
      </c>
      <c r="E355" s="1289">
        <f>VLOOKUP($A355,'Accounts by GL'!$C$6:$O$528,3,FALSE)</f>
        <v>0</v>
      </c>
      <c r="F355" s="1289">
        <f>VLOOKUP($A355,'Accounts by GL'!$C$6:$O$528,4,FALSE)</f>
        <v>0</v>
      </c>
      <c r="G355" s="1289">
        <f>VLOOKUP($A355,'Accounts by GL'!$C$6:$O$528,5,FALSE)</f>
        <v>0</v>
      </c>
      <c r="H355" s="1289">
        <f>VLOOKUP($A355,'Accounts by GL'!$C$6:$O$528,6,FALSE)</f>
        <v>0</v>
      </c>
      <c r="I355" s="1289">
        <f>VLOOKUP($A355,'Accounts by GL'!$C$6:$O$528,7,FALSE)</f>
        <v>0</v>
      </c>
      <c r="J355" s="1289">
        <f>VLOOKUP($A355,'Accounts by GL'!$C$6:$O$528,8,FALSE)</f>
        <v>0</v>
      </c>
      <c r="K355" s="1289">
        <f>VLOOKUP($A355,'Accounts by GL'!$C$6:$O$528,9,FALSE)</f>
        <v>0</v>
      </c>
      <c r="L355" s="1289">
        <f>VLOOKUP($A355,'Accounts by GL'!$C$6:$O$528,10,FALSE)</f>
        <v>0</v>
      </c>
      <c r="M355" s="1289">
        <f>VLOOKUP($A355,'Accounts by GL'!$C$6:$O$528,12,FALSE)</f>
        <v>0</v>
      </c>
    </row>
    <row r="356" spans="1:13">
      <c r="A356" s="1293" t="s">
        <v>2046</v>
      </c>
      <c r="B356" s="1287" t="str">
        <f t="shared" si="5"/>
        <v>SAMPLE STATE COLLEGE</v>
      </c>
      <c r="C356" s="1294" t="s">
        <v>2046</v>
      </c>
      <c r="D356" s="1289">
        <f>VLOOKUP($A356,'Accounts by GL'!$C$6:$O$528,2,FALSE)</f>
        <v>0</v>
      </c>
      <c r="E356" s="1289">
        <f>VLOOKUP($A356,'Accounts by GL'!$C$6:$O$528,3,FALSE)</f>
        <v>0</v>
      </c>
      <c r="F356" s="1289">
        <f>VLOOKUP($A356,'Accounts by GL'!$C$6:$O$528,4,FALSE)</f>
        <v>0</v>
      </c>
      <c r="G356" s="1289">
        <f>VLOOKUP($A356,'Accounts by GL'!$C$6:$O$528,5,FALSE)</f>
        <v>0</v>
      </c>
      <c r="H356" s="1289">
        <f>VLOOKUP($A356,'Accounts by GL'!$C$6:$O$528,6,FALSE)</f>
        <v>0</v>
      </c>
      <c r="I356" s="1289">
        <f>VLOOKUP($A356,'Accounts by GL'!$C$6:$O$528,7,FALSE)</f>
        <v>0</v>
      </c>
      <c r="J356" s="1289">
        <f>VLOOKUP($A356,'Accounts by GL'!$C$6:$O$528,8,FALSE)</f>
        <v>0</v>
      </c>
      <c r="K356" s="1289">
        <f>VLOOKUP($A356,'Accounts by GL'!$C$6:$O$528,9,FALSE)</f>
        <v>0</v>
      </c>
      <c r="L356" s="1289">
        <f>VLOOKUP($A356,'Accounts by GL'!$C$6:$O$528,10,FALSE)</f>
        <v>0</v>
      </c>
      <c r="M356" s="1289">
        <f>VLOOKUP($A356,'Accounts by GL'!$C$6:$O$528,12,FALSE)</f>
        <v>0</v>
      </c>
    </row>
    <row r="357" spans="1:13">
      <c r="A357" s="1293" t="s">
        <v>2049</v>
      </c>
      <c r="B357" s="1287" t="str">
        <f t="shared" si="5"/>
        <v>SAMPLE STATE COLLEGE</v>
      </c>
      <c r="C357" s="1294" t="s">
        <v>2049</v>
      </c>
      <c r="D357" s="1289">
        <f>VLOOKUP($A357,'Accounts by GL'!$C$6:$O$528,2,FALSE)</f>
        <v>0</v>
      </c>
      <c r="E357" s="1289">
        <f>VLOOKUP($A357,'Accounts by GL'!$C$6:$O$528,3,FALSE)</f>
        <v>0</v>
      </c>
      <c r="F357" s="1289">
        <f>VLOOKUP($A357,'Accounts by GL'!$C$6:$O$528,4,FALSE)</f>
        <v>0</v>
      </c>
      <c r="G357" s="1289">
        <f>VLOOKUP($A357,'Accounts by GL'!$C$6:$O$528,5,FALSE)</f>
        <v>0</v>
      </c>
      <c r="H357" s="1289">
        <f>VLOOKUP($A357,'Accounts by GL'!$C$6:$O$528,6,FALSE)</f>
        <v>0</v>
      </c>
      <c r="I357" s="1289">
        <f>VLOOKUP($A357,'Accounts by GL'!$C$6:$O$528,7,FALSE)</f>
        <v>0</v>
      </c>
      <c r="J357" s="1289">
        <f>VLOOKUP($A357,'Accounts by GL'!$C$6:$O$528,8,FALSE)</f>
        <v>0</v>
      </c>
      <c r="K357" s="1289">
        <f>VLOOKUP($A357,'Accounts by GL'!$C$6:$O$528,9,FALSE)</f>
        <v>0</v>
      </c>
      <c r="L357" s="1289">
        <f>VLOOKUP($A357,'Accounts by GL'!$C$6:$O$528,10,FALSE)</f>
        <v>0</v>
      </c>
      <c r="M357" s="1289">
        <f>VLOOKUP($A357,'Accounts by GL'!$C$6:$O$528,12,FALSE)</f>
        <v>0</v>
      </c>
    </row>
    <row r="358" spans="1:13">
      <c r="A358" s="1293" t="s">
        <v>2052</v>
      </c>
      <c r="B358" s="1287" t="str">
        <f t="shared" si="5"/>
        <v>SAMPLE STATE COLLEGE</v>
      </c>
      <c r="C358" s="1294" t="s">
        <v>2052</v>
      </c>
      <c r="D358" s="1289">
        <f>VLOOKUP($A358,'Accounts by GL'!$C$6:$O$528,2,FALSE)</f>
        <v>0</v>
      </c>
      <c r="E358" s="1289">
        <f>VLOOKUP($A358,'Accounts by GL'!$C$6:$O$528,3,FALSE)</f>
        <v>0</v>
      </c>
      <c r="F358" s="1289">
        <f>VLOOKUP($A358,'Accounts by GL'!$C$6:$O$528,4,FALSE)</f>
        <v>0</v>
      </c>
      <c r="G358" s="1289">
        <f>VLOOKUP($A358,'Accounts by GL'!$C$6:$O$528,5,FALSE)</f>
        <v>0</v>
      </c>
      <c r="H358" s="1289">
        <f>VLOOKUP($A358,'Accounts by GL'!$C$6:$O$528,6,FALSE)</f>
        <v>0</v>
      </c>
      <c r="I358" s="1289">
        <f>VLOOKUP($A358,'Accounts by GL'!$C$6:$O$528,7,FALSE)</f>
        <v>0</v>
      </c>
      <c r="J358" s="1289">
        <f>VLOOKUP($A358,'Accounts by GL'!$C$6:$O$528,8,FALSE)</f>
        <v>0</v>
      </c>
      <c r="K358" s="1289">
        <f>VLOOKUP($A358,'Accounts by GL'!$C$6:$O$528,9,FALSE)</f>
        <v>0</v>
      </c>
      <c r="L358" s="1289">
        <f>VLOOKUP($A358,'Accounts by GL'!$C$6:$O$528,10,FALSE)</f>
        <v>0</v>
      </c>
      <c r="M358" s="1289">
        <f>VLOOKUP($A358,'Accounts by GL'!$C$6:$O$528,12,FALSE)</f>
        <v>0</v>
      </c>
    </row>
    <row r="359" spans="1:13">
      <c r="A359" s="1293" t="s">
        <v>2055</v>
      </c>
      <c r="B359" s="1287" t="str">
        <f t="shared" si="5"/>
        <v>SAMPLE STATE COLLEGE</v>
      </c>
      <c r="C359" s="1294" t="s">
        <v>2055</v>
      </c>
      <c r="D359" s="1289">
        <f>VLOOKUP($A359,'Accounts by GL'!$C$6:$O$528,2,FALSE)</f>
        <v>0</v>
      </c>
      <c r="E359" s="1289">
        <f>VLOOKUP($A359,'Accounts by GL'!$C$6:$O$528,3,FALSE)</f>
        <v>0</v>
      </c>
      <c r="F359" s="1289">
        <f>VLOOKUP($A359,'Accounts by GL'!$C$6:$O$528,4,FALSE)</f>
        <v>0</v>
      </c>
      <c r="G359" s="1289">
        <f>VLOOKUP($A359,'Accounts by GL'!$C$6:$O$528,5,FALSE)</f>
        <v>0</v>
      </c>
      <c r="H359" s="1289">
        <f>VLOOKUP($A359,'Accounts by GL'!$C$6:$O$528,6,FALSE)</f>
        <v>0</v>
      </c>
      <c r="I359" s="1289">
        <f>VLOOKUP($A359,'Accounts by GL'!$C$6:$O$528,7,FALSE)</f>
        <v>0</v>
      </c>
      <c r="J359" s="1289">
        <f>VLOOKUP($A359,'Accounts by GL'!$C$6:$O$528,8,FALSE)</f>
        <v>0</v>
      </c>
      <c r="K359" s="1289">
        <f>VLOOKUP($A359,'Accounts by GL'!$C$6:$O$528,9,FALSE)</f>
        <v>0</v>
      </c>
      <c r="L359" s="1289">
        <f>VLOOKUP($A359,'Accounts by GL'!$C$6:$O$528,10,FALSE)</f>
        <v>0</v>
      </c>
      <c r="M359" s="1289">
        <f>VLOOKUP($A359,'Accounts by GL'!$C$6:$O$528,12,FALSE)</f>
        <v>0</v>
      </c>
    </row>
    <row r="360" spans="1:13">
      <c r="A360" s="1293" t="s">
        <v>2060</v>
      </c>
      <c r="B360" s="1287" t="str">
        <f t="shared" si="5"/>
        <v>SAMPLE STATE COLLEGE</v>
      </c>
      <c r="C360" s="1294" t="s">
        <v>2060</v>
      </c>
      <c r="D360" s="1289">
        <f>VLOOKUP($A360,'Accounts by GL'!$C$6:$O$528,2,FALSE)</f>
        <v>0</v>
      </c>
      <c r="E360" s="1289">
        <f>VLOOKUP($A360,'Accounts by GL'!$C$6:$O$528,3,FALSE)</f>
        <v>0</v>
      </c>
      <c r="F360" s="1289">
        <f>VLOOKUP($A360,'Accounts by GL'!$C$6:$O$528,4,FALSE)</f>
        <v>0</v>
      </c>
      <c r="G360" s="1289">
        <f>VLOOKUP($A360,'Accounts by GL'!$C$6:$O$528,5,FALSE)</f>
        <v>0</v>
      </c>
      <c r="H360" s="1289">
        <f>VLOOKUP($A360,'Accounts by GL'!$C$6:$O$528,6,FALSE)</f>
        <v>0</v>
      </c>
      <c r="I360" s="1289">
        <f>VLOOKUP($A360,'Accounts by GL'!$C$6:$O$528,7,FALSE)</f>
        <v>0</v>
      </c>
      <c r="J360" s="1289">
        <f>VLOOKUP($A360,'Accounts by GL'!$C$6:$O$528,8,FALSE)</f>
        <v>0</v>
      </c>
      <c r="K360" s="1289">
        <f>VLOOKUP($A360,'Accounts by GL'!$C$6:$O$528,9,FALSE)</f>
        <v>0</v>
      </c>
      <c r="L360" s="1289">
        <f>VLOOKUP($A360,'Accounts by GL'!$C$6:$O$528,10,FALSE)</f>
        <v>0</v>
      </c>
      <c r="M360" s="1289">
        <f>VLOOKUP($A360,'Accounts by GL'!$C$6:$O$528,12,FALSE)</f>
        <v>0</v>
      </c>
    </row>
    <row r="361" spans="1:13">
      <c r="A361" s="1295" t="s">
        <v>2063</v>
      </c>
      <c r="B361" s="1287" t="str">
        <f t="shared" si="5"/>
        <v>SAMPLE STATE COLLEGE</v>
      </c>
      <c r="C361" s="1296" t="s">
        <v>2063</v>
      </c>
      <c r="D361" s="1289">
        <f>VLOOKUP($A361,'Accounts by GL'!$C$6:$O$528,2,FALSE)</f>
        <v>0</v>
      </c>
      <c r="E361" s="1289">
        <f>VLOOKUP($A361,'Accounts by GL'!$C$6:$O$528,3,FALSE)</f>
        <v>0</v>
      </c>
      <c r="F361" s="1289">
        <f>VLOOKUP($A361,'Accounts by GL'!$C$6:$O$528,4,FALSE)</f>
        <v>0</v>
      </c>
      <c r="G361" s="1289">
        <f>VLOOKUP($A361,'Accounts by GL'!$C$6:$O$528,5,FALSE)</f>
        <v>0</v>
      </c>
      <c r="H361" s="1289">
        <f>VLOOKUP($A361,'Accounts by GL'!$C$6:$O$528,6,FALSE)</f>
        <v>0</v>
      </c>
      <c r="I361" s="1289">
        <f>VLOOKUP($A361,'Accounts by GL'!$C$6:$O$528,7,FALSE)</f>
        <v>0</v>
      </c>
      <c r="J361" s="1289">
        <f>VLOOKUP($A361,'Accounts by GL'!$C$6:$O$528,8,FALSE)</f>
        <v>0</v>
      </c>
      <c r="K361" s="1289">
        <f>VLOOKUP($A361,'Accounts by GL'!$C$6:$O$528,9,FALSE)</f>
        <v>0</v>
      </c>
      <c r="L361" s="1289">
        <f>VLOOKUP($A361,'Accounts by GL'!$C$6:$O$528,10,FALSE)</f>
        <v>0</v>
      </c>
      <c r="M361" s="1289">
        <f>VLOOKUP($A361,'Accounts by GL'!$C$6:$O$528,12,FALSE)</f>
        <v>0</v>
      </c>
    </row>
    <row r="362" spans="1:13">
      <c r="A362" s="1293" t="s">
        <v>2066</v>
      </c>
      <c r="B362" s="1287" t="str">
        <f t="shared" si="5"/>
        <v>SAMPLE STATE COLLEGE</v>
      </c>
      <c r="C362" s="1294" t="s">
        <v>2066</v>
      </c>
      <c r="D362" s="1289">
        <f>VLOOKUP($A362,'Accounts by GL'!$C$6:$O$528,2,FALSE)</f>
        <v>0</v>
      </c>
      <c r="E362" s="1289">
        <f>VLOOKUP($A362,'Accounts by GL'!$C$6:$O$528,3,FALSE)</f>
        <v>0</v>
      </c>
      <c r="F362" s="1289">
        <f>VLOOKUP($A362,'Accounts by GL'!$C$6:$O$528,4,FALSE)</f>
        <v>0</v>
      </c>
      <c r="G362" s="1289">
        <f>VLOOKUP($A362,'Accounts by GL'!$C$6:$O$528,5,FALSE)</f>
        <v>0</v>
      </c>
      <c r="H362" s="1289">
        <f>VLOOKUP($A362,'Accounts by GL'!$C$6:$O$528,6,FALSE)</f>
        <v>0</v>
      </c>
      <c r="I362" s="1289">
        <f>VLOOKUP($A362,'Accounts by GL'!$C$6:$O$528,7,FALSE)</f>
        <v>0</v>
      </c>
      <c r="J362" s="1289">
        <f>VLOOKUP($A362,'Accounts by GL'!$C$6:$O$528,8,FALSE)</f>
        <v>0</v>
      </c>
      <c r="K362" s="1289">
        <f>VLOOKUP($A362,'Accounts by GL'!$C$6:$O$528,9,FALSE)</f>
        <v>0</v>
      </c>
      <c r="L362" s="1289">
        <f>VLOOKUP($A362,'Accounts by GL'!$C$6:$O$528,10,FALSE)</f>
        <v>0</v>
      </c>
      <c r="M362" s="1289">
        <f>VLOOKUP($A362,'Accounts by GL'!$C$6:$O$528,12,FALSE)</f>
        <v>0</v>
      </c>
    </row>
    <row r="363" spans="1:13">
      <c r="A363" s="1293" t="s">
        <v>2069</v>
      </c>
      <c r="B363" s="1287" t="str">
        <f t="shared" si="5"/>
        <v>SAMPLE STATE COLLEGE</v>
      </c>
      <c r="C363" s="1294" t="s">
        <v>2069</v>
      </c>
      <c r="D363" s="1289">
        <f>VLOOKUP($A363,'Accounts by GL'!$C$6:$O$528,2,FALSE)</f>
        <v>0</v>
      </c>
      <c r="E363" s="1289">
        <f>VLOOKUP($A363,'Accounts by GL'!$C$6:$O$528,3,FALSE)</f>
        <v>0</v>
      </c>
      <c r="F363" s="1289">
        <f>VLOOKUP($A363,'Accounts by GL'!$C$6:$O$528,4,FALSE)</f>
        <v>0</v>
      </c>
      <c r="G363" s="1289">
        <f>VLOOKUP($A363,'Accounts by GL'!$C$6:$O$528,5,FALSE)</f>
        <v>0</v>
      </c>
      <c r="H363" s="1289">
        <f>VLOOKUP($A363,'Accounts by GL'!$C$6:$O$528,6,FALSE)</f>
        <v>0</v>
      </c>
      <c r="I363" s="1289">
        <f>VLOOKUP($A363,'Accounts by GL'!$C$6:$O$528,7,FALSE)</f>
        <v>0</v>
      </c>
      <c r="J363" s="1289">
        <f>VLOOKUP($A363,'Accounts by GL'!$C$6:$O$528,8,FALSE)</f>
        <v>0</v>
      </c>
      <c r="K363" s="1289">
        <f>VLOOKUP($A363,'Accounts by GL'!$C$6:$O$528,9,FALSE)</f>
        <v>0</v>
      </c>
      <c r="L363" s="1289">
        <f>VLOOKUP($A363,'Accounts by GL'!$C$6:$O$528,10,FALSE)</f>
        <v>0</v>
      </c>
      <c r="M363" s="1289">
        <f>VLOOKUP($A363,'Accounts by GL'!$C$6:$O$528,12,FALSE)</f>
        <v>0</v>
      </c>
    </row>
    <row r="364" spans="1:13">
      <c r="A364" s="1293" t="s">
        <v>2072</v>
      </c>
      <c r="B364" s="1287" t="str">
        <f t="shared" si="5"/>
        <v>SAMPLE STATE COLLEGE</v>
      </c>
      <c r="C364" s="1294" t="s">
        <v>2072</v>
      </c>
      <c r="D364" s="1289">
        <f>VLOOKUP($A364,'Accounts by GL'!$C$6:$O$528,2,FALSE)</f>
        <v>0</v>
      </c>
      <c r="E364" s="1289">
        <f>VLOOKUP($A364,'Accounts by GL'!$C$6:$O$528,3,FALSE)</f>
        <v>0</v>
      </c>
      <c r="F364" s="1289">
        <f>VLOOKUP($A364,'Accounts by GL'!$C$6:$O$528,4,FALSE)</f>
        <v>0</v>
      </c>
      <c r="G364" s="1289">
        <f>VLOOKUP($A364,'Accounts by GL'!$C$6:$O$528,5,FALSE)</f>
        <v>0</v>
      </c>
      <c r="H364" s="1289">
        <f>VLOOKUP($A364,'Accounts by GL'!$C$6:$O$528,6,FALSE)</f>
        <v>0</v>
      </c>
      <c r="I364" s="1289">
        <f>VLOOKUP($A364,'Accounts by GL'!$C$6:$O$528,7,FALSE)</f>
        <v>0</v>
      </c>
      <c r="J364" s="1289">
        <f>VLOOKUP($A364,'Accounts by GL'!$C$6:$O$528,8,FALSE)</f>
        <v>0</v>
      </c>
      <c r="K364" s="1289">
        <f>VLOOKUP($A364,'Accounts by GL'!$C$6:$O$528,9,FALSE)</f>
        <v>0</v>
      </c>
      <c r="L364" s="1289">
        <f>VLOOKUP($A364,'Accounts by GL'!$C$6:$O$528,10,FALSE)</f>
        <v>0</v>
      </c>
      <c r="M364" s="1289">
        <f>VLOOKUP($A364,'Accounts by GL'!$C$6:$O$528,12,FALSE)</f>
        <v>0</v>
      </c>
    </row>
    <row r="365" spans="1:13">
      <c r="A365" s="1293" t="s">
        <v>2075</v>
      </c>
      <c r="B365" s="1287" t="str">
        <f t="shared" si="5"/>
        <v>SAMPLE STATE COLLEGE</v>
      </c>
      <c r="C365" s="1294" t="s">
        <v>2075</v>
      </c>
      <c r="D365" s="1289">
        <f>VLOOKUP($A365,'Accounts by GL'!$C$6:$O$528,2,FALSE)</f>
        <v>0</v>
      </c>
      <c r="E365" s="1289">
        <f>VLOOKUP($A365,'Accounts by GL'!$C$6:$O$528,3,FALSE)</f>
        <v>0</v>
      </c>
      <c r="F365" s="1289">
        <f>VLOOKUP($A365,'Accounts by GL'!$C$6:$O$528,4,FALSE)</f>
        <v>0</v>
      </c>
      <c r="G365" s="1289">
        <f>VLOOKUP($A365,'Accounts by GL'!$C$6:$O$528,5,FALSE)</f>
        <v>0</v>
      </c>
      <c r="H365" s="1289">
        <f>VLOOKUP($A365,'Accounts by GL'!$C$6:$O$528,6,FALSE)</f>
        <v>0</v>
      </c>
      <c r="I365" s="1289">
        <f>VLOOKUP($A365,'Accounts by GL'!$C$6:$O$528,7,FALSE)</f>
        <v>0</v>
      </c>
      <c r="J365" s="1289">
        <f>VLOOKUP($A365,'Accounts by GL'!$C$6:$O$528,8,FALSE)</f>
        <v>0</v>
      </c>
      <c r="K365" s="1289">
        <f>VLOOKUP($A365,'Accounts by GL'!$C$6:$O$528,9,FALSE)</f>
        <v>0</v>
      </c>
      <c r="L365" s="1289">
        <f>VLOOKUP($A365,'Accounts by GL'!$C$6:$O$528,10,FALSE)</f>
        <v>0</v>
      </c>
      <c r="M365" s="1289">
        <f>VLOOKUP($A365,'Accounts by GL'!$C$6:$O$528,12,FALSE)</f>
        <v>0</v>
      </c>
    </row>
    <row r="366" spans="1:13">
      <c r="A366" s="1293" t="s">
        <v>2078</v>
      </c>
      <c r="B366" s="1287" t="str">
        <f t="shared" si="5"/>
        <v>SAMPLE STATE COLLEGE</v>
      </c>
      <c r="C366" s="1294" t="s">
        <v>2078</v>
      </c>
      <c r="D366" s="1289">
        <f>VLOOKUP($A366,'Accounts by GL'!$C$6:$O$528,2,FALSE)</f>
        <v>0</v>
      </c>
      <c r="E366" s="1289">
        <f>VLOOKUP($A366,'Accounts by GL'!$C$6:$O$528,3,FALSE)</f>
        <v>0</v>
      </c>
      <c r="F366" s="1289">
        <f>VLOOKUP($A366,'Accounts by GL'!$C$6:$O$528,4,FALSE)</f>
        <v>0</v>
      </c>
      <c r="G366" s="1289">
        <f>VLOOKUP($A366,'Accounts by GL'!$C$6:$O$528,5,FALSE)</f>
        <v>0</v>
      </c>
      <c r="H366" s="1289">
        <f>VLOOKUP($A366,'Accounts by GL'!$C$6:$O$528,6,FALSE)</f>
        <v>0</v>
      </c>
      <c r="I366" s="1289">
        <f>VLOOKUP($A366,'Accounts by GL'!$C$6:$O$528,7,FALSE)</f>
        <v>0</v>
      </c>
      <c r="J366" s="1289">
        <f>VLOOKUP($A366,'Accounts by GL'!$C$6:$O$528,8,FALSE)</f>
        <v>0</v>
      </c>
      <c r="K366" s="1289">
        <f>VLOOKUP($A366,'Accounts by GL'!$C$6:$O$528,9,FALSE)</f>
        <v>0</v>
      </c>
      <c r="L366" s="1289">
        <f>VLOOKUP($A366,'Accounts by GL'!$C$6:$O$528,10,FALSE)</f>
        <v>0</v>
      </c>
      <c r="M366" s="1289">
        <f>VLOOKUP($A366,'Accounts by GL'!$C$6:$O$528,12,FALSE)</f>
        <v>0</v>
      </c>
    </row>
    <row r="367" spans="1:13">
      <c r="A367" s="1293" t="s">
        <v>2081</v>
      </c>
      <c r="B367" s="1287" t="str">
        <f t="shared" si="5"/>
        <v>SAMPLE STATE COLLEGE</v>
      </c>
      <c r="C367" s="1294" t="s">
        <v>2081</v>
      </c>
      <c r="D367" s="1289">
        <f>VLOOKUP($A367,'Accounts by GL'!$C$6:$O$528,2,FALSE)</f>
        <v>0</v>
      </c>
      <c r="E367" s="1289">
        <f>VLOOKUP($A367,'Accounts by GL'!$C$6:$O$528,3,FALSE)</f>
        <v>0</v>
      </c>
      <c r="F367" s="1289">
        <f>VLOOKUP($A367,'Accounts by GL'!$C$6:$O$528,4,FALSE)</f>
        <v>0</v>
      </c>
      <c r="G367" s="1289">
        <f>VLOOKUP($A367,'Accounts by GL'!$C$6:$O$528,5,FALSE)</f>
        <v>0</v>
      </c>
      <c r="H367" s="1289">
        <f>VLOOKUP($A367,'Accounts by GL'!$C$6:$O$528,6,FALSE)</f>
        <v>0</v>
      </c>
      <c r="I367" s="1289">
        <f>VLOOKUP($A367,'Accounts by GL'!$C$6:$O$528,7,FALSE)</f>
        <v>0</v>
      </c>
      <c r="J367" s="1289">
        <f>VLOOKUP($A367,'Accounts by GL'!$C$6:$O$528,8,FALSE)</f>
        <v>0</v>
      </c>
      <c r="K367" s="1289">
        <f>VLOOKUP($A367,'Accounts by GL'!$C$6:$O$528,9,FALSE)</f>
        <v>0</v>
      </c>
      <c r="L367" s="1289">
        <f>VLOOKUP($A367,'Accounts by GL'!$C$6:$O$528,10,FALSE)</f>
        <v>0</v>
      </c>
      <c r="M367" s="1289">
        <f>VLOOKUP($A367,'Accounts by GL'!$C$6:$O$528,12,FALSE)</f>
        <v>0</v>
      </c>
    </row>
    <row r="368" spans="1:13">
      <c r="A368" s="1293" t="s">
        <v>2084</v>
      </c>
      <c r="B368" s="1287" t="str">
        <f t="shared" si="5"/>
        <v>SAMPLE STATE COLLEGE</v>
      </c>
      <c r="C368" s="1294" t="s">
        <v>2084</v>
      </c>
      <c r="D368" s="1289">
        <f>VLOOKUP($A368,'Accounts by GL'!$C$6:$O$528,2,FALSE)</f>
        <v>0</v>
      </c>
      <c r="E368" s="1289">
        <f>VLOOKUP($A368,'Accounts by GL'!$C$6:$O$528,3,FALSE)</f>
        <v>0</v>
      </c>
      <c r="F368" s="1289">
        <f>VLOOKUP($A368,'Accounts by GL'!$C$6:$O$528,4,FALSE)</f>
        <v>0</v>
      </c>
      <c r="G368" s="1289">
        <f>VLOOKUP($A368,'Accounts by GL'!$C$6:$O$528,5,FALSE)</f>
        <v>0</v>
      </c>
      <c r="H368" s="1289">
        <f>VLOOKUP($A368,'Accounts by GL'!$C$6:$O$528,6,FALSE)</f>
        <v>0</v>
      </c>
      <c r="I368" s="1289">
        <f>VLOOKUP($A368,'Accounts by GL'!$C$6:$O$528,7,FALSE)</f>
        <v>0</v>
      </c>
      <c r="J368" s="1289">
        <f>VLOOKUP($A368,'Accounts by GL'!$C$6:$O$528,8,FALSE)</f>
        <v>0</v>
      </c>
      <c r="K368" s="1289">
        <f>VLOOKUP($A368,'Accounts by GL'!$C$6:$O$528,9,FALSE)</f>
        <v>0</v>
      </c>
      <c r="L368" s="1289">
        <f>VLOOKUP($A368,'Accounts by GL'!$C$6:$O$528,10,FALSE)</f>
        <v>0</v>
      </c>
      <c r="M368" s="1289">
        <f>VLOOKUP($A368,'Accounts by GL'!$C$6:$O$528,12,FALSE)</f>
        <v>0</v>
      </c>
    </row>
    <row r="369" spans="1:13">
      <c r="A369" s="1293" t="s">
        <v>2087</v>
      </c>
      <c r="B369" s="1287" t="str">
        <f t="shared" si="5"/>
        <v>SAMPLE STATE COLLEGE</v>
      </c>
      <c r="C369" s="1294" t="s">
        <v>2087</v>
      </c>
      <c r="D369" s="1289">
        <f>VLOOKUP($A369,'Accounts by GL'!$C$6:$O$528,2,FALSE)</f>
        <v>0</v>
      </c>
      <c r="E369" s="1289">
        <f>VLOOKUP($A369,'Accounts by GL'!$C$6:$O$528,3,FALSE)</f>
        <v>0</v>
      </c>
      <c r="F369" s="1289">
        <f>VLOOKUP($A369,'Accounts by GL'!$C$6:$O$528,4,FALSE)</f>
        <v>0</v>
      </c>
      <c r="G369" s="1289">
        <f>VLOOKUP($A369,'Accounts by GL'!$C$6:$O$528,5,FALSE)</f>
        <v>0</v>
      </c>
      <c r="H369" s="1289">
        <f>VLOOKUP($A369,'Accounts by GL'!$C$6:$O$528,6,FALSE)</f>
        <v>0</v>
      </c>
      <c r="I369" s="1289">
        <f>VLOOKUP($A369,'Accounts by GL'!$C$6:$O$528,7,FALSE)</f>
        <v>0</v>
      </c>
      <c r="J369" s="1289">
        <f>VLOOKUP($A369,'Accounts by GL'!$C$6:$O$528,8,FALSE)</f>
        <v>0</v>
      </c>
      <c r="K369" s="1289">
        <f>VLOOKUP($A369,'Accounts by GL'!$C$6:$O$528,9,FALSE)</f>
        <v>0</v>
      </c>
      <c r="L369" s="1289">
        <f>VLOOKUP($A369,'Accounts by GL'!$C$6:$O$528,10,FALSE)</f>
        <v>0</v>
      </c>
      <c r="M369" s="1289">
        <f>VLOOKUP($A369,'Accounts by GL'!$C$6:$O$528,12,FALSE)</f>
        <v>0</v>
      </c>
    </row>
    <row r="370" spans="1:13">
      <c r="A370" s="1293" t="s">
        <v>2090</v>
      </c>
      <c r="B370" s="1287" t="str">
        <f t="shared" si="5"/>
        <v>SAMPLE STATE COLLEGE</v>
      </c>
      <c r="C370" s="1294" t="s">
        <v>2090</v>
      </c>
      <c r="D370" s="1289">
        <f>VLOOKUP($A370,'Accounts by GL'!$C$6:$O$528,2,FALSE)</f>
        <v>0</v>
      </c>
      <c r="E370" s="1289">
        <f>VLOOKUP($A370,'Accounts by GL'!$C$6:$O$528,3,FALSE)</f>
        <v>0</v>
      </c>
      <c r="F370" s="1289">
        <f>VLOOKUP($A370,'Accounts by GL'!$C$6:$O$528,4,FALSE)</f>
        <v>0</v>
      </c>
      <c r="G370" s="1289">
        <f>VLOOKUP($A370,'Accounts by GL'!$C$6:$O$528,5,FALSE)</f>
        <v>0</v>
      </c>
      <c r="H370" s="1289">
        <f>VLOOKUP($A370,'Accounts by GL'!$C$6:$O$528,6,FALSE)</f>
        <v>0</v>
      </c>
      <c r="I370" s="1289">
        <f>VLOOKUP($A370,'Accounts by GL'!$C$6:$O$528,7,FALSE)</f>
        <v>0</v>
      </c>
      <c r="J370" s="1289">
        <f>VLOOKUP($A370,'Accounts by GL'!$C$6:$O$528,8,FALSE)</f>
        <v>0</v>
      </c>
      <c r="K370" s="1289">
        <f>VLOOKUP($A370,'Accounts by GL'!$C$6:$O$528,9,FALSE)</f>
        <v>0</v>
      </c>
      <c r="L370" s="1289">
        <f>VLOOKUP($A370,'Accounts by GL'!$C$6:$O$528,10,FALSE)</f>
        <v>0</v>
      </c>
      <c r="M370" s="1289">
        <f>VLOOKUP($A370,'Accounts by GL'!$C$6:$O$528,12,FALSE)</f>
        <v>0</v>
      </c>
    </row>
    <row r="371" spans="1:13">
      <c r="A371" s="1293" t="s">
        <v>2093</v>
      </c>
      <c r="B371" s="1287" t="str">
        <f t="shared" si="5"/>
        <v>SAMPLE STATE COLLEGE</v>
      </c>
      <c r="C371" s="1294" t="s">
        <v>2093</v>
      </c>
      <c r="D371" s="1289">
        <f>VLOOKUP($A371,'Accounts by GL'!$C$6:$O$528,2,FALSE)</f>
        <v>0</v>
      </c>
      <c r="E371" s="1289">
        <f>VLOOKUP($A371,'Accounts by GL'!$C$6:$O$528,3,FALSE)</f>
        <v>0</v>
      </c>
      <c r="F371" s="1289">
        <f>VLOOKUP($A371,'Accounts by GL'!$C$6:$O$528,4,FALSE)</f>
        <v>0</v>
      </c>
      <c r="G371" s="1289">
        <f>VLOOKUP($A371,'Accounts by GL'!$C$6:$O$528,5,FALSE)</f>
        <v>0</v>
      </c>
      <c r="H371" s="1289">
        <f>VLOOKUP($A371,'Accounts by GL'!$C$6:$O$528,6,FALSE)</f>
        <v>0</v>
      </c>
      <c r="I371" s="1289">
        <f>VLOOKUP($A371,'Accounts by GL'!$C$6:$O$528,7,FALSE)</f>
        <v>0</v>
      </c>
      <c r="J371" s="1289">
        <f>VLOOKUP($A371,'Accounts by GL'!$C$6:$O$528,8,FALSE)</f>
        <v>0</v>
      </c>
      <c r="K371" s="1289">
        <f>VLOOKUP($A371,'Accounts by GL'!$C$6:$O$528,9,FALSE)</f>
        <v>0</v>
      </c>
      <c r="L371" s="1289">
        <f>VLOOKUP($A371,'Accounts by GL'!$C$6:$O$528,10,FALSE)</f>
        <v>0</v>
      </c>
      <c r="M371" s="1289">
        <f>VLOOKUP($A371,'Accounts by GL'!$C$6:$O$528,12,FALSE)</f>
        <v>0</v>
      </c>
    </row>
    <row r="372" spans="1:13">
      <c r="A372" s="1293" t="s">
        <v>2096</v>
      </c>
      <c r="B372" s="1287" t="str">
        <f t="shared" si="5"/>
        <v>SAMPLE STATE COLLEGE</v>
      </c>
      <c r="C372" s="1294" t="s">
        <v>2096</v>
      </c>
      <c r="D372" s="1289">
        <f>VLOOKUP($A372,'Accounts by GL'!$C$6:$O$528,2,FALSE)</f>
        <v>0</v>
      </c>
      <c r="E372" s="1289">
        <f>VLOOKUP($A372,'Accounts by GL'!$C$6:$O$528,3,FALSE)</f>
        <v>0</v>
      </c>
      <c r="F372" s="1289">
        <f>VLOOKUP($A372,'Accounts by GL'!$C$6:$O$528,4,FALSE)</f>
        <v>0</v>
      </c>
      <c r="G372" s="1289">
        <f>VLOOKUP($A372,'Accounts by GL'!$C$6:$O$528,5,FALSE)</f>
        <v>0</v>
      </c>
      <c r="H372" s="1289">
        <f>VLOOKUP($A372,'Accounts by GL'!$C$6:$O$528,6,FALSE)</f>
        <v>0</v>
      </c>
      <c r="I372" s="1289">
        <f>VLOOKUP($A372,'Accounts by GL'!$C$6:$O$528,7,FALSE)</f>
        <v>0</v>
      </c>
      <c r="J372" s="1289">
        <f>VLOOKUP($A372,'Accounts by GL'!$C$6:$O$528,8,FALSE)</f>
        <v>0</v>
      </c>
      <c r="K372" s="1289">
        <f>VLOOKUP($A372,'Accounts by GL'!$C$6:$O$528,9,FALSE)</f>
        <v>0</v>
      </c>
      <c r="L372" s="1289">
        <f>VLOOKUP($A372,'Accounts by GL'!$C$6:$O$528,10,FALSE)</f>
        <v>0</v>
      </c>
      <c r="M372" s="1289">
        <f>VLOOKUP($A372,'Accounts by GL'!$C$6:$O$528,12,FALSE)</f>
        <v>0</v>
      </c>
    </row>
    <row r="373" spans="1:13">
      <c r="A373" s="1293" t="s">
        <v>2099</v>
      </c>
      <c r="B373" s="1287" t="str">
        <f t="shared" si="5"/>
        <v>SAMPLE STATE COLLEGE</v>
      </c>
      <c r="C373" s="1294" t="s">
        <v>2099</v>
      </c>
      <c r="D373" s="1289">
        <f>VLOOKUP($A373,'Accounts by GL'!$C$6:$O$528,2,FALSE)</f>
        <v>0</v>
      </c>
      <c r="E373" s="1289">
        <f>VLOOKUP($A373,'Accounts by GL'!$C$6:$O$528,3,FALSE)</f>
        <v>0</v>
      </c>
      <c r="F373" s="1289">
        <f>VLOOKUP($A373,'Accounts by GL'!$C$6:$O$528,4,FALSE)</f>
        <v>0</v>
      </c>
      <c r="G373" s="1289">
        <f>VLOOKUP($A373,'Accounts by GL'!$C$6:$O$528,5,FALSE)</f>
        <v>0</v>
      </c>
      <c r="H373" s="1289">
        <f>VLOOKUP($A373,'Accounts by GL'!$C$6:$O$528,6,FALSE)</f>
        <v>0</v>
      </c>
      <c r="I373" s="1289">
        <f>VLOOKUP($A373,'Accounts by GL'!$C$6:$O$528,7,FALSE)</f>
        <v>0</v>
      </c>
      <c r="J373" s="1289">
        <f>VLOOKUP($A373,'Accounts by GL'!$C$6:$O$528,8,FALSE)</f>
        <v>0</v>
      </c>
      <c r="K373" s="1289">
        <f>VLOOKUP($A373,'Accounts by GL'!$C$6:$O$528,9,FALSE)</f>
        <v>0</v>
      </c>
      <c r="L373" s="1289">
        <f>VLOOKUP($A373,'Accounts by GL'!$C$6:$O$528,10,FALSE)</f>
        <v>0</v>
      </c>
      <c r="M373" s="1289">
        <f>VLOOKUP($A373,'Accounts by GL'!$C$6:$O$528,12,FALSE)</f>
        <v>0</v>
      </c>
    </row>
    <row r="374" spans="1:13">
      <c r="A374" s="1293" t="s">
        <v>2102</v>
      </c>
      <c r="B374" s="1287" t="str">
        <f t="shared" si="5"/>
        <v>SAMPLE STATE COLLEGE</v>
      </c>
      <c r="C374" s="1294" t="s">
        <v>2102</v>
      </c>
      <c r="D374" s="1289">
        <f>VLOOKUP($A374,'Accounts by GL'!$C$6:$O$528,2,FALSE)</f>
        <v>0</v>
      </c>
      <c r="E374" s="1289">
        <f>VLOOKUP($A374,'Accounts by GL'!$C$6:$O$528,3,FALSE)</f>
        <v>0</v>
      </c>
      <c r="F374" s="1289">
        <f>VLOOKUP($A374,'Accounts by GL'!$C$6:$O$528,4,FALSE)</f>
        <v>0</v>
      </c>
      <c r="G374" s="1289">
        <f>VLOOKUP($A374,'Accounts by GL'!$C$6:$O$528,5,FALSE)</f>
        <v>0</v>
      </c>
      <c r="H374" s="1289">
        <f>VLOOKUP($A374,'Accounts by GL'!$C$6:$O$528,6,FALSE)</f>
        <v>0</v>
      </c>
      <c r="I374" s="1289">
        <f>VLOOKUP($A374,'Accounts by GL'!$C$6:$O$528,7,FALSE)</f>
        <v>0</v>
      </c>
      <c r="J374" s="1289">
        <f>VLOOKUP($A374,'Accounts by GL'!$C$6:$O$528,8,FALSE)</f>
        <v>0</v>
      </c>
      <c r="K374" s="1289">
        <f>VLOOKUP($A374,'Accounts by GL'!$C$6:$O$528,9,FALSE)</f>
        <v>0</v>
      </c>
      <c r="L374" s="1289">
        <f>VLOOKUP($A374,'Accounts by GL'!$C$6:$O$528,10,FALSE)</f>
        <v>0</v>
      </c>
      <c r="M374" s="1289">
        <f>VLOOKUP($A374,'Accounts by GL'!$C$6:$O$528,12,FALSE)</f>
        <v>0</v>
      </c>
    </row>
    <row r="375" spans="1:13">
      <c r="A375" s="1293" t="s">
        <v>2105</v>
      </c>
      <c r="B375" s="1287" t="str">
        <f t="shared" si="5"/>
        <v>SAMPLE STATE COLLEGE</v>
      </c>
      <c r="C375" s="1294" t="s">
        <v>2105</v>
      </c>
      <c r="D375" s="1289">
        <f>VLOOKUP($A375,'Accounts by GL'!$C$6:$O$528,2,FALSE)</f>
        <v>0</v>
      </c>
      <c r="E375" s="1289">
        <f>VLOOKUP($A375,'Accounts by GL'!$C$6:$O$528,3,FALSE)</f>
        <v>0</v>
      </c>
      <c r="F375" s="1289">
        <f>VLOOKUP($A375,'Accounts by GL'!$C$6:$O$528,4,FALSE)</f>
        <v>0</v>
      </c>
      <c r="G375" s="1289">
        <f>VLOOKUP($A375,'Accounts by GL'!$C$6:$O$528,5,FALSE)</f>
        <v>0</v>
      </c>
      <c r="H375" s="1289">
        <f>VLOOKUP($A375,'Accounts by GL'!$C$6:$O$528,6,FALSE)</f>
        <v>0</v>
      </c>
      <c r="I375" s="1289">
        <f>VLOOKUP($A375,'Accounts by GL'!$C$6:$O$528,7,FALSE)</f>
        <v>0</v>
      </c>
      <c r="J375" s="1289">
        <f>VLOOKUP($A375,'Accounts by GL'!$C$6:$O$528,8,FALSE)</f>
        <v>0</v>
      </c>
      <c r="K375" s="1289">
        <f>VLOOKUP($A375,'Accounts by GL'!$C$6:$O$528,9,FALSE)</f>
        <v>0</v>
      </c>
      <c r="L375" s="1289">
        <f>VLOOKUP($A375,'Accounts by GL'!$C$6:$O$528,10,FALSE)</f>
        <v>0</v>
      </c>
      <c r="M375" s="1289">
        <f>VLOOKUP($A375,'Accounts by GL'!$C$6:$O$528,12,FALSE)</f>
        <v>0</v>
      </c>
    </row>
    <row r="376" spans="1:13">
      <c r="A376" s="1293" t="s">
        <v>2108</v>
      </c>
      <c r="B376" s="1287" t="str">
        <f t="shared" si="5"/>
        <v>SAMPLE STATE COLLEGE</v>
      </c>
      <c r="C376" s="1294" t="s">
        <v>2108</v>
      </c>
      <c r="D376" s="1289">
        <f>VLOOKUP($A376,'Accounts by GL'!$C$6:$O$528,2,FALSE)</f>
        <v>0</v>
      </c>
      <c r="E376" s="1289">
        <f>VLOOKUP($A376,'Accounts by GL'!$C$6:$O$528,3,FALSE)</f>
        <v>0</v>
      </c>
      <c r="F376" s="1289">
        <f>VLOOKUP($A376,'Accounts by GL'!$C$6:$O$528,4,FALSE)</f>
        <v>0</v>
      </c>
      <c r="G376" s="1289">
        <f>VLOOKUP($A376,'Accounts by GL'!$C$6:$O$528,5,FALSE)</f>
        <v>0</v>
      </c>
      <c r="H376" s="1289">
        <f>VLOOKUP($A376,'Accounts by GL'!$C$6:$O$528,6,FALSE)</f>
        <v>0</v>
      </c>
      <c r="I376" s="1289">
        <f>VLOOKUP($A376,'Accounts by GL'!$C$6:$O$528,7,FALSE)</f>
        <v>0</v>
      </c>
      <c r="J376" s="1289">
        <f>VLOOKUP($A376,'Accounts by GL'!$C$6:$O$528,8,FALSE)</f>
        <v>0</v>
      </c>
      <c r="K376" s="1289">
        <f>VLOOKUP($A376,'Accounts by GL'!$C$6:$O$528,9,FALSE)</f>
        <v>0</v>
      </c>
      <c r="L376" s="1289">
        <f>VLOOKUP($A376,'Accounts by GL'!$C$6:$O$528,10,FALSE)</f>
        <v>0</v>
      </c>
      <c r="M376" s="1289">
        <f>VLOOKUP($A376,'Accounts by GL'!$C$6:$O$528,12,FALSE)</f>
        <v>0</v>
      </c>
    </row>
    <row r="377" spans="1:13">
      <c r="A377" s="1295" t="s">
        <v>2111</v>
      </c>
      <c r="B377" s="1287" t="str">
        <f t="shared" si="5"/>
        <v>SAMPLE STATE COLLEGE</v>
      </c>
      <c r="C377" s="1296" t="s">
        <v>2111</v>
      </c>
      <c r="D377" s="1289">
        <f>VLOOKUP($A377,'Accounts by GL'!$C$6:$O$528,2,FALSE)</f>
        <v>0</v>
      </c>
      <c r="E377" s="1289">
        <f>VLOOKUP($A377,'Accounts by GL'!$C$6:$O$528,3,FALSE)</f>
        <v>0</v>
      </c>
      <c r="F377" s="1289">
        <f>VLOOKUP($A377,'Accounts by GL'!$C$6:$O$528,4,FALSE)</f>
        <v>0</v>
      </c>
      <c r="G377" s="1289">
        <f>VLOOKUP($A377,'Accounts by GL'!$C$6:$O$528,5,FALSE)</f>
        <v>0</v>
      </c>
      <c r="H377" s="1289">
        <f>VLOOKUP($A377,'Accounts by GL'!$C$6:$O$528,6,FALSE)</f>
        <v>0</v>
      </c>
      <c r="I377" s="1289">
        <f>VLOOKUP($A377,'Accounts by GL'!$C$6:$O$528,7,FALSE)</f>
        <v>0</v>
      </c>
      <c r="J377" s="1289">
        <f>VLOOKUP($A377,'Accounts by GL'!$C$6:$O$528,8,FALSE)</f>
        <v>0</v>
      </c>
      <c r="K377" s="1289">
        <f>VLOOKUP($A377,'Accounts by GL'!$C$6:$O$528,9,FALSE)</f>
        <v>0</v>
      </c>
      <c r="L377" s="1289">
        <f>VLOOKUP($A377,'Accounts by GL'!$C$6:$O$528,10,FALSE)</f>
        <v>0</v>
      </c>
      <c r="M377" s="1289">
        <f>VLOOKUP($A377,'Accounts by GL'!$C$6:$O$528,12,FALSE)</f>
        <v>0</v>
      </c>
    </row>
    <row r="378" spans="1:13">
      <c r="A378" s="1299" t="s">
        <v>2114</v>
      </c>
      <c r="B378" s="1287" t="str">
        <f t="shared" si="5"/>
        <v>SAMPLE STATE COLLEGE</v>
      </c>
      <c r="C378" s="108" t="s">
        <v>2114</v>
      </c>
      <c r="D378" s="1289">
        <f>VLOOKUP($A378,'Accounts by GL'!$C$6:$O$528,2,FALSE)</f>
        <v>0</v>
      </c>
      <c r="E378" s="1289">
        <f>VLOOKUP($A378,'Accounts by GL'!$C$6:$O$528,3,FALSE)</f>
        <v>0</v>
      </c>
      <c r="F378" s="1289">
        <f>VLOOKUP($A378,'Accounts by GL'!$C$6:$O$528,4,FALSE)</f>
        <v>0</v>
      </c>
      <c r="G378" s="1289">
        <f>VLOOKUP($A378,'Accounts by GL'!$C$6:$O$528,5,FALSE)</f>
        <v>0</v>
      </c>
      <c r="H378" s="1289">
        <f>VLOOKUP($A378,'Accounts by GL'!$C$6:$O$528,6,FALSE)</f>
        <v>0</v>
      </c>
      <c r="I378" s="1289">
        <f>VLOOKUP($A378,'Accounts by GL'!$C$6:$O$528,7,FALSE)</f>
        <v>0</v>
      </c>
      <c r="J378" s="1289">
        <f>VLOOKUP($A378,'Accounts by GL'!$C$6:$O$528,8,FALSE)</f>
        <v>0</v>
      </c>
      <c r="K378" s="1289">
        <f>VLOOKUP($A378,'Accounts by GL'!$C$6:$O$528,9,FALSE)</f>
        <v>0</v>
      </c>
      <c r="L378" s="1289">
        <f>VLOOKUP($A378,'Accounts by GL'!$C$6:$O$528,10,FALSE)</f>
        <v>0</v>
      </c>
      <c r="M378" s="1289">
        <f>VLOOKUP($A378,'Accounts by GL'!$C$6:$O$528,12,FALSE)</f>
        <v>0</v>
      </c>
    </row>
    <row r="379" spans="1:13">
      <c r="A379" s="1299" t="s">
        <v>2117</v>
      </c>
      <c r="B379" s="1287" t="str">
        <f t="shared" si="5"/>
        <v>SAMPLE STATE COLLEGE</v>
      </c>
      <c r="C379" s="108" t="s">
        <v>2117</v>
      </c>
      <c r="D379" s="1289">
        <f>VLOOKUP($A379,'Accounts by GL'!$C$6:$O$528,2,FALSE)</f>
        <v>0</v>
      </c>
      <c r="E379" s="1289">
        <f>VLOOKUP($A379,'Accounts by GL'!$C$6:$O$528,3,FALSE)</f>
        <v>0</v>
      </c>
      <c r="F379" s="1289">
        <f>VLOOKUP($A379,'Accounts by GL'!$C$6:$O$528,4,FALSE)</f>
        <v>0</v>
      </c>
      <c r="G379" s="1289">
        <f>VLOOKUP($A379,'Accounts by GL'!$C$6:$O$528,5,FALSE)</f>
        <v>0</v>
      </c>
      <c r="H379" s="1289">
        <f>VLOOKUP($A379,'Accounts by GL'!$C$6:$O$528,6,FALSE)</f>
        <v>0</v>
      </c>
      <c r="I379" s="1289">
        <f>VLOOKUP($A379,'Accounts by GL'!$C$6:$O$528,7,FALSE)</f>
        <v>0</v>
      </c>
      <c r="J379" s="1289">
        <f>VLOOKUP($A379,'Accounts by GL'!$C$6:$O$528,8,FALSE)</f>
        <v>0</v>
      </c>
      <c r="K379" s="1289">
        <f>VLOOKUP($A379,'Accounts by GL'!$C$6:$O$528,9,FALSE)</f>
        <v>0</v>
      </c>
      <c r="L379" s="1289">
        <f>VLOOKUP($A379,'Accounts by GL'!$C$6:$O$528,10,FALSE)</f>
        <v>0</v>
      </c>
      <c r="M379" s="1289">
        <f>VLOOKUP($A379,'Accounts by GL'!$C$6:$O$528,12,FALSE)</f>
        <v>0</v>
      </c>
    </row>
    <row r="380" spans="1:13">
      <c r="A380" s="1299" t="s">
        <v>2120</v>
      </c>
      <c r="B380" s="1287" t="str">
        <f t="shared" si="5"/>
        <v>SAMPLE STATE COLLEGE</v>
      </c>
      <c r="C380" s="108" t="s">
        <v>2120</v>
      </c>
      <c r="D380" s="1289">
        <f>VLOOKUP($A380,'Accounts by GL'!$C$6:$O$528,2,FALSE)</f>
        <v>0</v>
      </c>
      <c r="E380" s="1289">
        <f>VLOOKUP($A380,'Accounts by GL'!$C$6:$O$528,3,FALSE)</f>
        <v>0</v>
      </c>
      <c r="F380" s="1289">
        <f>VLOOKUP($A380,'Accounts by GL'!$C$6:$O$528,4,FALSE)</f>
        <v>0</v>
      </c>
      <c r="G380" s="1289">
        <f>VLOOKUP($A380,'Accounts by GL'!$C$6:$O$528,5,FALSE)</f>
        <v>0</v>
      </c>
      <c r="H380" s="1289">
        <f>VLOOKUP($A380,'Accounts by GL'!$C$6:$O$528,6,FALSE)</f>
        <v>0</v>
      </c>
      <c r="I380" s="1289">
        <f>VLOOKUP($A380,'Accounts by GL'!$C$6:$O$528,7,FALSE)</f>
        <v>0</v>
      </c>
      <c r="J380" s="1289">
        <f>VLOOKUP($A380,'Accounts by GL'!$C$6:$O$528,8,FALSE)</f>
        <v>0</v>
      </c>
      <c r="K380" s="1289">
        <f>VLOOKUP($A380,'Accounts by GL'!$C$6:$O$528,9,FALSE)</f>
        <v>0</v>
      </c>
      <c r="L380" s="1289">
        <f>VLOOKUP($A380,'Accounts by GL'!$C$6:$O$528,10,FALSE)</f>
        <v>0</v>
      </c>
      <c r="M380" s="1289">
        <f>VLOOKUP($A380,'Accounts by GL'!$C$6:$O$528,12,FALSE)</f>
        <v>0</v>
      </c>
    </row>
    <row r="381" spans="1:13">
      <c r="A381" s="1299" t="s">
        <v>2123</v>
      </c>
      <c r="B381" s="1287" t="str">
        <f t="shared" si="5"/>
        <v>SAMPLE STATE COLLEGE</v>
      </c>
      <c r="C381" s="108" t="s">
        <v>2123</v>
      </c>
      <c r="D381" s="1289">
        <f>VLOOKUP($A381,'Accounts by GL'!$C$6:$O$528,2,FALSE)</f>
        <v>0</v>
      </c>
      <c r="E381" s="1289">
        <f>VLOOKUP($A381,'Accounts by GL'!$C$6:$O$528,3,FALSE)</f>
        <v>0</v>
      </c>
      <c r="F381" s="1289">
        <f>VLOOKUP($A381,'Accounts by GL'!$C$6:$O$528,4,FALSE)</f>
        <v>0</v>
      </c>
      <c r="G381" s="1289">
        <f>VLOOKUP($A381,'Accounts by GL'!$C$6:$O$528,5,FALSE)</f>
        <v>0</v>
      </c>
      <c r="H381" s="1289">
        <f>VLOOKUP($A381,'Accounts by GL'!$C$6:$O$528,6,FALSE)</f>
        <v>0</v>
      </c>
      <c r="I381" s="1289">
        <f>VLOOKUP($A381,'Accounts by GL'!$C$6:$O$528,7,FALSE)</f>
        <v>0</v>
      </c>
      <c r="J381" s="1289">
        <f>VLOOKUP($A381,'Accounts by GL'!$C$6:$O$528,8,FALSE)</f>
        <v>0</v>
      </c>
      <c r="K381" s="1289">
        <f>VLOOKUP($A381,'Accounts by GL'!$C$6:$O$528,9,FALSE)</f>
        <v>0</v>
      </c>
      <c r="L381" s="1289">
        <f>VLOOKUP($A381,'Accounts by GL'!$C$6:$O$528,10,FALSE)</f>
        <v>0</v>
      </c>
      <c r="M381" s="1289">
        <f>VLOOKUP($A381,'Accounts by GL'!$C$6:$O$528,12,FALSE)</f>
        <v>0</v>
      </c>
    </row>
    <row r="382" spans="1:13">
      <c r="A382" s="1299" t="s">
        <v>2126</v>
      </c>
      <c r="B382" s="1287" t="str">
        <f t="shared" si="5"/>
        <v>SAMPLE STATE COLLEGE</v>
      </c>
      <c r="C382" s="108" t="s">
        <v>2126</v>
      </c>
      <c r="D382" s="1289">
        <f>VLOOKUP($A382,'Accounts by GL'!$C$6:$O$528,2,FALSE)</f>
        <v>0</v>
      </c>
      <c r="E382" s="1289">
        <f>VLOOKUP($A382,'Accounts by GL'!$C$6:$O$528,3,FALSE)</f>
        <v>0</v>
      </c>
      <c r="F382" s="1289">
        <f>VLOOKUP($A382,'Accounts by GL'!$C$6:$O$528,4,FALSE)</f>
        <v>0</v>
      </c>
      <c r="G382" s="1289">
        <f>VLOOKUP($A382,'Accounts by GL'!$C$6:$O$528,5,FALSE)</f>
        <v>0</v>
      </c>
      <c r="H382" s="1289">
        <f>VLOOKUP($A382,'Accounts by GL'!$C$6:$O$528,6,FALSE)</f>
        <v>0</v>
      </c>
      <c r="I382" s="1289">
        <f>VLOOKUP($A382,'Accounts by GL'!$C$6:$O$528,7,FALSE)</f>
        <v>0</v>
      </c>
      <c r="J382" s="1289">
        <f>VLOOKUP($A382,'Accounts by GL'!$C$6:$O$528,8,FALSE)</f>
        <v>0</v>
      </c>
      <c r="K382" s="1289">
        <f>VLOOKUP($A382,'Accounts by GL'!$C$6:$O$528,9,FALSE)</f>
        <v>0</v>
      </c>
      <c r="L382" s="1289">
        <f>VLOOKUP($A382,'Accounts by GL'!$C$6:$O$528,10,FALSE)</f>
        <v>0</v>
      </c>
      <c r="M382" s="1289">
        <f>VLOOKUP($A382,'Accounts by GL'!$C$6:$O$528,12,FALSE)</f>
        <v>0</v>
      </c>
    </row>
    <row r="383" spans="1:13">
      <c r="A383" s="1299" t="s">
        <v>2129</v>
      </c>
      <c r="B383" s="1287" t="str">
        <f t="shared" si="5"/>
        <v>SAMPLE STATE COLLEGE</v>
      </c>
      <c r="C383" s="108" t="s">
        <v>2129</v>
      </c>
      <c r="D383" s="1289">
        <f>VLOOKUP($A383,'Accounts by GL'!$C$6:$O$528,2,FALSE)</f>
        <v>0</v>
      </c>
      <c r="E383" s="1289">
        <f>VLOOKUP($A383,'Accounts by GL'!$C$6:$O$528,3,FALSE)</f>
        <v>0</v>
      </c>
      <c r="F383" s="1289">
        <f>VLOOKUP($A383,'Accounts by GL'!$C$6:$O$528,4,FALSE)</f>
        <v>0</v>
      </c>
      <c r="G383" s="1289">
        <f>VLOOKUP($A383,'Accounts by GL'!$C$6:$O$528,5,FALSE)</f>
        <v>0</v>
      </c>
      <c r="H383" s="1289">
        <f>VLOOKUP($A383,'Accounts by GL'!$C$6:$O$528,6,FALSE)</f>
        <v>0</v>
      </c>
      <c r="I383" s="1289">
        <f>VLOOKUP($A383,'Accounts by GL'!$C$6:$O$528,7,FALSE)</f>
        <v>0</v>
      </c>
      <c r="J383" s="1289">
        <f>VLOOKUP($A383,'Accounts by GL'!$C$6:$O$528,8,FALSE)</f>
        <v>0</v>
      </c>
      <c r="K383" s="1289">
        <f>VLOOKUP($A383,'Accounts by GL'!$C$6:$O$528,9,FALSE)</f>
        <v>0</v>
      </c>
      <c r="L383" s="1289">
        <f>VLOOKUP($A383,'Accounts by GL'!$C$6:$O$528,10,FALSE)</f>
        <v>0</v>
      </c>
      <c r="M383" s="1289">
        <f>VLOOKUP($A383,'Accounts by GL'!$C$6:$O$528,12,FALSE)</f>
        <v>0</v>
      </c>
    </row>
    <row r="384" spans="1:13">
      <c r="A384" s="1293" t="s">
        <v>2132</v>
      </c>
      <c r="B384" s="1287" t="str">
        <f t="shared" si="5"/>
        <v>SAMPLE STATE COLLEGE</v>
      </c>
      <c r="C384" s="1294" t="s">
        <v>2132</v>
      </c>
      <c r="D384" s="1289">
        <f>VLOOKUP($A384,'Accounts by GL'!$C$6:$O$528,2,FALSE)</f>
        <v>0</v>
      </c>
      <c r="E384" s="1289">
        <f>VLOOKUP($A384,'Accounts by GL'!$C$6:$O$528,3,FALSE)</f>
        <v>0</v>
      </c>
      <c r="F384" s="1289">
        <f>VLOOKUP($A384,'Accounts by GL'!$C$6:$O$528,4,FALSE)</f>
        <v>0</v>
      </c>
      <c r="G384" s="1289">
        <f>VLOOKUP($A384,'Accounts by GL'!$C$6:$O$528,5,FALSE)</f>
        <v>0</v>
      </c>
      <c r="H384" s="1289">
        <f>VLOOKUP($A384,'Accounts by GL'!$C$6:$O$528,6,FALSE)</f>
        <v>0</v>
      </c>
      <c r="I384" s="1289">
        <f>VLOOKUP($A384,'Accounts by GL'!$C$6:$O$528,7,FALSE)</f>
        <v>0</v>
      </c>
      <c r="J384" s="1289">
        <f>VLOOKUP($A384,'Accounts by GL'!$C$6:$O$528,8,FALSE)</f>
        <v>0</v>
      </c>
      <c r="K384" s="1289">
        <f>VLOOKUP($A384,'Accounts by GL'!$C$6:$O$528,9,FALSE)</f>
        <v>0</v>
      </c>
      <c r="L384" s="1289">
        <f>VLOOKUP($A384,'Accounts by GL'!$C$6:$O$528,10,FALSE)</f>
        <v>0</v>
      </c>
      <c r="M384" s="1289">
        <f>VLOOKUP($A384,'Accounts by GL'!$C$6:$O$528,12,FALSE)</f>
        <v>0</v>
      </c>
    </row>
    <row r="385" spans="1:13">
      <c r="A385" s="1293" t="s">
        <v>2135</v>
      </c>
      <c r="B385" s="1287" t="str">
        <f t="shared" si="5"/>
        <v>SAMPLE STATE COLLEGE</v>
      </c>
      <c r="C385" s="1294" t="s">
        <v>2135</v>
      </c>
      <c r="D385" s="1289">
        <f>VLOOKUP($A385,'Accounts by GL'!$C$6:$O$528,2,FALSE)</f>
        <v>0</v>
      </c>
      <c r="E385" s="1289">
        <f>VLOOKUP($A385,'Accounts by GL'!$C$6:$O$528,3,FALSE)</f>
        <v>0</v>
      </c>
      <c r="F385" s="1289">
        <f>VLOOKUP($A385,'Accounts by GL'!$C$6:$O$528,4,FALSE)</f>
        <v>0</v>
      </c>
      <c r="G385" s="1289">
        <f>VLOOKUP($A385,'Accounts by GL'!$C$6:$O$528,5,FALSE)</f>
        <v>0</v>
      </c>
      <c r="H385" s="1289">
        <f>VLOOKUP($A385,'Accounts by GL'!$C$6:$O$528,6,FALSE)</f>
        <v>0</v>
      </c>
      <c r="I385" s="1289">
        <f>VLOOKUP($A385,'Accounts by GL'!$C$6:$O$528,7,FALSE)</f>
        <v>0</v>
      </c>
      <c r="J385" s="1289">
        <f>VLOOKUP($A385,'Accounts by GL'!$C$6:$O$528,8,FALSE)</f>
        <v>0</v>
      </c>
      <c r="K385" s="1289">
        <f>VLOOKUP($A385,'Accounts by GL'!$C$6:$O$528,9,FALSE)</f>
        <v>0</v>
      </c>
      <c r="L385" s="1289">
        <f>VLOOKUP($A385,'Accounts by GL'!$C$6:$O$528,10,FALSE)</f>
        <v>0</v>
      </c>
      <c r="M385" s="1289">
        <f>VLOOKUP($A385,'Accounts by GL'!$C$6:$O$528,12,FALSE)</f>
        <v>0</v>
      </c>
    </row>
    <row r="386" spans="1:13">
      <c r="A386" s="1293" t="s">
        <v>2138</v>
      </c>
      <c r="B386" s="1287" t="str">
        <f t="shared" si="5"/>
        <v>SAMPLE STATE COLLEGE</v>
      </c>
      <c r="C386" s="1294" t="s">
        <v>2138</v>
      </c>
      <c r="D386" s="1289">
        <f>VLOOKUP($A386,'Accounts by GL'!$C$6:$O$528,2,FALSE)</f>
        <v>0</v>
      </c>
      <c r="E386" s="1289">
        <f>VLOOKUP($A386,'Accounts by GL'!$C$6:$O$528,3,FALSE)</f>
        <v>0</v>
      </c>
      <c r="F386" s="1289">
        <f>VLOOKUP($A386,'Accounts by GL'!$C$6:$O$528,4,FALSE)</f>
        <v>0</v>
      </c>
      <c r="G386" s="1289">
        <f>VLOOKUP($A386,'Accounts by GL'!$C$6:$O$528,5,FALSE)</f>
        <v>0</v>
      </c>
      <c r="H386" s="1289">
        <f>VLOOKUP($A386,'Accounts by GL'!$C$6:$O$528,6,FALSE)</f>
        <v>0</v>
      </c>
      <c r="I386" s="1289">
        <f>VLOOKUP($A386,'Accounts by GL'!$C$6:$O$528,7,FALSE)</f>
        <v>0</v>
      </c>
      <c r="J386" s="1289">
        <f>VLOOKUP($A386,'Accounts by GL'!$C$6:$O$528,8,FALSE)</f>
        <v>0</v>
      </c>
      <c r="K386" s="1289">
        <f>VLOOKUP($A386,'Accounts by GL'!$C$6:$O$528,9,FALSE)</f>
        <v>0</v>
      </c>
      <c r="L386" s="1289">
        <f>VLOOKUP($A386,'Accounts by GL'!$C$6:$O$528,10,FALSE)</f>
        <v>0</v>
      </c>
      <c r="M386" s="1289">
        <f>VLOOKUP($A386,'Accounts by GL'!$C$6:$O$528,12,FALSE)</f>
        <v>0</v>
      </c>
    </row>
    <row r="387" spans="1:13">
      <c r="A387" s="1293" t="s">
        <v>2141</v>
      </c>
      <c r="B387" s="1287" t="str">
        <f t="shared" si="5"/>
        <v>SAMPLE STATE COLLEGE</v>
      </c>
      <c r="C387" s="1294" t="s">
        <v>2141</v>
      </c>
      <c r="D387" s="1289">
        <f>VLOOKUP($A387,'Accounts by GL'!$C$6:$O$528,2,FALSE)</f>
        <v>0</v>
      </c>
      <c r="E387" s="1289">
        <f>VLOOKUP($A387,'Accounts by GL'!$C$6:$O$528,3,FALSE)</f>
        <v>0</v>
      </c>
      <c r="F387" s="1289">
        <f>VLOOKUP($A387,'Accounts by GL'!$C$6:$O$528,4,FALSE)</f>
        <v>0</v>
      </c>
      <c r="G387" s="1289">
        <f>VLOOKUP($A387,'Accounts by GL'!$C$6:$O$528,5,FALSE)</f>
        <v>0</v>
      </c>
      <c r="H387" s="1289">
        <f>VLOOKUP($A387,'Accounts by GL'!$C$6:$O$528,6,FALSE)</f>
        <v>0</v>
      </c>
      <c r="I387" s="1289">
        <f>VLOOKUP($A387,'Accounts by GL'!$C$6:$O$528,7,FALSE)</f>
        <v>0</v>
      </c>
      <c r="J387" s="1289">
        <f>VLOOKUP($A387,'Accounts by GL'!$C$6:$O$528,8,FALSE)</f>
        <v>0</v>
      </c>
      <c r="K387" s="1289">
        <f>VLOOKUP($A387,'Accounts by GL'!$C$6:$O$528,9,FALSE)</f>
        <v>0</v>
      </c>
      <c r="L387" s="1289">
        <f>VLOOKUP($A387,'Accounts by GL'!$C$6:$O$528,10,FALSE)</f>
        <v>0</v>
      </c>
      <c r="M387" s="1289">
        <f>VLOOKUP($A387,'Accounts by GL'!$C$6:$O$528,12,FALSE)</f>
        <v>0</v>
      </c>
    </row>
    <row r="388" spans="1:13">
      <c r="A388" s="1293" t="s">
        <v>2144</v>
      </c>
      <c r="B388" s="1287" t="str">
        <f t="shared" si="5"/>
        <v>SAMPLE STATE COLLEGE</v>
      </c>
      <c r="C388" s="1294" t="s">
        <v>2144</v>
      </c>
      <c r="D388" s="1289">
        <f>VLOOKUP($A388,'Accounts by GL'!$C$6:$O$528,2,FALSE)</f>
        <v>0</v>
      </c>
      <c r="E388" s="1289">
        <f>VLOOKUP($A388,'Accounts by GL'!$C$6:$O$528,3,FALSE)</f>
        <v>0</v>
      </c>
      <c r="F388" s="1289">
        <f>VLOOKUP($A388,'Accounts by GL'!$C$6:$O$528,4,FALSE)</f>
        <v>0</v>
      </c>
      <c r="G388" s="1289">
        <f>VLOOKUP($A388,'Accounts by GL'!$C$6:$O$528,5,FALSE)</f>
        <v>0</v>
      </c>
      <c r="H388" s="1289">
        <f>VLOOKUP($A388,'Accounts by GL'!$C$6:$O$528,6,FALSE)</f>
        <v>0</v>
      </c>
      <c r="I388" s="1289">
        <f>VLOOKUP($A388,'Accounts by GL'!$C$6:$O$528,7,FALSE)</f>
        <v>0</v>
      </c>
      <c r="J388" s="1289">
        <f>VLOOKUP($A388,'Accounts by GL'!$C$6:$O$528,8,FALSE)</f>
        <v>0</v>
      </c>
      <c r="K388" s="1289">
        <f>VLOOKUP($A388,'Accounts by GL'!$C$6:$O$528,9,FALSE)</f>
        <v>0</v>
      </c>
      <c r="L388" s="1289">
        <f>VLOOKUP($A388,'Accounts by GL'!$C$6:$O$528,10,FALSE)</f>
        <v>0</v>
      </c>
      <c r="M388" s="1289">
        <f>VLOOKUP($A388,'Accounts by GL'!$C$6:$O$528,12,FALSE)</f>
        <v>0</v>
      </c>
    </row>
    <row r="389" spans="1:13">
      <c r="A389" s="1293" t="s">
        <v>2147</v>
      </c>
      <c r="B389" s="1287" t="str">
        <f t="shared" si="5"/>
        <v>SAMPLE STATE COLLEGE</v>
      </c>
      <c r="C389" s="1294" t="s">
        <v>2147</v>
      </c>
      <c r="D389" s="1289">
        <f>VLOOKUP($A389,'Accounts by GL'!$C$6:$O$528,2,FALSE)</f>
        <v>0</v>
      </c>
      <c r="E389" s="1289">
        <f>VLOOKUP($A389,'Accounts by GL'!$C$6:$O$528,3,FALSE)</f>
        <v>0</v>
      </c>
      <c r="F389" s="1289">
        <f>VLOOKUP($A389,'Accounts by GL'!$C$6:$O$528,4,FALSE)</f>
        <v>0</v>
      </c>
      <c r="G389" s="1289">
        <f>VLOOKUP($A389,'Accounts by GL'!$C$6:$O$528,5,FALSE)</f>
        <v>0</v>
      </c>
      <c r="H389" s="1289">
        <f>VLOOKUP($A389,'Accounts by GL'!$C$6:$O$528,6,FALSE)</f>
        <v>0</v>
      </c>
      <c r="I389" s="1289">
        <f>VLOOKUP($A389,'Accounts by GL'!$C$6:$O$528,7,FALSE)</f>
        <v>0</v>
      </c>
      <c r="J389" s="1289">
        <f>VLOOKUP($A389,'Accounts by GL'!$C$6:$O$528,8,FALSE)</f>
        <v>0</v>
      </c>
      <c r="K389" s="1289">
        <f>VLOOKUP($A389,'Accounts by GL'!$C$6:$O$528,9,FALSE)</f>
        <v>0</v>
      </c>
      <c r="L389" s="1289">
        <f>VLOOKUP($A389,'Accounts by GL'!$C$6:$O$528,10,FALSE)</f>
        <v>0</v>
      </c>
      <c r="M389" s="1289">
        <f>VLOOKUP($A389,'Accounts by GL'!$C$6:$O$528,12,FALSE)</f>
        <v>0</v>
      </c>
    </row>
    <row r="390" spans="1:13">
      <c r="A390" s="1293" t="s">
        <v>2150</v>
      </c>
      <c r="B390" s="1287" t="str">
        <f t="shared" si="5"/>
        <v>SAMPLE STATE COLLEGE</v>
      </c>
      <c r="C390" s="1294" t="s">
        <v>2150</v>
      </c>
      <c r="D390" s="1289">
        <f>VLOOKUP($A390,'Accounts by GL'!$C$6:$O$528,2,FALSE)</f>
        <v>0</v>
      </c>
      <c r="E390" s="1289">
        <f>VLOOKUP($A390,'Accounts by GL'!$C$6:$O$528,3,FALSE)</f>
        <v>0</v>
      </c>
      <c r="F390" s="1289">
        <f>VLOOKUP($A390,'Accounts by GL'!$C$6:$O$528,4,FALSE)</f>
        <v>0</v>
      </c>
      <c r="G390" s="1289">
        <f>VLOOKUP($A390,'Accounts by GL'!$C$6:$O$528,5,FALSE)</f>
        <v>0</v>
      </c>
      <c r="H390" s="1289">
        <f>VLOOKUP($A390,'Accounts by GL'!$C$6:$O$528,6,FALSE)</f>
        <v>0</v>
      </c>
      <c r="I390" s="1289">
        <f>VLOOKUP($A390,'Accounts by GL'!$C$6:$O$528,7,FALSE)</f>
        <v>0</v>
      </c>
      <c r="J390" s="1289">
        <f>VLOOKUP($A390,'Accounts by GL'!$C$6:$O$528,8,FALSE)</f>
        <v>0</v>
      </c>
      <c r="K390" s="1289">
        <f>VLOOKUP($A390,'Accounts by GL'!$C$6:$O$528,9,FALSE)</f>
        <v>0</v>
      </c>
      <c r="L390" s="1289">
        <f>VLOOKUP($A390,'Accounts by GL'!$C$6:$O$528,10,FALSE)</f>
        <v>0</v>
      </c>
      <c r="M390" s="1289">
        <f>VLOOKUP($A390,'Accounts by GL'!$C$6:$O$528,12,FALSE)</f>
        <v>0</v>
      </c>
    </row>
    <row r="391" spans="1:13">
      <c r="A391" s="1293" t="s">
        <v>2153</v>
      </c>
      <c r="B391" s="1287" t="str">
        <f t="shared" si="5"/>
        <v>SAMPLE STATE COLLEGE</v>
      </c>
      <c r="C391" s="1294" t="s">
        <v>2153</v>
      </c>
      <c r="D391" s="1289">
        <f>VLOOKUP($A391,'Accounts by GL'!$C$6:$O$528,2,FALSE)</f>
        <v>0</v>
      </c>
      <c r="E391" s="1289">
        <f>VLOOKUP($A391,'Accounts by GL'!$C$6:$O$528,3,FALSE)</f>
        <v>0</v>
      </c>
      <c r="F391" s="1289">
        <f>VLOOKUP($A391,'Accounts by GL'!$C$6:$O$528,4,FALSE)</f>
        <v>0</v>
      </c>
      <c r="G391" s="1289">
        <f>VLOOKUP($A391,'Accounts by GL'!$C$6:$O$528,5,FALSE)</f>
        <v>0</v>
      </c>
      <c r="H391" s="1289">
        <f>VLOOKUP($A391,'Accounts by GL'!$C$6:$O$528,6,FALSE)</f>
        <v>0</v>
      </c>
      <c r="I391" s="1289">
        <f>VLOOKUP($A391,'Accounts by GL'!$C$6:$O$528,7,FALSE)</f>
        <v>0</v>
      </c>
      <c r="J391" s="1289">
        <f>VLOOKUP($A391,'Accounts by GL'!$C$6:$O$528,8,FALSE)</f>
        <v>0</v>
      </c>
      <c r="K391" s="1289">
        <f>VLOOKUP($A391,'Accounts by GL'!$C$6:$O$528,9,FALSE)</f>
        <v>0</v>
      </c>
      <c r="L391" s="1289">
        <f>VLOOKUP($A391,'Accounts by GL'!$C$6:$O$528,10,FALSE)</f>
        <v>0</v>
      </c>
      <c r="M391" s="1289">
        <f>VLOOKUP($A391,'Accounts by GL'!$C$6:$O$528,12,FALSE)</f>
        <v>0</v>
      </c>
    </row>
    <row r="392" spans="1:13">
      <c r="A392" s="1293" t="s">
        <v>2156</v>
      </c>
      <c r="B392" s="1287" t="str">
        <f t="shared" si="5"/>
        <v>SAMPLE STATE COLLEGE</v>
      </c>
      <c r="C392" s="1294" t="s">
        <v>2156</v>
      </c>
      <c r="D392" s="1289">
        <f>VLOOKUP($A392,'Accounts by GL'!$C$6:$O$528,2,FALSE)</f>
        <v>0</v>
      </c>
      <c r="E392" s="1289">
        <f>VLOOKUP($A392,'Accounts by GL'!$C$6:$O$528,3,FALSE)</f>
        <v>0</v>
      </c>
      <c r="F392" s="1289">
        <f>VLOOKUP($A392,'Accounts by GL'!$C$6:$O$528,4,FALSE)</f>
        <v>0</v>
      </c>
      <c r="G392" s="1289">
        <f>VLOOKUP($A392,'Accounts by GL'!$C$6:$O$528,5,FALSE)</f>
        <v>0</v>
      </c>
      <c r="H392" s="1289">
        <f>VLOOKUP($A392,'Accounts by GL'!$C$6:$O$528,6,FALSE)</f>
        <v>0</v>
      </c>
      <c r="I392" s="1289">
        <f>VLOOKUP($A392,'Accounts by GL'!$C$6:$O$528,7,FALSE)</f>
        <v>0</v>
      </c>
      <c r="J392" s="1289">
        <f>VLOOKUP($A392,'Accounts by GL'!$C$6:$O$528,8,FALSE)</f>
        <v>0</v>
      </c>
      <c r="K392" s="1289">
        <f>VLOOKUP($A392,'Accounts by GL'!$C$6:$O$528,9,FALSE)</f>
        <v>0</v>
      </c>
      <c r="L392" s="1289">
        <f>VLOOKUP($A392,'Accounts by GL'!$C$6:$O$528,10,FALSE)</f>
        <v>0</v>
      </c>
      <c r="M392" s="1289">
        <f>VLOOKUP($A392,'Accounts by GL'!$C$6:$O$528,12,FALSE)</f>
        <v>0</v>
      </c>
    </row>
    <row r="393" spans="1:13">
      <c r="A393" s="1293" t="s">
        <v>2159</v>
      </c>
      <c r="B393" s="1287" t="str">
        <f t="shared" si="5"/>
        <v>SAMPLE STATE COLLEGE</v>
      </c>
      <c r="C393" s="1294" t="s">
        <v>2159</v>
      </c>
      <c r="D393" s="1289">
        <f>VLOOKUP($A393,'Accounts by GL'!$C$6:$O$528,2,FALSE)</f>
        <v>0</v>
      </c>
      <c r="E393" s="1289">
        <f>VLOOKUP($A393,'Accounts by GL'!$C$6:$O$528,3,FALSE)</f>
        <v>0</v>
      </c>
      <c r="F393" s="1289">
        <f>VLOOKUP($A393,'Accounts by GL'!$C$6:$O$528,4,FALSE)</f>
        <v>0</v>
      </c>
      <c r="G393" s="1289">
        <f>VLOOKUP($A393,'Accounts by GL'!$C$6:$O$528,5,FALSE)</f>
        <v>0</v>
      </c>
      <c r="H393" s="1289">
        <f>VLOOKUP($A393,'Accounts by GL'!$C$6:$O$528,6,FALSE)</f>
        <v>0</v>
      </c>
      <c r="I393" s="1289">
        <f>VLOOKUP($A393,'Accounts by GL'!$C$6:$O$528,7,FALSE)</f>
        <v>0</v>
      </c>
      <c r="J393" s="1289">
        <f>VLOOKUP($A393,'Accounts by GL'!$C$6:$O$528,8,FALSE)</f>
        <v>0</v>
      </c>
      <c r="K393" s="1289">
        <f>VLOOKUP($A393,'Accounts by GL'!$C$6:$O$528,9,FALSE)</f>
        <v>0</v>
      </c>
      <c r="L393" s="1289">
        <f>VLOOKUP($A393,'Accounts by GL'!$C$6:$O$528,10,FALSE)</f>
        <v>0</v>
      </c>
      <c r="M393" s="1289">
        <f>VLOOKUP($A393,'Accounts by GL'!$C$6:$O$528,12,FALSE)</f>
        <v>0</v>
      </c>
    </row>
    <row r="394" spans="1:13">
      <c r="A394" s="1293" t="s">
        <v>2162</v>
      </c>
      <c r="B394" s="1287" t="str">
        <f t="shared" si="5"/>
        <v>SAMPLE STATE COLLEGE</v>
      </c>
      <c r="C394" s="1294" t="s">
        <v>2162</v>
      </c>
      <c r="D394" s="1289">
        <f>VLOOKUP($A394,'Accounts by GL'!$C$6:$O$528,2,FALSE)</f>
        <v>0</v>
      </c>
      <c r="E394" s="1289">
        <f>VLOOKUP($A394,'Accounts by GL'!$C$6:$O$528,3,FALSE)</f>
        <v>0</v>
      </c>
      <c r="F394" s="1289">
        <f>VLOOKUP($A394,'Accounts by GL'!$C$6:$O$528,4,FALSE)</f>
        <v>0</v>
      </c>
      <c r="G394" s="1289">
        <f>VLOOKUP($A394,'Accounts by GL'!$C$6:$O$528,5,FALSE)</f>
        <v>0</v>
      </c>
      <c r="H394" s="1289">
        <f>VLOOKUP($A394,'Accounts by GL'!$C$6:$O$528,6,FALSE)</f>
        <v>0</v>
      </c>
      <c r="I394" s="1289">
        <f>VLOOKUP($A394,'Accounts by GL'!$C$6:$O$528,7,FALSE)</f>
        <v>0</v>
      </c>
      <c r="J394" s="1289">
        <f>VLOOKUP($A394,'Accounts by GL'!$C$6:$O$528,8,FALSE)</f>
        <v>0</v>
      </c>
      <c r="K394" s="1289">
        <f>VLOOKUP($A394,'Accounts by GL'!$C$6:$O$528,9,FALSE)</f>
        <v>0</v>
      </c>
      <c r="L394" s="1289">
        <f>VLOOKUP($A394,'Accounts by GL'!$C$6:$O$528,10,FALSE)</f>
        <v>0</v>
      </c>
      <c r="M394" s="1289">
        <f>VLOOKUP($A394,'Accounts by GL'!$C$6:$O$528,12,FALSE)</f>
        <v>0</v>
      </c>
    </row>
    <row r="395" spans="1:13">
      <c r="A395" s="1293" t="s">
        <v>2165</v>
      </c>
      <c r="B395" s="1287" t="str">
        <f t="shared" si="5"/>
        <v>SAMPLE STATE COLLEGE</v>
      </c>
      <c r="C395" s="1294" t="s">
        <v>2165</v>
      </c>
      <c r="D395" s="1289">
        <f>VLOOKUP($A395,'Accounts by GL'!$C$6:$O$528,2,FALSE)</f>
        <v>0</v>
      </c>
      <c r="E395" s="1289">
        <f>VLOOKUP($A395,'Accounts by GL'!$C$6:$O$528,3,FALSE)</f>
        <v>0</v>
      </c>
      <c r="F395" s="1289">
        <f>VLOOKUP($A395,'Accounts by GL'!$C$6:$O$528,4,FALSE)</f>
        <v>0</v>
      </c>
      <c r="G395" s="1289">
        <f>VLOOKUP($A395,'Accounts by GL'!$C$6:$O$528,5,FALSE)</f>
        <v>0</v>
      </c>
      <c r="H395" s="1289">
        <f>VLOOKUP($A395,'Accounts by GL'!$C$6:$O$528,6,FALSE)</f>
        <v>0</v>
      </c>
      <c r="I395" s="1289">
        <f>VLOOKUP($A395,'Accounts by GL'!$C$6:$O$528,7,FALSE)</f>
        <v>0</v>
      </c>
      <c r="J395" s="1289">
        <f>VLOOKUP($A395,'Accounts by GL'!$C$6:$O$528,8,FALSE)</f>
        <v>0</v>
      </c>
      <c r="K395" s="1289">
        <f>VLOOKUP($A395,'Accounts by GL'!$C$6:$O$528,9,FALSE)</f>
        <v>0</v>
      </c>
      <c r="L395" s="1289">
        <f>VLOOKUP($A395,'Accounts by GL'!$C$6:$O$528,10,FALSE)</f>
        <v>0</v>
      </c>
      <c r="M395" s="1289">
        <f>VLOOKUP($A395,'Accounts by GL'!$C$6:$O$528,12,FALSE)</f>
        <v>0</v>
      </c>
    </row>
    <row r="396" spans="1:13">
      <c r="A396" s="1293" t="s">
        <v>2168</v>
      </c>
      <c r="B396" s="1287" t="str">
        <f t="shared" si="5"/>
        <v>SAMPLE STATE COLLEGE</v>
      </c>
      <c r="C396" s="1294" t="s">
        <v>2168</v>
      </c>
      <c r="D396" s="1289">
        <f>VLOOKUP($A396,'Accounts by GL'!$C$6:$O$528,2,FALSE)</f>
        <v>0</v>
      </c>
      <c r="E396" s="1289">
        <f>VLOOKUP($A396,'Accounts by GL'!$C$6:$O$528,3,FALSE)</f>
        <v>0</v>
      </c>
      <c r="F396" s="1289">
        <f>VLOOKUP($A396,'Accounts by GL'!$C$6:$O$528,4,FALSE)</f>
        <v>0</v>
      </c>
      <c r="G396" s="1289">
        <f>VLOOKUP($A396,'Accounts by GL'!$C$6:$O$528,5,FALSE)</f>
        <v>0</v>
      </c>
      <c r="H396" s="1289">
        <f>VLOOKUP($A396,'Accounts by GL'!$C$6:$O$528,6,FALSE)</f>
        <v>0</v>
      </c>
      <c r="I396" s="1289">
        <f>VLOOKUP($A396,'Accounts by GL'!$C$6:$O$528,7,FALSE)</f>
        <v>0</v>
      </c>
      <c r="J396" s="1289">
        <f>VLOOKUP($A396,'Accounts by GL'!$C$6:$O$528,8,FALSE)</f>
        <v>0</v>
      </c>
      <c r="K396" s="1289">
        <f>VLOOKUP($A396,'Accounts by GL'!$C$6:$O$528,9,FALSE)</f>
        <v>0</v>
      </c>
      <c r="L396" s="1289">
        <f>VLOOKUP($A396,'Accounts by GL'!$C$6:$O$528,10,FALSE)</f>
        <v>0</v>
      </c>
      <c r="M396" s="1289">
        <f>VLOOKUP($A396,'Accounts by GL'!$C$6:$O$528,12,FALSE)</f>
        <v>0</v>
      </c>
    </row>
    <row r="397" spans="1:13">
      <c r="A397" s="1293" t="s">
        <v>2171</v>
      </c>
      <c r="B397" s="1287" t="str">
        <f t="shared" si="5"/>
        <v>SAMPLE STATE COLLEGE</v>
      </c>
      <c r="C397" s="1294" t="s">
        <v>2171</v>
      </c>
      <c r="D397" s="1289">
        <f>VLOOKUP($A397,'Accounts by GL'!$C$6:$O$528,2,FALSE)</f>
        <v>0</v>
      </c>
      <c r="E397" s="1289">
        <f>VLOOKUP($A397,'Accounts by GL'!$C$6:$O$528,3,FALSE)</f>
        <v>0</v>
      </c>
      <c r="F397" s="1289">
        <f>VLOOKUP($A397,'Accounts by GL'!$C$6:$O$528,4,FALSE)</f>
        <v>0</v>
      </c>
      <c r="G397" s="1289">
        <f>VLOOKUP($A397,'Accounts by GL'!$C$6:$O$528,5,FALSE)</f>
        <v>0</v>
      </c>
      <c r="H397" s="1289">
        <f>VLOOKUP($A397,'Accounts by GL'!$C$6:$O$528,6,FALSE)</f>
        <v>0</v>
      </c>
      <c r="I397" s="1289">
        <f>VLOOKUP($A397,'Accounts by GL'!$C$6:$O$528,7,FALSE)</f>
        <v>0</v>
      </c>
      <c r="J397" s="1289">
        <f>VLOOKUP($A397,'Accounts by GL'!$C$6:$O$528,8,FALSE)</f>
        <v>0</v>
      </c>
      <c r="K397" s="1289">
        <f>VLOOKUP($A397,'Accounts by GL'!$C$6:$O$528,9,FALSE)</f>
        <v>0</v>
      </c>
      <c r="L397" s="1289">
        <f>VLOOKUP($A397,'Accounts by GL'!$C$6:$O$528,10,FALSE)</f>
        <v>0</v>
      </c>
      <c r="M397" s="1289">
        <f>VLOOKUP($A397,'Accounts by GL'!$C$6:$O$528,12,FALSE)</f>
        <v>0</v>
      </c>
    </row>
    <row r="398" spans="1:13">
      <c r="A398" s="1293" t="s">
        <v>2174</v>
      </c>
      <c r="B398" s="1287" t="str">
        <f t="shared" si="5"/>
        <v>SAMPLE STATE COLLEGE</v>
      </c>
      <c r="C398" s="1294" t="s">
        <v>2174</v>
      </c>
      <c r="D398" s="1289">
        <f>VLOOKUP($A398,'Accounts by GL'!$C$6:$O$528,2,FALSE)</f>
        <v>0</v>
      </c>
      <c r="E398" s="1289">
        <f>VLOOKUP($A398,'Accounts by GL'!$C$6:$O$528,3,FALSE)</f>
        <v>0</v>
      </c>
      <c r="F398" s="1289">
        <f>VLOOKUP($A398,'Accounts by GL'!$C$6:$O$528,4,FALSE)</f>
        <v>0</v>
      </c>
      <c r="G398" s="1289">
        <f>VLOOKUP($A398,'Accounts by GL'!$C$6:$O$528,5,FALSE)</f>
        <v>0</v>
      </c>
      <c r="H398" s="1289">
        <f>VLOOKUP($A398,'Accounts by GL'!$C$6:$O$528,6,FALSE)</f>
        <v>0</v>
      </c>
      <c r="I398" s="1289">
        <f>VLOOKUP($A398,'Accounts by GL'!$C$6:$O$528,7,FALSE)</f>
        <v>0</v>
      </c>
      <c r="J398" s="1289">
        <f>VLOOKUP($A398,'Accounts by GL'!$C$6:$O$528,8,FALSE)</f>
        <v>0</v>
      </c>
      <c r="K398" s="1289">
        <f>VLOOKUP($A398,'Accounts by GL'!$C$6:$O$528,9,FALSE)</f>
        <v>0</v>
      </c>
      <c r="L398" s="1289">
        <f>VLOOKUP($A398,'Accounts by GL'!$C$6:$O$528,10,FALSE)</f>
        <v>0</v>
      </c>
      <c r="M398" s="1289">
        <f>VLOOKUP($A398,'Accounts by GL'!$C$6:$O$528,12,FALSE)</f>
        <v>0</v>
      </c>
    </row>
    <row r="399" spans="1:13">
      <c r="A399" s="1293" t="s">
        <v>2177</v>
      </c>
      <c r="B399" s="1287" t="str">
        <f t="shared" si="5"/>
        <v>SAMPLE STATE COLLEGE</v>
      </c>
      <c r="C399" s="1294" t="s">
        <v>2177</v>
      </c>
      <c r="D399" s="1289">
        <f>VLOOKUP($A399,'Accounts by GL'!$C$6:$O$528,2,FALSE)</f>
        <v>0</v>
      </c>
      <c r="E399" s="1289">
        <f>VLOOKUP($A399,'Accounts by GL'!$C$6:$O$528,3,FALSE)</f>
        <v>0</v>
      </c>
      <c r="F399" s="1289">
        <f>VLOOKUP($A399,'Accounts by GL'!$C$6:$O$528,4,FALSE)</f>
        <v>0</v>
      </c>
      <c r="G399" s="1289">
        <f>VLOOKUP($A399,'Accounts by GL'!$C$6:$O$528,5,FALSE)</f>
        <v>0</v>
      </c>
      <c r="H399" s="1289">
        <f>VLOOKUP($A399,'Accounts by GL'!$C$6:$O$528,6,FALSE)</f>
        <v>0</v>
      </c>
      <c r="I399" s="1289">
        <f>VLOOKUP($A399,'Accounts by GL'!$C$6:$O$528,7,FALSE)</f>
        <v>0</v>
      </c>
      <c r="J399" s="1289">
        <f>VLOOKUP($A399,'Accounts by GL'!$C$6:$O$528,8,FALSE)</f>
        <v>0</v>
      </c>
      <c r="K399" s="1289">
        <f>VLOOKUP($A399,'Accounts by GL'!$C$6:$O$528,9,FALSE)</f>
        <v>0</v>
      </c>
      <c r="L399" s="1289">
        <f>VLOOKUP($A399,'Accounts by GL'!$C$6:$O$528,10,FALSE)</f>
        <v>0</v>
      </c>
      <c r="M399" s="1289">
        <f>VLOOKUP($A399,'Accounts by GL'!$C$6:$O$528,12,FALSE)</f>
        <v>0</v>
      </c>
    </row>
    <row r="400" spans="1:13">
      <c r="A400" s="1293" t="s">
        <v>2180</v>
      </c>
      <c r="B400" s="1287" t="str">
        <f t="shared" si="5"/>
        <v>SAMPLE STATE COLLEGE</v>
      </c>
      <c r="C400" s="1294" t="s">
        <v>2180</v>
      </c>
      <c r="D400" s="1289">
        <f>VLOOKUP($A400,'Accounts by GL'!$C$6:$O$528,2,FALSE)</f>
        <v>0</v>
      </c>
      <c r="E400" s="1289">
        <f>VLOOKUP($A400,'Accounts by GL'!$C$6:$O$528,3,FALSE)</f>
        <v>0</v>
      </c>
      <c r="F400" s="1289">
        <f>VLOOKUP($A400,'Accounts by GL'!$C$6:$O$528,4,FALSE)</f>
        <v>0</v>
      </c>
      <c r="G400" s="1289">
        <f>VLOOKUP($A400,'Accounts by GL'!$C$6:$O$528,5,FALSE)</f>
        <v>0</v>
      </c>
      <c r="H400" s="1289">
        <f>VLOOKUP($A400,'Accounts by GL'!$C$6:$O$528,6,FALSE)</f>
        <v>0</v>
      </c>
      <c r="I400" s="1289">
        <f>VLOOKUP($A400,'Accounts by GL'!$C$6:$O$528,7,FALSE)</f>
        <v>0</v>
      </c>
      <c r="J400" s="1289">
        <f>VLOOKUP($A400,'Accounts by GL'!$C$6:$O$528,8,FALSE)</f>
        <v>0</v>
      </c>
      <c r="K400" s="1289">
        <f>VLOOKUP($A400,'Accounts by GL'!$C$6:$O$528,9,FALSE)</f>
        <v>0</v>
      </c>
      <c r="L400" s="1289">
        <f>VLOOKUP($A400,'Accounts by GL'!$C$6:$O$528,10,FALSE)</f>
        <v>0</v>
      </c>
      <c r="M400" s="1289">
        <f>VLOOKUP($A400,'Accounts by GL'!$C$6:$O$528,12,FALSE)</f>
        <v>0</v>
      </c>
    </row>
    <row r="401" spans="1:13">
      <c r="A401" s="1293" t="s">
        <v>2183</v>
      </c>
      <c r="B401" s="1287" t="str">
        <f t="shared" si="5"/>
        <v>SAMPLE STATE COLLEGE</v>
      </c>
      <c r="C401" s="1294" t="s">
        <v>2183</v>
      </c>
      <c r="D401" s="1289">
        <f>VLOOKUP($A401,'Accounts by GL'!$C$6:$O$528,2,FALSE)</f>
        <v>0</v>
      </c>
      <c r="E401" s="1289">
        <f>VLOOKUP($A401,'Accounts by GL'!$C$6:$O$528,3,FALSE)</f>
        <v>0</v>
      </c>
      <c r="F401" s="1289">
        <f>VLOOKUP($A401,'Accounts by GL'!$C$6:$O$528,4,FALSE)</f>
        <v>0</v>
      </c>
      <c r="G401" s="1289">
        <f>VLOOKUP($A401,'Accounts by GL'!$C$6:$O$528,5,FALSE)</f>
        <v>0</v>
      </c>
      <c r="H401" s="1289">
        <f>VLOOKUP($A401,'Accounts by GL'!$C$6:$O$528,6,FALSE)</f>
        <v>0</v>
      </c>
      <c r="I401" s="1289">
        <f>VLOOKUP($A401,'Accounts by GL'!$C$6:$O$528,7,FALSE)</f>
        <v>0</v>
      </c>
      <c r="J401" s="1289">
        <f>VLOOKUP($A401,'Accounts by GL'!$C$6:$O$528,8,FALSE)</f>
        <v>0</v>
      </c>
      <c r="K401" s="1289">
        <f>VLOOKUP($A401,'Accounts by GL'!$C$6:$O$528,9,FALSE)</f>
        <v>0</v>
      </c>
      <c r="L401" s="1289">
        <f>VLOOKUP($A401,'Accounts by GL'!$C$6:$O$528,10,FALSE)</f>
        <v>0</v>
      </c>
      <c r="M401" s="1289">
        <f>VLOOKUP($A401,'Accounts by GL'!$C$6:$O$528,12,FALSE)</f>
        <v>0</v>
      </c>
    </row>
    <row r="402" spans="1:13">
      <c r="A402" s="1293" t="s">
        <v>2186</v>
      </c>
      <c r="B402" s="1287" t="str">
        <f t="shared" si="5"/>
        <v>SAMPLE STATE COLLEGE</v>
      </c>
      <c r="C402" s="1294" t="s">
        <v>2186</v>
      </c>
      <c r="D402" s="1289">
        <f>VLOOKUP($A402,'Accounts by GL'!$C$6:$O$528,2,FALSE)</f>
        <v>0</v>
      </c>
      <c r="E402" s="1289">
        <f>VLOOKUP($A402,'Accounts by GL'!$C$6:$O$528,3,FALSE)</f>
        <v>0</v>
      </c>
      <c r="F402" s="1289">
        <f>VLOOKUP($A402,'Accounts by GL'!$C$6:$O$528,4,FALSE)</f>
        <v>0</v>
      </c>
      <c r="G402" s="1289">
        <f>VLOOKUP($A402,'Accounts by GL'!$C$6:$O$528,5,FALSE)</f>
        <v>0</v>
      </c>
      <c r="H402" s="1289">
        <f>VLOOKUP($A402,'Accounts by GL'!$C$6:$O$528,6,FALSE)</f>
        <v>0</v>
      </c>
      <c r="I402" s="1289">
        <f>VLOOKUP($A402,'Accounts by GL'!$C$6:$O$528,7,FALSE)</f>
        <v>0</v>
      </c>
      <c r="J402" s="1289">
        <f>VLOOKUP($A402,'Accounts by GL'!$C$6:$O$528,8,FALSE)</f>
        <v>0</v>
      </c>
      <c r="K402" s="1289">
        <f>VLOOKUP($A402,'Accounts by GL'!$C$6:$O$528,9,FALSE)</f>
        <v>0</v>
      </c>
      <c r="L402" s="1289">
        <f>VLOOKUP($A402,'Accounts by GL'!$C$6:$O$528,10,FALSE)</f>
        <v>0</v>
      </c>
      <c r="M402" s="1289">
        <f>VLOOKUP($A402,'Accounts by GL'!$C$6:$O$528,12,FALSE)</f>
        <v>0</v>
      </c>
    </row>
    <row r="403" spans="1:13">
      <c r="A403" s="1293" t="s">
        <v>2189</v>
      </c>
      <c r="B403" s="1287" t="str">
        <f t="shared" ref="B403:B436" si="6">$B$2</f>
        <v>SAMPLE STATE COLLEGE</v>
      </c>
      <c r="C403" s="1294" t="s">
        <v>2189</v>
      </c>
      <c r="D403" s="1289">
        <f>VLOOKUP($A403,'Accounts by GL'!$C$6:$O$528,2,FALSE)</f>
        <v>0</v>
      </c>
      <c r="E403" s="1289">
        <f>VLOOKUP($A403,'Accounts by GL'!$C$6:$O$528,3,FALSE)</f>
        <v>0</v>
      </c>
      <c r="F403" s="1289">
        <f>VLOOKUP($A403,'Accounts by GL'!$C$6:$O$528,4,FALSE)</f>
        <v>0</v>
      </c>
      <c r="G403" s="1289">
        <f>VLOOKUP($A403,'Accounts by GL'!$C$6:$O$528,5,FALSE)</f>
        <v>0</v>
      </c>
      <c r="H403" s="1289">
        <f>VLOOKUP($A403,'Accounts by GL'!$C$6:$O$528,6,FALSE)</f>
        <v>0</v>
      </c>
      <c r="I403" s="1289">
        <f>VLOOKUP($A403,'Accounts by GL'!$C$6:$O$528,7,FALSE)</f>
        <v>0</v>
      </c>
      <c r="J403" s="1289">
        <f>VLOOKUP($A403,'Accounts by GL'!$C$6:$O$528,8,FALSE)</f>
        <v>0</v>
      </c>
      <c r="K403" s="1289">
        <f>VLOOKUP($A403,'Accounts by GL'!$C$6:$O$528,9,FALSE)</f>
        <v>0</v>
      </c>
      <c r="L403" s="1289">
        <f>VLOOKUP($A403,'Accounts by GL'!$C$6:$O$528,10,FALSE)</f>
        <v>0</v>
      </c>
      <c r="M403" s="1289">
        <f>VLOOKUP($A403,'Accounts by GL'!$C$6:$O$528,12,FALSE)</f>
        <v>0</v>
      </c>
    </row>
    <row r="404" spans="1:13">
      <c r="A404" s="1293" t="s">
        <v>2192</v>
      </c>
      <c r="B404" s="1287" t="str">
        <f t="shared" si="6"/>
        <v>SAMPLE STATE COLLEGE</v>
      </c>
      <c r="C404" s="1294" t="s">
        <v>2192</v>
      </c>
      <c r="D404" s="1289">
        <f>VLOOKUP($A404,'Accounts by GL'!$C$6:$O$528,2,FALSE)</f>
        <v>0</v>
      </c>
      <c r="E404" s="1289">
        <f>VLOOKUP($A404,'Accounts by GL'!$C$6:$O$528,3,FALSE)</f>
        <v>0</v>
      </c>
      <c r="F404" s="1289">
        <f>VLOOKUP($A404,'Accounts by GL'!$C$6:$O$528,4,FALSE)</f>
        <v>0</v>
      </c>
      <c r="G404" s="1289">
        <f>VLOOKUP($A404,'Accounts by GL'!$C$6:$O$528,5,FALSE)</f>
        <v>0</v>
      </c>
      <c r="H404" s="1289">
        <f>VLOOKUP($A404,'Accounts by GL'!$C$6:$O$528,6,FALSE)</f>
        <v>0</v>
      </c>
      <c r="I404" s="1289">
        <f>VLOOKUP($A404,'Accounts by GL'!$C$6:$O$528,7,FALSE)</f>
        <v>0</v>
      </c>
      <c r="J404" s="1289">
        <f>VLOOKUP($A404,'Accounts by GL'!$C$6:$O$528,8,FALSE)</f>
        <v>0</v>
      </c>
      <c r="K404" s="1289">
        <f>VLOOKUP($A404,'Accounts by GL'!$C$6:$O$528,9,FALSE)</f>
        <v>0</v>
      </c>
      <c r="L404" s="1289">
        <f>VLOOKUP($A404,'Accounts by GL'!$C$6:$O$528,10,FALSE)</f>
        <v>0</v>
      </c>
      <c r="M404" s="1289">
        <f>VLOOKUP($A404,'Accounts by GL'!$C$6:$O$528,12,FALSE)</f>
        <v>0</v>
      </c>
    </row>
    <row r="405" spans="1:13">
      <c r="A405" s="1293" t="s">
        <v>2195</v>
      </c>
      <c r="B405" s="1287" t="str">
        <f t="shared" si="6"/>
        <v>SAMPLE STATE COLLEGE</v>
      </c>
      <c r="C405" s="1294" t="s">
        <v>2195</v>
      </c>
      <c r="D405" s="1289">
        <f>VLOOKUP($A405,'Accounts by GL'!$C$6:$O$528,2,FALSE)</f>
        <v>0</v>
      </c>
      <c r="E405" s="1289">
        <f>VLOOKUP($A405,'Accounts by GL'!$C$6:$O$528,3,FALSE)</f>
        <v>0</v>
      </c>
      <c r="F405" s="1289">
        <f>VLOOKUP($A405,'Accounts by GL'!$C$6:$O$528,4,FALSE)</f>
        <v>0</v>
      </c>
      <c r="G405" s="1289">
        <f>VLOOKUP($A405,'Accounts by GL'!$C$6:$O$528,5,FALSE)</f>
        <v>0</v>
      </c>
      <c r="H405" s="1289">
        <f>VLOOKUP($A405,'Accounts by GL'!$C$6:$O$528,6,FALSE)</f>
        <v>0</v>
      </c>
      <c r="I405" s="1289">
        <f>VLOOKUP($A405,'Accounts by GL'!$C$6:$O$528,7,FALSE)</f>
        <v>0</v>
      </c>
      <c r="J405" s="1289">
        <f>VLOOKUP($A405,'Accounts by GL'!$C$6:$O$528,8,FALSE)</f>
        <v>0</v>
      </c>
      <c r="K405" s="1289">
        <f>VLOOKUP($A405,'Accounts by GL'!$C$6:$O$528,9,FALSE)</f>
        <v>0</v>
      </c>
      <c r="L405" s="1289">
        <f>VLOOKUP($A405,'Accounts by GL'!$C$6:$O$528,10,FALSE)</f>
        <v>0</v>
      </c>
      <c r="M405" s="1289">
        <f>VLOOKUP($A405,'Accounts by GL'!$C$6:$O$528,12,FALSE)</f>
        <v>0</v>
      </c>
    </row>
    <row r="406" spans="1:13">
      <c r="A406" s="1293" t="s">
        <v>2198</v>
      </c>
      <c r="B406" s="1287" t="str">
        <f t="shared" si="6"/>
        <v>SAMPLE STATE COLLEGE</v>
      </c>
      <c r="C406" s="1294" t="s">
        <v>2198</v>
      </c>
      <c r="D406" s="1289">
        <f>VLOOKUP($A406,'Accounts by GL'!$C$6:$O$528,2,FALSE)</f>
        <v>0</v>
      </c>
      <c r="E406" s="1289">
        <f>VLOOKUP($A406,'Accounts by GL'!$C$6:$O$528,3,FALSE)</f>
        <v>0</v>
      </c>
      <c r="F406" s="1289">
        <f>VLOOKUP($A406,'Accounts by GL'!$C$6:$O$528,4,FALSE)</f>
        <v>0</v>
      </c>
      <c r="G406" s="1289">
        <f>VLOOKUP($A406,'Accounts by GL'!$C$6:$O$528,5,FALSE)</f>
        <v>0</v>
      </c>
      <c r="H406" s="1289">
        <f>VLOOKUP($A406,'Accounts by GL'!$C$6:$O$528,6,FALSE)</f>
        <v>0</v>
      </c>
      <c r="I406" s="1289">
        <f>VLOOKUP($A406,'Accounts by GL'!$C$6:$O$528,7,FALSE)</f>
        <v>0</v>
      </c>
      <c r="J406" s="1289">
        <f>VLOOKUP($A406,'Accounts by GL'!$C$6:$O$528,8,FALSE)</f>
        <v>0</v>
      </c>
      <c r="K406" s="1289">
        <f>VLOOKUP($A406,'Accounts by GL'!$C$6:$O$528,9,FALSE)</f>
        <v>0</v>
      </c>
      <c r="L406" s="1289">
        <f>VLOOKUP($A406,'Accounts by GL'!$C$6:$O$528,10,FALSE)</f>
        <v>0</v>
      </c>
      <c r="M406" s="1289">
        <f>VLOOKUP($A406,'Accounts by GL'!$C$6:$O$528,12,FALSE)</f>
        <v>0</v>
      </c>
    </row>
    <row r="407" spans="1:13">
      <c r="A407" s="1293" t="s">
        <v>2200</v>
      </c>
      <c r="B407" s="1287" t="str">
        <f t="shared" si="6"/>
        <v>SAMPLE STATE COLLEGE</v>
      </c>
      <c r="C407" s="1294" t="s">
        <v>2200</v>
      </c>
      <c r="D407" s="1289">
        <f>VLOOKUP($A407,'Accounts by GL'!$C$6:$O$528,2,FALSE)</f>
        <v>0</v>
      </c>
      <c r="E407" s="1289">
        <f>VLOOKUP($A407,'Accounts by GL'!$C$6:$O$528,3,FALSE)</f>
        <v>0</v>
      </c>
      <c r="F407" s="1289">
        <f>VLOOKUP($A407,'Accounts by GL'!$C$6:$O$528,4,FALSE)</f>
        <v>0</v>
      </c>
      <c r="G407" s="1289">
        <f>VLOOKUP($A407,'Accounts by GL'!$C$6:$O$528,5,FALSE)</f>
        <v>0</v>
      </c>
      <c r="H407" s="1289">
        <f>VLOOKUP($A407,'Accounts by GL'!$C$6:$O$528,6,FALSE)</f>
        <v>0</v>
      </c>
      <c r="I407" s="1289">
        <f>VLOOKUP($A407,'Accounts by GL'!$C$6:$O$528,7,FALSE)</f>
        <v>0</v>
      </c>
      <c r="J407" s="1289">
        <f>VLOOKUP($A407,'Accounts by GL'!$C$6:$O$528,8,FALSE)</f>
        <v>0</v>
      </c>
      <c r="K407" s="1289">
        <f>VLOOKUP($A407,'Accounts by GL'!$C$6:$O$528,9,FALSE)</f>
        <v>0</v>
      </c>
      <c r="L407" s="1289">
        <f>VLOOKUP($A407,'Accounts by GL'!$C$6:$O$528,10,FALSE)</f>
        <v>0</v>
      </c>
      <c r="M407" s="1289">
        <f>VLOOKUP($A407,'Accounts by GL'!$C$6:$O$528,12,FALSE)</f>
        <v>0</v>
      </c>
    </row>
    <row r="408" spans="1:13">
      <c r="A408" s="1292" t="s">
        <v>2204</v>
      </c>
      <c r="B408" s="1287" t="str">
        <f t="shared" si="6"/>
        <v>SAMPLE STATE COLLEGE</v>
      </c>
      <c r="C408" s="1291" t="s">
        <v>2204</v>
      </c>
      <c r="D408" s="1289">
        <f>VLOOKUP($A408,'Accounts by GL'!$C$6:$O$528,2,FALSE)</f>
        <v>0</v>
      </c>
      <c r="E408" s="1289">
        <f>VLOOKUP($A408,'Accounts by GL'!$C$6:$O$528,3,FALSE)</f>
        <v>0</v>
      </c>
      <c r="F408" s="1289">
        <f>VLOOKUP($A408,'Accounts by GL'!$C$6:$O$528,4,FALSE)</f>
        <v>0</v>
      </c>
      <c r="G408" s="1289">
        <f>VLOOKUP($A408,'Accounts by GL'!$C$6:$O$528,5,FALSE)</f>
        <v>0</v>
      </c>
      <c r="H408" s="1289">
        <f>VLOOKUP($A408,'Accounts by GL'!$C$6:$O$528,6,FALSE)</f>
        <v>0</v>
      </c>
      <c r="I408" s="1289">
        <f>VLOOKUP($A408,'Accounts by GL'!$C$6:$O$528,7,FALSE)</f>
        <v>0</v>
      </c>
      <c r="J408" s="1289">
        <f>VLOOKUP($A408,'Accounts by GL'!$C$6:$O$528,8,FALSE)</f>
        <v>0</v>
      </c>
      <c r="K408" s="1289">
        <f>VLOOKUP($A408,'Accounts by GL'!$C$6:$O$528,9,FALSE)</f>
        <v>0</v>
      </c>
      <c r="L408" s="1289">
        <f>VLOOKUP($A408,'Accounts by GL'!$C$6:$O$528,10,FALSE)</f>
        <v>0</v>
      </c>
      <c r="M408" s="1289">
        <f>VLOOKUP($A408,'Accounts by GL'!$C$6:$O$528,12,FALSE)</f>
        <v>0</v>
      </c>
    </row>
    <row r="409" spans="1:13">
      <c r="A409" s="1293" t="s">
        <v>2207</v>
      </c>
      <c r="B409" s="1287" t="str">
        <f t="shared" si="6"/>
        <v>SAMPLE STATE COLLEGE</v>
      </c>
      <c r="C409" s="1294" t="s">
        <v>2207</v>
      </c>
      <c r="D409" s="1289">
        <f>VLOOKUP($A409,'Accounts by GL'!$C$6:$O$528,2,FALSE)</f>
        <v>0</v>
      </c>
      <c r="E409" s="1289">
        <f>VLOOKUP($A409,'Accounts by GL'!$C$6:$O$528,3,FALSE)</f>
        <v>0</v>
      </c>
      <c r="F409" s="1289">
        <f>VLOOKUP($A409,'Accounts by GL'!$C$6:$O$528,4,FALSE)</f>
        <v>0</v>
      </c>
      <c r="G409" s="1289">
        <f>VLOOKUP($A409,'Accounts by GL'!$C$6:$O$528,5,FALSE)</f>
        <v>0</v>
      </c>
      <c r="H409" s="1289">
        <f>VLOOKUP($A409,'Accounts by GL'!$C$6:$O$528,6,FALSE)</f>
        <v>0</v>
      </c>
      <c r="I409" s="1289">
        <f>VLOOKUP($A409,'Accounts by GL'!$C$6:$O$528,7,FALSE)</f>
        <v>0</v>
      </c>
      <c r="J409" s="1289">
        <f>VLOOKUP($A409,'Accounts by GL'!$C$6:$O$528,8,FALSE)</f>
        <v>0</v>
      </c>
      <c r="K409" s="1289">
        <f>VLOOKUP($A409,'Accounts by GL'!$C$6:$O$528,9,FALSE)</f>
        <v>0</v>
      </c>
      <c r="L409" s="1289">
        <f>VLOOKUP($A409,'Accounts by GL'!$C$6:$O$528,10,FALSE)</f>
        <v>0</v>
      </c>
      <c r="M409" s="1289">
        <f>VLOOKUP($A409,'Accounts by GL'!$C$6:$O$528,12,FALSE)</f>
        <v>0</v>
      </c>
    </row>
    <row r="410" spans="1:13">
      <c r="A410" s="1293" t="s">
        <v>2210</v>
      </c>
      <c r="B410" s="1287" t="str">
        <f t="shared" si="6"/>
        <v>SAMPLE STATE COLLEGE</v>
      </c>
      <c r="C410" s="1294" t="s">
        <v>2210</v>
      </c>
      <c r="D410" s="1289">
        <f>VLOOKUP($A410,'Accounts by GL'!$C$6:$O$528,2,FALSE)</f>
        <v>0</v>
      </c>
      <c r="E410" s="1289">
        <f>VLOOKUP($A410,'Accounts by GL'!$C$6:$O$528,3,FALSE)</f>
        <v>0</v>
      </c>
      <c r="F410" s="1289">
        <f>VLOOKUP($A410,'Accounts by GL'!$C$6:$O$528,4,FALSE)</f>
        <v>0</v>
      </c>
      <c r="G410" s="1289">
        <f>VLOOKUP($A410,'Accounts by GL'!$C$6:$O$528,5,FALSE)</f>
        <v>0</v>
      </c>
      <c r="H410" s="1289">
        <f>VLOOKUP($A410,'Accounts by GL'!$C$6:$O$528,6,FALSE)</f>
        <v>0</v>
      </c>
      <c r="I410" s="1289">
        <f>VLOOKUP($A410,'Accounts by GL'!$C$6:$O$528,7,FALSE)</f>
        <v>0</v>
      </c>
      <c r="J410" s="1289">
        <f>VLOOKUP($A410,'Accounts by GL'!$C$6:$O$528,8,FALSE)</f>
        <v>0</v>
      </c>
      <c r="K410" s="1289">
        <f>VLOOKUP($A410,'Accounts by GL'!$C$6:$O$528,9,FALSE)</f>
        <v>0</v>
      </c>
      <c r="L410" s="1289">
        <f>VLOOKUP($A410,'Accounts by GL'!$C$6:$O$528,10,FALSE)</f>
        <v>0</v>
      </c>
      <c r="M410" s="1289">
        <f>VLOOKUP($A410,'Accounts by GL'!$C$6:$O$528,12,FALSE)</f>
        <v>0</v>
      </c>
    </row>
    <row r="411" spans="1:13">
      <c r="A411" s="1295" t="s">
        <v>2212</v>
      </c>
      <c r="B411" s="1287" t="str">
        <f t="shared" si="6"/>
        <v>SAMPLE STATE COLLEGE</v>
      </c>
      <c r="C411" s="1296" t="s">
        <v>2212</v>
      </c>
      <c r="D411" s="1289">
        <f>VLOOKUP($A411,'Accounts by GL'!$C$6:$O$528,2,FALSE)</f>
        <v>0</v>
      </c>
      <c r="E411" s="1289">
        <f>VLOOKUP($A411,'Accounts by GL'!$C$6:$O$528,3,FALSE)</f>
        <v>0</v>
      </c>
      <c r="F411" s="1289">
        <f>VLOOKUP($A411,'Accounts by GL'!$C$6:$O$528,4,FALSE)</f>
        <v>0</v>
      </c>
      <c r="G411" s="1289">
        <f>VLOOKUP($A411,'Accounts by GL'!$C$6:$O$528,5,FALSE)</f>
        <v>0</v>
      </c>
      <c r="H411" s="1289">
        <f>VLOOKUP($A411,'Accounts by GL'!$C$6:$O$528,6,FALSE)</f>
        <v>0</v>
      </c>
      <c r="I411" s="1289">
        <f>VLOOKUP($A411,'Accounts by GL'!$C$6:$O$528,7,FALSE)</f>
        <v>0</v>
      </c>
      <c r="J411" s="1289">
        <f>VLOOKUP($A411,'Accounts by GL'!$C$6:$O$528,8,FALSE)</f>
        <v>0</v>
      </c>
      <c r="K411" s="1289">
        <f>VLOOKUP($A411,'Accounts by GL'!$C$6:$O$528,9,FALSE)</f>
        <v>0</v>
      </c>
      <c r="L411" s="1289">
        <f>VLOOKUP($A411,'Accounts by GL'!$C$6:$O$528,10,FALSE)</f>
        <v>0</v>
      </c>
      <c r="M411" s="1289">
        <f>VLOOKUP($A411,'Accounts by GL'!$C$6:$O$528,12,FALSE)</f>
        <v>0</v>
      </c>
    </row>
    <row r="412" spans="1:13">
      <c r="A412" s="1293" t="s">
        <v>2215</v>
      </c>
      <c r="B412" s="1287" t="str">
        <f t="shared" si="6"/>
        <v>SAMPLE STATE COLLEGE</v>
      </c>
      <c r="C412" s="1294" t="s">
        <v>2215</v>
      </c>
      <c r="D412" s="1289">
        <f>VLOOKUP($A412,'Accounts by GL'!$C$6:$O$528,2,FALSE)</f>
        <v>0</v>
      </c>
      <c r="E412" s="1289">
        <f>VLOOKUP($A412,'Accounts by GL'!$C$6:$O$528,3,FALSE)</f>
        <v>0</v>
      </c>
      <c r="F412" s="1289">
        <f>VLOOKUP($A412,'Accounts by GL'!$C$6:$O$528,4,FALSE)</f>
        <v>0</v>
      </c>
      <c r="G412" s="1289">
        <f>VLOOKUP($A412,'Accounts by GL'!$C$6:$O$528,5,FALSE)</f>
        <v>0</v>
      </c>
      <c r="H412" s="1289">
        <f>VLOOKUP($A412,'Accounts by GL'!$C$6:$O$528,6,FALSE)</f>
        <v>0</v>
      </c>
      <c r="I412" s="1289">
        <f>VLOOKUP($A412,'Accounts by GL'!$C$6:$O$528,7,FALSE)</f>
        <v>0</v>
      </c>
      <c r="J412" s="1289">
        <f>VLOOKUP($A412,'Accounts by GL'!$C$6:$O$528,8,FALSE)</f>
        <v>0</v>
      </c>
      <c r="K412" s="1289">
        <f>VLOOKUP($A412,'Accounts by GL'!$C$6:$O$528,9,FALSE)</f>
        <v>0</v>
      </c>
      <c r="L412" s="1289">
        <f>VLOOKUP($A412,'Accounts by GL'!$C$6:$O$528,10,FALSE)</f>
        <v>0</v>
      </c>
      <c r="M412" s="1289">
        <f>VLOOKUP($A412,'Accounts by GL'!$C$6:$O$528,12,FALSE)</f>
        <v>0</v>
      </c>
    </row>
    <row r="413" spans="1:13">
      <c r="A413" s="1293" t="s">
        <v>2218</v>
      </c>
      <c r="B413" s="1287" t="str">
        <f t="shared" si="6"/>
        <v>SAMPLE STATE COLLEGE</v>
      </c>
      <c r="C413" s="1294" t="s">
        <v>2218</v>
      </c>
      <c r="D413" s="1289">
        <f>VLOOKUP($A413,'Accounts by GL'!$C$6:$O$528,2,FALSE)</f>
        <v>0</v>
      </c>
      <c r="E413" s="1289">
        <f>VLOOKUP($A413,'Accounts by GL'!$C$6:$O$528,3,FALSE)</f>
        <v>0</v>
      </c>
      <c r="F413" s="1289">
        <f>VLOOKUP($A413,'Accounts by GL'!$C$6:$O$528,4,FALSE)</f>
        <v>0</v>
      </c>
      <c r="G413" s="1289">
        <f>VLOOKUP($A413,'Accounts by GL'!$C$6:$O$528,5,FALSE)</f>
        <v>0</v>
      </c>
      <c r="H413" s="1289">
        <f>VLOOKUP($A413,'Accounts by GL'!$C$6:$O$528,6,FALSE)</f>
        <v>0</v>
      </c>
      <c r="I413" s="1289">
        <f>VLOOKUP($A413,'Accounts by GL'!$C$6:$O$528,7,FALSE)</f>
        <v>0</v>
      </c>
      <c r="J413" s="1289">
        <f>VLOOKUP($A413,'Accounts by GL'!$C$6:$O$528,8,FALSE)</f>
        <v>0</v>
      </c>
      <c r="K413" s="1289">
        <f>VLOOKUP($A413,'Accounts by GL'!$C$6:$O$528,9,FALSE)</f>
        <v>0</v>
      </c>
      <c r="L413" s="1289">
        <f>VLOOKUP($A413,'Accounts by GL'!$C$6:$O$528,10,FALSE)</f>
        <v>0</v>
      </c>
      <c r="M413" s="1289">
        <f>VLOOKUP($A413,'Accounts by GL'!$C$6:$O$528,12,FALSE)</f>
        <v>0</v>
      </c>
    </row>
    <row r="414" spans="1:13">
      <c r="A414" s="1293" t="s">
        <v>2221</v>
      </c>
      <c r="B414" s="1287" t="str">
        <f t="shared" si="6"/>
        <v>SAMPLE STATE COLLEGE</v>
      </c>
      <c r="C414" s="1294" t="s">
        <v>2221</v>
      </c>
      <c r="D414" s="1289">
        <f>VLOOKUP($A414,'Accounts by GL'!$C$6:$O$528,2,FALSE)</f>
        <v>0</v>
      </c>
      <c r="E414" s="1289">
        <f>VLOOKUP($A414,'Accounts by GL'!$C$6:$O$528,3,FALSE)</f>
        <v>0</v>
      </c>
      <c r="F414" s="1289">
        <f>VLOOKUP($A414,'Accounts by GL'!$C$6:$O$528,4,FALSE)</f>
        <v>0</v>
      </c>
      <c r="G414" s="1289">
        <f>VLOOKUP($A414,'Accounts by GL'!$C$6:$O$528,5,FALSE)</f>
        <v>0</v>
      </c>
      <c r="H414" s="1289">
        <f>VLOOKUP($A414,'Accounts by GL'!$C$6:$O$528,6,FALSE)</f>
        <v>0</v>
      </c>
      <c r="I414" s="1289">
        <f>VLOOKUP($A414,'Accounts by GL'!$C$6:$O$528,7,FALSE)</f>
        <v>0</v>
      </c>
      <c r="J414" s="1289">
        <f>VLOOKUP($A414,'Accounts by GL'!$C$6:$O$528,8,FALSE)</f>
        <v>0</v>
      </c>
      <c r="K414" s="1289">
        <f>VLOOKUP($A414,'Accounts by GL'!$C$6:$O$528,9,FALSE)</f>
        <v>0</v>
      </c>
      <c r="L414" s="1289">
        <f>VLOOKUP($A414,'Accounts by GL'!$C$6:$O$528,10,FALSE)</f>
        <v>0</v>
      </c>
      <c r="M414" s="1289">
        <f>VLOOKUP($A414,'Accounts by GL'!$C$6:$O$528,12,FALSE)</f>
        <v>0</v>
      </c>
    </row>
    <row r="415" spans="1:13">
      <c r="A415" s="1293" t="s">
        <v>2225</v>
      </c>
      <c r="B415" s="1287" t="str">
        <f t="shared" si="6"/>
        <v>SAMPLE STATE COLLEGE</v>
      </c>
      <c r="C415" s="1294" t="s">
        <v>2225</v>
      </c>
      <c r="D415" s="1289">
        <f>VLOOKUP($A415,'Accounts by GL'!$C$6:$O$528,2,FALSE)</f>
        <v>0</v>
      </c>
      <c r="E415" s="1289">
        <f>VLOOKUP($A415,'Accounts by GL'!$C$6:$O$528,3,FALSE)</f>
        <v>0</v>
      </c>
      <c r="F415" s="1289">
        <f>VLOOKUP($A415,'Accounts by GL'!$C$6:$O$528,4,FALSE)</f>
        <v>0</v>
      </c>
      <c r="G415" s="1289">
        <f>VLOOKUP($A415,'Accounts by GL'!$C$6:$O$528,5,FALSE)</f>
        <v>0</v>
      </c>
      <c r="H415" s="1289">
        <f>VLOOKUP($A415,'Accounts by GL'!$C$6:$O$528,6,FALSE)</f>
        <v>0</v>
      </c>
      <c r="I415" s="1289">
        <f>VLOOKUP($A415,'Accounts by GL'!$C$6:$O$528,7,FALSE)</f>
        <v>0</v>
      </c>
      <c r="J415" s="1289">
        <f>VLOOKUP($A415,'Accounts by GL'!$C$6:$O$528,8,FALSE)</f>
        <v>0</v>
      </c>
      <c r="K415" s="1289">
        <f>VLOOKUP($A415,'Accounts by GL'!$C$6:$O$528,9,FALSE)</f>
        <v>0</v>
      </c>
      <c r="L415" s="1289">
        <f>VLOOKUP($A415,'Accounts by GL'!$C$6:$O$528,10,FALSE)</f>
        <v>0</v>
      </c>
      <c r="M415" s="1289">
        <f>VLOOKUP($A415,'Accounts by GL'!$C$6:$O$528,12,FALSE)</f>
        <v>0</v>
      </c>
    </row>
    <row r="416" spans="1:13">
      <c r="A416" s="1293" t="s">
        <v>2228</v>
      </c>
      <c r="B416" s="1287" t="str">
        <f t="shared" si="6"/>
        <v>SAMPLE STATE COLLEGE</v>
      </c>
      <c r="C416" s="1294" t="s">
        <v>2228</v>
      </c>
      <c r="D416" s="1289">
        <f>VLOOKUP($A416,'Accounts by GL'!$C$6:$O$528,2,FALSE)</f>
        <v>0</v>
      </c>
      <c r="E416" s="1289">
        <f>VLOOKUP($A416,'Accounts by GL'!$C$6:$O$528,3,FALSE)</f>
        <v>0</v>
      </c>
      <c r="F416" s="1289">
        <f>VLOOKUP($A416,'Accounts by GL'!$C$6:$O$528,4,FALSE)</f>
        <v>0</v>
      </c>
      <c r="G416" s="1289">
        <f>VLOOKUP($A416,'Accounts by GL'!$C$6:$O$528,5,FALSE)</f>
        <v>0</v>
      </c>
      <c r="H416" s="1289">
        <f>VLOOKUP($A416,'Accounts by GL'!$C$6:$O$528,6,FALSE)</f>
        <v>0</v>
      </c>
      <c r="I416" s="1289">
        <f>VLOOKUP($A416,'Accounts by GL'!$C$6:$O$528,7,FALSE)</f>
        <v>0</v>
      </c>
      <c r="J416" s="1289">
        <f>VLOOKUP($A416,'Accounts by GL'!$C$6:$O$528,8,FALSE)</f>
        <v>0</v>
      </c>
      <c r="K416" s="1289">
        <f>VLOOKUP($A416,'Accounts by GL'!$C$6:$O$528,9,FALSE)</f>
        <v>0</v>
      </c>
      <c r="L416" s="1289">
        <f>VLOOKUP($A416,'Accounts by GL'!$C$6:$O$528,10,FALSE)</f>
        <v>0</v>
      </c>
      <c r="M416" s="1289">
        <f>VLOOKUP($A416,'Accounts by GL'!$C$6:$O$528,12,FALSE)</f>
        <v>0</v>
      </c>
    </row>
    <row r="417" spans="1:13">
      <c r="A417" s="1293" t="s">
        <v>2231</v>
      </c>
      <c r="B417" s="1287" t="str">
        <f t="shared" si="6"/>
        <v>SAMPLE STATE COLLEGE</v>
      </c>
      <c r="C417" s="1294" t="s">
        <v>2231</v>
      </c>
      <c r="D417" s="1289">
        <f>VLOOKUP($A417,'Accounts by GL'!$C$6:$O$528,2,FALSE)</f>
        <v>0</v>
      </c>
      <c r="E417" s="1289">
        <f>VLOOKUP($A417,'Accounts by GL'!$C$6:$O$528,3,FALSE)</f>
        <v>0</v>
      </c>
      <c r="F417" s="1289">
        <f>VLOOKUP($A417,'Accounts by GL'!$C$6:$O$528,4,FALSE)</f>
        <v>0</v>
      </c>
      <c r="G417" s="1289">
        <f>VLOOKUP($A417,'Accounts by GL'!$C$6:$O$528,5,FALSE)</f>
        <v>0</v>
      </c>
      <c r="H417" s="1289">
        <f>VLOOKUP($A417,'Accounts by GL'!$C$6:$O$528,6,FALSE)</f>
        <v>0</v>
      </c>
      <c r="I417" s="1289">
        <f>VLOOKUP($A417,'Accounts by GL'!$C$6:$O$528,7,FALSE)</f>
        <v>0</v>
      </c>
      <c r="J417" s="1289">
        <f>VLOOKUP($A417,'Accounts by GL'!$C$6:$O$528,8,FALSE)</f>
        <v>0</v>
      </c>
      <c r="K417" s="1289">
        <f>VLOOKUP($A417,'Accounts by GL'!$C$6:$O$528,9,FALSE)</f>
        <v>0</v>
      </c>
      <c r="L417" s="1289">
        <f>VLOOKUP($A417,'Accounts by GL'!$C$6:$O$528,10,FALSE)</f>
        <v>0</v>
      </c>
      <c r="M417" s="1289">
        <f>VLOOKUP($A417,'Accounts by GL'!$C$6:$O$528,12,FALSE)</f>
        <v>0</v>
      </c>
    </row>
    <row r="418" spans="1:13">
      <c r="A418" s="1293" t="s">
        <v>2234</v>
      </c>
      <c r="B418" s="1287" t="str">
        <f t="shared" si="6"/>
        <v>SAMPLE STATE COLLEGE</v>
      </c>
      <c r="C418" s="1294" t="s">
        <v>2234</v>
      </c>
      <c r="D418" s="1289">
        <f>VLOOKUP($A418,'Accounts by GL'!$C$6:$O$528,2,FALSE)</f>
        <v>0</v>
      </c>
      <c r="E418" s="1289">
        <f>VLOOKUP($A418,'Accounts by GL'!$C$6:$O$528,3,FALSE)</f>
        <v>0</v>
      </c>
      <c r="F418" s="1289">
        <f>VLOOKUP($A418,'Accounts by GL'!$C$6:$O$528,4,FALSE)</f>
        <v>0</v>
      </c>
      <c r="G418" s="1289">
        <f>VLOOKUP($A418,'Accounts by GL'!$C$6:$O$528,5,FALSE)</f>
        <v>0</v>
      </c>
      <c r="H418" s="1289">
        <f>VLOOKUP($A418,'Accounts by GL'!$C$6:$O$528,6,FALSE)</f>
        <v>0</v>
      </c>
      <c r="I418" s="1289">
        <f>VLOOKUP($A418,'Accounts by GL'!$C$6:$O$528,7,FALSE)</f>
        <v>0</v>
      </c>
      <c r="J418" s="1289">
        <f>VLOOKUP($A418,'Accounts by GL'!$C$6:$O$528,8,FALSE)</f>
        <v>0</v>
      </c>
      <c r="K418" s="1289">
        <f>VLOOKUP($A418,'Accounts by GL'!$C$6:$O$528,9,FALSE)</f>
        <v>0</v>
      </c>
      <c r="L418" s="1289">
        <f>VLOOKUP($A418,'Accounts by GL'!$C$6:$O$528,10,FALSE)</f>
        <v>0</v>
      </c>
      <c r="M418" s="1289">
        <f>VLOOKUP($A418,'Accounts by GL'!$C$6:$O$528,12,FALSE)</f>
        <v>0</v>
      </c>
    </row>
    <row r="419" spans="1:13">
      <c r="A419" s="1293" t="s">
        <v>2236</v>
      </c>
      <c r="B419" s="1287" t="str">
        <f t="shared" si="6"/>
        <v>SAMPLE STATE COLLEGE</v>
      </c>
      <c r="C419" s="1294" t="s">
        <v>2236</v>
      </c>
      <c r="D419" s="1289">
        <f>VLOOKUP($A419,'Accounts by GL'!$C$6:$O$528,2,FALSE)</f>
        <v>0</v>
      </c>
      <c r="E419" s="1289">
        <f>VLOOKUP($A419,'Accounts by GL'!$C$6:$O$528,3,FALSE)</f>
        <v>0</v>
      </c>
      <c r="F419" s="1289">
        <f>VLOOKUP($A419,'Accounts by GL'!$C$6:$O$528,4,FALSE)</f>
        <v>0</v>
      </c>
      <c r="G419" s="1289">
        <f>VLOOKUP($A419,'Accounts by GL'!$C$6:$O$528,5,FALSE)</f>
        <v>0</v>
      </c>
      <c r="H419" s="1289">
        <f>VLOOKUP($A419,'Accounts by GL'!$C$6:$O$528,6,FALSE)</f>
        <v>0</v>
      </c>
      <c r="I419" s="1289">
        <f>VLOOKUP($A419,'Accounts by GL'!$C$6:$O$528,7,FALSE)</f>
        <v>0</v>
      </c>
      <c r="J419" s="1289">
        <f>VLOOKUP($A419,'Accounts by GL'!$C$6:$O$528,8,FALSE)</f>
        <v>0</v>
      </c>
      <c r="K419" s="1289">
        <f>VLOOKUP($A419,'Accounts by GL'!$C$6:$O$528,9,FALSE)</f>
        <v>0</v>
      </c>
      <c r="L419" s="1289">
        <f>VLOOKUP($A419,'Accounts by GL'!$C$6:$O$528,10,FALSE)</f>
        <v>0</v>
      </c>
      <c r="M419" s="1289">
        <f>VLOOKUP($A419,'Accounts by GL'!$C$6:$O$528,12,FALSE)</f>
        <v>0</v>
      </c>
    </row>
    <row r="420" spans="1:13">
      <c r="A420" s="1293" t="s">
        <v>2241</v>
      </c>
      <c r="B420" s="1287" t="str">
        <f t="shared" si="6"/>
        <v>SAMPLE STATE COLLEGE</v>
      </c>
      <c r="C420" s="1294" t="s">
        <v>2241</v>
      </c>
      <c r="D420" s="1289">
        <f>VLOOKUP($A420,'Accounts by GL'!$C$6:$O$528,2,FALSE)</f>
        <v>0</v>
      </c>
      <c r="E420" s="1289">
        <f>VLOOKUP($A420,'Accounts by GL'!$C$6:$O$528,3,FALSE)</f>
        <v>0</v>
      </c>
      <c r="F420" s="1289">
        <f>VLOOKUP($A420,'Accounts by GL'!$C$6:$O$528,4,FALSE)</f>
        <v>0</v>
      </c>
      <c r="G420" s="1289">
        <f>VLOOKUP($A420,'Accounts by GL'!$C$6:$O$528,5,FALSE)</f>
        <v>0</v>
      </c>
      <c r="H420" s="1289">
        <f>VLOOKUP($A420,'Accounts by GL'!$C$6:$O$528,6,FALSE)</f>
        <v>0</v>
      </c>
      <c r="I420" s="1289">
        <f>VLOOKUP($A420,'Accounts by GL'!$C$6:$O$528,7,FALSE)</f>
        <v>0</v>
      </c>
      <c r="J420" s="1289">
        <f>VLOOKUP($A420,'Accounts by GL'!$C$6:$O$528,8,FALSE)</f>
        <v>0</v>
      </c>
      <c r="K420" s="1289">
        <f>VLOOKUP($A420,'Accounts by GL'!$C$6:$O$528,9,FALSE)</f>
        <v>0</v>
      </c>
      <c r="L420" s="1289">
        <f>VLOOKUP($A420,'Accounts by GL'!$C$6:$O$528,10,FALSE)</f>
        <v>0</v>
      </c>
      <c r="M420" s="1289">
        <f>VLOOKUP($A420,'Accounts by GL'!$C$6:$O$528,12,FALSE)</f>
        <v>0</v>
      </c>
    </row>
    <row r="421" spans="1:13">
      <c r="A421" s="1293" t="s">
        <v>2244</v>
      </c>
      <c r="B421" s="1287" t="str">
        <f t="shared" si="6"/>
        <v>SAMPLE STATE COLLEGE</v>
      </c>
      <c r="C421" s="1294" t="s">
        <v>2244</v>
      </c>
      <c r="D421" s="1289">
        <f>VLOOKUP($A421,'Accounts by GL'!$C$6:$O$528,2,FALSE)</f>
        <v>0</v>
      </c>
      <c r="E421" s="1289">
        <f>VLOOKUP($A421,'Accounts by GL'!$C$6:$O$528,3,FALSE)</f>
        <v>0</v>
      </c>
      <c r="F421" s="1289">
        <f>VLOOKUP($A421,'Accounts by GL'!$C$6:$O$528,4,FALSE)</f>
        <v>0</v>
      </c>
      <c r="G421" s="1289">
        <f>VLOOKUP($A421,'Accounts by GL'!$C$6:$O$528,5,FALSE)</f>
        <v>0</v>
      </c>
      <c r="H421" s="1289">
        <f>VLOOKUP($A421,'Accounts by GL'!$C$6:$O$528,6,FALSE)</f>
        <v>0</v>
      </c>
      <c r="I421" s="1289">
        <f>VLOOKUP($A421,'Accounts by GL'!$C$6:$O$528,7,FALSE)</f>
        <v>0</v>
      </c>
      <c r="J421" s="1289">
        <f>VLOOKUP($A421,'Accounts by GL'!$C$6:$O$528,8,FALSE)</f>
        <v>0</v>
      </c>
      <c r="K421" s="1289">
        <f>VLOOKUP($A421,'Accounts by GL'!$C$6:$O$528,9,FALSE)</f>
        <v>0</v>
      </c>
      <c r="L421" s="1289">
        <f>VLOOKUP($A421,'Accounts by GL'!$C$6:$O$528,10,FALSE)</f>
        <v>0</v>
      </c>
      <c r="M421" s="1289">
        <f>VLOOKUP($A421,'Accounts by GL'!$C$6:$O$528,12,FALSE)</f>
        <v>0</v>
      </c>
    </row>
    <row r="422" spans="1:13">
      <c r="A422" s="1293" t="s">
        <v>2246</v>
      </c>
      <c r="B422" s="1287" t="str">
        <f t="shared" si="6"/>
        <v>SAMPLE STATE COLLEGE</v>
      </c>
      <c r="C422" s="1294" t="s">
        <v>2246</v>
      </c>
      <c r="D422" s="1289">
        <f>VLOOKUP($A422,'Accounts by GL'!$C$6:$O$528,2,FALSE)</f>
        <v>0</v>
      </c>
      <c r="E422" s="1289">
        <f>VLOOKUP($A422,'Accounts by GL'!$C$6:$O$528,3,FALSE)</f>
        <v>0</v>
      </c>
      <c r="F422" s="1289">
        <f>VLOOKUP($A422,'Accounts by GL'!$C$6:$O$528,4,FALSE)</f>
        <v>0</v>
      </c>
      <c r="G422" s="1289">
        <f>VLOOKUP($A422,'Accounts by GL'!$C$6:$O$528,5,FALSE)</f>
        <v>0</v>
      </c>
      <c r="H422" s="1289">
        <f>VLOOKUP($A422,'Accounts by GL'!$C$6:$O$528,6,FALSE)</f>
        <v>0</v>
      </c>
      <c r="I422" s="1289">
        <f>VLOOKUP($A422,'Accounts by GL'!$C$6:$O$528,7,FALSE)</f>
        <v>0</v>
      </c>
      <c r="J422" s="1289">
        <f>VLOOKUP($A422,'Accounts by GL'!$C$6:$O$528,8,FALSE)</f>
        <v>0</v>
      </c>
      <c r="K422" s="1289">
        <f>VLOOKUP($A422,'Accounts by GL'!$C$6:$O$528,9,FALSE)</f>
        <v>0</v>
      </c>
      <c r="L422" s="1289">
        <f>VLOOKUP($A422,'Accounts by GL'!$C$6:$O$528,10,FALSE)</f>
        <v>0</v>
      </c>
      <c r="M422" s="1289">
        <f>VLOOKUP($A422,'Accounts by GL'!$C$6:$O$528,12,FALSE)</f>
        <v>0</v>
      </c>
    </row>
    <row r="423" spans="1:13">
      <c r="A423" s="1293" t="s">
        <v>2249</v>
      </c>
      <c r="B423" s="1287" t="str">
        <f t="shared" si="6"/>
        <v>SAMPLE STATE COLLEGE</v>
      </c>
      <c r="C423" s="1294" t="s">
        <v>2249</v>
      </c>
      <c r="D423" s="1289">
        <f>VLOOKUP($A423,'Accounts by GL'!$C$6:$O$528,2,FALSE)</f>
        <v>0</v>
      </c>
      <c r="E423" s="1289">
        <f>VLOOKUP($A423,'Accounts by GL'!$C$6:$O$528,3,FALSE)</f>
        <v>0</v>
      </c>
      <c r="F423" s="1289">
        <f>VLOOKUP($A423,'Accounts by GL'!$C$6:$O$528,4,FALSE)</f>
        <v>0</v>
      </c>
      <c r="G423" s="1289">
        <f>VLOOKUP($A423,'Accounts by GL'!$C$6:$O$528,5,FALSE)</f>
        <v>0</v>
      </c>
      <c r="H423" s="1289">
        <f>VLOOKUP($A423,'Accounts by GL'!$C$6:$O$528,6,FALSE)</f>
        <v>0</v>
      </c>
      <c r="I423" s="1289">
        <f>VLOOKUP($A423,'Accounts by GL'!$C$6:$O$528,7,FALSE)</f>
        <v>0</v>
      </c>
      <c r="J423" s="1289">
        <f>VLOOKUP($A423,'Accounts by GL'!$C$6:$O$528,8,FALSE)</f>
        <v>0</v>
      </c>
      <c r="K423" s="1289">
        <f>VLOOKUP($A423,'Accounts by GL'!$C$6:$O$528,9,FALSE)</f>
        <v>0</v>
      </c>
      <c r="L423" s="1289">
        <f>VLOOKUP($A423,'Accounts by GL'!$C$6:$O$528,10,FALSE)</f>
        <v>0</v>
      </c>
      <c r="M423" s="1289">
        <f>VLOOKUP($A423,'Accounts by GL'!$C$6:$O$528,12,FALSE)</f>
        <v>0</v>
      </c>
    </row>
    <row r="424" spans="1:13">
      <c r="A424" s="1293" t="s">
        <v>2251</v>
      </c>
      <c r="B424" s="1287" t="str">
        <f t="shared" si="6"/>
        <v>SAMPLE STATE COLLEGE</v>
      </c>
      <c r="C424" s="1294" t="s">
        <v>2251</v>
      </c>
      <c r="D424" s="1289">
        <f>VLOOKUP($A424,'Accounts by GL'!$C$6:$O$528,2,FALSE)</f>
        <v>0</v>
      </c>
      <c r="E424" s="1289">
        <f>VLOOKUP($A424,'Accounts by GL'!$C$6:$O$528,3,FALSE)</f>
        <v>0</v>
      </c>
      <c r="F424" s="1289">
        <f>VLOOKUP($A424,'Accounts by GL'!$C$6:$O$528,4,FALSE)</f>
        <v>0</v>
      </c>
      <c r="G424" s="1289">
        <f>VLOOKUP($A424,'Accounts by GL'!$C$6:$O$528,5,FALSE)</f>
        <v>0</v>
      </c>
      <c r="H424" s="1289">
        <f>VLOOKUP($A424,'Accounts by GL'!$C$6:$O$528,6,FALSE)</f>
        <v>0</v>
      </c>
      <c r="I424" s="1289">
        <f>VLOOKUP($A424,'Accounts by GL'!$C$6:$O$528,7,FALSE)</f>
        <v>0</v>
      </c>
      <c r="J424" s="1289">
        <f>VLOOKUP($A424,'Accounts by GL'!$C$6:$O$528,8,FALSE)</f>
        <v>0</v>
      </c>
      <c r="K424" s="1289">
        <f>VLOOKUP($A424,'Accounts by GL'!$C$6:$O$528,9,FALSE)</f>
        <v>0</v>
      </c>
      <c r="L424" s="1289">
        <f>VLOOKUP($A424,'Accounts by GL'!$C$6:$O$528,10,FALSE)</f>
        <v>0</v>
      </c>
      <c r="M424" s="1289">
        <f>VLOOKUP($A424,'Accounts by GL'!$C$6:$O$528,12,FALSE)</f>
        <v>0</v>
      </c>
    </row>
    <row r="425" spans="1:13">
      <c r="A425" s="1293" t="s">
        <v>1356</v>
      </c>
      <c r="B425" s="1342" t="str">
        <f t="shared" si="6"/>
        <v>SAMPLE STATE COLLEGE</v>
      </c>
      <c r="C425" s="1343" t="s">
        <v>4031</v>
      </c>
      <c r="D425" s="1344">
        <f>VLOOKUP($A425,'Accounts by GL'!$C$541:$O$553,2,FALSE)</f>
        <v>0</v>
      </c>
      <c r="E425" s="1344">
        <f>VLOOKUP($A425,'Accounts by GL'!$C$541:$O$553,3,FALSE)</f>
        <v>0</v>
      </c>
      <c r="F425" s="1344">
        <f>VLOOKUP($A425,'Accounts by GL'!$C$541:$O$553,4,FALSE)</f>
        <v>0</v>
      </c>
      <c r="G425" s="1344">
        <f>VLOOKUP($A425,'Accounts by GL'!$C$541:$O$553,5,FALSE)</f>
        <v>0</v>
      </c>
      <c r="H425" s="1344">
        <f>VLOOKUP($A425,'Accounts by GL'!$C$541:$O$553,6,FALSE)</f>
        <v>0</v>
      </c>
      <c r="I425" s="1344">
        <f>VLOOKUP($A425,'Accounts by GL'!$C$541:$O$553,7,FALSE)</f>
        <v>0</v>
      </c>
      <c r="J425" s="1344">
        <f>VLOOKUP($A425,'Accounts by GL'!$C$541:$O$553,8,FALSE)</f>
        <v>0</v>
      </c>
      <c r="K425" s="1344">
        <f>VLOOKUP($A425,'Accounts by GL'!$C$541:$O$553,9,FALSE)</f>
        <v>0</v>
      </c>
      <c r="L425" s="1344">
        <f>VLOOKUP($A425,'Accounts by GL'!$C$541:$O$553,10,FALSE)</f>
        <v>0</v>
      </c>
      <c r="M425" s="1344">
        <f>VLOOKUP($A425,'Accounts by GL'!$C$541:$O$553,12,FALSE)</f>
        <v>0</v>
      </c>
    </row>
    <row r="426" spans="1:13">
      <c r="A426" s="1293" t="s">
        <v>1359</v>
      </c>
      <c r="B426" s="1342" t="str">
        <f t="shared" si="6"/>
        <v>SAMPLE STATE COLLEGE</v>
      </c>
      <c r="C426" s="1343" t="s">
        <v>4032</v>
      </c>
      <c r="D426" s="1344">
        <f>VLOOKUP($A426,'Accounts by GL'!$C$541:$O$553,2,FALSE)</f>
        <v>0</v>
      </c>
      <c r="E426" s="1344">
        <f>VLOOKUP($A426,'Accounts by GL'!$C$541:$O$553,3,FALSE)</f>
        <v>0</v>
      </c>
      <c r="F426" s="1344">
        <f>VLOOKUP($A426,'Accounts by GL'!$C$541:$O$553,4,FALSE)</f>
        <v>0</v>
      </c>
      <c r="G426" s="1344">
        <f>VLOOKUP($A426,'Accounts by GL'!$C$541:$O$553,5,FALSE)</f>
        <v>0</v>
      </c>
      <c r="H426" s="1344">
        <f>VLOOKUP($A426,'Accounts by GL'!$C$541:$O$553,6,FALSE)</f>
        <v>0</v>
      </c>
      <c r="I426" s="1344">
        <f>VLOOKUP($A426,'Accounts by GL'!$C$541:$O$553,7,FALSE)</f>
        <v>0</v>
      </c>
      <c r="J426" s="1344">
        <f>VLOOKUP($A426,'Accounts by GL'!$C$541:$O$553,8,FALSE)</f>
        <v>0</v>
      </c>
      <c r="K426" s="1344">
        <f>VLOOKUP($A426,'Accounts by GL'!$C$541:$O$553,9,FALSE)</f>
        <v>0</v>
      </c>
      <c r="L426" s="1344">
        <f>VLOOKUP($A426,'Accounts by GL'!$C$541:$O$553,10,FALSE)</f>
        <v>0</v>
      </c>
      <c r="M426" s="1344">
        <f>VLOOKUP($A426,'Accounts by GL'!$C$541:$O$553,12,FALSE)</f>
        <v>0</v>
      </c>
    </row>
    <row r="427" spans="1:13">
      <c r="A427" s="1293" t="s">
        <v>1362</v>
      </c>
      <c r="B427" s="1342" t="str">
        <f t="shared" si="6"/>
        <v>SAMPLE STATE COLLEGE</v>
      </c>
      <c r="C427" s="1343" t="s">
        <v>4033</v>
      </c>
      <c r="D427" s="1344">
        <f>VLOOKUP($A427,'Accounts by GL'!$C$541:$O$553,2,FALSE)</f>
        <v>0</v>
      </c>
      <c r="E427" s="1344">
        <f>VLOOKUP($A427,'Accounts by GL'!$C$541:$O$553,3,FALSE)</f>
        <v>0</v>
      </c>
      <c r="F427" s="1344">
        <f>VLOOKUP($A427,'Accounts by GL'!$C$541:$O$553,4,FALSE)</f>
        <v>0</v>
      </c>
      <c r="G427" s="1344">
        <f>VLOOKUP($A427,'Accounts by GL'!$C$541:$O$553,5,FALSE)</f>
        <v>0</v>
      </c>
      <c r="H427" s="1344">
        <f>VLOOKUP($A427,'Accounts by GL'!$C$541:$O$553,6,FALSE)</f>
        <v>0</v>
      </c>
      <c r="I427" s="1344">
        <f>VLOOKUP($A427,'Accounts by GL'!$C$541:$O$553,7,FALSE)</f>
        <v>0</v>
      </c>
      <c r="J427" s="1344">
        <f>VLOOKUP($A427,'Accounts by GL'!$C$541:$O$553,8,FALSE)</f>
        <v>0</v>
      </c>
      <c r="K427" s="1344">
        <f>VLOOKUP($A427,'Accounts by GL'!$C$541:$O$553,9,FALSE)</f>
        <v>0</v>
      </c>
      <c r="L427" s="1344">
        <f>VLOOKUP($A427,'Accounts by GL'!$C$541:$O$553,10,FALSE)</f>
        <v>0</v>
      </c>
      <c r="M427" s="1344">
        <f>VLOOKUP($A427,'Accounts by GL'!$C$541:$O$553,12,FALSE)</f>
        <v>0</v>
      </c>
    </row>
    <row r="428" spans="1:13">
      <c r="A428" s="1293" t="s">
        <v>1365</v>
      </c>
      <c r="B428" s="1342" t="str">
        <f t="shared" si="6"/>
        <v>SAMPLE STATE COLLEGE</v>
      </c>
      <c r="C428" s="1343" t="s">
        <v>4034</v>
      </c>
      <c r="D428" s="1344">
        <f>VLOOKUP($A428,'Accounts by GL'!$C$541:$O$553,2,FALSE)</f>
        <v>0</v>
      </c>
      <c r="E428" s="1344">
        <f>VLOOKUP($A428,'Accounts by GL'!$C$541:$O$553,3,FALSE)</f>
        <v>0</v>
      </c>
      <c r="F428" s="1344">
        <f>VLOOKUP($A428,'Accounts by GL'!$C$541:$O$553,4,FALSE)</f>
        <v>0</v>
      </c>
      <c r="G428" s="1344">
        <f>VLOOKUP($A428,'Accounts by GL'!$C$541:$O$553,5,FALSE)</f>
        <v>0</v>
      </c>
      <c r="H428" s="1344">
        <f>VLOOKUP($A428,'Accounts by GL'!$C$541:$O$553,6,FALSE)</f>
        <v>0</v>
      </c>
      <c r="I428" s="1344">
        <f>VLOOKUP($A428,'Accounts by GL'!$C$541:$O$553,7,FALSE)</f>
        <v>0</v>
      </c>
      <c r="J428" s="1344">
        <f>VLOOKUP($A428,'Accounts by GL'!$C$541:$O$553,8,FALSE)</f>
        <v>0</v>
      </c>
      <c r="K428" s="1344">
        <f>VLOOKUP($A428,'Accounts by GL'!$C$541:$O$553,9,FALSE)</f>
        <v>0</v>
      </c>
      <c r="L428" s="1344">
        <f>VLOOKUP($A428,'Accounts by GL'!$C$541:$O$553,10,FALSE)</f>
        <v>0</v>
      </c>
      <c r="M428" s="1344">
        <f>VLOOKUP($A428,'Accounts by GL'!$C$541:$O$553,12,FALSE)</f>
        <v>0</v>
      </c>
    </row>
    <row r="429" spans="1:13">
      <c r="A429" s="1293" t="s">
        <v>1368</v>
      </c>
      <c r="B429" s="1342" t="str">
        <f t="shared" si="6"/>
        <v>SAMPLE STATE COLLEGE</v>
      </c>
      <c r="C429" s="1343" t="s">
        <v>4035</v>
      </c>
      <c r="D429" s="1344">
        <f>VLOOKUP($A429,'Accounts by GL'!$C$541:$O$553,2,FALSE)</f>
        <v>0</v>
      </c>
      <c r="E429" s="1344">
        <f>VLOOKUP($A429,'Accounts by GL'!$C$541:$O$553,3,FALSE)</f>
        <v>0</v>
      </c>
      <c r="F429" s="1344">
        <f>VLOOKUP($A429,'Accounts by GL'!$C$541:$O$553,4,FALSE)</f>
        <v>0</v>
      </c>
      <c r="G429" s="1344">
        <f>VLOOKUP($A429,'Accounts by GL'!$C$541:$O$553,5,FALSE)</f>
        <v>0</v>
      </c>
      <c r="H429" s="1344">
        <f>VLOOKUP($A429,'Accounts by GL'!$C$541:$O$553,6,FALSE)</f>
        <v>0</v>
      </c>
      <c r="I429" s="1344">
        <f>VLOOKUP($A429,'Accounts by GL'!$C$541:$O$553,7,FALSE)</f>
        <v>0</v>
      </c>
      <c r="J429" s="1344">
        <f>VLOOKUP($A429,'Accounts by GL'!$C$541:$O$553,8,FALSE)</f>
        <v>0</v>
      </c>
      <c r="K429" s="1344">
        <f>VLOOKUP($A429,'Accounts by GL'!$C$541:$O$553,9,FALSE)</f>
        <v>0</v>
      </c>
      <c r="L429" s="1344">
        <f>VLOOKUP($A429,'Accounts by GL'!$C$541:$O$553,10,FALSE)</f>
        <v>0</v>
      </c>
      <c r="M429" s="1344">
        <f>VLOOKUP($A429,'Accounts by GL'!$C$541:$O$553,12,FALSE)</f>
        <v>0</v>
      </c>
    </row>
    <row r="430" spans="1:13">
      <c r="A430" s="1293" t="s">
        <v>1371</v>
      </c>
      <c r="B430" s="1342" t="str">
        <f t="shared" si="6"/>
        <v>SAMPLE STATE COLLEGE</v>
      </c>
      <c r="C430" s="1343" t="s">
        <v>4036</v>
      </c>
      <c r="D430" s="1344">
        <f>VLOOKUP($A430,'Accounts by GL'!$C$541:$O$553,2,FALSE)</f>
        <v>0</v>
      </c>
      <c r="E430" s="1344">
        <f>VLOOKUP($A430,'Accounts by GL'!$C$541:$O$553,3,FALSE)</f>
        <v>0</v>
      </c>
      <c r="F430" s="1344">
        <f>VLOOKUP($A430,'Accounts by GL'!$C$541:$O$553,4,FALSE)</f>
        <v>0</v>
      </c>
      <c r="G430" s="1344">
        <f>VLOOKUP($A430,'Accounts by GL'!$C$541:$O$553,5,FALSE)</f>
        <v>0</v>
      </c>
      <c r="H430" s="1344">
        <f>VLOOKUP($A430,'Accounts by GL'!$C$541:$O$553,6,FALSE)</f>
        <v>0</v>
      </c>
      <c r="I430" s="1344">
        <f>VLOOKUP($A430,'Accounts by GL'!$C$541:$O$553,7,FALSE)</f>
        <v>0</v>
      </c>
      <c r="J430" s="1344">
        <f>VLOOKUP($A430,'Accounts by GL'!$C$541:$O$553,8,FALSE)</f>
        <v>0</v>
      </c>
      <c r="K430" s="1344">
        <f>VLOOKUP($A430,'Accounts by GL'!$C$541:$O$553,9,FALSE)</f>
        <v>0</v>
      </c>
      <c r="L430" s="1344">
        <f>VLOOKUP($A430,'Accounts by GL'!$C$541:$O$553,10,FALSE)</f>
        <v>0</v>
      </c>
      <c r="M430" s="1344">
        <f>VLOOKUP($A430,'Accounts by GL'!$C$541:$O$553,12,FALSE)</f>
        <v>0</v>
      </c>
    </row>
    <row r="431" spans="1:13">
      <c r="A431" s="1293" t="s">
        <v>1374</v>
      </c>
      <c r="B431" s="1342" t="str">
        <f t="shared" si="6"/>
        <v>SAMPLE STATE COLLEGE</v>
      </c>
      <c r="C431" s="1343" t="s">
        <v>4037</v>
      </c>
      <c r="D431" s="1344">
        <f>VLOOKUP($A431,'Accounts by GL'!$C$541:$O$553,2,FALSE)</f>
        <v>0</v>
      </c>
      <c r="E431" s="1344">
        <f>VLOOKUP($A431,'Accounts by GL'!$C$541:$O$553,3,FALSE)</f>
        <v>0</v>
      </c>
      <c r="F431" s="1344">
        <f>VLOOKUP($A431,'Accounts by GL'!$C$541:$O$553,4,FALSE)</f>
        <v>0</v>
      </c>
      <c r="G431" s="1344">
        <f>VLOOKUP($A431,'Accounts by GL'!$C$541:$O$553,5,FALSE)</f>
        <v>0</v>
      </c>
      <c r="H431" s="1344">
        <f>VLOOKUP($A431,'Accounts by GL'!$C$541:$O$553,6,FALSE)</f>
        <v>0</v>
      </c>
      <c r="I431" s="1344">
        <f>VLOOKUP($A431,'Accounts by GL'!$C$541:$O$553,7,FALSE)</f>
        <v>0</v>
      </c>
      <c r="J431" s="1344">
        <f>VLOOKUP($A431,'Accounts by GL'!$C$541:$O$553,8,FALSE)</f>
        <v>0</v>
      </c>
      <c r="K431" s="1344">
        <f>VLOOKUP($A431,'Accounts by GL'!$C$541:$O$553,9,FALSE)</f>
        <v>0</v>
      </c>
      <c r="L431" s="1344">
        <f>VLOOKUP($A431,'Accounts by GL'!$C$541:$O$553,10,FALSE)</f>
        <v>0</v>
      </c>
      <c r="M431" s="1344">
        <f>VLOOKUP($A431,'Accounts by GL'!$C$541:$O$553,12,FALSE)</f>
        <v>0</v>
      </c>
    </row>
    <row r="432" spans="1:13">
      <c r="A432" s="1293" t="s">
        <v>1380</v>
      </c>
      <c r="B432" s="1342" t="str">
        <f t="shared" si="6"/>
        <v>SAMPLE STATE COLLEGE</v>
      </c>
      <c r="C432" s="1343" t="s">
        <v>4038</v>
      </c>
      <c r="D432" s="1344">
        <f>VLOOKUP($A432,'Accounts by GL'!$C$541:$O$553,2,FALSE)</f>
        <v>0</v>
      </c>
      <c r="E432" s="1344">
        <f>VLOOKUP($A432,'Accounts by GL'!$C$541:$O$553,3,FALSE)</f>
        <v>0</v>
      </c>
      <c r="F432" s="1344">
        <f>VLOOKUP($A432,'Accounts by GL'!$C$541:$O$553,4,FALSE)</f>
        <v>0</v>
      </c>
      <c r="G432" s="1344">
        <f>VLOOKUP($A432,'Accounts by GL'!$C$541:$O$553,5,FALSE)</f>
        <v>0</v>
      </c>
      <c r="H432" s="1344">
        <f>VLOOKUP($A432,'Accounts by GL'!$C$541:$O$553,6,FALSE)</f>
        <v>0</v>
      </c>
      <c r="I432" s="1344">
        <f>VLOOKUP($A432,'Accounts by GL'!$C$541:$O$553,7,FALSE)</f>
        <v>0</v>
      </c>
      <c r="J432" s="1344">
        <f>VLOOKUP($A432,'Accounts by GL'!$C$541:$O$553,8,FALSE)</f>
        <v>0</v>
      </c>
      <c r="K432" s="1344">
        <f>VLOOKUP($A432,'Accounts by GL'!$C$541:$O$553,9,FALSE)</f>
        <v>0</v>
      </c>
      <c r="L432" s="1344">
        <f>VLOOKUP($A432,'Accounts by GL'!$C$541:$O$553,10,FALSE)</f>
        <v>0</v>
      </c>
      <c r="M432" s="1344">
        <f>VLOOKUP($A432,'Accounts by GL'!$C$541:$O$553,12,FALSE)</f>
        <v>0</v>
      </c>
    </row>
    <row r="433" spans="1:13">
      <c r="A433" s="1293" t="s">
        <v>1383</v>
      </c>
      <c r="B433" s="1342" t="str">
        <f t="shared" si="6"/>
        <v>SAMPLE STATE COLLEGE</v>
      </c>
      <c r="C433" s="1343" t="s">
        <v>4039</v>
      </c>
      <c r="D433" s="1344">
        <f>VLOOKUP($A433,'Accounts by GL'!$C$541:$O$553,2,FALSE)</f>
        <v>0</v>
      </c>
      <c r="E433" s="1344">
        <f>VLOOKUP($A433,'Accounts by GL'!$C$541:$O$553,3,FALSE)</f>
        <v>0</v>
      </c>
      <c r="F433" s="1344">
        <f>VLOOKUP($A433,'Accounts by GL'!$C$541:$O$553,4,FALSE)</f>
        <v>0</v>
      </c>
      <c r="G433" s="1344">
        <f>VLOOKUP($A433,'Accounts by GL'!$C$541:$O$553,5,FALSE)</f>
        <v>0</v>
      </c>
      <c r="H433" s="1344">
        <f>VLOOKUP($A433,'Accounts by GL'!$C$541:$O$553,6,FALSE)</f>
        <v>0</v>
      </c>
      <c r="I433" s="1344">
        <f>VLOOKUP($A433,'Accounts by GL'!$C$541:$O$553,7,FALSE)</f>
        <v>0</v>
      </c>
      <c r="J433" s="1344">
        <f>VLOOKUP($A433,'Accounts by GL'!$C$541:$O$553,8,FALSE)</f>
        <v>0</v>
      </c>
      <c r="K433" s="1344">
        <f>VLOOKUP($A433,'Accounts by GL'!$C$541:$O$553,9,FALSE)</f>
        <v>0</v>
      </c>
      <c r="L433" s="1344">
        <f>VLOOKUP($A433,'Accounts by GL'!$C$541:$O$553,10,FALSE)</f>
        <v>0</v>
      </c>
      <c r="M433" s="1344">
        <f>VLOOKUP($A433,'Accounts by GL'!$C$541:$O$553,12,FALSE)</f>
        <v>0</v>
      </c>
    </row>
    <row r="434" spans="1:13">
      <c r="A434" s="1293" t="s">
        <v>251</v>
      </c>
      <c r="B434" s="1342" t="str">
        <f t="shared" si="6"/>
        <v>SAMPLE STATE COLLEGE</v>
      </c>
      <c r="C434" s="1343" t="s">
        <v>4040</v>
      </c>
      <c r="D434" s="1344">
        <f>VLOOKUP($A434,'Accounts by GL'!$C$541:$O$553,2,FALSE)</f>
        <v>0</v>
      </c>
      <c r="E434" s="1344">
        <f>VLOOKUP($A434,'Accounts by GL'!$C$541:$O$553,3,FALSE)</f>
        <v>0</v>
      </c>
      <c r="F434" s="1344">
        <f>VLOOKUP($A434,'Accounts by GL'!$C$541:$O$553,4,FALSE)</f>
        <v>0</v>
      </c>
      <c r="G434" s="1344">
        <f>VLOOKUP($A434,'Accounts by GL'!$C$541:$O$553,5,FALSE)</f>
        <v>0</v>
      </c>
      <c r="H434" s="1344">
        <f>VLOOKUP($A434,'Accounts by GL'!$C$541:$O$553,6,FALSE)</f>
        <v>0</v>
      </c>
      <c r="I434" s="1344">
        <f>VLOOKUP($A434,'Accounts by GL'!$C$541:$O$553,7,FALSE)</f>
        <v>0</v>
      </c>
      <c r="J434" s="1344">
        <f>VLOOKUP($A434,'Accounts by GL'!$C$541:$O$553,8,FALSE)</f>
        <v>0</v>
      </c>
      <c r="K434" s="1344">
        <f>VLOOKUP($A434,'Accounts by GL'!$C$541:$O$553,9,FALSE)</f>
        <v>0</v>
      </c>
      <c r="L434" s="1344">
        <f>VLOOKUP($A434,'Accounts by GL'!$C$541:$O$553,10,FALSE)</f>
        <v>0</v>
      </c>
      <c r="M434" s="1344">
        <f>VLOOKUP($A434,'Accounts by GL'!$C$541:$O$553,12,FALSE)</f>
        <v>0</v>
      </c>
    </row>
    <row r="435" spans="1:13">
      <c r="A435" s="1293" t="s">
        <v>1409</v>
      </c>
      <c r="B435" s="1342" t="str">
        <f t="shared" si="6"/>
        <v>SAMPLE STATE COLLEGE</v>
      </c>
      <c r="C435" s="1343" t="s">
        <v>4041</v>
      </c>
      <c r="D435" s="1344">
        <f>VLOOKUP($A435,'Accounts by GL'!$C$541:$O$553,2,FALSE)</f>
        <v>0</v>
      </c>
      <c r="E435" s="1344">
        <f>VLOOKUP($A435,'Accounts by GL'!$C$541:$O$553,3,FALSE)</f>
        <v>0</v>
      </c>
      <c r="F435" s="1344">
        <f>VLOOKUP($A435,'Accounts by GL'!$C$541:$O$553,4,FALSE)</f>
        <v>0</v>
      </c>
      <c r="G435" s="1344">
        <f>VLOOKUP($A435,'Accounts by GL'!$C$541:$O$553,5,FALSE)</f>
        <v>0</v>
      </c>
      <c r="H435" s="1344">
        <f>VLOOKUP($A435,'Accounts by GL'!$C$541:$O$553,6,FALSE)</f>
        <v>0</v>
      </c>
      <c r="I435" s="1344">
        <f>VLOOKUP($A435,'Accounts by GL'!$C$541:$O$553,7,FALSE)</f>
        <v>0</v>
      </c>
      <c r="J435" s="1344">
        <f>VLOOKUP($A435,'Accounts by GL'!$C$541:$O$553,8,FALSE)</f>
        <v>0</v>
      </c>
      <c r="K435" s="1344">
        <f>VLOOKUP($A435,'Accounts by GL'!$C$541:$O$553,9,FALSE)</f>
        <v>0</v>
      </c>
      <c r="L435" s="1344">
        <f>VLOOKUP($A435,'Accounts by GL'!$C$541:$O$553,10,FALSE)</f>
        <v>0</v>
      </c>
      <c r="M435" s="1344">
        <f>VLOOKUP($A435,'Accounts by GL'!$C$541:$O$553,12,FALSE)</f>
        <v>0</v>
      </c>
    </row>
    <row r="436" spans="1:13">
      <c r="A436" s="1293" t="s">
        <v>1377</v>
      </c>
      <c r="B436" s="1342" t="str">
        <f t="shared" si="6"/>
        <v>SAMPLE STATE COLLEGE</v>
      </c>
      <c r="C436" s="1343" t="s">
        <v>4042</v>
      </c>
      <c r="D436" s="1344">
        <f>VLOOKUP($A436,'Accounts by GL'!$C$541:$O$553,2,FALSE)</f>
        <v>0</v>
      </c>
      <c r="E436" s="1344">
        <f>VLOOKUP($A436,'Accounts by GL'!$C$541:$O$553,3,FALSE)</f>
        <v>0</v>
      </c>
      <c r="F436" s="1344">
        <f>VLOOKUP($A436,'Accounts by GL'!$C$541:$O$553,4,FALSE)</f>
        <v>0</v>
      </c>
      <c r="G436" s="1344">
        <f>VLOOKUP($A436,'Accounts by GL'!$C$541:$O$553,5,FALSE)</f>
        <v>0</v>
      </c>
      <c r="H436" s="1344">
        <f>VLOOKUP($A436,'Accounts by GL'!$C$541:$O$553,6,FALSE)</f>
        <v>0</v>
      </c>
      <c r="I436" s="1344">
        <f>VLOOKUP($A436,'Accounts by GL'!$C$541:$O$553,7,FALSE)</f>
        <v>0</v>
      </c>
      <c r="J436" s="1344">
        <f>VLOOKUP($A436,'Accounts by GL'!$C$541:$O$553,8,FALSE)</f>
        <v>0</v>
      </c>
      <c r="K436" s="1344">
        <f>VLOOKUP($A436,'Accounts by GL'!$C$541:$O$553,9,FALSE)</f>
        <v>0</v>
      </c>
      <c r="L436" s="1344">
        <f>VLOOKUP($A436,'Accounts by GL'!$C$541:$O$553,10,FALSE)</f>
        <v>0</v>
      </c>
      <c r="M436" s="1344">
        <f>VLOOKUP($A436,'Accounts by GL'!$C$541:$O$553,12,FALSE)</f>
        <v>0</v>
      </c>
    </row>
  </sheetData>
  <sheetProtection algorithmName="SHA-512" hashValue="BeDSnsFpi7SDUeldb8ZZ4PuefteLOOyIlRrrhimc/lIWvdHDRcjPaepAapKVuEWeF046bQchVlZtzojp00k4kg==" saltValue="vs1zwLGTjCSvJq0Up5x9aw=="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FF00"/>
    <pageSetUpPr fitToPage="1"/>
  </sheetPr>
  <dimension ref="A1:AJ160"/>
  <sheetViews>
    <sheetView workbookViewId="0"/>
  </sheetViews>
  <sheetFormatPr defaultColWidth="9.140625" defaultRowHeight="15"/>
  <cols>
    <col min="1" max="1" width="16.5703125" style="1863" customWidth="1"/>
    <col min="2" max="2" width="38.42578125" style="1863" customWidth="1"/>
    <col min="3" max="3" width="12.5703125" style="1863" customWidth="1"/>
    <col min="4" max="4" width="30.42578125" style="1863" customWidth="1"/>
    <col min="5" max="11" width="15.7109375" style="1863" customWidth="1"/>
    <col min="12" max="12" width="11.28515625" style="2948" customWidth="1"/>
    <col min="13" max="13" width="7.85546875" style="2948" customWidth="1"/>
    <col min="14" max="14" width="20.42578125" style="1863" customWidth="1"/>
    <col min="15" max="15" width="5.140625" style="1863" customWidth="1"/>
    <col min="16" max="16" width="1.7109375" style="1863" customWidth="1"/>
    <col min="17" max="17" width="7" style="1863" bestFit="1" customWidth="1"/>
    <col min="18" max="18" width="1.140625" style="1863" customWidth="1"/>
    <col min="19" max="19" width="25" style="1863" customWidth="1"/>
    <col min="20" max="20" width="9.140625" style="1863"/>
    <col min="21" max="21" width="32.85546875" style="1863" customWidth="1"/>
    <col min="22" max="16384" width="9.140625" style="1863"/>
  </cols>
  <sheetData>
    <row r="1" spans="1:12" ht="18.75">
      <c r="A1" s="3931"/>
      <c r="E1" s="1863" t="s">
        <v>4109</v>
      </c>
    </row>
    <row r="2" spans="1:12" ht="18.75">
      <c r="B2" s="3931" t="s">
        <v>4110</v>
      </c>
    </row>
    <row r="3" spans="1:12" ht="18.75">
      <c r="B3" s="3931" t="s">
        <v>4201</v>
      </c>
    </row>
    <row r="4" spans="1:12" ht="18.75">
      <c r="B4" s="3931" t="s">
        <v>4202</v>
      </c>
    </row>
    <row r="5" spans="1:12" ht="18.75">
      <c r="B5" s="3931"/>
    </row>
    <row r="6" spans="1:12" ht="18.75">
      <c r="A6" s="4106" t="s">
        <v>5</v>
      </c>
      <c r="B6" s="4107" t="str">
        <f>'Contact Information'!C5</f>
        <v>SAMPLE STATE COLLEGE</v>
      </c>
      <c r="G6" s="1777" t="s">
        <v>4111</v>
      </c>
    </row>
    <row r="7" spans="1:12" ht="15.75">
      <c r="E7" s="3932">
        <v>2021</v>
      </c>
      <c r="F7" s="3932" t="s">
        <v>4112</v>
      </c>
      <c r="G7" s="3932">
        <f>E7</f>
        <v>2021</v>
      </c>
      <c r="H7" s="3932">
        <f>G7-1</f>
        <v>2020</v>
      </c>
      <c r="I7" s="3932">
        <f t="shared" ref="I7:K7" si="0">H7-1</f>
        <v>2019</v>
      </c>
      <c r="J7" s="3932">
        <f t="shared" si="0"/>
        <v>2018</v>
      </c>
      <c r="K7" s="3932">
        <f t="shared" si="0"/>
        <v>2017</v>
      </c>
    </row>
    <row r="8" spans="1:12">
      <c r="A8" s="3933" t="s">
        <v>4113</v>
      </c>
      <c r="B8" s="3934"/>
      <c r="C8" s="3935"/>
      <c r="D8" s="3935"/>
      <c r="E8" s="3934"/>
      <c r="F8" s="3934"/>
      <c r="G8" s="3934"/>
      <c r="H8" s="3934"/>
      <c r="I8" s="3934"/>
      <c r="J8" s="3934"/>
      <c r="K8" s="3934"/>
    </row>
    <row r="9" spans="1:12">
      <c r="A9" s="3936" t="s">
        <v>4114</v>
      </c>
      <c r="B9" s="3936"/>
      <c r="C9" s="3936"/>
      <c r="D9" s="3936"/>
      <c r="E9" s="3937"/>
      <c r="F9" s="3937"/>
      <c r="G9" s="3937"/>
      <c r="H9" s="3937"/>
      <c r="I9" s="3937"/>
      <c r="J9" s="3937"/>
      <c r="K9" s="3937"/>
    </row>
    <row r="11" spans="1:12">
      <c r="B11" s="1863" t="s">
        <v>4115</v>
      </c>
      <c r="E11" s="3938">
        <f>+SNP!M127</f>
        <v>0</v>
      </c>
      <c r="F11" s="3939"/>
      <c r="G11" s="3938">
        <f>SUM(E11:F11)</f>
        <v>0</v>
      </c>
      <c r="H11" s="3939"/>
      <c r="I11" s="3939"/>
      <c r="J11" s="3939"/>
      <c r="K11" s="3939"/>
      <c r="L11" s="3940"/>
    </row>
    <row r="12" spans="1:12">
      <c r="E12" s="3939"/>
      <c r="F12" s="3939"/>
      <c r="G12" s="3938"/>
      <c r="H12" s="3939"/>
      <c r="I12" s="3939"/>
      <c r="J12" s="3939"/>
      <c r="K12" s="3939"/>
      <c r="L12" s="3940"/>
    </row>
    <row r="13" spans="1:12">
      <c r="C13" s="1863" t="s">
        <v>4116</v>
      </c>
      <c r="E13" s="3938">
        <f>-SNP!K74-SNP!K96</f>
        <v>0</v>
      </c>
      <c r="F13" s="3939"/>
      <c r="G13" s="3938">
        <f>SUM(E13:F13)</f>
        <v>0</v>
      </c>
      <c r="H13" s="3939"/>
      <c r="I13" s="3939"/>
      <c r="J13" s="3939"/>
      <c r="K13" s="3939"/>
      <c r="L13" s="3940"/>
    </row>
    <row r="14" spans="1:12">
      <c r="C14" s="1863" t="s">
        <v>4117</v>
      </c>
      <c r="E14" s="3938">
        <f>-SNP!K72-SNP!K73-SNP!K94-SNP!K95</f>
        <v>0</v>
      </c>
      <c r="F14" s="3939"/>
      <c r="G14" s="3938">
        <f>SUM(E14:F14)</f>
        <v>0</v>
      </c>
      <c r="H14" s="3939"/>
      <c r="I14" s="3939"/>
      <c r="J14" s="3939"/>
      <c r="K14" s="3939"/>
      <c r="L14" s="3940"/>
    </row>
    <row r="15" spans="1:12">
      <c r="C15" s="1863" t="s">
        <v>2582</v>
      </c>
      <c r="E15" s="3938">
        <f>-SNP!M112</f>
        <v>0</v>
      </c>
      <c r="F15" s="3939"/>
      <c r="G15" s="3938">
        <f>SUM(E15:F15)</f>
        <v>0</v>
      </c>
      <c r="H15" s="3939"/>
      <c r="I15" s="3939"/>
      <c r="J15" s="3939"/>
      <c r="K15" s="3939"/>
      <c r="L15" s="3940"/>
    </row>
    <row r="16" spans="1:12">
      <c r="C16" s="1863" t="s">
        <v>2545</v>
      </c>
      <c r="E16" s="3938">
        <f>+SNP!M50</f>
        <v>0</v>
      </c>
      <c r="F16" s="3939"/>
      <c r="G16" s="3938">
        <f>SUM(E16:F16)</f>
        <v>0</v>
      </c>
      <c r="H16" s="3939"/>
      <c r="I16" s="3939"/>
      <c r="J16" s="3939"/>
      <c r="K16" s="3939"/>
      <c r="L16" s="3940"/>
    </row>
    <row r="17" spans="1:12">
      <c r="E17" s="3941"/>
      <c r="F17" s="3941"/>
      <c r="G17" s="4095">
        <f>SUM(G13:G16)</f>
        <v>0</v>
      </c>
      <c r="H17" s="4095">
        <f>SUM(H13:H16)</f>
        <v>0</v>
      </c>
      <c r="I17" s="4095">
        <f>SUM(I13:I16)</f>
        <v>0</v>
      </c>
      <c r="J17" s="4095">
        <f>SUM(J13:J16)</f>
        <v>0</v>
      </c>
      <c r="K17" s="4095">
        <f>SUM(K13:K16)</f>
        <v>0</v>
      </c>
      <c r="L17" s="3940"/>
    </row>
    <row r="18" spans="1:12">
      <c r="E18" s="3941"/>
      <c r="F18" s="3941"/>
      <c r="G18" s="4095">
        <f>+G11-G17</f>
        <v>0</v>
      </c>
      <c r="H18" s="4095">
        <f>+H11-H17</f>
        <v>0</v>
      </c>
      <c r="I18" s="4095">
        <f>+I11-I17</f>
        <v>0</v>
      </c>
      <c r="J18" s="4095">
        <f>+J11-J17</f>
        <v>0</v>
      </c>
      <c r="K18" s="4095">
        <f>+K11-K17</f>
        <v>0</v>
      </c>
      <c r="L18" s="3940"/>
    </row>
    <row r="19" spans="1:12">
      <c r="E19" s="3939"/>
      <c r="F19" s="3939"/>
      <c r="G19" s="3939"/>
      <c r="H19" s="3939"/>
      <c r="I19" s="3939"/>
      <c r="J19" s="3939"/>
      <c r="K19" s="3939"/>
      <c r="L19" s="3940"/>
    </row>
    <row r="20" spans="1:12">
      <c r="B20" s="1863" t="s">
        <v>4118</v>
      </c>
    </row>
    <row r="21" spans="1:12">
      <c r="C21" s="1863" t="s">
        <v>4119</v>
      </c>
      <c r="E21" s="3939"/>
      <c r="F21" s="3939"/>
      <c r="G21" s="3938">
        <f>+G18</f>
        <v>0</v>
      </c>
      <c r="H21" s="3938">
        <f>+H18</f>
        <v>0</v>
      </c>
      <c r="I21" s="3938">
        <f>+I18</f>
        <v>0</v>
      </c>
      <c r="J21" s="3938">
        <f>+J18</f>
        <v>0</v>
      </c>
      <c r="K21" s="3938">
        <f>+K18</f>
        <v>0</v>
      </c>
    </row>
    <row r="22" spans="1:12">
      <c r="C22" s="1863" t="s">
        <v>4120</v>
      </c>
      <c r="E22" s="3938">
        <f>SUM(SNP!M121:M126)</f>
        <v>0</v>
      </c>
      <c r="F22" s="3939"/>
      <c r="G22" s="3938">
        <f>SUM(E22:F22)</f>
        <v>0</v>
      </c>
      <c r="H22" s="3939"/>
      <c r="I22" s="3939"/>
      <c r="J22" s="3939"/>
      <c r="K22" s="3939"/>
    </row>
    <row r="23" spans="1:12" ht="6" customHeight="1">
      <c r="E23" s="3939"/>
      <c r="F23" s="3939"/>
      <c r="G23" s="3939"/>
      <c r="H23" s="3939"/>
      <c r="I23" s="3939"/>
      <c r="J23" s="3939"/>
      <c r="K23" s="3939"/>
    </row>
    <row r="24" spans="1:12">
      <c r="B24" s="1863" t="s">
        <v>3875</v>
      </c>
      <c r="E24" s="3939"/>
      <c r="F24" s="3939"/>
      <c r="G24" s="3939"/>
      <c r="H24" s="3939"/>
      <c r="I24" s="3939"/>
      <c r="J24" s="3939"/>
      <c r="K24" s="3939"/>
    </row>
    <row r="25" spans="1:12">
      <c r="C25" s="1863" t="s">
        <v>4121</v>
      </c>
      <c r="E25" s="3938">
        <f>+SNP!O127</f>
        <v>0</v>
      </c>
      <c r="F25" s="3939"/>
      <c r="G25" s="3938">
        <f>SUM(E25:F25)</f>
        <v>0</v>
      </c>
      <c r="H25" s="3939"/>
      <c r="I25" s="3939"/>
      <c r="J25" s="3939"/>
      <c r="K25" s="3939"/>
    </row>
    <row r="26" spans="1:12">
      <c r="C26" s="1863" t="s">
        <v>4120</v>
      </c>
      <c r="E26" s="3938">
        <f>SUM(SNP!O121:O126)</f>
        <v>0</v>
      </c>
      <c r="F26" s="3939"/>
      <c r="G26" s="3938">
        <f>SUM(E26:F26)</f>
        <v>0</v>
      </c>
      <c r="H26" s="3939"/>
      <c r="I26" s="3939"/>
      <c r="J26" s="3939"/>
      <c r="K26" s="3939"/>
    </row>
    <row r="27" spans="1:12" ht="15.75" thickBot="1">
      <c r="D27" s="3942" t="s">
        <v>4114</v>
      </c>
      <c r="E27" s="3943"/>
      <c r="F27" s="3943"/>
      <c r="G27" s="3944">
        <f>SUM(G21:G26)</f>
        <v>0</v>
      </c>
      <c r="H27" s="3944">
        <f>SUM(H21:H26)</f>
        <v>0</v>
      </c>
      <c r="I27" s="3944">
        <f>SUM(I21:I26)</f>
        <v>0</v>
      </c>
      <c r="J27" s="3944">
        <f>SUM(J21:J26)</f>
        <v>0</v>
      </c>
      <c r="K27" s="3944">
        <f>SUM(K21:K26)</f>
        <v>0</v>
      </c>
    </row>
    <row r="28" spans="1:12" ht="15.75" thickTop="1">
      <c r="E28" s="3939"/>
      <c r="F28" s="3939"/>
      <c r="G28" s="3939"/>
      <c r="H28" s="3939"/>
      <c r="I28" s="3939"/>
      <c r="J28" s="3939"/>
      <c r="K28" s="3939"/>
    </row>
    <row r="29" spans="1:12">
      <c r="A29" s="3936" t="s">
        <v>4122</v>
      </c>
      <c r="B29" s="3936"/>
      <c r="C29" s="3936"/>
      <c r="D29" s="3936"/>
      <c r="E29" s="3945"/>
      <c r="F29" s="3945"/>
      <c r="G29" s="3945"/>
      <c r="H29" s="3945"/>
      <c r="I29" s="3945"/>
      <c r="J29" s="3945"/>
      <c r="K29" s="3945"/>
    </row>
    <row r="30" spans="1:12">
      <c r="B30" s="1863" t="s">
        <v>4118</v>
      </c>
      <c r="E30" s="3939"/>
      <c r="F30" s="3939"/>
      <c r="G30" s="3939"/>
      <c r="H30" s="3939"/>
      <c r="I30" s="3939"/>
      <c r="J30" s="3939"/>
      <c r="K30" s="3939"/>
    </row>
    <row r="31" spans="1:12">
      <c r="C31" s="1863" t="s">
        <v>4123</v>
      </c>
      <c r="E31" s="3938">
        <f>+SRECNP!L32</f>
        <v>0</v>
      </c>
      <c r="F31" s="3939"/>
      <c r="G31" s="3938">
        <f>SUM(E31:F31)</f>
        <v>0</v>
      </c>
      <c r="H31" s="3939"/>
      <c r="I31" s="3939"/>
      <c r="J31" s="3939"/>
      <c r="K31" s="3939"/>
    </row>
    <row r="32" spans="1:12">
      <c r="C32" s="1863" t="s">
        <v>4124</v>
      </c>
      <c r="E32" s="3938">
        <f>-SRECNP!L44-SRECNP!L45</f>
        <v>0</v>
      </c>
      <c r="F32" s="3939"/>
      <c r="G32" s="3938">
        <f>SUM(E32:F32)</f>
        <v>0</v>
      </c>
      <c r="H32" s="3939"/>
      <c r="I32" s="3939"/>
      <c r="J32" s="3939"/>
      <c r="K32" s="3939"/>
    </row>
    <row r="33" spans="1:19" ht="5.25" customHeight="1">
      <c r="E33" s="3939"/>
      <c r="F33" s="3939"/>
      <c r="G33" s="3939"/>
      <c r="H33" s="3939"/>
      <c r="I33" s="3939"/>
      <c r="J33" s="3939"/>
      <c r="K33" s="3939"/>
    </row>
    <row r="34" spans="1:19">
      <c r="B34" s="1863" t="s">
        <v>3875</v>
      </c>
      <c r="E34" s="3939"/>
      <c r="F34" s="3939"/>
      <c r="G34" s="3939"/>
      <c r="H34" s="3939"/>
      <c r="I34" s="3939"/>
      <c r="J34" s="3939"/>
      <c r="K34" s="3939"/>
    </row>
    <row r="35" spans="1:19">
      <c r="C35" s="1863" t="s">
        <v>4123</v>
      </c>
      <c r="E35" s="3938">
        <f>+SRECNP!N32</f>
        <v>0</v>
      </c>
      <c r="F35" s="3939"/>
      <c r="G35" s="3938">
        <f>SUM(E35:F35)</f>
        <v>0</v>
      </c>
      <c r="H35" s="3939"/>
      <c r="I35" s="3939"/>
      <c r="J35" s="3939"/>
      <c r="K35" s="3939"/>
    </row>
    <row r="36" spans="1:19">
      <c r="C36" s="1863" t="s">
        <v>4124</v>
      </c>
      <c r="E36" s="3938">
        <f>+SRECNP!N44+SRECNP!N45</f>
        <v>0</v>
      </c>
      <c r="F36" s="3939"/>
      <c r="G36" s="3938">
        <f>SUM(E36:F36)</f>
        <v>0</v>
      </c>
      <c r="H36" s="3939"/>
      <c r="I36" s="3939"/>
      <c r="J36" s="3939"/>
      <c r="K36" s="3939"/>
    </row>
    <row r="37" spans="1:19" ht="15.75" thickBot="1">
      <c r="D37" s="3942" t="s">
        <v>4122</v>
      </c>
      <c r="E37" s="3943"/>
      <c r="F37" s="3943"/>
      <c r="G37" s="3944">
        <f>SUM(G31:G36)</f>
        <v>0</v>
      </c>
      <c r="H37" s="3944">
        <f>SUM(H31:H36)</f>
        <v>0</v>
      </c>
      <c r="I37" s="3944">
        <f>SUM(I31:I36)</f>
        <v>0</v>
      </c>
      <c r="J37" s="3944">
        <f>SUM(J31:J36)</f>
        <v>0</v>
      </c>
      <c r="K37" s="3944">
        <f>SUM(K31:K36)</f>
        <v>0</v>
      </c>
    </row>
    <row r="38" spans="1:19" ht="15.75" thickTop="1"/>
    <row r="39" spans="1:19" ht="20.25" customHeight="1">
      <c r="D39" s="3946" t="s">
        <v>4125</v>
      </c>
      <c r="E39" s="3947"/>
      <c r="F39" s="3947"/>
      <c r="G39" s="3947" t="e">
        <f>+G27/G37</f>
        <v>#DIV/0!</v>
      </c>
      <c r="H39" s="3947" t="e">
        <f>+H27/H37</f>
        <v>#DIV/0!</v>
      </c>
      <c r="I39" s="3947" t="e">
        <f>+I27/I37</f>
        <v>#DIV/0!</v>
      </c>
      <c r="J39" s="3947" t="e">
        <f>+J27/J37</f>
        <v>#DIV/0!</v>
      </c>
      <c r="K39" s="3947" t="e">
        <f>+K27/K37</f>
        <v>#DIV/0!</v>
      </c>
    </row>
    <row r="41" spans="1:19">
      <c r="A41" s="3934" t="s">
        <v>4126</v>
      </c>
      <c r="B41" s="3934"/>
      <c r="C41" s="3934"/>
      <c r="D41" s="3934"/>
      <c r="E41" s="3934"/>
      <c r="F41" s="3934"/>
      <c r="G41" s="3934"/>
      <c r="H41" s="3934"/>
      <c r="I41" s="3934"/>
      <c r="J41" s="3934"/>
      <c r="K41" s="3934"/>
    </row>
    <row r="42" spans="1:19">
      <c r="A42" s="3937" t="s">
        <v>4127</v>
      </c>
      <c r="B42" s="3937"/>
      <c r="C42" s="3937"/>
      <c r="D42" s="3937"/>
      <c r="E42" s="3937"/>
      <c r="F42" s="3937"/>
      <c r="G42" s="3937"/>
      <c r="H42" s="3937"/>
      <c r="I42" s="3937"/>
      <c r="J42" s="3937"/>
      <c r="K42" s="3937"/>
    </row>
    <row r="43" spans="1:19">
      <c r="B43" s="1863" t="s">
        <v>4118</v>
      </c>
    </row>
    <row r="44" spans="1:19">
      <c r="C44" s="1863" t="s">
        <v>4128</v>
      </c>
      <c r="E44" s="3948">
        <f>+SRECNP!L34</f>
        <v>0</v>
      </c>
      <c r="F44" s="3949"/>
      <c r="G44" s="3938">
        <f>SUM(E44:F44)</f>
        <v>0</v>
      </c>
      <c r="H44" s="3949"/>
      <c r="I44" s="3949"/>
      <c r="J44" s="3949"/>
      <c r="K44" s="3949"/>
    </row>
    <row r="45" spans="1:19">
      <c r="C45" s="1863" t="s">
        <v>4129</v>
      </c>
      <c r="E45" s="3948">
        <f>+SRECNP!L47</f>
        <v>0</v>
      </c>
      <c r="F45" s="3949"/>
      <c r="G45" s="3938">
        <f>SUM(E45:F45)</f>
        <v>0</v>
      </c>
      <c r="H45" s="3949"/>
      <c r="I45" s="3949"/>
      <c r="J45" s="3949"/>
      <c r="K45" s="3949"/>
      <c r="L45" s="2948" t="s">
        <v>4130</v>
      </c>
    </row>
    <row r="46" spans="1:19">
      <c r="B46" s="1863" t="s">
        <v>3875</v>
      </c>
      <c r="E46" s="3949"/>
      <c r="F46" s="3949"/>
      <c r="G46" s="3949"/>
      <c r="H46" s="3949"/>
      <c r="I46" s="3949"/>
      <c r="J46" s="3949"/>
      <c r="K46" s="3949"/>
      <c r="S46" s="3949"/>
    </row>
    <row r="47" spans="1:19">
      <c r="C47" s="1863" t="s">
        <v>4131</v>
      </c>
      <c r="E47" s="3950"/>
      <c r="F47" s="3950"/>
      <c r="G47" s="3951">
        <f>+H48</f>
        <v>0</v>
      </c>
      <c r="H47" s="3951">
        <f>+I48</f>
        <v>0</v>
      </c>
      <c r="I47" s="3951">
        <f>+J48</f>
        <v>0</v>
      </c>
      <c r="J47" s="3951">
        <f>+K48</f>
        <v>0</v>
      </c>
      <c r="K47" s="3949"/>
      <c r="S47" s="3949"/>
    </row>
    <row r="48" spans="1:19">
      <c r="C48" s="1863" t="s">
        <v>4132</v>
      </c>
      <c r="E48" s="3949"/>
      <c r="F48" s="3949"/>
      <c r="G48" s="3951">
        <f>+G25</f>
        <v>0</v>
      </c>
      <c r="H48" s="3951">
        <f>+H25</f>
        <v>0</v>
      </c>
      <c r="I48" s="3951">
        <f>+I25</f>
        <v>0</v>
      </c>
      <c r="J48" s="3951">
        <f>+J25</f>
        <v>0</v>
      </c>
      <c r="K48" s="3951">
        <f>+K25</f>
        <v>0</v>
      </c>
      <c r="S48" s="3949"/>
    </row>
    <row r="49" spans="1:19" ht="15.75" thickBot="1">
      <c r="C49" s="3937"/>
      <c r="D49" s="3952" t="s">
        <v>4127</v>
      </c>
      <c r="E49" s="3953"/>
      <c r="F49" s="3953"/>
      <c r="G49" s="3954">
        <f>SUBTOTAL(9,G44:G45)-G47+G48</f>
        <v>0</v>
      </c>
      <c r="H49" s="3954">
        <f>SUBTOTAL(9,H44:H45)-H47+H48</f>
        <v>0</v>
      </c>
      <c r="I49" s="3954">
        <f>SUBTOTAL(9,I44:I45)-I47+I48</f>
        <v>0</v>
      </c>
      <c r="J49" s="3954">
        <f>SUBTOTAL(9,J44:J45)-J47+J48</f>
        <v>0</v>
      </c>
      <c r="K49" s="3954">
        <f>SUBTOTAL(9,K44:K45)-K47+K48</f>
        <v>0</v>
      </c>
      <c r="S49" s="3949"/>
    </row>
    <row r="50" spans="1:19" ht="15.75" thickTop="1">
      <c r="E50" s="3949"/>
      <c r="F50" s="3949"/>
      <c r="G50" s="3949"/>
      <c r="H50" s="3949"/>
      <c r="I50" s="3949"/>
      <c r="J50" s="3949"/>
      <c r="K50" s="3949"/>
    </row>
    <row r="51" spans="1:19">
      <c r="A51" s="3937" t="s">
        <v>4133</v>
      </c>
      <c r="B51" s="3937"/>
      <c r="C51" s="3937"/>
      <c r="D51" s="3937"/>
      <c r="E51" s="3955"/>
      <c r="F51" s="3955"/>
      <c r="G51" s="3955"/>
      <c r="H51" s="3955"/>
      <c r="I51" s="3955"/>
      <c r="J51" s="3955"/>
      <c r="K51" s="3955"/>
    </row>
    <row r="52" spans="1:19">
      <c r="B52" s="1863" t="s">
        <v>4118</v>
      </c>
      <c r="E52" s="3949"/>
      <c r="F52" s="3949"/>
      <c r="G52" s="3949"/>
      <c r="H52" s="3949"/>
      <c r="I52" s="3949"/>
      <c r="J52" s="3949"/>
      <c r="K52" s="3949"/>
    </row>
    <row r="53" spans="1:19">
      <c r="C53" s="1863" t="s">
        <v>3719</v>
      </c>
      <c r="E53" s="3948">
        <f>+SRECNP!L20</f>
        <v>0</v>
      </c>
      <c r="F53" s="3949"/>
      <c r="G53" s="3938">
        <f>SUM(E53:F53)</f>
        <v>0</v>
      </c>
      <c r="H53" s="3949"/>
      <c r="I53" s="3949"/>
      <c r="J53" s="3949"/>
      <c r="K53" s="3949"/>
    </row>
    <row r="54" spans="1:19">
      <c r="C54" s="1863" t="s">
        <v>4134</v>
      </c>
      <c r="E54" s="3948">
        <f>SUM(SRECNP!L37:L43)</f>
        <v>0</v>
      </c>
      <c r="F54" s="3949"/>
      <c r="G54" s="3938">
        <f>SUM(E54:F54)</f>
        <v>0</v>
      </c>
      <c r="H54" s="3949"/>
      <c r="I54" s="3949"/>
      <c r="J54" s="3949"/>
      <c r="K54" s="3949"/>
    </row>
    <row r="55" spans="1:19">
      <c r="C55" s="1863" t="s">
        <v>3867</v>
      </c>
      <c r="E55" s="3948">
        <f>+SRECNP!L57</f>
        <v>0</v>
      </c>
      <c r="F55" s="3950"/>
      <c r="G55" s="3938">
        <f>SUM(E55:F55)</f>
        <v>0</v>
      </c>
      <c r="H55" s="3950"/>
      <c r="I55" s="3950"/>
      <c r="J55" s="3950"/>
      <c r="K55" s="3950"/>
    </row>
    <row r="56" spans="1:19">
      <c r="B56" s="1863" t="s">
        <v>3875</v>
      </c>
      <c r="E56" s="3949"/>
      <c r="F56" s="3949"/>
      <c r="G56" s="3949"/>
      <c r="H56" s="3949"/>
      <c r="I56" s="3949"/>
      <c r="J56" s="3949"/>
      <c r="K56" s="3949"/>
    </row>
    <row r="57" spans="1:19">
      <c r="C57" s="1863" t="s">
        <v>3719</v>
      </c>
      <c r="E57" s="3948">
        <f>+SRECNP!N20</f>
        <v>0</v>
      </c>
      <c r="F57" s="3949"/>
      <c r="G57" s="3938">
        <f>SUM(E57:F57)</f>
        <v>0</v>
      </c>
      <c r="H57" s="3949"/>
      <c r="I57" s="3949"/>
      <c r="J57" s="3949"/>
      <c r="K57" s="3949"/>
    </row>
    <row r="58" spans="1:19">
      <c r="C58" s="1863" t="s">
        <v>4134</v>
      </c>
      <c r="E58" s="3948">
        <f>+SRECNP!N47</f>
        <v>0</v>
      </c>
      <c r="F58" s="3949"/>
      <c r="G58" s="3938">
        <f>SUM(E58:F58)</f>
        <v>0</v>
      </c>
      <c r="H58" s="3949"/>
      <c r="I58" s="3949"/>
      <c r="J58" s="3949"/>
      <c r="K58" s="3949"/>
    </row>
    <row r="59" spans="1:19">
      <c r="C59" s="1863" t="s">
        <v>3867</v>
      </c>
      <c r="E59" s="3948">
        <f>+SRECNP!N57</f>
        <v>0</v>
      </c>
      <c r="F59" s="3949"/>
      <c r="G59" s="3938">
        <f>SUM(E59:F59)</f>
        <v>0</v>
      </c>
      <c r="H59" s="3949"/>
      <c r="I59" s="3949"/>
      <c r="J59" s="3949"/>
      <c r="K59" s="3949"/>
    </row>
    <row r="60" spans="1:19" ht="15.75" thickBot="1">
      <c r="C60" s="3952"/>
      <c r="D60" s="3952" t="s">
        <v>4133</v>
      </c>
      <c r="E60" s="3953"/>
      <c r="F60" s="3953"/>
      <c r="G60" s="3954">
        <f>SUM(G53:G59)</f>
        <v>0</v>
      </c>
      <c r="H60" s="3954">
        <f>SUM(H53:H59)</f>
        <v>0</v>
      </c>
      <c r="I60" s="3954">
        <f>SUM(I53:I59)</f>
        <v>0</v>
      </c>
      <c r="J60" s="3954">
        <f>SUM(J53:J59)</f>
        <v>0</v>
      </c>
      <c r="K60" s="3954">
        <f>SUM(K53:K59)</f>
        <v>0</v>
      </c>
    </row>
    <row r="61" spans="1:19" ht="15.75" thickTop="1">
      <c r="D61" s="3094"/>
    </row>
    <row r="62" spans="1:19" ht="15.75">
      <c r="D62" s="3946" t="s">
        <v>4135</v>
      </c>
      <c r="E62" s="3947"/>
      <c r="F62" s="3947"/>
      <c r="G62" s="3947" t="e">
        <f>+G49/G60</f>
        <v>#DIV/0!</v>
      </c>
      <c r="H62" s="3947" t="e">
        <f>+H49/H60</f>
        <v>#DIV/0!</v>
      </c>
      <c r="I62" s="3947" t="e">
        <f>+I49/I60</f>
        <v>#DIV/0!</v>
      </c>
      <c r="J62" s="3947" t="e">
        <f>+J49/J60</f>
        <v>#DIV/0!</v>
      </c>
      <c r="K62" s="3947" t="e">
        <f>+K49/K60</f>
        <v>#DIV/0!</v>
      </c>
    </row>
    <row r="64" spans="1:19" ht="15.75">
      <c r="E64" s="3932">
        <f>+E7</f>
        <v>2021</v>
      </c>
      <c r="F64" s="3932" t="str">
        <f t="shared" ref="F64:K64" si="1">+F7</f>
        <v>Adjust</v>
      </c>
      <c r="G64" s="3932">
        <f t="shared" si="1"/>
        <v>2021</v>
      </c>
      <c r="H64" s="3932">
        <f t="shared" si="1"/>
        <v>2020</v>
      </c>
      <c r="I64" s="3932">
        <f t="shared" si="1"/>
        <v>2019</v>
      </c>
      <c r="J64" s="3932">
        <f t="shared" si="1"/>
        <v>2018</v>
      </c>
      <c r="K64" s="3932">
        <f t="shared" si="1"/>
        <v>2017</v>
      </c>
    </row>
    <row r="65" spans="1:13">
      <c r="A65" s="3934" t="s">
        <v>4136</v>
      </c>
      <c r="B65" s="3934"/>
      <c r="C65" s="3934"/>
      <c r="D65" s="3934"/>
      <c r="E65" s="3934"/>
      <c r="F65" s="3934"/>
      <c r="G65" s="3934"/>
      <c r="H65" s="3934"/>
      <c r="I65" s="3934"/>
      <c r="J65" s="3934"/>
      <c r="K65" s="3934"/>
    </row>
    <row r="66" spans="1:13">
      <c r="A66" s="3956" t="s">
        <v>4137</v>
      </c>
      <c r="B66" s="3956"/>
      <c r="C66" s="3956"/>
      <c r="D66" s="3937"/>
      <c r="E66" s="3937"/>
      <c r="F66" s="3937"/>
      <c r="G66" s="3937"/>
      <c r="H66" s="3937"/>
      <c r="I66" s="3937"/>
      <c r="J66" s="3937"/>
      <c r="K66" s="3937"/>
    </row>
    <row r="67" spans="1:13">
      <c r="B67" s="1863" t="s">
        <v>4118</v>
      </c>
      <c r="E67" s="3957">
        <f>+SRECNP!L59</f>
        <v>0</v>
      </c>
      <c r="F67" s="1935"/>
      <c r="G67" s="3938">
        <f>SUM(E67:F67)</f>
        <v>0</v>
      </c>
      <c r="H67" s="1935"/>
      <c r="I67" s="1935"/>
      <c r="J67" s="1935"/>
      <c r="K67" s="1935"/>
    </row>
    <row r="68" spans="1:13">
      <c r="B68" s="1863" t="s">
        <v>3875</v>
      </c>
      <c r="E68" s="3957">
        <f>+SRECNP!N59</f>
        <v>0</v>
      </c>
      <c r="F68" s="1935"/>
      <c r="G68" s="3938">
        <f>SUM(E68:F68)</f>
        <v>0</v>
      </c>
      <c r="H68" s="1935"/>
      <c r="I68" s="1935"/>
      <c r="J68" s="1935"/>
      <c r="K68" s="1935"/>
    </row>
    <row r="69" spans="1:13" ht="15.75" thickBot="1">
      <c r="D69" s="3958" t="s">
        <v>4137</v>
      </c>
      <c r="E69" s="3959"/>
      <c r="F69" s="3959"/>
      <c r="G69" s="3960">
        <f>SUM(G67:G68)</f>
        <v>0</v>
      </c>
      <c r="H69" s="3960">
        <f>SUM(H67:H68)</f>
        <v>0</v>
      </c>
      <c r="I69" s="3960">
        <f>SUM(I67:I68)</f>
        <v>0</v>
      </c>
      <c r="J69" s="3960">
        <f>SUM(J67:J68)</f>
        <v>0</v>
      </c>
      <c r="K69" s="3960">
        <f>SUM(K67:K68)</f>
        <v>0</v>
      </c>
    </row>
    <row r="70" spans="1:13" ht="15.75" thickTop="1"/>
    <row r="71" spans="1:13">
      <c r="A71" s="3961" t="s">
        <v>4138</v>
      </c>
      <c r="B71" s="3937"/>
      <c r="C71" s="3937"/>
      <c r="D71" s="3937"/>
      <c r="E71" s="3937"/>
      <c r="F71" s="3937"/>
      <c r="G71" s="3937"/>
      <c r="H71" s="3937"/>
      <c r="I71" s="3937"/>
      <c r="J71" s="3937"/>
      <c r="K71" s="3937"/>
    </row>
    <row r="72" spans="1:13">
      <c r="B72" s="1863" t="s">
        <v>4118</v>
      </c>
      <c r="E72" s="3957" t="e">
        <f>+SRECNP!L64</f>
        <v>#N/A</v>
      </c>
      <c r="F72" s="3949"/>
      <c r="G72" s="3938" t="e">
        <f>SUM(E72:F72)</f>
        <v>#N/A</v>
      </c>
      <c r="H72" s="1935"/>
      <c r="I72" s="1935"/>
      <c r="J72" s="1935"/>
      <c r="K72" s="1935"/>
      <c r="M72" s="1863"/>
    </row>
    <row r="73" spans="1:13">
      <c r="B73" s="1863" t="s">
        <v>3875</v>
      </c>
      <c r="E73" s="3957" t="e">
        <f>+SRECNP!N64</f>
        <v>#N/A</v>
      </c>
      <c r="F73" s="3949"/>
      <c r="G73" s="3938" t="e">
        <f>SUM(E73:F73)</f>
        <v>#N/A</v>
      </c>
      <c r="H73" s="1935"/>
      <c r="I73" s="1935"/>
      <c r="J73" s="1935"/>
      <c r="K73" s="1935"/>
    </row>
    <row r="74" spans="1:13" ht="15.75" thickBot="1">
      <c r="D74" s="3952" t="s">
        <v>351</v>
      </c>
      <c r="E74" s="3959"/>
      <c r="F74" s="3959"/>
      <c r="G74" s="3960" t="e">
        <f>SUM(G72:G73)</f>
        <v>#N/A</v>
      </c>
      <c r="H74" s="3960">
        <f>SUM(H72:H73)</f>
        <v>0</v>
      </c>
      <c r="I74" s="3960">
        <f>SUM(I72:I73)</f>
        <v>0</v>
      </c>
      <c r="J74" s="3960">
        <f>SUM(J72:J73)</f>
        <v>0</v>
      </c>
      <c r="K74" s="3960">
        <f>SUM(K72:K73)</f>
        <v>0</v>
      </c>
    </row>
    <row r="75" spans="1:13" ht="15.75" thickTop="1"/>
    <row r="76" spans="1:13">
      <c r="A76" s="3962"/>
      <c r="B76" s="3962"/>
      <c r="C76" s="3963" t="s">
        <v>4139</v>
      </c>
      <c r="D76" s="3963"/>
      <c r="E76" s="3964"/>
      <c r="F76" s="3964"/>
      <c r="G76" s="3964" t="e">
        <f>+G69/G74</f>
        <v>#N/A</v>
      </c>
      <c r="H76" s="3964" t="e">
        <f>+H69/H74</f>
        <v>#DIV/0!</v>
      </c>
      <c r="I76" s="3964" t="e">
        <f>+I69/I74</f>
        <v>#DIV/0!</v>
      </c>
      <c r="J76" s="3964" t="e">
        <f>+J69/J74</f>
        <v>#DIV/0!</v>
      </c>
      <c r="K76" s="3964" t="e">
        <f>+K69/K74</f>
        <v>#DIV/0!</v>
      </c>
    </row>
    <row r="78" spans="1:13">
      <c r="A78" s="3934" t="s">
        <v>4140</v>
      </c>
      <c r="B78" s="3934"/>
      <c r="C78" s="3934"/>
      <c r="D78" s="3934"/>
      <c r="E78" s="3934"/>
      <c r="F78" s="3934"/>
      <c r="G78" s="3934"/>
      <c r="H78" s="3934"/>
      <c r="I78" s="3934"/>
      <c r="J78" s="3934"/>
      <c r="K78" s="3934"/>
    </row>
    <row r="79" spans="1:13">
      <c r="A79" s="3937" t="s">
        <v>4114</v>
      </c>
      <c r="B79" s="3937"/>
      <c r="C79" s="3937"/>
      <c r="D79" s="3937"/>
      <c r="E79" s="3965"/>
      <c r="F79" s="3965"/>
      <c r="G79" s="3965">
        <f>+G27</f>
        <v>0</v>
      </c>
      <c r="H79" s="3965">
        <f>+H27</f>
        <v>0</v>
      </c>
      <c r="I79" s="3965">
        <f>+I27</f>
        <v>0</v>
      </c>
      <c r="J79" s="3965">
        <f>+J27</f>
        <v>0</v>
      </c>
      <c r="K79" s="3965">
        <f>+K27</f>
        <v>0</v>
      </c>
    </row>
    <row r="80" spans="1:13" s="1789" customFormat="1">
      <c r="E80" s="3966"/>
      <c r="F80" s="3966"/>
      <c r="G80" s="3966"/>
      <c r="H80" s="3966"/>
      <c r="I80" s="3966"/>
      <c r="J80" s="3966"/>
      <c r="K80" s="3966"/>
      <c r="L80" s="1954"/>
      <c r="M80" s="1954"/>
    </row>
    <row r="81" spans="1:36">
      <c r="A81" s="3937" t="s">
        <v>4141</v>
      </c>
      <c r="B81" s="3937"/>
      <c r="C81" s="3937"/>
      <c r="D81" s="3937"/>
      <c r="E81" s="3955"/>
      <c r="F81" s="3955"/>
      <c r="G81" s="3955"/>
      <c r="H81" s="3955"/>
      <c r="I81" s="3955"/>
      <c r="J81" s="3955"/>
      <c r="K81" s="3955"/>
    </row>
    <row r="82" spans="1:36">
      <c r="B82" s="1863" t="s">
        <v>4118</v>
      </c>
      <c r="E82" s="3938">
        <f>+SUM(SNP!M87:M91)</f>
        <v>0</v>
      </c>
      <c r="F82" s="3949"/>
      <c r="G82" s="3938">
        <f>SUM(E82:F82)</f>
        <v>0</v>
      </c>
      <c r="H82" s="3949"/>
      <c r="I82" s="3949"/>
      <c r="J82" s="3949"/>
      <c r="K82" s="3949"/>
    </row>
    <row r="83" spans="1:36">
      <c r="B83" s="1863" t="s">
        <v>3875</v>
      </c>
      <c r="E83" s="3938">
        <f>SUM(SNP!O87:O91)</f>
        <v>0</v>
      </c>
      <c r="F83" s="3949"/>
      <c r="G83" s="3938">
        <f>SUM(E83:F83)</f>
        <v>0</v>
      </c>
      <c r="H83" s="3949"/>
      <c r="I83" s="3949"/>
      <c r="J83" s="3949"/>
      <c r="K83" s="3949"/>
    </row>
    <row r="84" spans="1:36" ht="15.75" thickBot="1">
      <c r="D84" s="3937" t="s">
        <v>4142</v>
      </c>
      <c r="E84" s="3953"/>
      <c r="F84" s="3953"/>
      <c r="G84" s="3954">
        <f>SUM(G82:G83)</f>
        <v>0</v>
      </c>
      <c r="H84" s="3954">
        <f t="shared" ref="H84:K84" si="2">SUM(H82:H83)</f>
        <v>0</v>
      </c>
      <c r="I84" s="3954">
        <f t="shared" si="2"/>
        <v>0</v>
      </c>
      <c r="J84" s="3954">
        <f t="shared" si="2"/>
        <v>0</v>
      </c>
      <c r="K84" s="3954">
        <f t="shared" si="2"/>
        <v>0</v>
      </c>
    </row>
    <row r="85" spans="1:36" ht="15.75" thickTop="1"/>
    <row r="86" spans="1:36">
      <c r="C86" s="3963" t="s">
        <v>4143</v>
      </c>
      <c r="D86" s="3963"/>
      <c r="E86" s="3967"/>
      <c r="F86" s="3967"/>
      <c r="G86" s="3967" t="str">
        <f>+IF(G84&gt;0,+G79/G84,"N/A")</f>
        <v>N/A</v>
      </c>
      <c r="H86" s="3967" t="str">
        <f t="shared" ref="H86:K86" si="3">+IF(H84&gt;0,+H79/H84,"N/A")</f>
        <v>N/A</v>
      </c>
      <c r="I86" s="3967" t="str">
        <f t="shared" si="3"/>
        <v>N/A</v>
      </c>
      <c r="J86" s="3967" t="str">
        <f t="shared" si="3"/>
        <v>N/A</v>
      </c>
      <c r="K86" s="3967" t="str">
        <f t="shared" si="3"/>
        <v>N/A</v>
      </c>
    </row>
    <row r="88" spans="1:36" ht="15.75">
      <c r="A88" s="3968" t="s">
        <v>4144</v>
      </c>
      <c r="B88" s="3968"/>
      <c r="C88" s="3968"/>
      <c r="D88" s="3968"/>
      <c r="E88" s="3968"/>
      <c r="F88" s="3968"/>
      <c r="G88" s="3968"/>
      <c r="H88" s="3968"/>
      <c r="I88" s="3968"/>
      <c r="J88" s="3968"/>
      <c r="K88" s="3968"/>
      <c r="L88" s="3969" t="s">
        <v>4145</v>
      </c>
    </row>
    <row r="89" spans="1:36">
      <c r="A89" s="1954" t="s">
        <v>4125</v>
      </c>
      <c r="B89" s="1954"/>
      <c r="C89" s="1954"/>
      <c r="D89" s="1954"/>
      <c r="E89" s="3970"/>
      <c r="F89" s="3970"/>
      <c r="G89" s="3971" t="e">
        <f>+G39</f>
        <v>#DIV/0!</v>
      </c>
      <c r="H89" s="3971" t="e">
        <f>+H39</f>
        <v>#DIV/0!</v>
      </c>
      <c r="I89" s="3971" t="e">
        <f>+I39</f>
        <v>#DIV/0!</v>
      </c>
      <c r="J89" s="3971" t="e">
        <f>+J39</f>
        <v>#DIV/0!</v>
      </c>
      <c r="K89" s="3971" t="e">
        <f>+K39</f>
        <v>#DIV/0!</v>
      </c>
      <c r="L89" s="3972" t="e">
        <f>AVERAGE(G89:K89)</f>
        <v>#DIV/0!</v>
      </c>
    </row>
    <row r="90" spans="1:36">
      <c r="A90" s="1954" t="s">
        <v>4146</v>
      </c>
      <c r="B90" s="1954"/>
      <c r="C90" s="1954"/>
      <c r="D90" s="1954"/>
      <c r="E90" s="3970"/>
      <c r="F90" s="3970"/>
      <c r="G90" s="3971" t="e">
        <f>+G62</f>
        <v>#DIV/0!</v>
      </c>
      <c r="H90" s="3971" t="e">
        <f>+H62</f>
        <v>#DIV/0!</v>
      </c>
      <c r="I90" s="3971" t="e">
        <f>+I62</f>
        <v>#DIV/0!</v>
      </c>
      <c r="J90" s="3971" t="e">
        <f>+J62</f>
        <v>#DIV/0!</v>
      </c>
      <c r="K90" s="3971" t="e">
        <f>+K62</f>
        <v>#DIV/0!</v>
      </c>
      <c r="L90" s="3972" t="e">
        <f>AVERAGE(G90:K90)</f>
        <v>#DIV/0!</v>
      </c>
      <c r="P90" s="1788"/>
      <c r="Q90" s="1788"/>
      <c r="R90" s="1788"/>
      <c r="S90" s="1788"/>
    </row>
    <row r="91" spans="1:36">
      <c r="A91" s="1954" t="s">
        <v>4147</v>
      </c>
      <c r="B91" s="1954"/>
      <c r="C91" s="1954"/>
      <c r="D91" s="1954"/>
      <c r="E91" s="3970"/>
      <c r="F91" s="3970"/>
      <c r="G91" s="3971" t="e">
        <f>+G76</f>
        <v>#N/A</v>
      </c>
      <c r="H91" s="3971" t="e">
        <f>+H76</f>
        <v>#DIV/0!</v>
      </c>
      <c r="I91" s="3971" t="e">
        <f>+I76</f>
        <v>#DIV/0!</v>
      </c>
      <c r="J91" s="3971" t="e">
        <f>+J76</f>
        <v>#DIV/0!</v>
      </c>
      <c r="K91" s="3971" t="e">
        <f>+K76</f>
        <v>#DIV/0!</v>
      </c>
      <c r="L91" s="3972" t="e">
        <f>AVERAGE(G91:K91)</f>
        <v>#N/A</v>
      </c>
      <c r="P91" s="1788"/>
      <c r="Q91" s="1788"/>
      <c r="R91" s="1788"/>
      <c r="S91" s="1788"/>
    </row>
    <row r="92" spans="1:36">
      <c r="A92" s="1954" t="s">
        <v>4143</v>
      </c>
      <c r="B92" s="1954"/>
      <c r="C92" s="1954"/>
      <c r="D92" s="1954"/>
      <c r="E92" s="3973"/>
      <c r="F92" s="3973"/>
      <c r="G92" s="3974" t="str">
        <f>+G86</f>
        <v>N/A</v>
      </c>
      <c r="H92" s="3974" t="str">
        <f>+H86</f>
        <v>N/A</v>
      </c>
      <c r="I92" s="3974" t="str">
        <f>+I86</f>
        <v>N/A</v>
      </c>
      <c r="J92" s="3974" t="str">
        <f>+J86</f>
        <v>N/A</v>
      </c>
      <c r="K92" s="3974" t="str">
        <f>+K86</f>
        <v>N/A</v>
      </c>
      <c r="L92" s="3974" t="e">
        <f>AVERAGE(G92:K92)</f>
        <v>#DIV/0!</v>
      </c>
      <c r="P92" s="4340"/>
      <c r="Q92" s="4340"/>
      <c r="R92" s="4340"/>
      <c r="S92" s="4340"/>
    </row>
    <row r="93" spans="1:36">
      <c r="D93" s="3975"/>
      <c r="P93" s="1788"/>
      <c r="Q93" s="3976"/>
      <c r="R93" s="3976"/>
      <c r="S93" s="1788"/>
      <c r="U93" s="1789"/>
      <c r="V93" s="1789"/>
      <c r="W93" s="1789"/>
      <c r="X93" s="1789"/>
      <c r="Y93" s="1789"/>
      <c r="Z93" s="1789"/>
      <c r="AA93" s="1789"/>
      <c r="AB93" s="1789"/>
      <c r="AC93" s="1789"/>
      <c r="AD93" s="1789"/>
      <c r="AE93" s="1789"/>
      <c r="AF93" s="1789"/>
      <c r="AG93" s="1789"/>
      <c r="AH93" s="1789"/>
      <c r="AI93" s="1789"/>
      <c r="AJ93" s="1789"/>
    </row>
    <row r="94" spans="1:36">
      <c r="D94" s="3937" t="s">
        <v>4148</v>
      </c>
      <c r="E94" s="3977"/>
      <c r="F94" s="3977"/>
      <c r="G94" s="3977"/>
      <c r="H94" s="3977" t="s">
        <v>4149</v>
      </c>
      <c r="I94" s="3977"/>
      <c r="J94" s="3977"/>
      <c r="K94" s="3977"/>
      <c r="L94" s="3969" t="s">
        <v>4145</v>
      </c>
      <c r="P94" s="1788"/>
      <c r="Q94" s="1988"/>
      <c r="R94" s="3976"/>
      <c r="S94" s="1788"/>
      <c r="U94" s="1789"/>
      <c r="V94" s="1789"/>
      <c r="W94" s="1789"/>
      <c r="X94" s="1789"/>
      <c r="Y94" s="1789"/>
      <c r="Z94" s="1789"/>
      <c r="AA94" s="1789"/>
      <c r="AB94" s="1789"/>
      <c r="AC94" s="1789"/>
      <c r="AD94" s="1789"/>
      <c r="AE94" s="1789"/>
      <c r="AF94" s="1789"/>
      <c r="AG94" s="1789"/>
      <c r="AH94" s="1789"/>
      <c r="AI94" s="1789"/>
      <c r="AJ94" s="1789"/>
    </row>
    <row r="95" spans="1:36">
      <c r="D95" s="3978">
        <v>0.13300000000000001</v>
      </c>
      <c r="E95" s="3979"/>
      <c r="F95" s="3979"/>
      <c r="G95" s="3980" t="e">
        <f>IF(G89/$D95&gt;10,10,IF(G89/$D95&lt;-4,-4,G89/$D95))</f>
        <v>#DIV/0!</v>
      </c>
      <c r="H95" s="3980" t="e">
        <f>IF(H89/$D95&gt;10,10,IF(H89/$D95&lt;-4,-4,H89/$D95))</f>
        <v>#DIV/0!</v>
      </c>
      <c r="I95" s="3980" t="e">
        <f>IF(I89/$D95&gt;10,10,IF(I89/$D95&lt;-4,-4,I89/$D95))</f>
        <v>#DIV/0!</v>
      </c>
      <c r="J95" s="3980" t="e">
        <f>IF(J89/$D95&gt;10,10,IF(J89/$D95&lt;-4,-4,J89/$D95))</f>
        <v>#DIV/0!</v>
      </c>
      <c r="K95" s="3980" t="e">
        <f>IF(K89/$D95&gt;10,10,IF(K89/$D95&lt;-4,-4,K89/$D95))</f>
        <v>#DIV/0!</v>
      </c>
      <c r="L95" s="3974" t="e">
        <f>AVERAGE(G95:K95)</f>
        <v>#DIV/0!</v>
      </c>
      <c r="P95" s="1788"/>
      <c r="Q95" s="1988"/>
      <c r="R95" s="3976"/>
      <c r="S95" s="1788"/>
      <c r="U95" s="1954"/>
      <c r="V95" s="1789"/>
      <c r="W95" s="1789"/>
      <c r="X95" s="1789"/>
      <c r="Y95" s="1789"/>
      <c r="Z95" s="1789"/>
      <c r="AA95" s="1789"/>
      <c r="AB95" s="1789"/>
      <c r="AC95" s="3981"/>
      <c r="AD95" s="1789"/>
      <c r="AE95" s="1789"/>
      <c r="AF95" s="1789"/>
      <c r="AG95" s="1789"/>
      <c r="AH95" s="1789"/>
      <c r="AI95" s="1789"/>
      <c r="AJ95" s="1789"/>
    </row>
    <row r="96" spans="1:36">
      <c r="D96" s="3978">
        <v>1.2999999999999999E-2</v>
      </c>
      <c r="E96" s="3979"/>
      <c r="F96" s="3979"/>
      <c r="G96" s="3980" t="e">
        <f>IF(G90/$D96&gt;10,10,IF(G90/$D96&lt;-4,-4,G90/$D96))</f>
        <v>#DIV/0!</v>
      </c>
      <c r="H96" s="3980" t="e">
        <f t="shared" ref="H96:K97" si="4">IF(H90/$D96&gt;10,10,IF(H90/$D96&lt;-4,-4,H90/$D96))</f>
        <v>#DIV/0!</v>
      </c>
      <c r="I96" s="3980" t="e">
        <f t="shared" si="4"/>
        <v>#DIV/0!</v>
      </c>
      <c r="J96" s="3980" t="e">
        <f t="shared" si="4"/>
        <v>#DIV/0!</v>
      </c>
      <c r="K96" s="3980" t="e">
        <f t="shared" si="4"/>
        <v>#DIV/0!</v>
      </c>
      <c r="L96" s="3974" t="e">
        <f>AVERAGE(G96:K96)</f>
        <v>#DIV/0!</v>
      </c>
      <c r="P96" s="1788"/>
      <c r="Q96" s="1988"/>
      <c r="R96" s="3976"/>
      <c r="S96" s="1788"/>
      <c r="U96" s="1954"/>
      <c r="V96" s="3982"/>
      <c r="W96" s="3982"/>
      <c r="X96" s="3982"/>
      <c r="Y96" s="3982"/>
      <c r="Z96" s="3982"/>
      <c r="AA96" s="3982"/>
      <c r="AB96" s="3982"/>
      <c r="AC96" s="3982"/>
      <c r="AD96" s="3982"/>
      <c r="AE96" s="3982"/>
      <c r="AF96" s="3982"/>
      <c r="AG96" s="3982"/>
      <c r="AH96" s="3982"/>
      <c r="AI96" s="3982"/>
      <c r="AJ96" s="3982"/>
    </row>
    <row r="97" spans="1:36">
      <c r="D97" s="3978">
        <v>0.02</v>
      </c>
      <c r="E97" s="3979"/>
      <c r="F97" s="3979"/>
      <c r="G97" s="3980" t="e">
        <f>IF(G91/$D97&gt;10,10,IF(G91/$D97&lt;-4,-4,G91/$D97))</f>
        <v>#N/A</v>
      </c>
      <c r="H97" s="3980" t="e">
        <f t="shared" si="4"/>
        <v>#DIV/0!</v>
      </c>
      <c r="I97" s="3980" t="e">
        <f t="shared" si="4"/>
        <v>#DIV/0!</v>
      </c>
      <c r="J97" s="3980" t="e">
        <f t="shared" si="4"/>
        <v>#DIV/0!</v>
      </c>
      <c r="K97" s="3980" t="e">
        <f t="shared" si="4"/>
        <v>#DIV/0!</v>
      </c>
      <c r="L97" s="3974" t="e">
        <f>AVERAGE(G97:K97)</f>
        <v>#N/A</v>
      </c>
      <c r="P97" s="1788"/>
      <c r="Q97" s="1988"/>
      <c r="R97" s="3976"/>
      <c r="S97" s="1788"/>
      <c r="U97" s="1954"/>
      <c r="V97" s="3982"/>
      <c r="W97" s="3982"/>
      <c r="X97" s="3982"/>
      <c r="Y97" s="3982"/>
      <c r="Z97" s="3982"/>
      <c r="AA97" s="3982"/>
      <c r="AB97" s="3982"/>
      <c r="AC97" s="3982"/>
      <c r="AD97" s="3982"/>
      <c r="AE97" s="3982"/>
      <c r="AF97" s="3982"/>
      <c r="AG97" s="3982"/>
      <c r="AH97" s="3982"/>
      <c r="AI97" s="3982"/>
      <c r="AJ97" s="3982"/>
    </row>
    <row r="98" spans="1:36">
      <c r="D98" s="3978">
        <v>0.41699999999999998</v>
      </c>
      <c r="E98" s="3979"/>
      <c r="F98" s="3979"/>
      <c r="G98" s="3980">
        <f>IF(G92="N/A",10,(IF(G92/$D98&gt;10,10,IF(G92/$D98&lt;-4,-4,G92/$D98))))</f>
        <v>10</v>
      </c>
      <c r="H98" s="3980">
        <f t="shared" ref="H98:K98" si="5">IF(H92="N/A",10,(IF(H92/$D98&gt;10,10,IF(H92/$D98&lt;-4,-4,H92/$D98))))</f>
        <v>10</v>
      </c>
      <c r="I98" s="3980">
        <f t="shared" si="5"/>
        <v>10</v>
      </c>
      <c r="J98" s="3980">
        <f t="shared" si="5"/>
        <v>10</v>
      </c>
      <c r="K98" s="3980">
        <f t="shared" si="5"/>
        <v>10</v>
      </c>
      <c r="L98" s="3974">
        <f>AVERAGE(G98:K98)</f>
        <v>10</v>
      </c>
      <c r="P98" s="1788"/>
      <c r="Q98" s="3976"/>
      <c r="R98" s="3976"/>
      <c r="S98" s="1788"/>
      <c r="U98" s="1954"/>
      <c r="V98" s="1789"/>
      <c r="W98" s="1789"/>
      <c r="X98" s="1789"/>
      <c r="Y98" s="1789"/>
      <c r="Z98" s="1789"/>
      <c r="AA98" s="1789"/>
      <c r="AB98" s="1789"/>
      <c r="AC98" s="1789"/>
      <c r="AD98" s="1789"/>
      <c r="AE98" s="1789"/>
      <c r="AF98" s="1789"/>
      <c r="AG98" s="1789"/>
      <c r="AH98" s="1789"/>
      <c r="AI98" s="1789"/>
      <c r="AJ98" s="1789"/>
    </row>
    <row r="99" spans="1:36">
      <c r="C99" s="1789"/>
      <c r="D99" s="1789"/>
      <c r="E99" s="1789"/>
      <c r="F99" s="1789"/>
      <c r="G99" s="3937"/>
      <c r="H99" s="3937"/>
      <c r="I99" s="3937"/>
      <c r="J99" s="3937"/>
      <c r="K99" s="3937"/>
      <c r="P99" s="1788"/>
      <c r="Q99" s="1988"/>
      <c r="R99" s="3976"/>
      <c r="S99" s="1788"/>
    </row>
    <row r="100" spans="1:36" ht="30">
      <c r="C100" s="4096" t="s">
        <v>4150</v>
      </c>
      <c r="D100" s="4097" t="s">
        <v>4151</v>
      </c>
      <c r="E100" s="3977"/>
      <c r="F100" s="3977"/>
      <c r="G100" s="3977"/>
      <c r="H100" s="3977" t="s">
        <v>4152</v>
      </c>
      <c r="I100" s="3983"/>
      <c r="J100" s="3983"/>
      <c r="K100" s="3983"/>
      <c r="P100" s="1788"/>
      <c r="Q100" s="1988"/>
      <c r="R100" s="3976"/>
      <c r="S100" s="1788"/>
    </row>
    <row r="101" spans="1:36">
      <c r="C101" s="3984">
        <v>0.35</v>
      </c>
      <c r="D101" s="3985">
        <v>0.55000000000000004</v>
      </c>
      <c r="E101" s="3979"/>
      <c r="F101" s="3979"/>
      <c r="G101" s="3986" t="e">
        <f>+G95*$D101</f>
        <v>#DIV/0!</v>
      </c>
      <c r="H101" s="3986" t="e">
        <f t="shared" ref="H101:K101" si="6">+H95*$D101</f>
        <v>#DIV/0!</v>
      </c>
      <c r="I101" s="3986" t="e">
        <f t="shared" si="6"/>
        <v>#DIV/0!</v>
      </c>
      <c r="J101" s="3986" t="e">
        <f t="shared" si="6"/>
        <v>#DIV/0!</v>
      </c>
      <c r="K101" s="3986" t="e">
        <f t="shared" si="6"/>
        <v>#DIV/0!</v>
      </c>
      <c r="P101" s="1788"/>
      <c r="Q101" s="1988"/>
      <c r="R101" s="3976"/>
      <c r="S101" s="1788"/>
    </row>
    <row r="102" spans="1:36">
      <c r="C102" s="3984">
        <v>0.1</v>
      </c>
      <c r="D102" s="3985">
        <v>0.15</v>
      </c>
      <c r="E102" s="3979"/>
      <c r="F102" s="3979"/>
      <c r="G102" s="3986" t="e">
        <f t="shared" ref="G102:K104" si="7">+G96*$D102</f>
        <v>#DIV/0!</v>
      </c>
      <c r="H102" s="3986" t="e">
        <f t="shared" si="7"/>
        <v>#DIV/0!</v>
      </c>
      <c r="I102" s="3986" t="e">
        <f t="shared" si="7"/>
        <v>#DIV/0!</v>
      </c>
      <c r="J102" s="3986" t="e">
        <f t="shared" si="7"/>
        <v>#DIV/0!</v>
      </c>
      <c r="K102" s="3986" t="e">
        <f t="shared" si="7"/>
        <v>#DIV/0!</v>
      </c>
      <c r="P102" s="1788"/>
      <c r="Q102" s="1988"/>
      <c r="R102" s="3976"/>
      <c r="S102" s="1788"/>
    </row>
    <row r="103" spans="1:36">
      <c r="C103" s="3984">
        <v>0.2</v>
      </c>
      <c r="D103" s="3985">
        <v>0.3</v>
      </c>
      <c r="E103" s="3979"/>
      <c r="F103" s="3979"/>
      <c r="G103" s="3986" t="e">
        <f t="shared" si="7"/>
        <v>#N/A</v>
      </c>
      <c r="H103" s="3986" t="e">
        <f t="shared" si="7"/>
        <v>#DIV/0!</v>
      </c>
      <c r="I103" s="3986" t="e">
        <f t="shared" si="7"/>
        <v>#DIV/0!</v>
      </c>
      <c r="J103" s="3986" t="e">
        <f t="shared" si="7"/>
        <v>#DIV/0!</v>
      </c>
      <c r="K103" s="3986" t="e">
        <f t="shared" si="7"/>
        <v>#DIV/0!</v>
      </c>
      <c r="P103" s="1788"/>
      <c r="Q103" s="3976"/>
      <c r="R103" s="3976"/>
      <c r="S103" s="1788"/>
    </row>
    <row r="104" spans="1:36">
      <c r="C104" s="3987">
        <v>0.35</v>
      </c>
      <c r="D104" s="3988">
        <v>0</v>
      </c>
      <c r="E104" s="3979"/>
      <c r="F104" s="3979"/>
      <c r="G104" s="3986">
        <f t="shared" si="7"/>
        <v>0</v>
      </c>
      <c r="H104" s="3986">
        <f t="shared" si="7"/>
        <v>0</v>
      </c>
      <c r="I104" s="3986">
        <f t="shared" si="7"/>
        <v>0</v>
      </c>
      <c r="J104" s="3986">
        <f t="shared" si="7"/>
        <v>0</v>
      </c>
      <c r="K104" s="3986">
        <f t="shared" si="7"/>
        <v>0</v>
      </c>
      <c r="P104" s="1788"/>
      <c r="Q104" s="1988"/>
      <c r="R104" s="3976"/>
      <c r="S104" s="1788"/>
    </row>
    <row r="105" spans="1:36" ht="16.5" thickBot="1">
      <c r="A105" s="3989" t="s">
        <v>4153</v>
      </c>
      <c r="E105" s="3990"/>
      <c r="F105" s="3990"/>
      <c r="G105" s="3991" t="e">
        <f>SUM(G101:G104)</f>
        <v>#DIV/0!</v>
      </c>
      <c r="H105" s="3991" t="e">
        <f>SUM(H101:H104)</f>
        <v>#DIV/0!</v>
      </c>
      <c r="I105" s="3991" t="e">
        <f>SUM(I101:I104)</f>
        <v>#DIV/0!</v>
      </c>
      <c r="J105" s="3991" t="e">
        <f>SUM(J101:J104)</f>
        <v>#DIV/0!</v>
      </c>
      <c r="K105" s="3991" t="e">
        <f>SUM(K101:K104)</f>
        <v>#DIV/0!</v>
      </c>
      <c r="L105" s="2906"/>
      <c r="P105" s="1788"/>
      <c r="Q105" s="1988"/>
      <c r="R105" s="3976"/>
      <c r="S105" s="1788"/>
    </row>
    <row r="106" spans="1:36" ht="15.75" thickTop="1">
      <c r="P106" s="1788"/>
      <c r="Q106" s="1988"/>
      <c r="R106" s="3976"/>
      <c r="S106" s="1788"/>
    </row>
    <row r="107" spans="1:36" ht="15.75" thickBot="1"/>
    <row r="108" spans="1:36" ht="16.5" thickBot="1">
      <c r="A108" s="3992" t="s">
        <v>4154</v>
      </c>
      <c r="B108" s="3993"/>
      <c r="C108" s="3993"/>
      <c r="D108" s="3994" t="s">
        <v>4155</v>
      </c>
      <c r="E108" s="3994" t="s">
        <v>4156</v>
      </c>
      <c r="F108" s="3994" t="s">
        <v>4157</v>
      </c>
      <c r="G108" s="3995" t="s">
        <v>4158</v>
      </c>
    </row>
    <row r="109" spans="1:36" ht="16.5" thickBot="1">
      <c r="A109" s="3996"/>
      <c r="B109" s="3997"/>
      <c r="C109" s="3997"/>
      <c r="D109" s="3998"/>
      <c r="E109" s="3999"/>
      <c r="F109" s="4000"/>
      <c r="G109" s="4001"/>
    </row>
    <row r="110" spans="1:36" ht="15.75">
      <c r="A110" s="4002" t="s">
        <v>4159</v>
      </c>
      <c r="B110" s="4003"/>
      <c r="C110" s="4003"/>
      <c r="D110" s="4004"/>
      <c r="E110" s="4005"/>
      <c r="F110" s="4005"/>
      <c r="G110" s="4006"/>
    </row>
    <row r="111" spans="1:36" ht="15.75">
      <c r="A111" s="4007" t="s">
        <v>4160</v>
      </c>
      <c r="B111" s="4008"/>
      <c r="C111" s="4008" t="s">
        <v>4161</v>
      </c>
      <c r="D111" s="4009">
        <f>+G18</f>
        <v>0</v>
      </c>
      <c r="E111" s="4010"/>
      <c r="F111" s="4011"/>
      <c r="G111" s="4012"/>
    </row>
    <row r="112" spans="1:36" ht="15.75">
      <c r="A112" s="4007" t="s">
        <v>4162</v>
      </c>
      <c r="B112" s="4008"/>
      <c r="C112" s="4008" t="s">
        <v>4161</v>
      </c>
      <c r="D112" s="4009">
        <f>+SNP!M121+SNP!M122+SNP!M123+SNP!M124+SNP!M125+SNP!M126</f>
        <v>0</v>
      </c>
      <c r="E112" s="4010"/>
      <c r="F112" s="4011"/>
      <c r="G112" s="4012"/>
    </row>
    <row r="113" spans="1:7" ht="15.75">
      <c r="A113" s="4007" t="s">
        <v>4163</v>
      </c>
      <c r="B113" s="4008"/>
      <c r="C113" s="4008" t="s">
        <v>4161</v>
      </c>
      <c r="D113" s="4009">
        <f>+SNP!O127</f>
        <v>0</v>
      </c>
      <c r="E113" s="4010"/>
      <c r="F113" s="4011"/>
      <c r="G113" s="4012"/>
    </row>
    <row r="114" spans="1:7" ht="15.75">
      <c r="A114" s="4007" t="s">
        <v>4164</v>
      </c>
      <c r="B114" s="4008"/>
      <c r="C114" s="4008" t="s">
        <v>4161</v>
      </c>
      <c r="D114" s="4009">
        <f>+SNP!O121+SNP!O122+SNP!O123+SNP!O124+SNP!O125+SNP!O126</f>
        <v>0</v>
      </c>
      <c r="E114" s="4010"/>
      <c r="F114" s="4011"/>
      <c r="G114" s="4012"/>
    </row>
    <row r="115" spans="1:7" ht="15.75">
      <c r="A115" s="4007" t="s">
        <v>4165</v>
      </c>
      <c r="B115" s="4008"/>
      <c r="C115" s="4008" t="s">
        <v>2872</v>
      </c>
      <c r="D115" s="4013"/>
      <c r="E115" s="4010"/>
      <c r="F115" s="4011"/>
      <c r="G115" s="4012"/>
    </row>
    <row r="116" spans="1:7" ht="16.5" thickBot="1">
      <c r="A116" s="4014" t="s">
        <v>4166</v>
      </c>
      <c r="B116" s="4015"/>
      <c r="C116" s="4015"/>
      <c r="D116" s="4016">
        <f>D111+D112+D113+D114-D115</f>
        <v>0</v>
      </c>
      <c r="E116" s="4010"/>
      <c r="F116" s="4011"/>
      <c r="G116" s="4012"/>
    </row>
    <row r="117" spans="1:7" ht="15.75">
      <c r="A117" s="4017" t="s">
        <v>4167</v>
      </c>
      <c r="B117" s="4018"/>
      <c r="C117" s="4018" t="s">
        <v>4161</v>
      </c>
      <c r="D117" s="4019">
        <f>+G31</f>
        <v>0</v>
      </c>
      <c r="E117" s="4010"/>
      <c r="F117" s="4011"/>
      <c r="G117" s="4012"/>
    </row>
    <row r="118" spans="1:7" ht="15.75">
      <c r="A118" s="4007" t="s">
        <v>4168</v>
      </c>
      <c r="B118" s="4008"/>
      <c r="C118" s="4008" t="s">
        <v>4161</v>
      </c>
      <c r="D118" s="4009">
        <f>+G32</f>
        <v>0</v>
      </c>
      <c r="E118" s="4010"/>
      <c r="F118" s="4011"/>
      <c r="G118" s="4012"/>
    </row>
    <row r="119" spans="1:7" ht="15.75">
      <c r="A119" s="4007" t="s">
        <v>4169</v>
      </c>
      <c r="B119" s="4008"/>
      <c r="C119" s="4008" t="s">
        <v>4161</v>
      </c>
      <c r="D119" s="4020">
        <f>+G35+G36</f>
        <v>0</v>
      </c>
      <c r="E119" s="4010"/>
      <c r="F119" s="4021"/>
      <c r="G119" s="4012"/>
    </row>
    <row r="120" spans="1:7" ht="16.5" thickBot="1">
      <c r="A120" s="4022" t="s">
        <v>4170</v>
      </c>
      <c r="B120" s="4023"/>
      <c r="C120" s="4023"/>
      <c r="D120" s="4024">
        <f>+D117+D118+D119</f>
        <v>0</v>
      </c>
      <c r="E120" s="4025"/>
      <c r="F120" s="4026"/>
      <c r="G120" s="4027"/>
    </row>
    <row r="121" spans="1:7" ht="16.5" thickBot="1">
      <c r="A121" s="4028" t="s">
        <v>4171</v>
      </c>
      <c r="B121" s="4029"/>
      <c r="C121" s="4029" t="s">
        <v>4172</v>
      </c>
      <c r="D121" s="4030" t="e">
        <f>D116/D120</f>
        <v>#DIV/0!</v>
      </c>
      <c r="E121" s="4025"/>
      <c r="F121" s="4026"/>
      <c r="G121" s="4027"/>
    </row>
    <row r="122" spans="1:7" ht="16.5" thickBot="1">
      <c r="A122" s="4028" t="s">
        <v>4173</v>
      </c>
      <c r="B122" s="4031"/>
      <c r="C122" s="4031"/>
      <c r="D122" s="4032"/>
      <c r="E122" s="4033" t="e">
        <f>IF(D121/0.133&gt;10,10,IF(D121/0.133&lt;-4,-4,D121/0.133))</f>
        <v>#DIV/0!</v>
      </c>
      <c r="F122" s="4034">
        <v>0.55000000000000004</v>
      </c>
      <c r="G122" s="4035" t="e">
        <f>E122*F122</f>
        <v>#DIV/0!</v>
      </c>
    </row>
    <row r="123" spans="1:7" ht="16.5" thickBot="1">
      <c r="A123" s="3996"/>
      <c r="B123" s="3997"/>
      <c r="C123" s="3997"/>
      <c r="D123" s="3998"/>
      <c r="E123" s="3999"/>
      <c r="F123" s="4000"/>
      <c r="G123" s="4001"/>
    </row>
    <row r="124" spans="1:7" ht="15.75">
      <c r="A124" s="4036" t="s">
        <v>4174</v>
      </c>
      <c r="B124" s="4003"/>
      <c r="C124" s="4003"/>
      <c r="D124" s="4004"/>
      <c r="E124" s="4005"/>
      <c r="F124" s="4005"/>
      <c r="G124" s="4006"/>
    </row>
    <row r="125" spans="1:7" ht="15.75">
      <c r="A125" s="4037" t="s">
        <v>4175</v>
      </c>
      <c r="B125" s="4008"/>
      <c r="C125" s="4008" t="s">
        <v>4161</v>
      </c>
      <c r="D125" s="4038">
        <f>+G44</f>
        <v>0</v>
      </c>
      <c r="E125" s="4039"/>
      <c r="F125" s="4040"/>
      <c r="G125" s="4041"/>
    </row>
    <row r="126" spans="1:7" ht="15.75">
      <c r="A126" s="4037" t="s">
        <v>4176</v>
      </c>
      <c r="B126" s="4008"/>
      <c r="C126" s="4008" t="s">
        <v>4161</v>
      </c>
      <c r="D126" s="4038">
        <f>+G45</f>
        <v>0</v>
      </c>
      <c r="E126" s="4039"/>
      <c r="F126" s="4040"/>
      <c r="G126" s="4041"/>
    </row>
    <row r="127" spans="1:7" ht="15.75">
      <c r="A127" s="4037" t="s">
        <v>4177</v>
      </c>
      <c r="B127" s="4008"/>
      <c r="C127" s="4008" t="s">
        <v>4161</v>
      </c>
      <c r="D127" s="4020">
        <f>+G48-G47</f>
        <v>0</v>
      </c>
      <c r="E127" s="4039"/>
      <c r="F127" s="4040"/>
      <c r="G127" s="4041"/>
    </row>
    <row r="128" spans="1:7" ht="16.5" thickBot="1">
      <c r="A128" s="4014" t="s">
        <v>4166</v>
      </c>
      <c r="B128" s="4015"/>
      <c r="C128" s="4015"/>
      <c r="D128" s="4042">
        <f>D124+D125+D126+D127</f>
        <v>0</v>
      </c>
      <c r="E128" s="4039"/>
      <c r="F128" s="4040"/>
      <c r="G128" s="4041"/>
    </row>
    <row r="129" spans="1:7" ht="15.75">
      <c r="A129" s="4043" t="s">
        <v>4178</v>
      </c>
      <c r="B129" s="4018"/>
      <c r="C129" s="4018" t="s">
        <v>4161</v>
      </c>
      <c r="D129" s="4044">
        <f>+G53</f>
        <v>0</v>
      </c>
      <c r="E129" s="4039"/>
      <c r="F129" s="4040"/>
      <c r="G129" s="4041"/>
    </row>
    <row r="130" spans="1:7" ht="15.75">
      <c r="A130" s="4043" t="s">
        <v>4179</v>
      </c>
      <c r="B130" s="4008"/>
      <c r="C130" s="4008" t="s">
        <v>4161</v>
      </c>
      <c r="D130" s="4044">
        <f>+G54+G55</f>
        <v>0</v>
      </c>
      <c r="E130" s="4039"/>
      <c r="F130" s="4040"/>
      <c r="G130" s="4041"/>
    </row>
    <row r="131" spans="1:7" ht="15.75">
      <c r="A131" s="4007" t="s">
        <v>4180</v>
      </c>
      <c r="B131" s="4008"/>
      <c r="C131" s="4008" t="s">
        <v>4161</v>
      </c>
      <c r="D131" s="4044">
        <f>+G57+G58+G59</f>
        <v>0</v>
      </c>
      <c r="E131" s="4039"/>
      <c r="F131" s="4040"/>
      <c r="G131" s="4041"/>
    </row>
    <row r="132" spans="1:7" ht="16.5" thickBot="1">
      <c r="A132" s="4045" t="s">
        <v>4170</v>
      </c>
      <c r="B132" s="4046"/>
      <c r="C132" s="4046"/>
      <c r="D132" s="4047">
        <f>SUM(D129:D131)</f>
        <v>0</v>
      </c>
      <c r="E132" s="4048"/>
      <c r="F132" s="4049"/>
      <c r="G132" s="4050"/>
    </row>
    <row r="133" spans="1:7" ht="16.5" thickBot="1">
      <c r="A133" s="4028" t="s">
        <v>4181</v>
      </c>
      <c r="B133" s="4029"/>
      <c r="C133" s="4029" t="s">
        <v>4172</v>
      </c>
      <c r="D133" s="4051" t="e">
        <f>D128/D132</f>
        <v>#DIV/0!</v>
      </c>
      <c r="E133" s="4048"/>
      <c r="F133" s="4049"/>
      <c r="G133" s="4050"/>
    </row>
    <row r="134" spans="1:7" ht="16.5" thickBot="1">
      <c r="A134" s="4028" t="s">
        <v>4182</v>
      </c>
      <c r="B134" s="4031"/>
      <c r="C134" s="4031"/>
      <c r="D134" s="4032"/>
      <c r="E134" s="4033" t="e">
        <f>IF(D133/0.013&gt;10,10,IF(D133/0.013&lt;-4,-4,D133/0.013))</f>
        <v>#DIV/0!</v>
      </c>
      <c r="F134" s="4034">
        <v>0.15</v>
      </c>
      <c r="G134" s="4035" t="e">
        <f>E134*F134</f>
        <v>#DIV/0!</v>
      </c>
    </row>
    <row r="135" spans="1:7" ht="16.5" thickBot="1">
      <c r="A135" s="3996"/>
      <c r="B135" s="3997"/>
      <c r="C135" s="3997"/>
      <c r="D135" s="3998"/>
      <c r="E135" s="3999"/>
      <c r="F135" s="4000"/>
      <c r="G135" s="4001"/>
    </row>
    <row r="136" spans="1:7" ht="15.75">
      <c r="A136" s="4002" t="s">
        <v>4183</v>
      </c>
      <c r="B136" s="4003"/>
      <c r="C136" s="4003"/>
      <c r="D136" s="4004"/>
      <c r="E136" s="4048"/>
      <c r="F136" s="4048"/>
      <c r="G136" s="4050"/>
    </row>
    <row r="137" spans="1:7" ht="15.75">
      <c r="A137" s="4052" t="s">
        <v>4184</v>
      </c>
      <c r="B137" s="4053"/>
      <c r="C137" s="4053"/>
      <c r="D137" s="4054">
        <f>+G69</f>
        <v>0</v>
      </c>
      <c r="E137" s="4048"/>
      <c r="F137" s="4048"/>
      <c r="G137" s="4050"/>
    </row>
    <row r="138" spans="1:7" ht="16.5" thickBot="1">
      <c r="A138" s="4014" t="s">
        <v>4166</v>
      </c>
      <c r="B138" s="4015"/>
      <c r="C138" s="4015"/>
      <c r="D138" s="4055">
        <f>D137</f>
        <v>0</v>
      </c>
      <c r="E138" s="4048"/>
      <c r="F138" s="4048"/>
      <c r="G138" s="4041"/>
    </row>
    <row r="139" spans="1:7" ht="15.75">
      <c r="A139" s="4056" t="s">
        <v>4185</v>
      </c>
      <c r="B139" s="4057"/>
      <c r="C139" s="4057"/>
      <c r="D139" s="4058" t="e">
        <f>+G74</f>
        <v>#N/A</v>
      </c>
      <c r="E139" s="4039"/>
      <c r="F139" s="4040"/>
      <c r="G139" s="4041"/>
    </row>
    <row r="140" spans="1:7" ht="16.5" thickBot="1">
      <c r="A140" s="4059" t="s">
        <v>4170</v>
      </c>
      <c r="B140" s="4046"/>
      <c r="C140" s="4046"/>
      <c r="D140" s="4060" t="e">
        <f>D139</f>
        <v>#N/A</v>
      </c>
      <c r="E140" s="4061"/>
      <c r="F140" s="4040"/>
      <c r="G140" s="4041"/>
    </row>
    <row r="141" spans="1:7" ht="16.5" thickBot="1">
      <c r="A141" s="4028" t="s">
        <v>4186</v>
      </c>
      <c r="B141" s="4029"/>
      <c r="C141" s="4029" t="s">
        <v>4172</v>
      </c>
      <c r="D141" s="4030" t="e">
        <f>(D137)/D139</f>
        <v>#N/A</v>
      </c>
      <c r="E141" s="4062"/>
      <c r="F141" s="4063"/>
      <c r="G141" s="4064"/>
    </row>
    <row r="142" spans="1:7" ht="16.5" thickBot="1">
      <c r="A142" s="4028" t="s">
        <v>4187</v>
      </c>
      <c r="B142" s="4031"/>
      <c r="C142" s="4031"/>
      <c r="D142" s="4032"/>
      <c r="E142" s="4033" t="e">
        <f>IF(D141/0.02&gt;10,10,IF(D141/0.02&lt;-4,-4,D141/0.02))</f>
        <v>#N/A</v>
      </c>
      <c r="F142" s="4034">
        <v>0.3</v>
      </c>
      <c r="G142" s="4035" t="e">
        <f>E142*F142</f>
        <v>#N/A</v>
      </c>
    </row>
    <row r="143" spans="1:7" ht="16.5" thickBot="1">
      <c r="A143" s="3996"/>
      <c r="B143" s="3997"/>
      <c r="C143" s="3997"/>
      <c r="D143" s="3998"/>
      <c r="E143" s="3999"/>
      <c r="F143" s="4000"/>
      <c r="G143" s="4001"/>
    </row>
    <row r="144" spans="1:7" ht="15.75">
      <c r="A144" s="4036" t="s">
        <v>4188</v>
      </c>
      <c r="B144" s="4003"/>
      <c r="C144" s="4003"/>
      <c r="D144" s="4004"/>
      <c r="E144" s="4039"/>
      <c r="F144" s="4040"/>
      <c r="G144" s="4041"/>
    </row>
    <row r="145" spans="1:7" ht="15.75">
      <c r="A145" s="4052" t="s">
        <v>4189</v>
      </c>
      <c r="B145" s="4003"/>
      <c r="C145" s="4003"/>
      <c r="D145" s="4065">
        <f>+G79</f>
        <v>0</v>
      </c>
      <c r="E145" s="4039"/>
      <c r="F145" s="4040"/>
      <c r="G145" s="4041"/>
    </row>
    <row r="146" spans="1:7" ht="15.75">
      <c r="A146" s="4066" t="s">
        <v>4166</v>
      </c>
      <c r="B146" s="4067"/>
      <c r="C146" s="4067"/>
      <c r="D146" s="4068">
        <f>D145</f>
        <v>0</v>
      </c>
      <c r="E146" s="4039"/>
      <c r="F146" s="4040"/>
      <c r="G146" s="4041"/>
    </row>
    <row r="147" spans="1:7" ht="15.75">
      <c r="A147" s="4043" t="s">
        <v>4190</v>
      </c>
      <c r="B147" s="4018"/>
      <c r="C147" s="4018" t="s">
        <v>4161</v>
      </c>
      <c r="D147" s="4058">
        <f>+G82</f>
        <v>0</v>
      </c>
      <c r="E147" s="4039"/>
      <c r="F147" s="4040"/>
      <c r="G147" s="4041"/>
    </row>
    <row r="148" spans="1:7" ht="15.75">
      <c r="A148" s="4007" t="s">
        <v>4191</v>
      </c>
      <c r="B148" s="4008"/>
      <c r="C148" s="4008" t="s">
        <v>4161</v>
      </c>
      <c r="D148" s="4069">
        <f>+G83</f>
        <v>0</v>
      </c>
      <c r="E148" s="4048"/>
      <c r="F148" s="4049"/>
      <c r="G148" s="4050"/>
    </row>
    <row r="149" spans="1:7" ht="16.5" thickBot="1">
      <c r="A149" s="4045" t="s">
        <v>4192</v>
      </c>
      <c r="B149" s="4070"/>
      <c r="C149" s="4070"/>
      <c r="D149" s="4071">
        <f>SUM(D147:D148)</f>
        <v>0</v>
      </c>
      <c r="E149" s="4048"/>
      <c r="F149" s="4049"/>
      <c r="G149" s="4050"/>
    </row>
    <row r="150" spans="1:7" ht="16.5" thickBot="1">
      <c r="A150" s="4072" t="s">
        <v>4193</v>
      </c>
      <c r="B150" s="4029"/>
      <c r="C150" s="4029" t="s">
        <v>4172</v>
      </c>
      <c r="D150" s="4030">
        <f>IF(D149=0,0,(D145/D149))</f>
        <v>0</v>
      </c>
      <c r="E150" s="4048"/>
      <c r="F150" s="4049"/>
      <c r="G150" s="4050"/>
    </row>
    <row r="151" spans="1:7" ht="16.5" thickBot="1">
      <c r="A151" s="4072" t="s">
        <v>4194</v>
      </c>
      <c r="B151" s="4031"/>
      <c r="C151" s="4031"/>
      <c r="D151" s="4032"/>
      <c r="E151" s="4033">
        <f>IF(D150=0,10,(IF(D150/0.417&gt;10,10,IF(D150/0.417&lt;-4,-4,D150/0.417))))</f>
        <v>10</v>
      </c>
      <c r="F151" s="4073">
        <v>0</v>
      </c>
      <c r="G151" s="4035">
        <f>E151*F151</f>
        <v>0</v>
      </c>
    </row>
    <row r="152" spans="1:7" ht="16.5" thickBot="1">
      <c r="A152" s="3996"/>
      <c r="B152" s="3997"/>
      <c r="C152" s="3997"/>
      <c r="D152" s="3998"/>
      <c r="E152" s="3999"/>
      <c r="F152" s="4000"/>
      <c r="G152" s="4001"/>
    </row>
    <row r="153" spans="1:7" ht="16.5" thickBot="1">
      <c r="A153" s="4074" t="s">
        <v>4195</v>
      </c>
      <c r="B153" s="4075"/>
      <c r="C153" s="4075"/>
      <c r="D153" s="4076"/>
      <c r="E153" s="4075"/>
      <c r="F153" s="4077"/>
      <c r="G153" s="4078" t="e">
        <f>G151+G142+G134+G122</f>
        <v>#N/A</v>
      </c>
    </row>
    <row r="154" spans="1:7" ht="16.5" thickBot="1">
      <c r="A154" s="4079"/>
      <c r="B154" s="4080"/>
      <c r="C154" s="4081"/>
      <c r="D154" s="4082"/>
      <c r="E154" s="4081"/>
      <c r="F154" s="4080"/>
      <c r="G154" s="4083"/>
    </row>
    <row r="155" spans="1:7" ht="16.5" thickTop="1">
      <c r="A155" s="3094"/>
      <c r="B155" s="4084" t="s">
        <v>4196</v>
      </c>
      <c r="C155" s="4085"/>
      <c r="D155" s="4086"/>
      <c r="E155" s="4085"/>
      <c r="F155" s="4087"/>
      <c r="G155" s="4088"/>
    </row>
    <row r="156" spans="1:7" ht="15.75">
      <c r="A156" s="3094"/>
      <c r="B156" s="4089" t="s">
        <v>4197</v>
      </c>
      <c r="C156" s="2023"/>
      <c r="D156" s="2023"/>
      <c r="E156" s="2023"/>
      <c r="F156" s="2023"/>
      <c r="G156" s="2023"/>
    </row>
    <row r="157" spans="1:7" ht="30" customHeight="1">
      <c r="B157" s="4338" t="s">
        <v>4198</v>
      </c>
      <c r="C157" s="4339"/>
      <c r="D157" s="4339"/>
      <c r="E157" s="4339"/>
      <c r="F157" s="4339"/>
      <c r="G157" s="4339"/>
    </row>
    <row r="158" spans="1:7" ht="45" customHeight="1">
      <c r="B158" s="4336" t="s">
        <v>4199</v>
      </c>
      <c r="C158" s="4337"/>
      <c r="D158" s="4337"/>
      <c r="E158" s="4337"/>
      <c r="F158" s="4337"/>
      <c r="G158" s="4337"/>
    </row>
    <row r="159" spans="1:7" ht="45" customHeight="1">
      <c r="B159" s="4338" t="s">
        <v>4200</v>
      </c>
      <c r="C159" s="4339"/>
      <c r="D159" s="4339"/>
      <c r="E159" s="4339"/>
      <c r="F159" s="4339"/>
      <c r="G159" s="4339"/>
    </row>
    <row r="160" spans="1:7" ht="15.75">
      <c r="B160" s="4090"/>
      <c r="C160" s="4091"/>
      <c r="D160" s="4091"/>
      <c r="E160" s="4091"/>
      <c r="F160" s="4091"/>
      <c r="G160" s="4091"/>
    </row>
  </sheetData>
  <sheetProtection algorithmName="SHA-512" hashValue="4sbkCAtWxVE/4FhvGNqUqlq8vUAUTPtL1XAy63pL3cAh37WwlWB5vT0eBBuQkUGsiUVoihkOcJlyRgfJpGTJPQ==" saltValue="obj928p1j0OJyrQTTP7UWw==" spinCount="100000" sheet="1" objects="1" scenarios="1"/>
  <mergeCells count="4">
    <mergeCell ref="B158:G158"/>
    <mergeCell ref="B159:G159"/>
    <mergeCell ref="P92:S92"/>
    <mergeCell ref="B157:G157"/>
  </mergeCells>
  <pageMargins left="0.7" right="0.7" top="0.75" bottom="0.75" header="0.3" footer="0.3"/>
  <pageSetup scale="43"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2" tint="-0.499984740745262"/>
    <pageSetUpPr fitToPage="1"/>
  </sheetPr>
  <dimension ref="A1:IR316"/>
  <sheetViews>
    <sheetView workbookViewId="0">
      <selection activeCell="F18" sqref="F18"/>
    </sheetView>
  </sheetViews>
  <sheetFormatPr defaultColWidth="20.28515625" defaultRowHeight="15.75"/>
  <cols>
    <col min="1" max="1" width="12.28515625" style="2906" customWidth="1"/>
    <col min="2" max="2" width="9.7109375" style="2906" customWidth="1"/>
    <col min="3" max="3" width="51" style="2906" customWidth="1"/>
    <col min="4" max="4" width="18.28515625" style="2906" customWidth="1"/>
    <col min="5" max="5" width="20.5703125" style="2906" customWidth="1"/>
    <col min="6" max="6" width="28" style="2906" customWidth="1"/>
    <col min="7" max="7" width="20.28515625" style="2906"/>
    <col min="8" max="8" width="10" style="2906" customWidth="1"/>
    <col min="9" max="9" width="49.5703125" style="2906" hidden="1" customWidth="1"/>
    <col min="10" max="16384" width="20.28515625" style="2906"/>
  </cols>
  <sheetData>
    <row r="1" spans="1:252" ht="18.75">
      <c r="B1" s="2950"/>
      <c r="C1" s="2950" t="s">
        <v>766</v>
      </c>
      <c r="D1" s="2950"/>
      <c r="E1" s="2950"/>
      <c r="F1" s="2950"/>
    </row>
    <row r="2" spans="1:252" ht="18.75">
      <c r="B2" s="2950"/>
      <c r="C2" s="2950" t="s">
        <v>767</v>
      </c>
      <c r="D2" s="2950"/>
      <c r="E2" s="2950"/>
      <c r="F2" s="2950"/>
      <c r="I2" s="2923"/>
    </row>
    <row r="3" spans="1:252" ht="18.75">
      <c r="B3" s="2950"/>
      <c r="C3" s="2950" t="s">
        <v>4052</v>
      </c>
      <c r="D3" s="2950"/>
      <c r="E3" s="2950"/>
      <c r="F3" s="2950"/>
      <c r="I3" s="2923"/>
    </row>
    <row r="4" spans="1:252" ht="18.75">
      <c r="A4" s="2950"/>
      <c r="B4" s="2950"/>
      <c r="C4" s="2950"/>
      <c r="D4" s="2950"/>
      <c r="E4" s="2950"/>
      <c r="F4" s="2950"/>
      <c r="I4" s="2927" t="s">
        <v>768</v>
      </c>
    </row>
    <row r="5" spans="1:252" ht="15" customHeight="1">
      <c r="A5" s="2951"/>
      <c r="B5" s="2951" t="s">
        <v>5</v>
      </c>
      <c r="C5" s="2951" t="str">
        <f>'Contact Information'!C5</f>
        <v>SAMPLE STATE COLLEGE</v>
      </c>
      <c r="D5" s="2951"/>
      <c r="E5" s="2951"/>
      <c r="F5" s="2951"/>
      <c r="G5" s="2907"/>
      <c r="H5" s="2907"/>
      <c r="I5" s="2929" t="s">
        <v>769</v>
      </c>
      <c r="J5" s="2907"/>
      <c r="K5" s="2907"/>
      <c r="L5" s="2907"/>
      <c r="M5" s="2907"/>
      <c r="N5" s="2907"/>
      <c r="O5" s="2907"/>
      <c r="P5" s="2907"/>
      <c r="Q5" s="2907"/>
      <c r="R5" s="2907"/>
      <c r="S5" s="2907"/>
      <c r="T5" s="2907"/>
      <c r="U5" s="2907"/>
      <c r="V5" s="2907"/>
      <c r="W5" s="2907"/>
      <c r="X5" s="2907"/>
      <c r="Y5" s="2907"/>
      <c r="Z5" s="2907"/>
      <c r="AA5" s="2907"/>
      <c r="AB5" s="2907"/>
      <c r="AC5" s="2907"/>
      <c r="AD5" s="2907"/>
      <c r="AE5" s="2907"/>
      <c r="AF5" s="2907"/>
      <c r="AG5" s="2907"/>
      <c r="AH5" s="2907"/>
      <c r="AI5" s="2907"/>
      <c r="AJ5" s="2907"/>
      <c r="AK5" s="2907"/>
      <c r="AL5" s="2907"/>
      <c r="AM5" s="2907"/>
      <c r="AN5" s="2907"/>
      <c r="AO5" s="2907"/>
      <c r="AP5" s="2907"/>
      <c r="AQ5" s="2907"/>
      <c r="AR5" s="2907"/>
      <c r="AS5" s="2907"/>
      <c r="AT5" s="2907"/>
      <c r="AU5" s="2907"/>
      <c r="AV5" s="2907"/>
      <c r="AW5" s="2907"/>
      <c r="AX5" s="2907"/>
      <c r="AY5" s="2907"/>
      <c r="AZ5" s="2907"/>
      <c r="BA5" s="2907"/>
      <c r="BB5" s="2907"/>
      <c r="BC5" s="2907"/>
      <c r="BD5" s="2907"/>
      <c r="BE5" s="2907"/>
      <c r="BF5" s="2907"/>
      <c r="BG5" s="2907"/>
      <c r="BH5" s="2907"/>
      <c r="BI5" s="2907"/>
      <c r="BJ5" s="2907"/>
      <c r="BK5" s="2907"/>
      <c r="BL5" s="2907"/>
      <c r="BM5" s="2907"/>
      <c r="BN5" s="2907"/>
      <c r="BO5" s="2907"/>
      <c r="BP5" s="2907"/>
      <c r="BQ5" s="2907"/>
      <c r="BR5" s="2907"/>
      <c r="BS5" s="2907"/>
      <c r="BT5" s="2907"/>
      <c r="BU5" s="2907"/>
      <c r="BV5" s="2907"/>
      <c r="BW5" s="2907"/>
      <c r="BX5" s="2907"/>
      <c r="BY5" s="2907"/>
      <c r="BZ5" s="2907"/>
      <c r="CA5" s="2907"/>
      <c r="CB5" s="2907"/>
      <c r="CC5" s="2907"/>
      <c r="CD5" s="2907"/>
      <c r="CE5" s="2907"/>
      <c r="CF5" s="2907"/>
      <c r="CG5" s="2907"/>
      <c r="CH5" s="2907"/>
      <c r="CI5" s="2907"/>
      <c r="CJ5" s="2907"/>
      <c r="CK5" s="2907"/>
      <c r="CL5" s="2907"/>
      <c r="CM5" s="2907"/>
      <c r="CN5" s="2907"/>
      <c r="CO5" s="2907"/>
      <c r="CP5" s="2907"/>
      <c r="CQ5" s="2907"/>
      <c r="CR5" s="2907"/>
      <c r="CS5" s="2907"/>
      <c r="CT5" s="2907"/>
      <c r="CU5" s="2907"/>
      <c r="CV5" s="2907"/>
      <c r="CW5" s="2907"/>
      <c r="CX5" s="2907"/>
      <c r="CY5" s="2907"/>
      <c r="CZ5" s="2907"/>
      <c r="DA5" s="2907"/>
      <c r="DB5" s="2907"/>
      <c r="DC5" s="2907"/>
      <c r="DD5" s="2907"/>
      <c r="DE5" s="2907"/>
      <c r="DF5" s="2907"/>
      <c r="DG5" s="2907"/>
      <c r="DH5" s="2907"/>
      <c r="DI5" s="2907"/>
      <c r="DJ5" s="2907"/>
      <c r="DK5" s="2907"/>
      <c r="DL5" s="2907"/>
      <c r="DM5" s="2907"/>
      <c r="DN5" s="2907"/>
      <c r="DO5" s="2907"/>
      <c r="DP5" s="2907"/>
      <c r="DQ5" s="2907"/>
      <c r="DR5" s="2907"/>
      <c r="DS5" s="2907"/>
      <c r="DT5" s="2907"/>
      <c r="DU5" s="2907"/>
      <c r="DV5" s="2907"/>
      <c r="DW5" s="2907"/>
      <c r="DX5" s="2907"/>
      <c r="DY5" s="2907"/>
      <c r="DZ5" s="2907"/>
      <c r="EA5" s="2907"/>
      <c r="EB5" s="2907"/>
      <c r="EC5" s="2907"/>
      <c r="ED5" s="2907"/>
      <c r="EE5" s="2907"/>
      <c r="EF5" s="2907"/>
      <c r="EG5" s="2907"/>
      <c r="EH5" s="2907"/>
      <c r="EI5" s="2907"/>
      <c r="EJ5" s="2907"/>
      <c r="EK5" s="2907"/>
      <c r="EL5" s="2907"/>
      <c r="EM5" s="2907"/>
      <c r="EN5" s="2907"/>
      <c r="EO5" s="2907"/>
      <c r="EP5" s="2907"/>
      <c r="EQ5" s="2907"/>
      <c r="ER5" s="2907"/>
      <c r="ES5" s="2907"/>
      <c r="ET5" s="2907"/>
      <c r="EU5" s="2907"/>
      <c r="EV5" s="2907"/>
      <c r="EW5" s="2907"/>
      <c r="EX5" s="2907"/>
      <c r="EY5" s="2907"/>
      <c r="EZ5" s="2907"/>
      <c r="FA5" s="2907"/>
      <c r="FB5" s="2907"/>
      <c r="FC5" s="2907"/>
      <c r="FD5" s="2907"/>
      <c r="FE5" s="2907"/>
      <c r="FF5" s="2907"/>
      <c r="FG5" s="2907"/>
      <c r="FH5" s="2907"/>
      <c r="FI5" s="2907"/>
      <c r="FJ5" s="2907"/>
      <c r="FK5" s="2907"/>
      <c r="FL5" s="2907"/>
      <c r="FM5" s="2907"/>
      <c r="FN5" s="2907"/>
      <c r="FO5" s="2907"/>
      <c r="FP5" s="2907"/>
      <c r="FQ5" s="2907"/>
      <c r="FR5" s="2907"/>
      <c r="FS5" s="2907"/>
      <c r="FT5" s="2907"/>
      <c r="FU5" s="2907"/>
      <c r="FV5" s="2907"/>
      <c r="FW5" s="2907"/>
      <c r="FX5" s="2907"/>
      <c r="FY5" s="2907"/>
      <c r="FZ5" s="2907"/>
      <c r="GA5" s="2907"/>
      <c r="GB5" s="2907"/>
      <c r="GC5" s="2907"/>
      <c r="GD5" s="2907"/>
      <c r="GE5" s="2907"/>
      <c r="GF5" s="2907"/>
      <c r="GG5" s="2907"/>
      <c r="GH5" s="2907"/>
      <c r="GI5" s="2907"/>
      <c r="GJ5" s="2907"/>
      <c r="GK5" s="2907"/>
      <c r="GL5" s="2907"/>
      <c r="GM5" s="2907"/>
      <c r="GN5" s="2907"/>
      <c r="GO5" s="2907"/>
      <c r="GP5" s="2907"/>
      <c r="GQ5" s="2907"/>
      <c r="GR5" s="2907"/>
      <c r="GS5" s="2907"/>
      <c r="GT5" s="2907"/>
      <c r="GU5" s="2907"/>
      <c r="GV5" s="2907"/>
      <c r="GW5" s="2907"/>
      <c r="GX5" s="2907"/>
      <c r="GY5" s="2907"/>
      <c r="GZ5" s="2907"/>
      <c r="HA5" s="2907"/>
      <c r="HB5" s="2907"/>
      <c r="HC5" s="2907"/>
      <c r="HD5" s="2907"/>
      <c r="HE5" s="2907"/>
      <c r="HF5" s="2907"/>
      <c r="HG5" s="2907"/>
      <c r="HH5" s="2907"/>
      <c r="HI5" s="2907"/>
      <c r="HJ5" s="2907"/>
      <c r="HK5" s="2907"/>
      <c r="HL5" s="2907"/>
      <c r="HM5" s="2907"/>
      <c r="HN5" s="2907"/>
      <c r="HO5" s="2907"/>
      <c r="HP5" s="2907"/>
      <c r="HQ5" s="2907"/>
      <c r="HR5" s="2907"/>
      <c r="HS5" s="2907"/>
      <c r="HT5" s="2907"/>
      <c r="HU5" s="2907"/>
      <c r="HV5" s="2907"/>
      <c r="HW5" s="2907"/>
      <c r="HX5" s="2907"/>
      <c r="HY5" s="2907"/>
      <c r="HZ5" s="2907"/>
      <c r="IA5" s="2907"/>
      <c r="IB5" s="2907"/>
      <c r="IC5" s="2907"/>
      <c r="ID5" s="2907"/>
      <c r="IE5" s="2907"/>
      <c r="IF5" s="2907"/>
      <c r="IG5" s="2907"/>
      <c r="IH5" s="2907"/>
      <c r="II5" s="2907"/>
      <c r="IJ5" s="2907"/>
      <c r="IK5" s="2907"/>
      <c r="IL5" s="2907"/>
      <c r="IM5" s="2907"/>
      <c r="IN5" s="2907"/>
      <c r="IO5" s="2907"/>
      <c r="IP5" s="2907"/>
      <c r="IQ5" s="2907"/>
      <c r="IR5" s="2907"/>
    </row>
    <row r="6" spans="1:252" ht="15" customHeight="1">
      <c r="A6" s="2951"/>
      <c r="B6" s="2951"/>
      <c r="C6" s="2951"/>
      <c r="D6" s="2951"/>
      <c r="E6" s="2951"/>
      <c r="F6" s="2951"/>
      <c r="G6" s="2907"/>
      <c r="H6" s="2907"/>
      <c r="I6" s="2929" t="s">
        <v>124</v>
      </c>
      <c r="J6" s="2907"/>
      <c r="K6" s="2907"/>
      <c r="L6" s="2907"/>
      <c r="M6" s="2907"/>
      <c r="N6" s="2907"/>
      <c r="O6" s="2907"/>
      <c r="P6" s="2907"/>
      <c r="Q6" s="2907"/>
      <c r="R6" s="2907"/>
      <c r="S6" s="2907"/>
      <c r="T6" s="2907"/>
      <c r="U6" s="2907"/>
      <c r="V6" s="2907"/>
      <c r="W6" s="2907"/>
      <c r="X6" s="2907"/>
      <c r="Y6" s="2907"/>
      <c r="Z6" s="2907"/>
      <c r="AA6" s="2907"/>
      <c r="AB6" s="2907"/>
      <c r="AC6" s="2907"/>
      <c r="AD6" s="2907"/>
      <c r="AE6" s="2907"/>
      <c r="AF6" s="2907"/>
      <c r="AG6" s="2907"/>
      <c r="AH6" s="2907"/>
      <c r="AI6" s="2907"/>
      <c r="AJ6" s="2907"/>
      <c r="AK6" s="2907"/>
      <c r="AL6" s="2907"/>
      <c r="AM6" s="2907"/>
      <c r="AN6" s="2907"/>
      <c r="AO6" s="2907"/>
      <c r="AP6" s="2907"/>
      <c r="AQ6" s="2907"/>
      <c r="AR6" s="2907"/>
      <c r="AS6" s="2907"/>
      <c r="AT6" s="2907"/>
      <c r="AU6" s="2907"/>
      <c r="AV6" s="2907"/>
      <c r="AW6" s="2907"/>
      <c r="AX6" s="2907"/>
      <c r="AY6" s="2907"/>
      <c r="AZ6" s="2907"/>
      <c r="BA6" s="2907"/>
      <c r="BB6" s="2907"/>
      <c r="BC6" s="2907"/>
      <c r="BD6" s="2907"/>
      <c r="BE6" s="2907"/>
      <c r="BF6" s="2907"/>
      <c r="BG6" s="2907"/>
      <c r="BH6" s="2907"/>
      <c r="BI6" s="2907"/>
      <c r="BJ6" s="2907"/>
      <c r="BK6" s="2907"/>
      <c r="BL6" s="2907"/>
      <c r="BM6" s="2907"/>
      <c r="BN6" s="2907"/>
      <c r="BO6" s="2907"/>
      <c r="BP6" s="2907"/>
      <c r="BQ6" s="2907"/>
      <c r="BR6" s="2907"/>
      <c r="BS6" s="2907"/>
      <c r="BT6" s="2907"/>
      <c r="BU6" s="2907"/>
      <c r="BV6" s="2907"/>
      <c r="BW6" s="2907"/>
      <c r="BX6" s="2907"/>
      <c r="BY6" s="2907"/>
      <c r="BZ6" s="2907"/>
      <c r="CA6" s="2907"/>
      <c r="CB6" s="2907"/>
      <c r="CC6" s="2907"/>
      <c r="CD6" s="2907"/>
      <c r="CE6" s="2907"/>
      <c r="CF6" s="2907"/>
      <c r="CG6" s="2907"/>
      <c r="CH6" s="2907"/>
      <c r="CI6" s="2907"/>
      <c r="CJ6" s="2907"/>
      <c r="CK6" s="2907"/>
      <c r="CL6" s="2907"/>
      <c r="CM6" s="2907"/>
      <c r="CN6" s="2907"/>
      <c r="CO6" s="2907"/>
      <c r="CP6" s="2907"/>
      <c r="CQ6" s="2907"/>
      <c r="CR6" s="2907"/>
      <c r="CS6" s="2907"/>
      <c r="CT6" s="2907"/>
      <c r="CU6" s="2907"/>
      <c r="CV6" s="2907"/>
      <c r="CW6" s="2907"/>
      <c r="CX6" s="2907"/>
      <c r="CY6" s="2907"/>
      <c r="CZ6" s="2907"/>
      <c r="DA6" s="2907"/>
      <c r="DB6" s="2907"/>
      <c r="DC6" s="2907"/>
      <c r="DD6" s="2907"/>
      <c r="DE6" s="2907"/>
      <c r="DF6" s="2907"/>
      <c r="DG6" s="2907"/>
      <c r="DH6" s="2907"/>
      <c r="DI6" s="2907"/>
      <c r="DJ6" s="2907"/>
      <c r="DK6" s="2907"/>
      <c r="DL6" s="2907"/>
      <c r="DM6" s="2907"/>
      <c r="DN6" s="2907"/>
      <c r="DO6" s="2907"/>
      <c r="DP6" s="2907"/>
      <c r="DQ6" s="2907"/>
      <c r="DR6" s="2907"/>
      <c r="DS6" s="2907"/>
      <c r="DT6" s="2907"/>
      <c r="DU6" s="2907"/>
      <c r="DV6" s="2907"/>
      <c r="DW6" s="2907"/>
      <c r="DX6" s="2907"/>
      <c r="DY6" s="2907"/>
      <c r="DZ6" s="2907"/>
      <c r="EA6" s="2907"/>
      <c r="EB6" s="2907"/>
      <c r="EC6" s="2907"/>
      <c r="ED6" s="2907"/>
      <c r="EE6" s="2907"/>
      <c r="EF6" s="2907"/>
      <c r="EG6" s="2907"/>
      <c r="EH6" s="2907"/>
      <c r="EI6" s="2907"/>
      <c r="EJ6" s="2907"/>
      <c r="EK6" s="2907"/>
      <c r="EL6" s="2907"/>
      <c r="EM6" s="2907"/>
      <c r="EN6" s="2907"/>
      <c r="EO6" s="2907"/>
      <c r="EP6" s="2907"/>
      <c r="EQ6" s="2907"/>
      <c r="ER6" s="2907"/>
      <c r="ES6" s="2907"/>
      <c r="ET6" s="2907"/>
      <c r="EU6" s="2907"/>
      <c r="EV6" s="2907"/>
      <c r="EW6" s="2907"/>
      <c r="EX6" s="2907"/>
      <c r="EY6" s="2907"/>
      <c r="EZ6" s="2907"/>
      <c r="FA6" s="2907"/>
      <c r="FB6" s="2907"/>
      <c r="FC6" s="2907"/>
      <c r="FD6" s="2907"/>
      <c r="FE6" s="2907"/>
      <c r="FF6" s="2907"/>
      <c r="FG6" s="2907"/>
      <c r="FH6" s="2907"/>
      <c r="FI6" s="2907"/>
      <c r="FJ6" s="2907"/>
      <c r="FK6" s="2907"/>
      <c r="FL6" s="2907"/>
      <c r="FM6" s="2907"/>
      <c r="FN6" s="2907"/>
      <c r="FO6" s="2907"/>
      <c r="FP6" s="2907"/>
      <c r="FQ6" s="2907"/>
      <c r="FR6" s="2907"/>
      <c r="FS6" s="2907"/>
      <c r="FT6" s="2907"/>
      <c r="FU6" s="2907"/>
      <c r="FV6" s="2907"/>
      <c r="FW6" s="2907"/>
      <c r="FX6" s="2907"/>
      <c r="FY6" s="2907"/>
      <c r="FZ6" s="2907"/>
      <c r="GA6" s="2907"/>
      <c r="GB6" s="2907"/>
      <c r="GC6" s="2907"/>
      <c r="GD6" s="2907"/>
      <c r="GE6" s="2907"/>
      <c r="GF6" s="2907"/>
      <c r="GG6" s="2907"/>
      <c r="GH6" s="2907"/>
      <c r="GI6" s="2907"/>
      <c r="GJ6" s="2907"/>
      <c r="GK6" s="2907"/>
      <c r="GL6" s="2907"/>
      <c r="GM6" s="2907"/>
      <c r="GN6" s="2907"/>
      <c r="GO6" s="2907"/>
      <c r="GP6" s="2907"/>
      <c r="GQ6" s="2907"/>
      <c r="GR6" s="2907"/>
      <c r="GS6" s="2907"/>
      <c r="GT6" s="2907"/>
      <c r="GU6" s="2907"/>
      <c r="GV6" s="2907"/>
      <c r="GW6" s="2907"/>
      <c r="GX6" s="2907"/>
      <c r="GY6" s="2907"/>
      <c r="GZ6" s="2907"/>
      <c r="HA6" s="2907"/>
      <c r="HB6" s="2907"/>
      <c r="HC6" s="2907"/>
      <c r="HD6" s="2907"/>
      <c r="HE6" s="2907"/>
      <c r="HF6" s="2907"/>
      <c r="HG6" s="2907"/>
      <c r="HH6" s="2907"/>
      <c r="HI6" s="2907"/>
      <c r="HJ6" s="2907"/>
      <c r="HK6" s="2907"/>
      <c r="HL6" s="2907"/>
      <c r="HM6" s="2907"/>
      <c r="HN6" s="2907"/>
      <c r="HO6" s="2907"/>
      <c r="HP6" s="2907"/>
      <c r="HQ6" s="2907"/>
      <c r="HR6" s="2907"/>
      <c r="HS6" s="2907"/>
      <c r="HT6" s="2907"/>
      <c r="HU6" s="2907"/>
      <c r="HV6" s="2907"/>
      <c r="HW6" s="2907"/>
      <c r="HX6" s="2907"/>
      <c r="HY6" s="2907"/>
      <c r="HZ6" s="2907"/>
      <c r="IA6" s="2907"/>
      <c r="IB6" s="2907"/>
      <c r="IC6" s="2907"/>
      <c r="ID6" s="2907"/>
      <c r="IE6" s="2907"/>
      <c r="IF6" s="2907"/>
      <c r="IG6" s="2907"/>
      <c r="IH6" s="2907"/>
      <c r="II6" s="2907"/>
      <c r="IJ6" s="2907"/>
      <c r="IK6" s="2907"/>
      <c r="IL6" s="2907"/>
      <c r="IM6" s="2907"/>
      <c r="IN6" s="2907"/>
      <c r="IO6" s="2907"/>
      <c r="IP6" s="2907"/>
      <c r="IQ6" s="2907"/>
      <c r="IR6" s="2907"/>
    </row>
    <row r="7" spans="1:252" ht="15" customHeight="1">
      <c r="A7" s="2949"/>
      <c r="B7" s="2949"/>
      <c r="C7" s="2949"/>
      <c r="D7" s="2908"/>
      <c r="E7" s="2951"/>
      <c r="F7" s="2951"/>
      <c r="G7" s="2907"/>
      <c r="H7" s="2907"/>
      <c r="I7" s="2929" t="s">
        <v>770</v>
      </c>
      <c r="J7" s="2907"/>
      <c r="K7" s="2907"/>
      <c r="L7" s="2907"/>
      <c r="M7" s="2907"/>
      <c r="N7" s="2907"/>
      <c r="O7" s="2907"/>
      <c r="P7" s="2907"/>
      <c r="Q7" s="2907"/>
      <c r="R7" s="2907"/>
      <c r="S7" s="2907"/>
      <c r="T7" s="2907"/>
      <c r="U7" s="2907"/>
      <c r="V7" s="2907"/>
      <c r="W7" s="2907"/>
      <c r="X7" s="2907"/>
      <c r="Y7" s="2907"/>
      <c r="Z7" s="2907"/>
      <c r="AA7" s="2907"/>
      <c r="AB7" s="2907"/>
      <c r="AC7" s="2907"/>
      <c r="AD7" s="2907"/>
      <c r="AE7" s="2907"/>
      <c r="AF7" s="2907"/>
      <c r="AG7" s="2907"/>
      <c r="AH7" s="2907"/>
      <c r="AI7" s="2907"/>
      <c r="AJ7" s="2907"/>
      <c r="AK7" s="2907"/>
      <c r="AL7" s="2907"/>
      <c r="AM7" s="2907"/>
      <c r="AN7" s="2907"/>
      <c r="AO7" s="2907"/>
      <c r="AP7" s="2907"/>
      <c r="AQ7" s="2907"/>
      <c r="AR7" s="2907"/>
      <c r="AS7" s="2907"/>
      <c r="AT7" s="2907"/>
      <c r="AU7" s="2907"/>
      <c r="AV7" s="2907"/>
      <c r="AW7" s="2907"/>
      <c r="AX7" s="2907"/>
      <c r="AY7" s="2907"/>
      <c r="AZ7" s="2907"/>
      <c r="BA7" s="2907"/>
      <c r="BB7" s="2907"/>
      <c r="BC7" s="2907"/>
      <c r="BD7" s="2907"/>
      <c r="BE7" s="2907"/>
      <c r="BF7" s="2907"/>
      <c r="BG7" s="2907"/>
      <c r="BH7" s="2907"/>
      <c r="BI7" s="2907"/>
      <c r="BJ7" s="2907"/>
      <c r="BK7" s="2907"/>
      <c r="BL7" s="2907"/>
      <c r="BM7" s="2907"/>
      <c r="BN7" s="2907"/>
      <c r="BO7" s="2907"/>
      <c r="BP7" s="2907"/>
      <c r="BQ7" s="2907"/>
      <c r="BR7" s="2907"/>
      <c r="BS7" s="2907"/>
      <c r="BT7" s="2907"/>
      <c r="BU7" s="2907"/>
      <c r="BV7" s="2907"/>
      <c r="BW7" s="2907"/>
      <c r="BX7" s="2907"/>
      <c r="BY7" s="2907"/>
      <c r="BZ7" s="2907"/>
      <c r="CA7" s="2907"/>
      <c r="CB7" s="2907"/>
      <c r="CC7" s="2907"/>
      <c r="CD7" s="2907"/>
      <c r="CE7" s="2907"/>
      <c r="CF7" s="2907"/>
      <c r="CG7" s="2907"/>
      <c r="CH7" s="2907"/>
      <c r="CI7" s="2907"/>
      <c r="CJ7" s="2907"/>
      <c r="CK7" s="2907"/>
      <c r="CL7" s="2907"/>
      <c r="CM7" s="2907"/>
      <c r="CN7" s="2907"/>
      <c r="CO7" s="2907"/>
      <c r="CP7" s="2907"/>
      <c r="CQ7" s="2907"/>
      <c r="CR7" s="2907"/>
      <c r="CS7" s="2907"/>
      <c r="CT7" s="2907"/>
      <c r="CU7" s="2907"/>
      <c r="CV7" s="2907"/>
      <c r="CW7" s="2907"/>
      <c r="CX7" s="2907"/>
      <c r="CY7" s="2907"/>
      <c r="CZ7" s="2907"/>
      <c r="DA7" s="2907"/>
      <c r="DB7" s="2907"/>
      <c r="DC7" s="2907"/>
      <c r="DD7" s="2907"/>
      <c r="DE7" s="2907"/>
      <c r="DF7" s="2907"/>
      <c r="DG7" s="2907"/>
      <c r="DH7" s="2907"/>
      <c r="DI7" s="2907"/>
      <c r="DJ7" s="2907"/>
      <c r="DK7" s="2907"/>
      <c r="DL7" s="2907"/>
      <c r="DM7" s="2907"/>
      <c r="DN7" s="2907"/>
      <c r="DO7" s="2907"/>
      <c r="DP7" s="2907"/>
      <c r="DQ7" s="2907"/>
      <c r="DR7" s="2907"/>
      <c r="DS7" s="2907"/>
      <c r="DT7" s="2907"/>
      <c r="DU7" s="2907"/>
      <c r="DV7" s="2907"/>
      <c r="DW7" s="2907"/>
      <c r="DX7" s="2907"/>
      <c r="DY7" s="2907"/>
      <c r="DZ7" s="2907"/>
      <c r="EA7" s="2907"/>
      <c r="EB7" s="2907"/>
      <c r="EC7" s="2907"/>
      <c r="ED7" s="2907"/>
      <c r="EE7" s="2907"/>
      <c r="EF7" s="2907"/>
      <c r="EG7" s="2907"/>
      <c r="EH7" s="2907"/>
      <c r="EI7" s="2907"/>
      <c r="EJ7" s="2907"/>
      <c r="EK7" s="2907"/>
      <c r="EL7" s="2907"/>
      <c r="EM7" s="2907"/>
      <c r="EN7" s="2907"/>
      <c r="EO7" s="2907"/>
      <c r="EP7" s="2907"/>
      <c r="EQ7" s="2907"/>
      <c r="ER7" s="2907"/>
      <c r="ES7" s="2907"/>
      <c r="ET7" s="2907"/>
      <c r="EU7" s="2907"/>
      <c r="EV7" s="2907"/>
      <c r="EW7" s="2907"/>
      <c r="EX7" s="2907"/>
      <c r="EY7" s="2907"/>
      <c r="EZ7" s="2907"/>
      <c r="FA7" s="2907"/>
      <c r="FB7" s="2907"/>
      <c r="FC7" s="2907"/>
      <c r="FD7" s="2907"/>
      <c r="FE7" s="2907"/>
      <c r="FF7" s="2907"/>
      <c r="FG7" s="2907"/>
      <c r="FH7" s="2907"/>
      <c r="FI7" s="2907"/>
      <c r="FJ7" s="2907"/>
      <c r="FK7" s="2907"/>
      <c r="FL7" s="2907"/>
      <c r="FM7" s="2907"/>
      <c r="FN7" s="2907"/>
      <c r="FO7" s="2907"/>
      <c r="FP7" s="2907"/>
      <c r="FQ7" s="2907"/>
      <c r="FR7" s="2907"/>
      <c r="FS7" s="2907"/>
      <c r="FT7" s="2907"/>
      <c r="FU7" s="2907"/>
      <c r="FV7" s="2907"/>
      <c r="FW7" s="2907"/>
      <c r="FX7" s="2907"/>
      <c r="FY7" s="2907"/>
      <c r="FZ7" s="2907"/>
      <c r="GA7" s="2907"/>
      <c r="GB7" s="2907"/>
      <c r="GC7" s="2907"/>
      <c r="GD7" s="2907"/>
      <c r="GE7" s="2907"/>
      <c r="GF7" s="2907"/>
      <c r="GG7" s="2907"/>
      <c r="GH7" s="2907"/>
      <c r="GI7" s="2907"/>
      <c r="GJ7" s="2907"/>
      <c r="GK7" s="2907"/>
      <c r="GL7" s="2907"/>
      <c r="GM7" s="2907"/>
      <c r="GN7" s="2907"/>
      <c r="GO7" s="2907"/>
      <c r="GP7" s="2907"/>
      <c r="GQ7" s="2907"/>
      <c r="GR7" s="2907"/>
      <c r="GS7" s="2907"/>
      <c r="GT7" s="2907"/>
      <c r="GU7" s="2907"/>
      <c r="GV7" s="2907"/>
      <c r="GW7" s="2907"/>
      <c r="GX7" s="2907"/>
      <c r="GY7" s="2907"/>
      <c r="GZ7" s="2907"/>
      <c r="HA7" s="2907"/>
      <c r="HB7" s="2907"/>
      <c r="HC7" s="2907"/>
      <c r="HD7" s="2907"/>
      <c r="HE7" s="2907"/>
      <c r="HF7" s="2907"/>
      <c r="HG7" s="2907"/>
      <c r="HH7" s="2907"/>
      <c r="HI7" s="2907"/>
      <c r="HJ7" s="2907"/>
      <c r="HK7" s="2907"/>
      <c r="HL7" s="2907"/>
      <c r="HM7" s="2907"/>
      <c r="HN7" s="2907"/>
      <c r="HO7" s="2907"/>
      <c r="HP7" s="2907"/>
      <c r="HQ7" s="2907"/>
      <c r="HR7" s="2907"/>
      <c r="HS7" s="2907"/>
      <c r="HT7" s="2907"/>
      <c r="HU7" s="2907"/>
      <c r="HV7" s="2907"/>
      <c r="HW7" s="2907"/>
      <c r="HX7" s="2907"/>
      <c r="HY7" s="2907"/>
      <c r="HZ7" s="2907"/>
      <c r="IA7" s="2907"/>
      <c r="IB7" s="2907"/>
      <c r="IC7" s="2907"/>
      <c r="ID7" s="2907"/>
      <c r="IE7" s="2907"/>
      <c r="IF7" s="2907"/>
      <c r="IG7" s="2907"/>
      <c r="IH7" s="2907"/>
      <c r="II7" s="2907"/>
      <c r="IJ7" s="2907"/>
      <c r="IK7" s="2907"/>
      <c r="IL7" s="2907"/>
      <c r="IM7" s="2907"/>
      <c r="IN7" s="2907"/>
      <c r="IO7" s="2907"/>
      <c r="IP7" s="2907"/>
      <c r="IQ7" s="2907"/>
      <c r="IR7" s="2907"/>
    </row>
    <row r="8" spans="1:252" ht="15" customHeight="1">
      <c r="A8" s="2949" t="s">
        <v>771</v>
      </c>
      <c r="B8" s="2949"/>
      <c r="C8" s="2949"/>
      <c r="D8" s="2908">
        <f>+'Accounts by GL'!D542</f>
        <v>0</v>
      </c>
      <c r="E8" s="2951"/>
      <c r="F8" s="2951"/>
      <c r="G8" s="2907"/>
      <c r="H8" s="2907"/>
      <c r="I8" s="2929" t="s">
        <v>772</v>
      </c>
      <c r="J8" s="2907"/>
      <c r="K8" s="2907"/>
      <c r="L8" s="2907"/>
      <c r="M8" s="2907"/>
      <c r="N8" s="2907"/>
      <c r="O8" s="2907"/>
      <c r="P8" s="2907"/>
      <c r="Q8" s="2907"/>
      <c r="R8" s="2907"/>
      <c r="S8" s="2907"/>
      <c r="T8" s="2907"/>
      <c r="U8" s="2907"/>
      <c r="V8" s="2907"/>
      <c r="W8" s="2907"/>
      <c r="X8" s="2907"/>
      <c r="Y8" s="2907"/>
      <c r="Z8" s="2907"/>
      <c r="AA8" s="2907"/>
      <c r="AB8" s="2907"/>
      <c r="AC8" s="2907"/>
      <c r="AD8" s="2907"/>
      <c r="AE8" s="2907"/>
      <c r="AF8" s="2907"/>
      <c r="AG8" s="2907"/>
      <c r="AH8" s="2907"/>
      <c r="AI8" s="2907"/>
      <c r="AJ8" s="2907"/>
      <c r="AK8" s="2907"/>
      <c r="AL8" s="2907"/>
      <c r="AM8" s="2907"/>
      <c r="AN8" s="2907"/>
      <c r="AO8" s="2907"/>
      <c r="AP8" s="2907"/>
      <c r="AQ8" s="2907"/>
      <c r="AR8" s="2907"/>
      <c r="AS8" s="2907"/>
      <c r="AT8" s="2907"/>
      <c r="AU8" s="2907"/>
      <c r="AV8" s="2907"/>
      <c r="AW8" s="2907"/>
      <c r="AX8" s="2907"/>
      <c r="AY8" s="2907"/>
      <c r="AZ8" s="2907"/>
      <c r="BA8" s="2907"/>
      <c r="BB8" s="2907"/>
      <c r="BC8" s="2907"/>
      <c r="BD8" s="2907"/>
      <c r="BE8" s="2907"/>
      <c r="BF8" s="2907"/>
      <c r="BG8" s="2907"/>
      <c r="BH8" s="2907"/>
      <c r="BI8" s="2907"/>
      <c r="BJ8" s="2907"/>
      <c r="BK8" s="2907"/>
      <c r="BL8" s="2907"/>
      <c r="BM8" s="2907"/>
      <c r="BN8" s="2907"/>
      <c r="BO8" s="2907"/>
      <c r="BP8" s="2907"/>
      <c r="BQ8" s="2907"/>
      <c r="BR8" s="2907"/>
      <c r="BS8" s="2907"/>
      <c r="BT8" s="2907"/>
      <c r="BU8" s="2907"/>
      <c r="BV8" s="2907"/>
      <c r="BW8" s="2907"/>
      <c r="BX8" s="2907"/>
      <c r="BY8" s="2907"/>
      <c r="BZ8" s="2907"/>
      <c r="CA8" s="2907"/>
      <c r="CB8" s="2907"/>
      <c r="CC8" s="2907"/>
      <c r="CD8" s="2907"/>
      <c r="CE8" s="2907"/>
      <c r="CF8" s="2907"/>
      <c r="CG8" s="2907"/>
      <c r="CH8" s="2907"/>
      <c r="CI8" s="2907"/>
      <c r="CJ8" s="2907"/>
      <c r="CK8" s="2907"/>
      <c r="CL8" s="2907"/>
      <c r="CM8" s="2907"/>
      <c r="CN8" s="2907"/>
      <c r="CO8" s="2907"/>
      <c r="CP8" s="2907"/>
      <c r="CQ8" s="2907"/>
      <c r="CR8" s="2907"/>
      <c r="CS8" s="2907"/>
      <c r="CT8" s="2907"/>
      <c r="CU8" s="2907"/>
      <c r="CV8" s="2907"/>
      <c r="CW8" s="2907"/>
      <c r="CX8" s="2907"/>
      <c r="CY8" s="2907"/>
      <c r="CZ8" s="2907"/>
      <c r="DA8" s="2907"/>
      <c r="DB8" s="2907"/>
      <c r="DC8" s="2907"/>
      <c r="DD8" s="2907"/>
      <c r="DE8" s="2907"/>
      <c r="DF8" s="2907"/>
      <c r="DG8" s="2907"/>
      <c r="DH8" s="2907"/>
      <c r="DI8" s="2907"/>
      <c r="DJ8" s="2907"/>
      <c r="DK8" s="2907"/>
      <c r="DL8" s="2907"/>
      <c r="DM8" s="2907"/>
      <c r="DN8" s="2907"/>
      <c r="DO8" s="2907"/>
      <c r="DP8" s="2907"/>
      <c r="DQ8" s="2907"/>
      <c r="DR8" s="2907"/>
      <c r="DS8" s="2907"/>
      <c r="DT8" s="2907"/>
      <c r="DU8" s="2907"/>
      <c r="DV8" s="2907"/>
      <c r="DW8" s="2907"/>
      <c r="DX8" s="2907"/>
      <c r="DY8" s="2907"/>
      <c r="DZ8" s="2907"/>
      <c r="EA8" s="2907"/>
      <c r="EB8" s="2907"/>
      <c r="EC8" s="2907"/>
      <c r="ED8" s="2907"/>
      <c r="EE8" s="2907"/>
      <c r="EF8" s="2907"/>
      <c r="EG8" s="2907"/>
      <c r="EH8" s="2907"/>
      <c r="EI8" s="2907"/>
      <c r="EJ8" s="2907"/>
      <c r="EK8" s="2907"/>
      <c r="EL8" s="2907"/>
      <c r="EM8" s="2907"/>
      <c r="EN8" s="2907"/>
      <c r="EO8" s="2907"/>
      <c r="EP8" s="2907"/>
      <c r="EQ8" s="2907"/>
      <c r="ER8" s="2907"/>
      <c r="ES8" s="2907"/>
      <c r="ET8" s="2907"/>
      <c r="EU8" s="2907"/>
      <c r="EV8" s="2907"/>
      <c r="EW8" s="2907"/>
      <c r="EX8" s="2907"/>
      <c r="EY8" s="2907"/>
      <c r="EZ8" s="2907"/>
      <c r="FA8" s="2907"/>
      <c r="FB8" s="2907"/>
      <c r="FC8" s="2907"/>
      <c r="FD8" s="2907"/>
      <c r="FE8" s="2907"/>
      <c r="FF8" s="2907"/>
      <c r="FG8" s="2907"/>
      <c r="FH8" s="2907"/>
      <c r="FI8" s="2907"/>
      <c r="FJ8" s="2907"/>
      <c r="FK8" s="2907"/>
      <c r="FL8" s="2907"/>
      <c r="FM8" s="2907"/>
      <c r="FN8" s="2907"/>
      <c r="FO8" s="2907"/>
      <c r="FP8" s="2907"/>
      <c r="FQ8" s="2907"/>
      <c r="FR8" s="2907"/>
      <c r="FS8" s="2907"/>
      <c r="FT8" s="2907"/>
      <c r="FU8" s="2907"/>
      <c r="FV8" s="2907"/>
      <c r="FW8" s="2907"/>
      <c r="FX8" s="2907"/>
      <c r="FY8" s="2907"/>
      <c r="FZ8" s="2907"/>
      <c r="GA8" s="2907"/>
      <c r="GB8" s="2907"/>
      <c r="GC8" s="2907"/>
      <c r="GD8" s="2907"/>
      <c r="GE8" s="2907"/>
      <c r="GF8" s="2907"/>
      <c r="GG8" s="2907"/>
      <c r="GH8" s="2907"/>
      <c r="GI8" s="2907"/>
      <c r="GJ8" s="2907"/>
      <c r="GK8" s="2907"/>
      <c r="GL8" s="2907"/>
      <c r="GM8" s="2907"/>
      <c r="GN8" s="2907"/>
      <c r="GO8" s="2907"/>
      <c r="GP8" s="2907"/>
      <c r="GQ8" s="2907"/>
      <c r="GR8" s="2907"/>
      <c r="GS8" s="2907"/>
      <c r="GT8" s="2907"/>
      <c r="GU8" s="2907"/>
      <c r="GV8" s="2907"/>
      <c r="GW8" s="2907"/>
      <c r="GX8" s="2907"/>
      <c r="GY8" s="2907"/>
      <c r="GZ8" s="2907"/>
      <c r="HA8" s="2907"/>
      <c r="HB8" s="2907"/>
      <c r="HC8" s="2907"/>
      <c r="HD8" s="2907"/>
      <c r="HE8" s="2907"/>
      <c r="HF8" s="2907"/>
      <c r="HG8" s="2907"/>
      <c r="HH8" s="2907"/>
      <c r="HI8" s="2907"/>
      <c r="HJ8" s="2907"/>
      <c r="HK8" s="2907"/>
      <c r="HL8" s="2907"/>
      <c r="HM8" s="2907"/>
      <c r="HN8" s="2907"/>
      <c r="HO8" s="2907"/>
      <c r="HP8" s="2907"/>
      <c r="HQ8" s="2907"/>
      <c r="HR8" s="2907"/>
      <c r="HS8" s="2907"/>
      <c r="HT8" s="2907"/>
      <c r="HU8" s="2907"/>
      <c r="HV8" s="2907"/>
      <c r="HW8" s="2907"/>
      <c r="HX8" s="2907"/>
      <c r="HY8" s="2907"/>
      <c r="HZ8" s="2907"/>
      <c r="IA8" s="2907"/>
      <c r="IB8" s="2907"/>
      <c r="IC8" s="2907"/>
      <c r="ID8" s="2907"/>
      <c r="IE8" s="2907"/>
      <c r="IF8" s="2907"/>
      <c r="IG8" s="2907"/>
      <c r="IH8" s="2907"/>
      <c r="II8" s="2907"/>
      <c r="IJ8" s="2907"/>
      <c r="IK8" s="2907"/>
      <c r="IL8" s="2907"/>
      <c r="IM8" s="2907"/>
      <c r="IN8" s="2907"/>
      <c r="IO8" s="2907"/>
      <c r="IP8" s="2907"/>
      <c r="IQ8" s="2907"/>
      <c r="IR8" s="2907"/>
    </row>
    <row r="9" spans="1:252" ht="15" customHeight="1">
      <c r="A9" s="2949" t="s">
        <v>773</v>
      </c>
      <c r="B9" s="2949"/>
      <c r="C9" s="2949"/>
      <c r="D9" s="2908">
        <f>+'Accounts by GL'!D543</f>
        <v>0</v>
      </c>
      <c r="E9" s="2951"/>
      <c r="F9" s="2951"/>
      <c r="G9" s="2907"/>
      <c r="H9" s="2907"/>
      <c r="I9" s="2929" t="s">
        <v>774</v>
      </c>
      <c r="J9" s="2907"/>
      <c r="K9" s="2907"/>
      <c r="L9" s="2907"/>
      <c r="M9" s="2907"/>
      <c r="N9" s="2907"/>
      <c r="O9" s="2907"/>
      <c r="P9" s="2907"/>
      <c r="Q9" s="2907"/>
      <c r="R9" s="2907"/>
      <c r="S9" s="2907"/>
      <c r="T9" s="2907"/>
      <c r="U9" s="2907"/>
      <c r="V9" s="2907"/>
      <c r="W9" s="2907"/>
      <c r="X9" s="2907"/>
      <c r="Y9" s="2907"/>
      <c r="Z9" s="2907"/>
      <c r="AA9" s="2907"/>
      <c r="AB9" s="2907"/>
      <c r="AC9" s="2907"/>
      <c r="AD9" s="2907"/>
      <c r="AE9" s="2907"/>
      <c r="AF9" s="2907"/>
      <c r="AG9" s="2907"/>
      <c r="AH9" s="2907"/>
      <c r="AI9" s="2907"/>
      <c r="AJ9" s="2907"/>
      <c r="AK9" s="2907"/>
      <c r="AL9" s="2907"/>
      <c r="AM9" s="2907"/>
      <c r="AN9" s="2907"/>
      <c r="AO9" s="2907"/>
      <c r="AP9" s="2907"/>
      <c r="AQ9" s="2907"/>
      <c r="AR9" s="2907"/>
      <c r="AS9" s="2907"/>
      <c r="AT9" s="2907"/>
      <c r="AU9" s="2907"/>
      <c r="AV9" s="2907"/>
      <c r="AW9" s="2907"/>
      <c r="AX9" s="2907"/>
      <c r="AY9" s="2907"/>
      <c r="AZ9" s="2907"/>
      <c r="BA9" s="2907"/>
      <c r="BB9" s="2907"/>
      <c r="BC9" s="2907"/>
      <c r="BD9" s="2907"/>
      <c r="BE9" s="2907"/>
      <c r="BF9" s="2907"/>
      <c r="BG9" s="2907"/>
      <c r="BH9" s="2907"/>
      <c r="BI9" s="2907"/>
      <c r="BJ9" s="2907"/>
      <c r="BK9" s="2907"/>
      <c r="BL9" s="2907"/>
      <c r="BM9" s="2907"/>
      <c r="BN9" s="2907"/>
      <c r="BO9" s="2907"/>
      <c r="BP9" s="2907"/>
      <c r="BQ9" s="2907"/>
      <c r="BR9" s="2907"/>
      <c r="BS9" s="2907"/>
      <c r="BT9" s="2907"/>
      <c r="BU9" s="2907"/>
      <c r="BV9" s="2907"/>
      <c r="BW9" s="2907"/>
      <c r="BX9" s="2907"/>
      <c r="BY9" s="2907"/>
      <c r="BZ9" s="2907"/>
      <c r="CA9" s="2907"/>
      <c r="CB9" s="2907"/>
      <c r="CC9" s="2907"/>
      <c r="CD9" s="2907"/>
      <c r="CE9" s="2907"/>
      <c r="CF9" s="2907"/>
      <c r="CG9" s="2907"/>
      <c r="CH9" s="2907"/>
      <c r="CI9" s="2907"/>
      <c r="CJ9" s="2907"/>
      <c r="CK9" s="2907"/>
      <c r="CL9" s="2907"/>
      <c r="CM9" s="2907"/>
      <c r="CN9" s="2907"/>
      <c r="CO9" s="2907"/>
      <c r="CP9" s="2907"/>
      <c r="CQ9" s="2907"/>
      <c r="CR9" s="2907"/>
      <c r="CS9" s="2907"/>
      <c r="CT9" s="2907"/>
      <c r="CU9" s="2907"/>
      <c r="CV9" s="2907"/>
      <c r="CW9" s="2907"/>
      <c r="CX9" s="2907"/>
      <c r="CY9" s="2907"/>
      <c r="CZ9" s="2907"/>
      <c r="DA9" s="2907"/>
      <c r="DB9" s="2907"/>
      <c r="DC9" s="2907"/>
      <c r="DD9" s="2907"/>
      <c r="DE9" s="2907"/>
      <c r="DF9" s="2907"/>
      <c r="DG9" s="2907"/>
      <c r="DH9" s="2907"/>
      <c r="DI9" s="2907"/>
      <c r="DJ9" s="2907"/>
      <c r="DK9" s="2907"/>
      <c r="DL9" s="2907"/>
      <c r="DM9" s="2907"/>
      <c r="DN9" s="2907"/>
      <c r="DO9" s="2907"/>
      <c r="DP9" s="2907"/>
      <c r="DQ9" s="2907"/>
      <c r="DR9" s="2907"/>
      <c r="DS9" s="2907"/>
      <c r="DT9" s="2907"/>
      <c r="DU9" s="2907"/>
      <c r="DV9" s="2907"/>
      <c r="DW9" s="2907"/>
      <c r="DX9" s="2907"/>
      <c r="DY9" s="2907"/>
      <c r="DZ9" s="2907"/>
      <c r="EA9" s="2907"/>
      <c r="EB9" s="2907"/>
      <c r="EC9" s="2907"/>
      <c r="ED9" s="2907"/>
      <c r="EE9" s="2907"/>
      <c r="EF9" s="2907"/>
      <c r="EG9" s="2907"/>
      <c r="EH9" s="2907"/>
      <c r="EI9" s="2907"/>
      <c r="EJ9" s="2907"/>
      <c r="EK9" s="2907"/>
      <c r="EL9" s="2907"/>
      <c r="EM9" s="2907"/>
      <c r="EN9" s="2907"/>
      <c r="EO9" s="2907"/>
      <c r="EP9" s="2907"/>
      <c r="EQ9" s="2907"/>
      <c r="ER9" s="2907"/>
      <c r="ES9" s="2907"/>
      <c r="ET9" s="2907"/>
      <c r="EU9" s="2907"/>
      <c r="EV9" s="2907"/>
      <c r="EW9" s="2907"/>
      <c r="EX9" s="2907"/>
      <c r="EY9" s="2907"/>
      <c r="EZ9" s="2907"/>
      <c r="FA9" s="2907"/>
      <c r="FB9" s="2907"/>
      <c r="FC9" s="2907"/>
      <c r="FD9" s="2907"/>
      <c r="FE9" s="2907"/>
      <c r="FF9" s="2907"/>
      <c r="FG9" s="2907"/>
      <c r="FH9" s="2907"/>
      <c r="FI9" s="2907"/>
      <c r="FJ9" s="2907"/>
      <c r="FK9" s="2907"/>
      <c r="FL9" s="2907"/>
      <c r="FM9" s="2907"/>
      <c r="FN9" s="2907"/>
      <c r="FO9" s="2907"/>
      <c r="FP9" s="2907"/>
      <c r="FQ9" s="2907"/>
      <c r="FR9" s="2907"/>
      <c r="FS9" s="2907"/>
      <c r="FT9" s="2907"/>
      <c r="FU9" s="2907"/>
      <c r="FV9" s="2907"/>
      <c r="FW9" s="2907"/>
      <c r="FX9" s="2907"/>
      <c r="FY9" s="2907"/>
      <c r="FZ9" s="2907"/>
      <c r="GA9" s="2907"/>
      <c r="GB9" s="2907"/>
      <c r="GC9" s="2907"/>
      <c r="GD9" s="2907"/>
      <c r="GE9" s="2907"/>
      <c r="GF9" s="2907"/>
      <c r="GG9" s="2907"/>
      <c r="GH9" s="2907"/>
      <c r="GI9" s="2907"/>
      <c r="GJ9" s="2907"/>
      <c r="GK9" s="2907"/>
      <c r="GL9" s="2907"/>
      <c r="GM9" s="2907"/>
      <c r="GN9" s="2907"/>
      <c r="GO9" s="2907"/>
      <c r="GP9" s="2907"/>
      <c r="GQ9" s="2907"/>
      <c r="GR9" s="2907"/>
      <c r="GS9" s="2907"/>
      <c r="GT9" s="2907"/>
      <c r="GU9" s="2907"/>
      <c r="GV9" s="2907"/>
      <c r="GW9" s="2907"/>
      <c r="GX9" s="2907"/>
      <c r="GY9" s="2907"/>
      <c r="GZ9" s="2907"/>
      <c r="HA9" s="2907"/>
      <c r="HB9" s="2907"/>
      <c r="HC9" s="2907"/>
      <c r="HD9" s="2907"/>
      <c r="HE9" s="2907"/>
      <c r="HF9" s="2907"/>
      <c r="HG9" s="2907"/>
      <c r="HH9" s="2907"/>
      <c r="HI9" s="2907"/>
      <c r="HJ9" s="2907"/>
      <c r="HK9" s="2907"/>
      <c r="HL9" s="2907"/>
      <c r="HM9" s="2907"/>
      <c r="HN9" s="2907"/>
      <c r="HO9" s="2907"/>
      <c r="HP9" s="2907"/>
      <c r="HQ9" s="2907"/>
      <c r="HR9" s="2907"/>
      <c r="HS9" s="2907"/>
      <c r="HT9" s="2907"/>
      <c r="HU9" s="2907"/>
      <c r="HV9" s="2907"/>
      <c r="HW9" s="2907"/>
      <c r="HX9" s="2907"/>
      <c r="HY9" s="2907"/>
      <c r="HZ9" s="2907"/>
      <c r="IA9" s="2907"/>
      <c r="IB9" s="2907"/>
      <c r="IC9" s="2907"/>
      <c r="ID9" s="2907"/>
      <c r="IE9" s="2907"/>
      <c r="IF9" s="2907"/>
      <c r="IG9" s="2907"/>
      <c r="IH9" s="2907"/>
      <c r="II9" s="2907"/>
      <c r="IJ9" s="2907"/>
      <c r="IK9" s="2907"/>
      <c r="IL9" s="2907"/>
      <c r="IM9" s="2907"/>
      <c r="IN9" s="2907"/>
      <c r="IO9" s="2907"/>
      <c r="IP9" s="2907"/>
      <c r="IQ9" s="2907"/>
      <c r="IR9" s="2907"/>
    </row>
    <row r="10" spans="1:252" ht="15" customHeight="1">
      <c r="A10" s="2949" t="s">
        <v>775</v>
      </c>
      <c r="B10" s="2949"/>
      <c r="C10" s="2949"/>
      <c r="D10" s="2908">
        <f>+'Accounts by GL'!D544</f>
        <v>0</v>
      </c>
      <c r="E10" s="2951"/>
      <c r="F10" s="2951"/>
      <c r="G10" s="2907"/>
      <c r="H10" s="2907"/>
      <c r="I10" s="2929" t="s">
        <v>776</v>
      </c>
      <c r="J10" s="2907"/>
      <c r="K10" s="2907"/>
      <c r="L10" s="2907"/>
      <c r="M10" s="2907"/>
      <c r="N10" s="2907"/>
      <c r="O10" s="2907"/>
      <c r="P10" s="2907"/>
      <c r="Q10" s="2907"/>
      <c r="R10" s="2907"/>
      <c r="S10" s="2907"/>
      <c r="T10" s="2907"/>
      <c r="U10" s="2907"/>
      <c r="V10" s="2907"/>
      <c r="W10" s="2907"/>
      <c r="X10" s="2907"/>
      <c r="Y10" s="2907"/>
      <c r="Z10" s="2907"/>
      <c r="AA10" s="2907"/>
      <c r="AB10" s="2907"/>
      <c r="AC10" s="2907"/>
      <c r="AD10" s="2907"/>
      <c r="AE10" s="2907"/>
      <c r="AF10" s="2907"/>
      <c r="AG10" s="2907"/>
      <c r="AH10" s="2907"/>
      <c r="AI10" s="2907"/>
      <c r="AJ10" s="2907"/>
      <c r="AK10" s="2907"/>
      <c r="AL10" s="2907"/>
      <c r="AM10" s="2907"/>
      <c r="AN10" s="2907"/>
      <c r="AO10" s="2907"/>
      <c r="AP10" s="2907"/>
      <c r="AQ10" s="2907"/>
      <c r="AR10" s="2907"/>
      <c r="AS10" s="2907"/>
      <c r="AT10" s="2907"/>
      <c r="AU10" s="2907"/>
      <c r="AV10" s="2907"/>
      <c r="AW10" s="2907"/>
      <c r="AX10" s="2907"/>
      <c r="AY10" s="2907"/>
      <c r="AZ10" s="2907"/>
      <c r="BA10" s="2907"/>
      <c r="BB10" s="2907"/>
      <c r="BC10" s="2907"/>
      <c r="BD10" s="2907"/>
      <c r="BE10" s="2907"/>
      <c r="BF10" s="2907"/>
      <c r="BG10" s="2907"/>
      <c r="BH10" s="2907"/>
      <c r="BI10" s="2907"/>
      <c r="BJ10" s="2907"/>
      <c r="BK10" s="2907"/>
      <c r="BL10" s="2907"/>
      <c r="BM10" s="2907"/>
      <c r="BN10" s="2907"/>
      <c r="BO10" s="2907"/>
      <c r="BP10" s="2907"/>
      <c r="BQ10" s="2907"/>
      <c r="BR10" s="2907"/>
      <c r="BS10" s="2907"/>
      <c r="BT10" s="2907"/>
      <c r="BU10" s="2907"/>
      <c r="BV10" s="2907"/>
      <c r="BW10" s="2907"/>
      <c r="BX10" s="2907"/>
      <c r="BY10" s="2907"/>
      <c r="BZ10" s="2907"/>
      <c r="CA10" s="2907"/>
      <c r="CB10" s="2907"/>
      <c r="CC10" s="2907"/>
      <c r="CD10" s="2907"/>
      <c r="CE10" s="2907"/>
      <c r="CF10" s="2907"/>
      <c r="CG10" s="2907"/>
      <c r="CH10" s="2907"/>
      <c r="CI10" s="2907"/>
      <c r="CJ10" s="2907"/>
      <c r="CK10" s="2907"/>
      <c r="CL10" s="2907"/>
      <c r="CM10" s="2907"/>
      <c r="CN10" s="2907"/>
      <c r="CO10" s="2907"/>
      <c r="CP10" s="2907"/>
      <c r="CQ10" s="2907"/>
      <c r="CR10" s="2907"/>
      <c r="CS10" s="2907"/>
      <c r="CT10" s="2907"/>
      <c r="CU10" s="2907"/>
      <c r="CV10" s="2907"/>
      <c r="CW10" s="2907"/>
      <c r="CX10" s="2907"/>
      <c r="CY10" s="2907"/>
      <c r="CZ10" s="2907"/>
      <c r="DA10" s="2907"/>
      <c r="DB10" s="2907"/>
      <c r="DC10" s="2907"/>
      <c r="DD10" s="2907"/>
      <c r="DE10" s="2907"/>
      <c r="DF10" s="2907"/>
      <c r="DG10" s="2907"/>
      <c r="DH10" s="2907"/>
      <c r="DI10" s="2907"/>
      <c r="DJ10" s="2907"/>
      <c r="DK10" s="2907"/>
      <c r="DL10" s="2907"/>
      <c r="DM10" s="2907"/>
      <c r="DN10" s="2907"/>
      <c r="DO10" s="2907"/>
      <c r="DP10" s="2907"/>
      <c r="DQ10" s="2907"/>
      <c r="DR10" s="2907"/>
      <c r="DS10" s="2907"/>
      <c r="DT10" s="2907"/>
      <c r="DU10" s="2907"/>
      <c r="DV10" s="2907"/>
      <c r="DW10" s="2907"/>
      <c r="DX10" s="2907"/>
      <c r="DY10" s="2907"/>
      <c r="DZ10" s="2907"/>
      <c r="EA10" s="2907"/>
      <c r="EB10" s="2907"/>
      <c r="EC10" s="2907"/>
      <c r="ED10" s="2907"/>
      <c r="EE10" s="2907"/>
      <c r="EF10" s="2907"/>
      <c r="EG10" s="2907"/>
      <c r="EH10" s="2907"/>
      <c r="EI10" s="2907"/>
      <c r="EJ10" s="2907"/>
      <c r="EK10" s="2907"/>
      <c r="EL10" s="2907"/>
      <c r="EM10" s="2907"/>
      <c r="EN10" s="2907"/>
      <c r="EO10" s="2907"/>
      <c r="EP10" s="2907"/>
      <c r="EQ10" s="2907"/>
      <c r="ER10" s="2907"/>
      <c r="ES10" s="2907"/>
      <c r="ET10" s="2907"/>
      <c r="EU10" s="2907"/>
      <c r="EV10" s="2907"/>
      <c r="EW10" s="2907"/>
      <c r="EX10" s="2907"/>
      <c r="EY10" s="2907"/>
      <c r="EZ10" s="2907"/>
      <c r="FA10" s="2907"/>
      <c r="FB10" s="2907"/>
      <c r="FC10" s="2907"/>
      <c r="FD10" s="2907"/>
      <c r="FE10" s="2907"/>
      <c r="FF10" s="2907"/>
      <c r="FG10" s="2907"/>
      <c r="FH10" s="2907"/>
      <c r="FI10" s="2907"/>
      <c r="FJ10" s="2907"/>
      <c r="FK10" s="2907"/>
      <c r="FL10" s="2907"/>
      <c r="FM10" s="2907"/>
      <c r="FN10" s="2907"/>
      <c r="FO10" s="2907"/>
      <c r="FP10" s="2907"/>
      <c r="FQ10" s="2907"/>
      <c r="FR10" s="2907"/>
      <c r="FS10" s="2907"/>
      <c r="FT10" s="2907"/>
      <c r="FU10" s="2907"/>
      <c r="FV10" s="2907"/>
      <c r="FW10" s="2907"/>
      <c r="FX10" s="2907"/>
      <c r="FY10" s="2907"/>
      <c r="FZ10" s="2907"/>
      <c r="GA10" s="2907"/>
      <c r="GB10" s="2907"/>
      <c r="GC10" s="2907"/>
      <c r="GD10" s="2907"/>
      <c r="GE10" s="2907"/>
      <c r="GF10" s="2907"/>
      <c r="GG10" s="2907"/>
      <c r="GH10" s="2907"/>
      <c r="GI10" s="2907"/>
      <c r="GJ10" s="2907"/>
      <c r="GK10" s="2907"/>
      <c r="GL10" s="2907"/>
      <c r="GM10" s="2907"/>
      <c r="GN10" s="2907"/>
      <c r="GO10" s="2907"/>
      <c r="GP10" s="2907"/>
      <c r="GQ10" s="2907"/>
      <c r="GR10" s="2907"/>
      <c r="GS10" s="2907"/>
      <c r="GT10" s="2907"/>
      <c r="GU10" s="2907"/>
      <c r="GV10" s="2907"/>
      <c r="GW10" s="2907"/>
      <c r="GX10" s="2907"/>
      <c r="GY10" s="2907"/>
      <c r="GZ10" s="2907"/>
      <c r="HA10" s="2907"/>
      <c r="HB10" s="2907"/>
      <c r="HC10" s="2907"/>
      <c r="HD10" s="2907"/>
      <c r="HE10" s="2907"/>
      <c r="HF10" s="2907"/>
      <c r="HG10" s="2907"/>
      <c r="HH10" s="2907"/>
      <c r="HI10" s="2907"/>
      <c r="HJ10" s="2907"/>
      <c r="HK10" s="2907"/>
      <c r="HL10" s="2907"/>
      <c r="HM10" s="2907"/>
      <c r="HN10" s="2907"/>
      <c r="HO10" s="2907"/>
      <c r="HP10" s="2907"/>
      <c r="HQ10" s="2907"/>
      <c r="HR10" s="2907"/>
      <c r="HS10" s="2907"/>
      <c r="HT10" s="2907"/>
      <c r="HU10" s="2907"/>
      <c r="HV10" s="2907"/>
      <c r="HW10" s="2907"/>
      <c r="HX10" s="2907"/>
      <c r="HY10" s="2907"/>
      <c r="HZ10" s="2907"/>
      <c r="IA10" s="2907"/>
      <c r="IB10" s="2907"/>
      <c r="IC10" s="2907"/>
      <c r="ID10" s="2907"/>
      <c r="IE10" s="2907"/>
      <c r="IF10" s="2907"/>
      <c r="IG10" s="2907"/>
      <c r="IH10" s="2907"/>
      <c r="II10" s="2907"/>
      <c r="IJ10" s="2907"/>
      <c r="IK10" s="2907"/>
      <c r="IL10" s="2907"/>
      <c r="IM10" s="2907"/>
      <c r="IN10" s="2907"/>
      <c r="IO10" s="2907"/>
      <c r="IP10" s="2907"/>
      <c r="IQ10" s="2907"/>
      <c r="IR10" s="2907"/>
    </row>
    <row r="11" spans="1:252" ht="15" customHeight="1">
      <c r="A11" s="2949" t="s">
        <v>777</v>
      </c>
      <c r="B11" s="2949"/>
      <c r="C11" s="2949"/>
      <c r="D11" s="2908">
        <f>+'Accounts by GL'!D545</f>
        <v>0</v>
      </c>
      <c r="E11" s="2951"/>
      <c r="F11" s="2951"/>
      <c r="G11" s="2907"/>
      <c r="H11" s="2907"/>
      <c r="I11" s="2929" t="s">
        <v>778</v>
      </c>
      <c r="J11" s="2907"/>
      <c r="K11" s="2907"/>
      <c r="L11" s="2907"/>
      <c r="M11" s="2907"/>
      <c r="N11" s="2907"/>
      <c r="O11" s="2907"/>
      <c r="P11" s="2907"/>
      <c r="Q11" s="2907"/>
      <c r="R11" s="2907"/>
      <c r="S11" s="2907"/>
      <c r="T11" s="2907"/>
      <c r="U11" s="2907"/>
      <c r="V11" s="2907"/>
      <c r="W11" s="2907"/>
      <c r="X11" s="2907"/>
      <c r="Y11" s="2907"/>
      <c r="Z11" s="2907"/>
      <c r="AA11" s="2907"/>
      <c r="AB11" s="2907"/>
      <c r="AC11" s="2907"/>
      <c r="AD11" s="2907"/>
      <c r="AE11" s="2907"/>
      <c r="AF11" s="2907"/>
      <c r="AG11" s="2907"/>
      <c r="AH11" s="2907"/>
      <c r="AI11" s="2907"/>
      <c r="AJ11" s="2907"/>
      <c r="AK11" s="2907"/>
      <c r="AL11" s="2907"/>
      <c r="AM11" s="2907"/>
      <c r="AN11" s="2907"/>
      <c r="AO11" s="2907"/>
      <c r="AP11" s="2907"/>
      <c r="AQ11" s="2907"/>
      <c r="AR11" s="2907"/>
      <c r="AS11" s="2907"/>
      <c r="AT11" s="2907"/>
      <c r="AU11" s="2907"/>
      <c r="AV11" s="2907"/>
      <c r="AW11" s="2907"/>
      <c r="AX11" s="2907"/>
      <c r="AY11" s="2907"/>
      <c r="AZ11" s="2907"/>
      <c r="BA11" s="2907"/>
      <c r="BB11" s="2907"/>
      <c r="BC11" s="2907"/>
      <c r="BD11" s="2907"/>
      <c r="BE11" s="2907"/>
      <c r="BF11" s="2907"/>
      <c r="BG11" s="2907"/>
      <c r="BH11" s="2907"/>
      <c r="BI11" s="2907"/>
      <c r="BJ11" s="2907"/>
      <c r="BK11" s="2907"/>
      <c r="BL11" s="2907"/>
      <c r="BM11" s="2907"/>
      <c r="BN11" s="2907"/>
      <c r="BO11" s="2907"/>
      <c r="BP11" s="2907"/>
      <c r="BQ11" s="2907"/>
      <c r="BR11" s="2907"/>
      <c r="BS11" s="2907"/>
      <c r="BT11" s="2907"/>
      <c r="BU11" s="2907"/>
      <c r="BV11" s="2907"/>
      <c r="BW11" s="2907"/>
      <c r="BX11" s="2907"/>
      <c r="BY11" s="2907"/>
      <c r="BZ11" s="2907"/>
      <c r="CA11" s="2907"/>
      <c r="CB11" s="2907"/>
      <c r="CC11" s="2907"/>
      <c r="CD11" s="2907"/>
      <c r="CE11" s="2907"/>
      <c r="CF11" s="2907"/>
      <c r="CG11" s="2907"/>
      <c r="CH11" s="2907"/>
      <c r="CI11" s="2907"/>
      <c r="CJ11" s="2907"/>
      <c r="CK11" s="2907"/>
      <c r="CL11" s="2907"/>
      <c r="CM11" s="2907"/>
      <c r="CN11" s="2907"/>
      <c r="CO11" s="2907"/>
      <c r="CP11" s="2907"/>
      <c r="CQ11" s="2907"/>
      <c r="CR11" s="2907"/>
      <c r="CS11" s="2907"/>
      <c r="CT11" s="2907"/>
      <c r="CU11" s="2907"/>
      <c r="CV11" s="2907"/>
      <c r="CW11" s="2907"/>
      <c r="CX11" s="2907"/>
      <c r="CY11" s="2907"/>
      <c r="CZ11" s="2907"/>
      <c r="DA11" s="2907"/>
      <c r="DB11" s="2907"/>
      <c r="DC11" s="2907"/>
      <c r="DD11" s="2907"/>
      <c r="DE11" s="2907"/>
      <c r="DF11" s="2907"/>
      <c r="DG11" s="2907"/>
      <c r="DH11" s="2907"/>
      <c r="DI11" s="2907"/>
      <c r="DJ11" s="2907"/>
      <c r="DK11" s="2907"/>
      <c r="DL11" s="2907"/>
      <c r="DM11" s="2907"/>
      <c r="DN11" s="2907"/>
      <c r="DO11" s="2907"/>
      <c r="DP11" s="2907"/>
      <c r="DQ11" s="2907"/>
      <c r="DR11" s="2907"/>
      <c r="DS11" s="2907"/>
      <c r="DT11" s="2907"/>
      <c r="DU11" s="2907"/>
      <c r="DV11" s="2907"/>
      <c r="DW11" s="2907"/>
      <c r="DX11" s="2907"/>
      <c r="DY11" s="2907"/>
      <c r="DZ11" s="2907"/>
      <c r="EA11" s="2907"/>
      <c r="EB11" s="2907"/>
      <c r="EC11" s="2907"/>
      <c r="ED11" s="2907"/>
      <c r="EE11" s="2907"/>
      <c r="EF11" s="2907"/>
      <c r="EG11" s="2907"/>
      <c r="EH11" s="2907"/>
      <c r="EI11" s="2907"/>
      <c r="EJ11" s="2907"/>
      <c r="EK11" s="2907"/>
      <c r="EL11" s="2907"/>
      <c r="EM11" s="2907"/>
      <c r="EN11" s="2907"/>
      <c r="EO11" s="2907"/>
      <c r="EP11" s="2907"/>
      <c r="EQ11" s="2907"/>
      <c r="ER11" s="2907"/>
      <c r="ES11" s="2907"/>
      <c r="ET11" s="2907"/>
      <c r="EU11" s="2907"/>
      <c r="EV11" s="2907"/>
      <c r="EW11" s="2907"/>
      <c r="EX11" s="2907"/>
      <c r="EY11" s="2907"/>
      <c r="EZ11" s="2907"/>
      <c r="FA11" s="2907"/>
      <c r="FB11" s="2907"/>
      <c r="FC11" s="2907"/>
      <c r="FD11" s="2907"/>
      <c r="FE11" s="2907"/>
      <c r="FF11" s="2907"/>
      <c r="FG11" s="2907"/>
      <c r="FH11" s="2907"/>
      <c r="FI11" s="2907"/>
      <c r="FJ11" s="2907"/>
      <c r="FK11" s="2907"/>
      <c r="FL11" s="2907"/>
      <c r="FM11" s="2907"/>
      <c r="FN11" s="2907"/>
      <c r="FO11" s="2907"/>
      <c r="FP11" s="2907"/>
      <c r="FQ11" s="2907"/>
      <c r="FR11" s="2907"/>
      <c r="FS11" s="2907"/>
      <c r="FT11" s="2907"/>
      <c r="FU11" s="2907"/>
      <c r="FV11" s="2907"/>
      <c r="FW11" s="2907"/>
      <c r="FX11" s="2907"/>
      <c r="FY11" s="2907"/>
      <c r="FZ11" s="2907"/>
      <c r="GA11" s="2907"/>
      <c r="GB11" s="2907"/>
      <c r="GC11" s="2907"/>
      <c r="GD11" s="2907"/>
      <c r="GE11" s="2907"/>
      <c r="GF11" s="2907"/>
      <c r="GG11" s="2907"/>
      <c r="GH11" s="2907"/>
      <c r="GI11" s="2907"/>
      <c r="GJ11" s="2907"/>
      <c r="GK11" s="2907"/>
      <c r="GL11" s="2907"/>
      <c r="GM11" s="2907"/>
      <c r="GN11" s="2907"/>
      <c r="GO11" s="2907"/>
      <c r="GP11" s="2907"/>
      <c r="GQ11" s="2907"/>
      <c r="GR11" s="2907"/>
      <c r="GS11" s="2907"/>
      <c r="GT11" s="2907"/>
      <c r="GU11" s="2907"/>
      <c r="GV11" s="2907"/>
      <c r="GW11" s="2907"/>
      <c r="GX11" s="2907"/>
      <c r="GY11" s="2907"/>
      <c r="GZ11" s="2907"/>
      <c r="HA11" s="2907"/>
      <c r="HB11" s="2907"/>
      <c r="HC11" s="2907"/>
      <c r="HD11" s="2907"/>
      <c r="HE11" s="2907"/>
      <c r="HF11" s="2907"/>
      <c r="HG11" s="2907"/>
      <c r="HH11" s="2907"/>
      <c r="HI11" s="2907"/>
      <c r="HJ11" s="2907"/>
      <c r="HK11" s="2907"/>
      <c r="HL11" s="2907"/>
      <c r="HM11" s="2907"/>
      <c r="HN11" s="2907"/>
      <c r="HO11" s="2907"/>
      <c r="HP11" s="2907"/>
      <c r="HQ11" s="2907"/>
      <c r="HR11" s="2907"/>
      <c r="HS11" s="2907"/>
      <c r="HT11" s="2907"/>
      <c r="HU11" s="2907"/>
      <c r="HV11" s="2907"/>
      <c r="HW11" s="2907"/>
      <c r="HX11" s="2907"/>
      <c r="HY11" s="2907"/>
      <c r="HZ11" s="2907"/>
      <c r="IA11" s="2907"/>
      <c r="IB11" s="2907"/>
      <c r="IC11" s="2907"/>
      <c r="ID11" s="2907"/>
      <c r="IE11" s="2907"/>
      <c r="IF11" s="2907"/>
      <c r="IG11" s="2907"/>
      <c r="IH11" s="2907"/>
      <c r="II11" s="2907"/>
      <c r="IJ11" s="2907"/>
      <c r="IK11" s="2907"/>
      <c r="IL11" s="2907"/>
      <c r="IM11" s="2907"/>
      <c r="IN11" s="2907"/>
      <c r="IO11" s="2907"/>
      <c r="IP11" s="2907"/>
      <c r="IQ11" s="2907"/>
      <c r="IR11" s="2907"/>
    </row>
    <row r="12" spans="1:252" ht="15" customHeight="1">
      <c r="A12" s="2949" t="s">
        <v>779</v>
      </c>
      <c r="B12" s="2949"/>
      <c r="C12" s="2949"/>
      <c r="D12" s="2908">
        <f>+'Accounts by GL'!D546</f>
        <v>0</v>
      </c>
      <c r="E12" s="2951"/>
      <c r="F12" s="2951"/>
      <c r="G12" s="2907"/>
      <c r="H12" s="2907"/>
      <c r="I12" s="2929" t="s">
        <v>138</v>
      </c>
      <c r="J12" s="2907"/>
      <c r="K12" s="2907"/>
      <c r="L12" s="2907"/>
      <c r="M12" s="2907"/>
      <c r="N12" s="2907"/>
      <c r="O12" s="2907"/>
      <c r="P12" s="2907"/>
      <c r="Q12" s="2907"/>
      <c r="R12" s="2907"/>
      <c r="S12" s="2907"/>
      <c r="T12" s="2907"/>
      <c r="U12" s="2907"/>
      <c r="V12" s="2907"/>
      <c r="W12" s="2907"/>
      <c r="X12" s="2907"/>
      <c r="Y12" s="2907"/>
      <c r="Z12" s="2907"/>
      <c r="AA12" s="2907"/>
      <c r="AB12" s="2907"/>
      <c r="AC12" s="2907"/>
      <c r="AD12" s="2907"/>
      <c r="AE12" s="2907"/>
      <c r="AF12" s="2907"/>
      <c r="AG12" s="2907"/>
      <c r="AH12" s="2907"/>
      <c r="AI12" s="2907"/>
      <c r="AJ12" s="2907"/>
      <c r="AK12" s="2907"/>
      <c r="AL12" s="2907"/>
      <c r="AM12" s="2907"/>
      <c r="AN12" s="2907"/>
      <c r="AO12" s="2907"/>
      <c r="AP12" s="2907"/>
      <c r="AQ12" s="2907"/>
      <c r="AR12" s="2907"/>
      <c r="AS12" s="2907"/>
      <c r="AT12" s="2907"/>
      <c r="AU12" s="2907"/>
      <c r="AV12" s="2907"/>
      <c r="AW12" s="2907"/>
      <c r="AX12" s="2907"/>
      <c r="AY12" s="2907"/>
      <c r="AZ12" s="2907"/>
      <c r="BA12" s="2907"/>
      <c r="BB12" s="2907"/>
      <c r="BC12" s="2907"/>
      <c r="BD12" s="2907"/>
      <c r="BE12" s="2907"/>
      <c r="BF12" s="2907"/>
      <c r="BG12" s="2907"/>
      <c r="BH12" s="2907"/>
      <c r="BI12" s="2907"/>
      <c r="BJ12" s="2907"/>
      <c r="BK12" s="2907"/>
      <c r="BL12" s="2907"/>
      <c r="BM12" s="2907"/>
      <c r="BN12" s="2907"/>
      <c r="BO12" s="2907"/>
      <c r="BP12" s="2907"/>
      <c r="BQ12" s="2907"/>
      <c r="BR12" s="2907"/>
      <c r="BS12" s="2907"/>
      <c r="BT12" s="2907"/>
      <c r="BU12" s="2907"/>
      <c r="BV12" s="2907"/>
      <c r="BW12" s="2907"/>
      <c r="BX12" s="2907"/>
      <c r="BY12" s="2907"/>
      <c r="BZ12" s="2907"/>
      <c r="CA12" s="2907"/>
      <c r="CB12" s="2907"/>
      <c r="CC12" s="2907"/>
      <c r="CD12" s="2907"/>
      <c r="CE12" s="2907"/>
      <c r="CF12" s="2907"/>
      <c r="CG12" s="2907"/>
      <c r="CH12" s="2907"/>
      <c r="CI12" s="2907"/>
      <c r="CJ12" s="2907"/>
      <c r="CK12" s="2907"/>
      <c r="CL12" s="2907"/>
      <c r="CM12" s="2907"/>
      <c r="CN12" s="2907"/>
      <c r="CO12" s="2907"/>
      <c r="CP12" s="2907"/>
      <c r="CQ12" s="2907"/>
      <c r="CR12" s="2907"/>
      <c r="CS12" s="2907"/>
      <c r="CT12" s="2907"/>
      <c r="CU12" s="2907"/>
      <c r="CV12" s="2907"/>
      <c r="CW12" s="2907"/>
      <c r="CX12" s="2907"/>
      <c r="CY12" s="2907"/>
      <c r="CZ12" s="2907"/>
      <c r="DA12" s="2907"/>
      <c r="DB12" s="2907"/>
      <c r="DC12" s="2907"/>
      <c r="DD12" s="2907"/>
      <c r="DE12" s="2907"/>
      <c r="DF12" s="2907"/>
      <c r="DG12" s="2907"/>
      <c r="DH12" s="2907"/>
      <c r="DI12" s="2907"/>
      <c r="DJ12" s="2907"/>
      <c r="DK12" s="2907"/>
      <c r="DL12" s="2907"/>
      <c r="DM12" s="2907"/>
      <c r="DN12" s="2907"/>
      <c r="DO12" s="2907"/>
      <c r="DP12" s="2907"/>
      <c r="DQ12" s="2907"/>
      <c r="DR12" s="2907"/>
      <c r="DS12" s="2907"/>
      <c r="DT12" s="2907"/>
      <c r="DU12" s="2907"/>
      <c r="DV12" s="2907"/>
      <c r="DW12" s="2907"/>
      <c r="DX12" s="2907"/>
      <c r="DY12" s="2907"/>
      <c r="DZ12" s="2907"/>
      <c r="EA12" s="2907"/>
      <c r="EB12" s="2907"/>
      <c r="EC12" s="2907"/>
      <c r="ED12" s="2907"/>
      <c r="EE12" s="2907"/>
      <c r="EF12" s="2907"/>
      <c r="EG12" s="2907"/>
      <c r="EH12" s="2907"/>
      <c r="EI12" s="2907"/>
      <c r="EJ12" s="2907"/>
      <c r="EK12" s="2907"/>
      <c r="EL12" s="2907"/>
      <c r="EM12" s="2907"/>
      <c r="EN12" s="2907"/>
      <c r="EO12" s="2907"/>
      <c r="EP12" s="2907"/>
      <c r="EQ12" s="2907"/>
      <c r="ER12" s="2907"/>
      <c r="ES12" s="2907"/>
      <c r="ET12" s="2907"/>
      <c r="EU12" s="2907"/>
      <c r="EV12" s="2907"/>
      <c r="EW12" s="2907"/>
      <c r="EX12" s="2907"/>
      <c r="EY12" s="2907"/>
      <c r="EZ12" s="2907"/>
      <c r="FA12" s="2907"/>
      <c r="FB12" s="2907"/>
      <c r="FC12" s="2907"/>
      <c r="FD12" s="2907"/>
      <c r="FE12" s="2907"/>
      <c r="FF12" s="2907"/>
      <c r="FG12" s="2907"/>
      <c r="FH12" s="2907"/>
      <c r="FI12" s="2907"/>
      <c r="FJ12" s="2907"/>
      <c r="FK12" s="2907"/>
      <c r="FL12" s="2907"/>
      <c r="FM12" s="2907"/>
      <c r="FN12" s="2907"/>
      <c r="FO12" s="2907"/>
      <c r="FP12" s="2907"/>
      <c r="FQ12" s="2907"/>
      <c r="FR12" s="2907"/>
      <c r="FS12" s="2907"/>
      <c r="FT12" s="2907"/>
      <c r="FU12" s="2907"/>
      <c r="FV12" s="2907"/>
      <c r="FW12" s="2907"/>
      <c r="FX12" s="2907"/>
      <c r="FY12" s="2907"/>
      <c r="FZ12" s="2907"/>
      <c r="GA12" s="2907"/>
      <c r="GB12" s="2907"/>
      <c r="GC12" s="2907"/>
      <c r="GD12" s="2907"/>
      <c r="GE12" s="2907"/>
      <c r="GF12" s="2907"/>
      <c r="GG12" s="2907"/>
      <c r="GH12" s="2907"/>
      <c r="GI12" s="2907"/>
      <c r="GJ12" s="2907"/>
      <c r="GK12" s="2907"/>
      <c r="GL12" s="2907"/>
      <c r="GM12" s="2907"/>
      <c r="GN12" s="2907"/>
      <c r="GO12" s="2907"/>
      <c r="GP12" s="2907"/>
      <c r="GQ12" s="2907"/>
      <c r="GR12" s="2907"/>
      <c r="GS12" s="2907"/>
      <c r="GT12" s="2907"/>
      <c r="GU12" s="2907"/>
      <c r="GV12" s="2907"/>
      <c r="GW12" s="2907"/>
      <c r="GX12" s="2907"/>
      <c r="GY12" s="2907"/>
      <c r="GZ12" s="2907"/>
      <c r="HA12" s="2907"/>
      <c r="HB12" s="2907"/>
      <c r="HC12" s="2907"/>
      <c r="HD12" s="2907"/>
      <c r="HE12" s="2907"/>
      <c r="HF12" s="2907"/>
      <c r="HG12" s="2907"/>
      <c r="HH12" s="2907"/>
      <c r="HI12" s="2907"/>
      <c r="HJ12" s="2907"/>
      <c r="HK12" s="2907"/>
      <c r="HL12" s="2907"/>
      <c r="HM12" s="2907"/>
      <c r="HN12" s="2907"/>
      <c r="HO12" s="2907"/>
      <c r="HP12" s="2907"/>
      <c r="HQ12" s="2907"/>
      <c r="HR12" s="2907"/>
      <c r="HS12" s="2907"/>
      <c r="HT12" s="2907"/>
      <c r="HU12" s="2907"/>
      <c r="HV12" s="2907"/>
      <c r="HW12" s="2907"/>
      <c r="HX12" s="2907"/>
      <c r="HY12" s="2907"/>
      <c r="HZ12" s="2907"/>
      <c r="IA12" s="2907"/>
      <c r="IB12" s="2907"/>
      <c r="IC12" s="2907"/>
      <c r="ID12" s="2907"/>
      <c r="IE12" s="2907"/>
      <c r="IF12" s="2907"/>
      <c r="IG12" s="2907"/>
      <c r="IH12" s="2907"/>
      <c r="II12" s="2907"/>
      <c r="IJ12" s="2907"/>
      <c r="IK12" s="2907"/>
      <c r="IL12" s="2907"/>
      <c r="IM12" s="2907"/>
      <c r="IN12" s="2907"/>
      <c r="IO12" s="2907"/>
      <c r="IP12" s="2907"/>
      <c r="IQ12" s="2907"/>
      <c r="IR12" s="2907"/>
    </row>
    <row r="13" spans="1:252" ht="15" customHeight="1">
      <c r="A13" s="2949" t="s">
        <v>780</v>
      </c>
      <c r="B13" s="2949"/>
      <c r="C13" s="2949"/>
      <c r="D13" s="2908">
        <f>+'Accounts by GL'!D547</f>
        <v>0</v>
      </c>
      <c r="E13" s="2951"/>
      <c r="F13" s="2951"/>
      <c r="G13" s="2907"/>
      <c r="H13" s="2907"/>
      <c r="I13" s="2929" t="s">
        <v>140</v>
      </c>
      <c r="J13" s="2907"/>
      <c r="K13" s="2907"/>
      <c r="L13" s="2907"/>
      <c r="M13" s="2907"/>
      <c r="N13" s="2907"/>
      <c r="O13" s="2907"/>
      <c r="P13" s="2907"/>
      <c r="Q13" s="2907"/>
      <c r="R13" s="2907"/>
      <c r="S13" s="2907"/>
      <c r="T13" s="2907"/>
      <c r="U13" s="2907"/>
      <c r="V13" s="2907"/>
      <c r="W13" s="2907"/>
      <c r="X13" s="2907"/>
      <c r="Y13" s="2907"/>
      <c r="Z13" s="2907"/>
      <c r="AA13" s="2907"/>
      <c r="AB13" s="2907"/>
      <c r="AC13" s="2907"/>
      <c r="AD13" s="2907"/>
      <c r="AE13" s="2907"/>
      <c r="AF13" s="2907"/>
      <c r="AG13" s="2907"/>
      <c r="AH13" s="2907"/>
      <c r="AI13" s="2907"/>
      <c r="AJ13" s="2907"/>
      <c r="AK13" s="2907"/>
      <c r="AL13" s="2907"/>
      <c r="AM13" s="2907"/>
      <c r="AN13" s="2907"/>
      <c r="AO13" s="2907"/>
      <c r="AP13" s="2907"/>
      <c r="AQ13" s="2907"/>
      <c r="AR13" s="2907"/>
      <c r="AS13" s="2907"/>
      <c r="AT13" s="2907"/>
      <c r="AU13" s="2907"/>
      <c r="AV13" s="2907"/>
      <c r="AW13" s="2907"/>
      <c r="AX13" s="2907"/>
      <c r="AY13" s="2907"/>
      <c r="AZ13" s="2907"/>
      <c r="BA13" s="2907"/>
      <c r="BB13" s="2907"/>
      <c r="BC13" s="2907"/>
      <c r="BD13" s="2907"/>
      <c r="BE13" s="2907"/>
      <c r="BF13" s="2907"/>
      <c r="BG13" s="2907"/>
      <c r="BH13" s="2907"/>
      <c r="BI13" s="2907"/>
      <c r="BJ13" s="2907"/>
      <c r="BK13" s="2907"/>
      <c r="BL13" s="2907"/>
      <c r="BM13" s="2907"/>
      <c r="BN13" s="2907"/>
      <c r="BO13" s="2907"/>
      <c r="BP13" s="2907"/>
      <c r="BQ13" s="2907"/>
      <c r="BR13" s="2907"/>
      <c r="BS13" s="2907"/>
      <c r="BT13" s="2907"/>
      <c r="BU13" s="2907"/>
      <c r="BV13" s="2907"/>
      <c r="BW13" s="2907"/>
      <c r="BX13" s="2907"/>
      <c r="BY13" s="2907"/>
      <c r="BZ13" s="2907"/>
      <c r="CA13" s="2907"/>
      <c r="CB13" s="2907"/>
      <c r="CC13" s="2907"/>
      <c r="CD13" s="2907"/>
      <c r="CE13" s="2907"/>
      <c r="CF13" s="2907"/>
      <c r="CG13" s="2907"/>
      <c r="CH13" s="2907"/>
      <c r="CI13" s="2907"/>
      <c r="CJ13" s="2907"/>
      <c r="CK13" s="2907"/>
      <c r="CL13" s="2907"/>
      <c r="CM13" s="2907"/>
      <c r="CN13" s="2907"/>
      <c r="CO13" s="2907"/>
      <c r="CP13" s="2907"/>
      <c r="CQ13" s="2907"/>
      <c r="CR13" s="2907"/>
      <c r="CS13" s="2907"/>
      <c r="CT13" s="2907"/>
      <c r="CU13" s="2907"/>
      <c r="CV13" s="2907"/>
      <c r="CW13" s="2907"/>
      <c r="CX13" s="2907"/>
      <c r="CY13" s="2907"/>
      <c r="CZ13" s="2907"/>
      <c r="DA13" s="2907"/>
      <c r="DB13" s="2907"/>
      <c r="DC13" s="2907"/>
      <c r="DD13" s="2907"/>
      <c r="DE13" s="2907"/>
      <c r="DF13" s="2907"/>
      <c r="DG13" s="2907"/>
      <c r="DH13" s="2907"/>
      <c r="DI13" s="2907"/>
      <c r="DJ13" s="2907"/>
      <c r="DK13" s="2907"/>
      <c r="DL13" s="2907"/>
      <c r="DM13" s="2907"/>
      <c r="DN13" s="2907"/>
      <c r="DO13" s="2907"/>
      <c r="DP13" s="2907"/>
      <c r="DQ13" s="2907"/>
      <c r="DR13" s="2907"/>
      <c r="DS13" s="2907"/>
      <c r="DT13" s="2907"/>
      <c r="DU13" s="2907"/>
      <c r="DV13" s="2907"/>
      <c r="DW13" s="2907"/>
      <c r="DX13" s="2907"/>
      <c r="DY13" s="2907"/>
      <c r="DZ13" s="2907"/>
      <c r="EA13" s="2907"/>
      <c r="EB13" s="2907"/>
      <c r="EC13" s="2907"/>
      <c r="ED13" s="2907"/>
      <c r="EE13" s="2907"/>
      <c r="EF13" s="2907"/>
      <c r="EG13" s="2907"/>
      <c r="EH13" s="2907"/>
      <c r="EI13" s="2907"/>
      <c r="EJ13" s="2907"/>
      <c r="EK13" s="2907"/>
      <c r="EL13" s="2907"/>
      <c r="EM13" s="2907"/>
      <c r="EN13" s="2907"/>
      <c r="EO13" s="2907"/>
      <c r="EP13" s="2907"/>
      <c r="EQ13" s="2907"/>
      <c r="ER13" s="2907"/>
      <c r="ES13" s="2907"/>
      <c r="ET13" s="2907"/>
      <c r="EU13" s="2907"/>
      <c r="EV13" s="2907"/>
      <c r="EW13" s="2907"/>
      <c r="EX13" s="2907"/>
      <c r="EY13" s="2907"/>
      <c r="EZ13" s="2907"/>
      <c r="FA13" s="2907"/>
      <c r="FB13" s="2907"/>
      <c r="FC13" s="2907"/>
      <c r="FD13" s="2907"/>
      <c r="FE13" s="2907"/>
      <c r="FF13" s="2907"/>
      <c r="FG13" s="2907"/>
      <c r="FH13" s="2907"/>
      <c r="FI13" s="2907"/>
      <c r="FJ13" s="2907"/>
      <c r="FK13" s="2907"/>
      <c r="FL13" s="2907"/>
      <c r="FM13" s="2907"/>
      <c r="FN13" s="2907"/>
      <c r="FO13" s="2907"/>
      <c r="FP13" s="2907"/>
      <c r="FQ13" s="2907"/>
      <c r="FR13" s="2907"/>
      <c r="FS13" s="2907"/>
      <c r="FT13" s="2907"/>
      <c r="FU13" s="2907"/>
      <c r="FV13" s="2907"/>
      <c r="FW13" s="2907"/>
      <c r="FX13" s="2907"/>
      <c r="FY13" s="2907"/>
      <c r="FZ13" s="2907"/>
      <c r="GA13" s="2907"/>
      <c r="GB13" s="2907"/>
      <c r="GC13" s="2907"/>
      <c r="GD13" s="2907"/>
      <c r="GE13" s="2907"/>
      <c r="GF13" s="2907"/>
      <c r="GG13" s="2907"/>
      <c r="GH13" s="2907"/>
      <c r="GI13" s="2907"/>
      <c r="GJ13" s="2907"/>
      <c r="GK13" s="2907"/>
      <c r="GL13" s="2907"/>
      <c r="GM13" s="2907"/>
      <c r="GN13" s="2907"/>
      <c r="GO13" s="2907"/>
      <c r="GP13" s="2907"/>
      <c r="GQ13" s="2907"/>
      <c r="GR13" s="2907"/>
      <c r="GS13" s="2907"/>
      <c r="GT13" s="2907"/>
      <c r="GU13" s="2907"/>
      <c r="GV13" s="2907"/>
      <c r="GW13" s="2907"/>
      <c r="GX13" s="2907"/>
      <c r="GY13" s="2907"/>
      <c r="GZ13" s="2907"/>
      <c r="HA13" s="2907"/>
      <c r="HB13" s="2907"/>
      <c r="HC13" s="2907"/>
      <c r="HD13" s="2907"/>
      <c r="HE13" s="2907"/>
      <c r="HF13" s="2907"/>
      <c r="HG13" s="2907"/>
      <c r="HH13" s="2907"/>
      <c r="HI13" s="2907"/>
      <c r="HJ13" s="2907"/>
      <c r="HK13" s="2907"/>
      <c r="HL13" s="2907"/>
      <c r="HM13" s="2907"/>
      <c r="HN13" s="2907"/>
      <c r="HO13" s="2907"/>
      <c r="HP13" s="2907"/>
      <c r="HQ13" s="2907"/>
      <c r="HR13" s="2907"/>
      <c r="HS13" s="2907"/>
      <c r="HT13" s="2907"/>
      <c r="HU13" s="2907"/>
      <c r="HV13" s="2907"/>
      <c r="HW13" s="2907"/>
      <c r="HX13" s="2907"/>
      <c r="HY13" s="2907"/>
      <c r="HZ13" s="2907"/>
      <c r="IA13" s="2907"/>
      <c r="IB13" s="2907"/>
      <c r="IC13" s="2907"/>
      <c r="ID13" s="2907"/>
      <c r="IE13" s="2907"/>
      <c r="IF13" s="2907"/>
      <c r="IG13" s="2907"/>
      <c r="IH13" s="2907"/>
      <c r="II13" s="2907"/>
      <c r="IJ13" s="2907"/>
      <c r="IK13" s="2907"/>
      <c r="IL13" s="2907"/>
      <c r="IM13" s="2907"/>
      <c r="IN13" s="2907"/>
      <c r="IO13" s="2907"/>
      <c r="IP13" s="2907"/>
      <c r="IQ13" s="2907"/>
      <c r="IR13" s="2907"/>
    </row>
    <row r="14" spans="1:252" ht="15" customHeight="1">
      <c r="A14" s="2949" t="s">
        <v>781</v>
      </c>
      <c r="B14" s="2949"/>
      <c r="C14" s="2949"/>
      <c r="D14" s="2908">
        <f>+'Accounts by GL'!D548</f>
        <v>0</v>
      </c>
      <c r="E14" s="2951"/>
      <c r="F14" s="2951"/>
      <c r="G14" s="2907"/>
      <c r="H14" s="2907"/>
      <c r="I14" s="2929" t="s">
        <v>782</v>
      </c>
      <c r="J14" s="2907"/>
      <c r="K14" s="2907"/>
      <c r="L14" s="2907"/>
      <c r="M14" s="2907"/>
      <c r="N14" s="2907"/>
      <c r="O14" s="2907"/>
      <c r="P14" s="2907"/>
      <c r="Q14" s="2907"/>
      <c r="R14" s="2907"/>
      <c r="S14" s="2907"/>
      <c r="T14" s="2907"/>
      <c r="U14" s="2907"/>
      <c r="V14" s="2907"/>
      <c r="W14" s="2907"/>
      <c r="X14" s="2907"/>
      <c r="Y14" s="2907"/>
      <c r="Z14" s="2907"/>
      <c r="AA14" s="2907"/>
      <c r="AB14" s="2907"/>
      <c r="AC14" s="2907"/>
      <c r="AD14" s="2907"/>
      <c r="AE14" s="2907"/>
      <c r="AF14" s="2907"/>
      <c r="AG14" s="2907"/>
      <c r="AH14" s="2907"/>
      <c r="AI14" s="2907"/>
      <c r="AJ14" s="2907"/>
      <c r="AK14" s="2907"/>
      <c r="AL14" s="2907"/>
      <c r="AM14" s="2907"/>
      <c r="AN14" s="2907"/>
      <c r="AO14" s="2907"/>
      <c r="AP14" s="2907"/>
      <c r="AQ14" s="2907"/>
      <c r="AR14" s="2907"/>
      <c r="AS14" s="2907"/>
      <c r="AT14" s="2907"/>
      <c r="AU14" s="2907"/>
      <c r="AV14" s="2907"/>
      <c r="AW14" s="2907"/>
      <c r="AX14" s="2907"/>
      <c r="AY14" s="2907"/>
      <c r="AZ14" s="2907"/>
      <c r="BA14" s="2907"/>
      <c r="BB14" s="2907"/>
      <c r="BC14" s="2907"/>
      <c r="BD14" s="2907"/>
      <c r="BE14" s="2907"/>
      <c r="BF14" s="2907"/>
      <c r="BG14" s="2907"/>
      <c r="BH14" s="2907"/>
      <c r="BI14" s="2907"/>
      <c r="BJ14" s="2907"/>
      <c r="BK14" s="2907"/>
      <c r="BL14" s="2907"/>
      <c r="BM14" s="2907"/>
      <c r="BN14" s="2907"/>
      <c r="BO14" s="2907"/>
      <c r="BP14" s="2907"/>
      <c r="BQ14" s="2907"/>
      <c r="BR14" s="2907"/>
      <c r="BS14" s="2907"/>
      <c r="BT14" s="2907"/>
      <c r="BU14" s="2907"/>
      <c r="BV14" s="2907"/>
      <c r="BW14" s="2907"/>
      <c r="BX14" s="2907"/>
      <c r="BY14" s="2907"/>
      <c r="BZ14" s="2907"/>
      <c r="CA14" s="2907"/>
      <c r="CB14" s="2907"/>
      <c r="CC14" s="2907"/>
      <c r="CD14" s="2907"/>
      <c r="CE14" s="2907"/>
      <c r="CF14" s="2907"/>
      <c r="CG14" s="2907"/>
      <c r="CH14" s="2907"/>
      <c r="CI14" s="2907"/>
      <c r="CJ14" s="2907"/>
      <c r="CK14" s="2907"/>
      <c r="CL14" s="2907"/>
      <c r="CM14" s="2907"/>
      <c r="CN14" s="2907"/>
      <c r="CO14" s="2907"/>
      <c r="CP14" s="2907"/>
      <c r="CQ14" s="2907"/>
      <c r="CR14" s="2907"/>
      <c r="CS14" s="2907"/>
      <c r="CT14" s="2907"/>
      <c r="CU14" s="2907"/>
      <c r="CV14" s="2907"/>
      <c r="CW14" s="2907"/>
      <c r="CX14" s="2907"/>
      <c r="CY14" s="2907"/>
      <c r="CZ14" s="2907"/>
      <c r="DA14" s="2907"/>
      <c r="DB14" s="2907"/>
      <c r="DC14" s="2907"/>
      <c r="DD14" s="2907"/>
      <c r="DE14" s="2907"/>
      <c r="DF14" s="2907"/>
      <c r="DG14" s="2907"/>
      <c r="DH14" s="2907"/>
      <c r="DI14" s="2907"/>
      <c r="DJ14" s="2907"/>
      <c r="DK14" s="2907"/>
      <c r="DL14" s="2907"/>
      <c r="DM14" s="2907"/>
      <c r="DN14" s="2907"/>
      <c r="DO14" s="2907"/>
      <c r="DP14" s="2907"/>
      <c r="DQ14" s="2907"/>
      <c r="DR14" s="2907"/>
      <c r="DS14" s="2907"/>
      <c r="DT14" s="2907"/>
      <c r="DU14" s="2907"/>
      <c r="DV14" s="2907"/>
      <c r="DW14" s="2907"/>
      <c r="DX14" s="2907"/>
      <c r="DY14" s="2907"/>
      <c r="DZ14" s="2907"/>
      <c r="EA14" s="2907"/>
      <c r="EB14" s="2907"/>
      <c r="EC14" s="2907"/>
      <c r="ED14" s="2907"/>
      <c r="EE14" s="2907"/>
      <c r="EF14" s="2907"/>
      <c r="EG14" s="2907"/>
      <c r="EH14" s="2907"/>
      <c r="EI14" s="2907"/>
      <c r="EJ14" s="2907"/>
      <c r="EK14" s="2907"/>
      <c r="EL14" s="2907"/>
      <c r="EM14" s="2907"/>
      <c r="EN14" s="2907"/>
      <c r="EO14" s="2907"/>
      <c r="EP14" s="2907"/>
      <c r="EQ14" s="2907"/>
      <c r="ER14" s="2907"/>
      <c r="ES14" s="2907"/>
      <c r="ET14" s="2907"/>
      <c r="EU14" s="2907"/>
      <c r="EV14" s="2907"/>
      <c r="EW14" s="2907"/>
      <c r="EX14" s="2907"/>
      <c r="EY14" s="2907"/>
      <c r="EZ14" s="2907"/>
      <c r="FA14" s="2907"/>
      <c r="FB14" s="2907"/>
      <c r="FC14" s="2907"/>
      <c r="FD14" s="2907"/>
      <c r="FE14" s="2907"/>
      <c r="FF14" s="2907"/>
      <c r="FG14" s="2907"/>
      <c r="FH14" s="2907"/>
      <c r="FI14" s="2907"/>
      <c r="FJ14" s="2907"/>
      <c r="FK14" s="2907"/>
      <c r="FL14" s="2907"/>
      <c r="FM14" s="2907"/>
      <c r="FN14" s="2907"/>
      <c r="FO14" s="2907"/>
      <c r="FP14" s="2907"/>
      <c r="FQ14" s="2907"/>
      <c r="FR14" s="2907"/>
      <c r="FS14" s="2907"/>
      <c r="FT14" s="2907"/>
      <c r="FU14" s="2907"/>
      <c r="FV14" s="2907"/>
      <c r="FW14" s="2907"/>
      <c r="FX14" s="2907"/>
      <c r="FY14" s="2907"/>
      <c r="FZ14" s="2907"/>
      <c r="GA14" s="2907"/>
      <c r="GB14" s="2907"/>
      <c r="GC14" s="2907"/>
      <c r="GD14" s="2907"/>
      <c r="GE14" s="2907"/>
      <c r="GF14" s="2907"/>
      <c r="GG14" s="2907"/>
      <c r="GH14" s="2907"/>
      <c r="GI14" s="2907"/>
      <c r="GJ14" s="2907"/>
      <c r="GK14" s="2907"/>
      <c r="GL14" s="2907"/>
      <c r="GM14" s="2907"/>
      <c r="GN14" s="2907"/>
      <c r="GO14" s="2907"/>
      <c r="GP14" s="2907"/>
      <c r="GQ14" s="2907"/>
      <c r="GR14" s="2907"/>
      <c r="GS14" s="2907"/>
      <c r="GT14" s="2907"/>
      <c r="GU14" s="2907"/>
      <c r="GV14" s="2907"/>
      <c r="GW14" s="2907"/>
      <c r="GX14" s="2907"/>
      <c r="GY14" s="2907"/>
      <c r="GZ14" s="2907"/>
      <c r="HA14" s="2907"/>
      <c r="HB14" s="2907"/>
      <c r="HC14" s="2907"/>
      <c r="HD14" s="2907"/>
      <c r="HE14" s="2907"/>
      <c r="HF14" s="2907"/>
      <c r="HG14" s="2907"/>
      <c r="HH14" s="2907"/>
      <c r="HI14" s="2907"/>
      <c r="HJ14" s="2907"/>
      <c r="HK14" s="2907"/>
      <c r="HL14" s="2907"/>
      <c r="HM14" s="2907"/>
      <c r="HN14" s="2907"/>
      <c r="HO14" s="2907"/>
      <c r="HP14" s="2907"/>
      <c r="HQ14" s="2907"/>
      <c r="HR14" s="2907"/>
      <c r="HS14" s="2907"/>
      <c r="HT14" s="2907"/>
      <c r="HU14" s="2907"/>
      <c r="HV14" s="2907"/>
      <c r="HW14" s="2907"/>
      <c r="HX14" s="2907"/>
      <c r="HY14" s="2907"/>
      <c r="HZ14" s="2907"/>
      <c r="IA14" s="2907"/>
      <c r="IB14" s="2907"/>
      <c r="IC14" s="2907"/>
      <c r="ID14" s="2907"/>
      <c r="IE14" s="2907"/>
      <c r="IF14" s="2907"/>
      <c r="IG14" s="2907"/>
      <c r="IH14" s="2907"/>
      <c r="II14" s="2907"/>
      <c r="IJ14" s="2907"/>
      <c r="IK14" s="2907"/>
      <c r="IL14" s="2907"/>
      <c r="IM14" s="2907"/>
      <c r="IN14" s="2907"/>
      <c r="IO14" s="2907"/>
      <c r="IP14" s="2907"/>
      <c r="IQ14" s="2907"/>
      <c r="IR14" s="2907"/>
    </row>
    <row r="15" spans="1:252" ht="15" hidden="1" customHeight="1">
      <c r="A15" s="2949"/>
      <c r="B15" s="2949"/>
      <c r="C15" s="2949"/>
      <c r="D15" s="2908"/>
      <c r="E15" s="2951"/>
      <c r="F15" s="2951"/>
      <c r="G15" s="2907"/>
      <c r="H15" s="2907"/>
      <c r="I15" s="2929" t="s">
        <v>132</v>
      </c>
      <c r="J15" s="2907"/>
      <c r="K15" s="2907"/>
      <c r="L15" s="2907"/>
      <c r="M15" s="2907"/>
      <c r="N15" s="2907"/>
      <c r="O15" s="2907"/>
      <c r="P15" s="2907"/>
      <c r="Q15" s="2907"/>
      <c r="R15" s="2907"/>
      <c r="S15" s="2907"/>
      <c r="T15" s="2907"/>
      <c r="U15" s="2907"/>
      <c r="V15" s="2907"/>
      <c r="W15" s="2907"/>
      <c r="X15" s="2907"/>
      <c r="Y15" s="2907"/>
      <c r="Z15" s="2907"/>
      <c r="AA15" s="2907"/>
      <c r="AB15" s="2907"/>
      <c r="AC15" s="2907"/>
      <c r="AD15" s="2907"/>
      <c r="AE15" s="2907"/>
      <c r="AF15" s="2907"/>
      <c r="AG15" s="2907"/>
      <c r="AH15" s="2907"/>
      <c r="AI15" s="2907"/>
      <c r="AJ15" s="2907"/>
      <c r="AK15" s="2907"/>
      <c r="AL15" s="2907"/>
      <c r="AM15" s="2907"/>
      <c r="AN15" s="2907"/>
      <c r="AO15" s="2907"/>
      <c r="AP15" s="2907"/>
      <c r="AQ15" s="2907"/>
      <c r="AR15" s="2907"/>
      <c r="AS15" s="2907"/>
      <c r="AT15" s="2907"/>
      <c r="AU15" s="2907"/>
      <c r="AV15" s="2907"/>
      <c r="AW15" s="2907"/>
      <c r="AX15" s="2907"/>
      <c r="AY15" s="2907"/>
      <c r="AZ15" s="2907"/>
      <c r="BA15" s="2907"/>
      <c r="BB15" s="2907"/>
      <c r="BC15" s="2907"/>
      <c r="BD15" s="2907"/>
      <c r="BE15" s="2907"/>
      <c r="BF15" s="2907"/>
      <c r="BG15" s="2907"/>
      <c r="BH15" s="2907"/>
      <c r="BI15" s="2907"/>
      <c r="BJ15" s="2907"/>
      <c r="BK15" s="2907"/>
      <c r="BL15" s="2907"/>
      <c r="BM15" s="2907"/>
      <c r="BN15" s="2907"/>
      <c r="BO15" s="2907"/>
      <c r="BP15" s="2907"/>
      <c r="BQ15" s="2907"/>
      <c r="BR15" s="2907"/>
      <c r="BS15" s="2907"/>
      <c r="BT15" s="2907"/>
      <c r="BU15" s="2907"/>
      <c r="BV15" s="2907"/>
      <c r="BW15" s="2907"/>
      <c r="BX15" s="2907"/>
      <c r="BY15" s="2907"/>
      <c r="BZ15" s="2907"/>
      <c r="CA15" s="2907"/>
      <c r="CB15" s="2907"/>
      <c r="CC15" s="2907"/>
      <c r="CD15" s="2907"/>
      <c r="CE15" s="2907"/>
      <c r="CF15" s="2907"/>
      <c r="CG15" s="2907"/>
      <c r="CH15" s="2907"/>
      <c r="CI15" s="2907"/>
      <c r="CJ15" s="2907"/>
      <c r="CK15" s="2907"/>
      <c r="CL15" s="2907"/>
      <c r="CM15" s="2907"/>
      <c r="CN15" s="2907"/>
      <c r="CO15" s="2907"/>
      <c r="CP15" s="2907"/>
      <c r="CQ15" s="2907"/>
      <c r="CR15" s="2907"/>
      <c r="CS15" s="2907"/>
      <c r="CT15" s="2907"/>
      <c r="CU15" s="2907"/>
      <c r="CV15" s="2907"/>
      <c r="CW15" s="2907"/>
      <c r="CX15" s="2907"/>
      <c r="CY15" s="2907"/>
      <c r="CZ15" s="2907"/>
      <c r="DA15" s="2907"/>
      <c r="DB15" s="2907"/>
      <c r="DC15" s="2907"/>
      <c r="DD15" s="2907"/>
      <c r="DE15" s="2907"/>
      <c r="DF15" s="2907"/>
      <c r="DG15" s="2907"/>
      <c r="DH15" s="2907"/>
      <c r="DI15" s="2907"/>
      <c r="DJ15" s="2907"/>
      <c r="DK15" s="2907"/>
      <c r="DL15" s="2907"/>
      <c r="DM15" s="2907"/>
      <c r="DN15" s="2907"/>
      <c r="DO15" s="2907"/>
      <c r="DP15" s="2907"/>
      <c r="DQ15" s="2907"/>
      <c r="DR15" s="2907"/>
      <c r="DS15" s="2907"/>
      <c r="DT15" s="2907"/>
      <c r="DU15" s="2907"/>
      <c r="DV15" s="2907"/>
      <c r="DW15" s="2907"/>
      <c r="DX15" s="2907"/>
      <c r="DY15" s="2907"/>
      <c r="DZ15" s="2907"/>
      <c r="EA15" s="2907"/>
      <c r="EB15" s="2907"/>
      <c r="EC15" s="2907"/>
      <c r="ED15" s="2907"/>
      <c r="EE15" s="2907"/>
      <c r="EF15" s="2907"/>
      <c r="EG15" s="2907"/>
      <c r="EH15" s="2907"/>
      <c r="EI15" s="2907"/>
      <c r="EJ15" s="2907"/>
      <c r="EK15" s="2907"/>
      <c r="EL15" s="2907"/>
      <c r="EM15" s="2907"/>
      <c r="EN15" s="2907"/>
      <c r="EO15" s="2907"/>
      <c r="EP15" s="2907"/>
      <c r="EQ15" s="2907"/>
      <c r="ER15" s="2907"/>
      <c r="ES15" s="2907"/>
      <c r="ET15" s="2907"/>
      <c r="EU15" s="2907"/>
      <c r="EV15" s="2907"/>
      <c r="EW15" s="2907"/>
      <c r="EX15" s="2907"/>
      <c r="EY15" s="2907"/>
      <c r="EZ15" s="2907"/>
      <c r="FA15" s="2907"/>
      <c r="FB15" s="2907"/>
      <c r="FC15" s="2907"/>
      <c r="FD15" s="2907"/>
      <c r="FE15" s="2907"/>
      <c r="FF15" s="2907"/>
      <c r="FG15" s="2907"/>
      <c r="FH15" s="2907"/>
      <c r="FI15" s="2907"/>
      <c r="FJ15" s="2907"/>
      <c r="FK15" s="2907"/>
      <c r="FL15" s="2907"/>
      <c r="FM15" s="2907"/>
      <c r="FN15" s="2907"/>
      <c r="FO15" s="2907"/>
      <c r="FP15" s="2907"/>
      <c r="FQ15" s="2907"/>
      <c r="FR15" s="2907"/>
      <c r="FS15" s="2907"/>
      <c r="FT15" s="2907"/>
      <c r="FU15" s="2907"/>
      <c r="FV15" s="2907"/>
      <c r="FW15" s="2907"/>
      <c r="FX15" s="2907"/>
      <c r="FY15" s="2907"/>
      <c r="FZ15" s="2907"/>
      <c r="GA15" s="2907"/>
      <c r="GB15" s="2907"/>
      <c r="GC15" s="2907"/>
      <c r="GD15" s="2907"/>
      <c r="GE15" s="2907"/>
      <c r="GF15" s="2907"/>
      <c r="GG15" s="2907"/>
      <c r="GH15" s="2907"/>
      <c r="GI15" s="2907"/>
      <c r="GJ15" s="2907"/>
      <c r="GK15" s="2907"/>
      <c r="GL15" s="2907"/>
      <c r="GM15" s="2907"/>
      <c r="GN15" s="2907"/>
      <c r="GO15" s="2907"/>
      <c r="GP15" s="2907"/>
      <c r="GQ15" s="2907"/>
      <c r="GR15" s="2907"/>
      <c r="GS15" s="2907"/>
      <c r="GT15" s="2907"/>
      <c r="GU15" s="2907"/>
      <c r="GV15" s="2907"/>
      <c r="GW15" s="2907"/>
      <c r="GX15" s="2907"/>
      <c r="GY15" s="2907"/>
      <c r="GZ15" s="2907"/>
      <c r="HA15" s="2907"/>
      <c r="HB15" s="2907"/>
      <c r="HC15" s="2907"/>
      <c r="HD15" s="2907"/>
      <c r="HE15" s="2907"/>
      <c r="HF15" s="2907"/>
      <c r="HG15" s="2907"/>
      <c r="HH15" s="2907"/>
      <c r="HI15" s="2907"/>
      <c r="HJ15" s="2907"/>
      <c r="HK15" s="2907"/>
      <c r="HL15" s="2907"/>
      <c r="HM15" s="2907"/>
      <c r="HN15" s="2907"/>
      <c r="HO15" s="2907"/>
      <c r="HP15" s="2907"/>
      <c r="HQ15" s="2907"/>
      <c r="HR15" s="2907"/>
      <c r="HS15" s="2907"/>
      <c r="HT15" s="2907"/>
      <c r="HU15" s="2907"/>
      <c r="HV15" s="2907"/>
      <c r="HW15" s="2907"/>
      <c r="HX15" s="2907"/>
      <c r="HY15" s="2907"/>
      <c r="HZ15" s="2907"/>
      <c r="IA15" s="2907"/>
      <c r="IB15" s="2907"/>
      <c r="IC15" s="2907"/>
      <c r="ID15" s="2907"/>
      <c r="IE15" s="2907"/>
      <c r="IF15" s="2907"/>
      <c r="IG15" s="2907"/>
      <c r="IH15" s="2907"/>
      <c r="II15" s="2907"/>
      <c r="IJ15" s="2907"/>
      <c r="IK15" s="2907"/>
      <c r="IL15" s="2907"/>
      <c r="IM15" s="2907"/>
      <c r="IN15" s="2907"/>
      <c r="IO15" s="2907"/>
      <c r="IP15" s="2907"/>
      <c r="IQ15" s="2907"/>
      <c r="IR15" s="2907"/>
    </row>
    <row r="16" spans="1:252" ht="15" customHeight="1">
      <c r="A16" s="2949" t="s">
        <v>783</v>
      </c>
      <c r="B16" s="2949"/>
      <c r="C16" s="2949"/>
      <c r="D16" s="3881">
        <f>+'Accounts by GL'!D550</f>
        <v>0</v>
      </c>
      <c r="E16" s="2951"/>
      <c r="F16" s="2951"/>
      <c r="G16" s="2907"/>
      <c r="H16" s="2907"/>
      <c r="I16" s="2929" t="s">
        <v>784</v>
      </c>
      <c r="J16" s="2907"/>
      <c r="K16" s="2907"/>
      <c r="L16" s="2907"/>
      <c r="M16" s="2907"/>
      <c r="N16" s="2907"/>
      <c r="O16" s="2907"/>
      <c r="P16" s="2907"/>
      <c r="Q16" s="2907"/>
      <c r="R16" s="2907"/>
      <c r="S16" s="2907"/>
      <c r="T16" s="2907"/>
      <c r="U16" s="2907"/>
      <c r="V16" s="2907"/>
      <c r="W16" s="2907"/>
      <c r="X16" s="2907"/>
      <c r="Y16" s="2907"/>
      <c r="Z16" s="2907"/>
      <c r="AA16" s="2907"/>
      <c r="AB16" s="2907"/>
      <c r="AC16" s="2907"/>
      <c r="AD16" s="2907"/>
      <c r="AE16" s="2907"/>
      <c r="AF16" s="2907"/>
      <c r="AG16" s="2907"/>
      <c r="AH16" s="2907"/>
      <c r="AI16" s="2907"/>
      <c r="AJ16" s="2907"/>
      <c r="AK16" s="2907"/>
      <c r="AL16" s="2907"/>
      <c r="AM16" s="2907"/>
      <c r="AN16" s="2907"/>
      <c r="AO16" s="2907"/>
      <c r="AP16" s="2907"/>
      <c r="AQ16" s="2907"/>
      <c r="AR16" s="2907"/>
      <c r="AS16" s="2907"/>
      <c r="AT16" s="2907"/>
      <c r="AU16" s="2907"/>
      <c r="AV16" s="2907"/>
      <c r="AW16" s="2907"/>
      <c r="AX16" s="2907"/>
      <c r="AY16" s="2907"/>
      <c r="AZ16" s="2907"/>
      <c r="BA16" s="2907"/>
      <c r="BB16" s="2907"/>
      <c r="BC16" s="2907"/>
      <c r="BD16" s="2907"/>
      <c r="BE16" s="2907"/>
      <c r="BF16" s="2907"/>
      <c r="BG16" s="2907"/>
      <c r="BH16" s="2907"/>
      <c r="BI16" s="2907"/>
      <c r="BJ16" s="2907"/>
      <c r="BK16" s="2907"/>
      <c r="BL16" s="2907"/>
      <c r="BM16" s="2907"/>
      <c r="BN16" s="2907"/>
      <c r="BO16" s="2907"/>
      <c r="BP16" s="2907"/>
      <c r="BQ16" s="2907"/>
      <c r="BR16" s="2907"/>
      <c r="BS16" s="2907"/>
      <c r="BT16" s="2907"/>
      <c r="BU16" s="2907"/>
      <c r="BV16" s="2907"/>
      <c r="BW16" s="2907"/>
      <c r="BX16" s="2907"/>
      <c r="BY16" s="2907"/>
      <c r="BZ16" s="2907"/>
      <c r="CA16" s="2907"/>
      <c r="CB16" s="2907"/>
      <c r="CC16" s="2907"/>
      <c r="CD16" s="2907"/>
      <c r="CE16" s="2907"/>
      <c r="CF16" s="2907"/>
      <c r="CG16" s="2907"/>
      <c r="CH16" s="2907"/>
      <c r="CI16" s="2907"/>
      <c r="CJ16" s="2907"/>
      <c r="CK16" s="2907"/>
      <c r="CL16" s="2907"/>
      <c r="CM16" s="2907"/>
      <c r="CN16" s="2907"/>
      <c r="CO16" s="2907"/>
      <c r="CP16" s="2907"/>
      <c r="CQ16" s="2907"/>
      <c r="CR16" s="2907"/>
      <c r="CS16" s="2907"/>
      <c r="CT16" s="2907"/>
      <c r="CU16" s="2907"/>
      <c r="CV16" s="2907"/>
      <c r="CW16" s="2907"/>
      <c r="CX16" s="2907"/>
      <c r="CY16" s="2907"/>
      <c r="CZ16" s="2907"/>
      <c r="DA16" s="2907"/>
      <c r="DB16" s="2907"/>
      <c r="DC16" s="2907"/>
      <c r="DD16" s="2907"/>
      <c r="DE16" s="2907"/>
      <c r="DF16" s="2907"/>
      <c r="DG16" s="2907"/>
      <c r="DH16" s="2907"/>
      <c r="DI16" s="2907"/>
      <c r="DJ16" s="2907"/>
      <c r="DK16" s="2907"/>
      <c r="DL16" s="2907"/>
      <c r="DM16" s="2907"/>
      <c r="DN16" s="2907"/>
      <c r="DO16" s="2907"/>
      <c r="DP16" s="2907"/>
      <c r="DQ16" s="2907"/>
      <c r="DR16" s="2907"/>
      <c r="DS16" s="2907"/>
      <c r="DT16" s="2907"/>
      <c r="DU16" s="2907"/>
      <c r="DV16" s="2907"/>
      <c r="DW16" s="2907"/>
      <c r="DX16" s="2907"/>
      <c r="DY16" s="2907"/>
      <c r="DZ16" s="2907"/>
      <c r="EA16" s="2907"/>
      <c r="EB16" s="2907"/>
      <c r="EC16" s="2907"/>
      <c r="ED16" s="2907"/>
      <c r="EE16" s="2907"/>
      <c r="EF16" s="2907"/>
      <c r="EG16" s="2907"/>
      <c r="EH16" s="2907"/>
      <c r="EI16" s="2907"/>
      <c r="EJ16" s="2907"/>
      <c r="EK16" s="2907"/>
      <c r="EL16" s="2907"/>
      <c r="EM16" s="2907"/>
      <c r="EN16" s="2907"/>
      <c r="EO16" s="2907"/>
      <c r="EP16" s="2907"/>
      <c r="EQ16" s="2907"/>
      <c r="ER16" s="2907"/>
      <c r="ES16" s="2907"/>
      <c r="ET16" s="2907"/>
      <c r="EU16" s="2907"/>
      <c r="EV16" s="2907"/>
      <c r="EW16" s="2907"/>
      <c r="EX16" s="2907"/>
      <c r="EY16" s="2907"/>
      <c r="EZ16" s="2907"/>
      <c r="FA16" s="2907"/>
      <c r="FB16" s="2907"/>
      <c r="FC16" s="2907"/>
      <c r="FD16" s="2907"/>
      <c r="FE16" s="2907"/>
      <c r="FF16" s="2907"/>
      <c r="FG16" s="2907"/>
      <c r="FH16" s="2907"/>
      <c r="FI16" s="2907"/>
      <c r="FJ16" s="2907"/>
      <c r="FK16" s="2907"/>
      <c r="FL16" s="2907"/>
      <c r="FM16" s="2907"/>
      <c r="FN16" s="2907"/>
      <c r="FO16" s="2907"/>
      <c r="FP16" s="2907"/>
      <c r="FQ16" s="2907"/>
      <c r="FR16" s="2907"/>
      <c r="FS16" s="2907"/>
      <c r="FT16" s="2907"/>
      <c r="FU16" s="2907"/>
      <c r="FV16" s="2907"/>
      <c r="FW16" s="2907"/>
      <c r="FX16" s="2907"/>
      <c r="FY16" s="2907"/>
      <c r="FZ16" s="2907"/>
      <c r="GA16" s="2907"/>
      <c r="GB16" s="2907"/>
      <c r="GC16" s="2907"/>
      <c r="GD16" s="2907"/>
      <c r="GE16" s="2907"/>
      <c r="GF16" s="2907"/>
      <c r="GG16" s="2907"/>
      <c r="GH16" s="2907"/>
      <c r="GI16" s="2907"/>
      <c r="GJ16" s="2907"/>
      <c r="GK16" s="2907"/>
      <c r="GL16" s="2907"/>
      <c r="GM16" s="2907"/>
      <c r="GN16" s="2907"/>
      <c r="GO16" s="2907"/>
      <c r="GP16" s="2907"/>
      <c r="GQ16" s="2907"/>
      <c r="GR16" s="2907"/>
      <c r="GS16" s="2907"/>
      <c r="GT16" s="2907"/>
      <c r="GU16" s="2907"/>
      <c r="GV16" s="2907"/>
      <c r="GW16" s="2907"/>
      <c r="GX16" s="2907"/>
      <c r="GY16" s="2907"/>
      <c r="GZ16" s="2907"/>
      <c r="HA16" s="2907"/>
      <c r="HB16" s="2907"/>
      <c r="HC16" s="2907"/>
      <c r="HD16" s="2907"/>
      <c r="HE16" s="2907"/>
      <c r="HF16" s="2907"/>
      <c r="HG16" s="2907"/>
      <c r="HH16" s="2907"/>
      <c r="HI16" s="2907"/>
      <c r="HJ16" s="2907"/>
      <c r="HK16" s="2907"/>
      <c r="HL16" s="2907"/>
      <c r="HM16" s="2907"/>
      <c r="HN16" s="2907"/>
      <c r="HO16" s="2907"/>
      <c r="HP16" s="2907"/>
      <c r="HQ16" s="2907"/>
      <c r="HR16" s="2907"/>
      <c r="HS16" s="2907"/>
      <c r="HT16" s="2907"/>
      <c r="HU16" s="2907"/>
      <c r="HV16" s="2907"/>
      <c r="HW16" s="2907"/>
      <c r="HX16" s="2907"/>
      <c r="HY16" s="2907"/>
      <c r="HZ16" s="2907"/>
      <c r="IA16" s="2907"/>
      <c r="IB16" s="2907"/>
      <c r="IC16" s="2907"/>
      <c r="ID16" s="2907"/>
      <c r="IE16" s="2907"/>
      <c r="IF16" s="2907"/>
      <c r="IG16" s="2907"/>
      <c r="IH16" s="2907"/>
      <c r="II16" s="2907"/>
      <c r="IJ16" s="2907"/>
      <c r="IK16" s="2907"/>
      <c r="IL16" s="2907"/>
      <c r="IM16" s="2907"/>
      <c r="IN16" s="2907"/>
      <c r="IO16" s="2907"/>
      <c r="IP16" s="2907"/>
      <c r="IQ16" s="2907"/>
      <c r="IR16" s="2907"/>
    </row>
    <row r="17" spans="1:252" ht="15" hidden="1" customHeight="1">
      <c r="A17" s="2949"/>
      <c r="B17" s="2949"/>
      <c r="C17" s="2949"/>
      <c r="D17" s="2908"/>
      <c r="E17" s="2951"/>
      <c r="F17" s="2951"/>
      <c r="G17" s="2907"/>
      <c r="H17" s="2907"/>
      <c r="I17" s="2929" t="s">
        <v>785</v>
      </c>
      <c r="J17" s="2907"/>
      <c r="K17" s="2907"/>
      <c r="L17" s="2907"/>
      <c r="M17" s="2907"/>
      <c r="N17" s="2907"/>
      <c r="O17" s="2907"/>
      <c r="P17" s="2907"/>
      <c r="Q17" s="2907"/>
      <c r="R17" s="2907"/>
      <c r="S17" s="2907"/>
      <c r="T17" s="2907"/>
      <c r="U17" s="2907"/>
      <c r="V17" s="2907"/>
      <c r="W17" s="2907"/>
      <c r="X17" s="2907"/>
      <c r="Y17" s="2907"/>
      <c r="Z17" s="2907"/>
      <c r="AA17" s="2907"/>
      <c r="AB17" s="2907"/>
      <c r="AC17" s="2907"/>
      <c r="AD17" s="2907"/>
      <c r="AE17" s="2907"/>
      <c r="AF17" s="2907"/>
      <c r="AG17" s="2907"/>
      <c r="AH17" s="2907"/>
      <c r="AI17" s="2907"/>
      <c r="AJ17" s="2907"/>
      <c r="AK17" s="2907"/>
      <c r="AL17" s="2907"/>
      <c r="AM17" s="2907"/>
      <c r="AN17" s="2907"/>
      <c r="AO17" s="2907"/>
      <c r="AP17" s="2907"/>
      <c r="AQ17" s="2907"/>
      <c r="AR17" s="2907"/>
      <c r="AS17" s="2907"/>
      <c r="AT17" s="2907"/>
      <c r="AU17" s="2907"/>
      <c r="AV17" s="2907"/>
      <c r="AW17" s="2907"/>
      <c r="AX17" s="2907"/>
      <c r="AY17" s="2907"/>
      <c r="AZ17" s="2907"/>
      <c r="BA17" s="2907"/>
      <c r="BB17" s="2907"/>
      <c r="BC17" s="2907"/>
      <c r="BD17" s="2907"/>
      <c r="BE17" s="2907"/>
      <c r="BF17" s="2907"/>
      <c r="BG17" s="2907"/>
      <c r="BH17" s="2907"/>
      <c r="BI17" s="2907"/>
      <c r="BJ17" s="2907"/>
      <c r="BK17" s="2907"/>
      <c r="BL17" s="2907"/>
      <c r="BM17" s="2907"/>
      <c r="BN17" s="2907"/>
      <c r="BO17" s="2907"/>
      <c r="BP17" s="2907"/>
      <c r="BQ17" s="2907"/>
      <c r="BR17" s="2907"/>
      <c r="BS17" s="2907"/>
      <c r="BT17" s="2907"/>
      <c r="BU17" s="2907"/>
      <c r="BV17" s="2907"/>
      <c r="BW17" s="2907"/>
      <c r="BX17" s="2907"/>
      <c r="BY17" s="2907"/>
      <c r="BZ17" s="2907"/>
      <c r="CA17" s="2907"/>
      <c r="CB17" s="2907"/>
      <c r="CC17" s="2907"/>
      <c r="CD17" s="2907"/>
      <c r="CE17" s="2907"/>
      <c r="CF17" s="2907"/>
      <c r="CG17" s="2907"/>
      <c r="CH17" s="2907"/>
      <c r="CI17" s="2907"/>
      <c r="CJ17" s="2907"/>
      <c r="CK17" s="2907"/>
      <c r="CL17" s="2907"/>
      <c r="CM17" s="2907"/>
      <c r="CN17" s="2907"/>
      <c r="CO17" s="2907"/>
      <c r="CP17" s="2907"/>
      <c r="CQ17" s="2907"/>
      <c r="CR17" s="2907"/>
      <c r="CS17" s="2907"/>
      <c r="CT17" s="2907"/>
      <c r="CU17" s="2907"/>
      <c r="CV17" s="2907"/>
      <c r="CW17" s="2907"/>
      <c r="CX17" s="2907"/>
      <c r="CY17" s="2907"/>
      <c r="CZ17" s="2907"/>
      <c r="DA17" s="2907"/>
      <c r="DB17" s="2907"/>
      <c r="DC17" s="2907"/>
      <c r="DD17" s="2907"/>
      <c r="DE17" s="2907"/>
      <c r="DF17" s="2907"/>
      <c r="DG17" s="2907"/>
      <c r="DH17" s="2907"/>
      <c r="DI17" s="2907"/>
      <c r="DJ17" s="2907"/>
      <c r="DK17" s="2907"/>
      <c r="DL17" s="2907"/>
      <c r="DM17" s="2907"/>
      <c r="DN17" s="2907"/>
      <c r="DO17" s="2907"/>
      <c r="DP17" s="2907"/>
      <c r="DQ17" s="2907"/>
      <c r="DR17" s="2907"/>
      <c r="DS17" s="2907"/>
      <c r="DT17" s="2907"/>
      <c r="DU17" s="2907"/>
      <c r="DV17" s="2907"/>
      <c r="DW17" s="2907"/>
      <c r="DX17" s="2907"/>
      <c r="DY17" s="2907"/>
      <c r="DZ17" s="2907"/>
      <c r="EA17" s="2907"/>
      <c r="EB17" s="2907"/>
      <c r="EC17" s="2907"/>
      <c r="ED17" s="2907"/>
      <c r="EE17" s="2907"/>
      <c r="EF17" s="2907"/>
      <c r="EG17" s="2907"/>
      <c r="EH17" s="2907"/>
      <c r="EI17" s="2907"/>
      <c r="EJ17" s="2907"/>
      <c r="EK17" s="2907"/>
      <c r="EL17" s="2907"/>
      <c r="EM17" s="2907"/>
      <c r="EN17" s="2907"/>
      <c r="EO17" s="2907"/>
      <c r="EP17" s="2907"/>
      <c r="EQ17" s="2907"/>
      <c r="ER17" s="2907"/>
      <c r="ES17" s="2907"/>
      <c r="ET17" s="2907"/>
      <c r="EU17" s="2907"/>
      <c r="EV17" s="2907"/>
      <c r="EW17" s="2907"/>
      <c r="EX17" s="2907"/>
      <c r="EY17" s="2907"/>
      <c r="EZ17" s="2907"/>
      <c r="FA17" s="2907"/>
      <c r="FB17" s="2907"/>
      <c r="FC17" s="2907"/>
      <c r="FD17" s="2907"/>
      <c r="FE17" s="2907"/>
      <c r="FF17" s="2907"/>
      <c r="FG17" s="2907"/>
      <c r="FH17" s="2907"/>
      <c r="FI17" s="2907"/>
      <c r="FJ17" s="2907"/>
      <c r="FK17" s="2907"/>
      <c r="FL17" s="2907"/>
      <c r="FM17" s="2907"/>
      <c r="FN17" s="2907"/>
      <c r="FO17" s="2907"/>
      <c r="FP17" s="2907"/>
      <c r="FQ17" s="2907"/>
      <c r="FR17" s="2907"/>
      <c r="FS17" s="2907"/>
      <c r="FT17" s="2907"/>
      <c r="FU17" s="2907"/>
      <c r="FV17" s="2907"/>
      <c r="FW17" s="2907"/>
      <c r="FX17" s="2907"/>
      <c r="FY17" s="2907"/>
      <c r="FZ17" s="2907"/>
      <c r="GA17" s="2907"/>
      <c r="GB17" s="2907"/>
      <c r="GC17" s="2907"/>
      <c r="GD17" s="2907"/>
      <c r="GE17" s="2907"/>
      <c r="GF17" s="2907"/>
      <c r="GG17" s="2907"/>
      <c r="GH17" s="2907"/>
      <c r="GI17" s="2907"/>
      <c r="GJ17" s="2907"/>
      <c r="GK17" s="2907"/>
      <c r="GL17" s="2907"/>
      <c r="GM17" s="2907"/>
      <c r="GN17" s="2907"/>
      <c r="GO17" s="2907"/>
      <c r="GP17" s="2907"/>
      <c r="GQ17" s="2907"/>
      <c r="GR17" s="2907"/>
      <c r="GS17" s="2907"/>
      <c r="GT17" s="2907"/>
      <c r="GU17" s="2907"/>
      <c r="GV17" s="2907"/>
      <c r="GW17" s="2907"/>
      <c r="GX17" s="2907"/>
      <c r="GY17" s="2907"/>
      <c r="GZ17" s="2907"/>
      <c r="HA17" s="2907"/>
      <c r="HB17" s="2907"/>
      <c r="HC17" s="2907"/>
      <c r="HD17" s="2907"/>
      <c r="HE17" s="2907"/>
      <c r="HF17" s="2907"/>
      <c r="HG17" s="2907"/>
      <c r="HH17" s="2907"/>
      <c r="HI17" s="2907"/>
      <c r="HJ17" s="2907"/>
      <c r="HK17" s="2907"/>
      <c r="HL17" s="2907"/>
      <c r="HM17" s="2907"/>
      <c r="HN17" s="2907"/>
      <c r="HO17" s="2907"/>
      <c r="HP17" s="2907"/>
      <c r="HQ17" s="2907"/>
      <c r="HR17" s="2907"/>
      <c r="HS17" s="2907"/>
      <c r="HT17" s="2907"/>
      <c r="HU17" s="2907"/>
      <c r="HV17" s="2907"/>
      <c r="HW17" s="2907"/>
      <c r="HX17" s="2907"/>
      <c r="HY17" s="2907"/>
      <c r="HZ17" s="2907"/>
      <c r="IA17" s="2907"/>
      <c r="IB17" s="2907"/>
      <c r="IC17" s="2907"/>
      <c r="ID17" s="2907"/>
      <c r="IE17" s="2907"/>
      <c r="IF17" s="2907"/>
      <c r="IG17" s="2907"/>
      <c r="IH17" s="2907"/>
      <c r="II17" s="2907"/>
      <c r="IJ17" s="2907"/>
      <c r="IK17" s="2907"/>
      <c r="IL17" s="2907"/>
      <c r="IM17" s="2907"/>
      <c r="IN17" s="2907"/>
      <c r="IO17" s="2907"/>
      <c r="IP17" s="2907"/>
      <c r="IQ17" s="2907"/>
      <c r="IR17" s="2907"/>
    </row>
    <row r="18" spans="1:252" ht="15" customHeight="1">
      <c r="A18" s="2949" t="s">
        <v>4046</v>
      </c>
      <c r="B18" s="2949"/>
      <c r="C18" s="2949"/>
      <c r="D18" s="2908">
        <f>SUM(D8:D17)</f>
        <v>0</v>
      </c>
      <c r="E18" s="2951"/>
      <c r="F18" s="2951"/>
      <c r="G18" s="2907"/>
      <c r="H18" s="2907"/>
      <c r="I18" s="2929" t="s">
        <v>786</v>
      </c>
      <c r="J18" s="2907"/>
      <c r="K18" s="2907"/>
      <c r="L18" s="2907"/>
      <c r="M18" s="2907"/>
      <c r="N18" s="2907"/>
      <c r="O18" s="2907"/>
      <c r="P18" s="2907"/>
      <c r="Q18" s="2907"/>
      <c r="R18" s="2907"/>
      <c r="S18" s="2907"/>
      <c r="T18" s="2907"/>
      <c r="U18" s="2907"/>
      <c r="V18" s="2907"/>
      <c r="W18" s="2907"/>
      <c r="X18" s="2907"/>
      <c r="Y18" s="2907"/>
      <c r="Z18" s="2907"/>
      <c r="AA18" s="2907"/>
      <c r="AB18" s="2907"/>
      <c r="AC18" s="2907"/>
      <c r="AD18" s="2907"/>
      <c r="AE18" s="2907"/>
      <c r="AF18" s="2907"/>
      <c r="AG18" s="2907"/>
      <c r="AH18" s="2907"/>
      <c r="AI18" s="2907"/>
      <c r="AJ18" s="2907"/>
      <c r="AK18" s="2907"/>
      <c r="AL18" s="2907"/>
      <c r="AM18" s="2907"/>
      <c r="AN18" s="2907"/>
      <c r="AO18" s="2907"/>
      <c r="AP18" s="2907"/>
      <c r="AQ18" s="2907"/>
      <c r="AR18" s="2907"/>
      <c r="AS18" s="2907"/>
      <c r="AT18" s="2907"/>
      <c r="AU18" s="2907"/>
      <c r="AV18" s="2907"/>
      <c r="AW18" s="2907"/>
      <c r="AX18" s="2907"/>
      <c r="AY18" s="2907"/>
      <c r="AZ18" s="2907"/>
      <c r="BA18" s="2907"/>
      <c r="BB18" s="2907"/>
      <c r="BC18" s="2907"/>
      <c r="BD18" s="2907"/>
      <c r="BE18" s="2907"/>
      <c r="BF18" s="2907"/>
      <c r="BG18" s="2907"/>
      <c r="BH18" s="2907"/>
      <c r="BI18" s="2907"/>
      <c r="BJ18" s="2907"/>
      <c r="BK18" s="2907"/>
      <c r="BL18" s="2907"/>
      <c r="BM18" s="2907"/>
      <c r="BN18" s="2907"/>
      <c r="BO18" s="2907"/>
      <c r="BP18" s="2907"/>
      <c r="BQ18" s="2907"/>
      <c r="BR18" s="2907"/>
      <c r="BS18" s="2907"/>
      <c r="BT18" s="2907"/>
      <c r="BU18" s="2907"/>
      <c r="BV18" s="2907"/>
      <c r="BW18" s="2907"/>
      <c r="BX18" s="2907"/>
      <c r="BY18" s="2907"/>
      <c r="BZ18" s="2907"/>
      <c r="CA18" s="2907"/>
      <c r="CB18" s="2907"/>
      <c r="CC18" s="2907"/>
      <c r="CD18" s="2907"/>
      <c r="CE18" s="2907"/>
      <c r="CF18" s="2907"/>
      <c r="CG18" s="2907"/>
      <c r="CH18" s="2907"/>
      <c r="CI18" s="2907"/>
      <c r="CJ18" s="2907"/>
      <c r="CK18" s="2907"/>
      <c r="CL18" s="2907"/>
      <c r="CM18" s="2907"/>
      <c r="CN18" s="2907"/>
      <c r="CO18" s="2907"/>
      <c r="CP18" s="2907"/>
      <c r="CQ18" s="2907"/>
      <c r="CR18" s="2907"/>
      <c r="CS18" s="2907"/>
      <c r="CT18" s="2907"/>
      <c r="CU18" s="2907"/>
      <c r="CV18" s="2907"/>
      <c r="CW18" s="2907"/>
      <c r="CX18" s="2907"/>
      <c r="CY18" s="2907"/>
      <c r="CZ18" s="2907"/>
      <c r="DA18" s="2907"/>
      <c r="DB18" s="2907"/>
      <c r="DC18" s="2907"/>
      <c r="DD18" s="2907"/>
      <c r="DE18" s="2907"/>
      <c r="DF18" s="2907"/>
      <c r="DG18" s="2907"/>
      <c r="DH18" s="2907"/>
      <c r="DI18" s="2907"/>
      <c r="DJ18" s="2907"/>
      <c r="DK18" s="2907"/>
      <c r="DL18" s="2907"/>
      <c r="DM18" s="2907"/>
      <c r="DN18" s="2907"/>
      <c r="DO18" s="2907"/>
      <c r="DP18" s="2907"/>
      <c r="DQ18" s="2907"/>
      <c r="DR18" s="2907"/>
      <c r="DS18" s="2907"/>
      <c r="DT18" s="2907"/>
      <c r="DU18" s="2907"/>
      <c r="DV18" s="2907"/>
      <c r="DW18" s="2907"/>
      <c r="DX18" s="2907"/>
      <c r="DY18" s="2907"/>
      <c r="DZ18" s="2907"/>
      <c r="EA18" s="2907"/>
      <c r="EB18" s="2907"/>
      <c r="EC18" s="2907"/>
      <c r="ED18" s="2907"/>
      <c r="EE18" s="2907"/>
      <c r="EF18" s="2907"/>
      <c r="EG18" s="2907"/>
      <c r="EH18" s="2907"/>
      <c r="EI18" s="2907"/>
      <c r="EJ18" s="2907"/>
      <c r="EK18" s="2907"/>
      <c r="EL18" s="2907"/>
      <c r="EM18" s="2907"/>
      <c r="EN18" s="2907"/>
      <c r="EO18" s="2907"/>
      <c r="EP18" s="2907"/>
      <c r="EQ18" s="2907"/>
      <c r="ER18" s="2907"/>
      <c r="ES18" s="2907"/>
      <c r="ET18" s="2907"/>
      <c r="EU18" s="2907"/>
      <c r="EV18" s="2907"/>
      <c r="EW18" s="2907"/>
      <c r="EX18" s="2907"/>
      <c r="EY18" s="2907"/>
      <c r="EZ18" s="2907"/>
      <c r="FA18" s="2907"/>
      <c r="FB18" s="2907"/>
      <c r="FC18" s="2907"/>
      <c r="FD18" s="2907"/>
      <c r="FE18" s="2907"/>
      <c r="FF18" s="2907"/>
      <c r="FG18" s="2907"/>
      <c r="FH18" s="2907"/>
      <c r="FI18" s="2907"/>
      <c r="FJ18" s="2907"/>
      <c r="FK18" s="2907"/>
      <c r="FL18" s="2907"/>
      <c r="FM18" s="2907"/>
      <c r="FN18" s="2907"/>
      <c r="FO18" s="2907"/>
      <c r="FP18" s="2907"/>
      <c r="FQ18" s="2907"/>
      <c r="FR18" s="2907"/>
      <c r="FS18" s="2907"/>
      <c r="FT18" s="2907"/>
      <c r="FU18" s="2907"/>
      <c r="FV18" s="2907"/>
      <c r="FW18" s="2907"/>
      <c r="FX18" s="2907"/>
      <c r="FY18" s="2907"/>
      <c r="FZ18" s="2907"/>
      <c r="GA18" s="2907"/>
      <c r="GB18" s="2907"/>
      <c r="GC18" s="2907"/>
      <c r="GD18" s="2907"/>
      <c r="GE18" s="2907"/>
      <c r="GF18" s="2907"/>
      <c r="GG18" s="2907"/>
      <c r="GH18" s="2907"/>
      <c r="GI18" s="2907"/>
      <c r="GJ18" s="2907"/>
      <c r="GK18" s="2907"/>
      <c r="GL18" s="2907"/>
      <c r="GM18" s="2907"/>
      <c r="GN18" s="2907"/>
      <c r="GO18" s="2907"/>
      <c r="GP18" s="2907"/>
      <c r="GQ18" s="2907"/>
      <c r="GR18" s="2907"/>
      <c r="GS18" s="2907"/>
      <c r="GT18" s="2907"/>
      <c r="GU18" s="2907"/>
      <c r="GV18" s="2907"/>
      <c r="GW18" s="2907"/>
      <c r="GX18" s="2907"/>
      <c r="GY18" s="2907"/>
      <c r="GZ18" s="2907"/>
      <c r="HA18" s="2907"/>
      <c r="HB18" s="2907"/>
      <c r="HC18" s="2907"/>
      <c r="HD18" s="2907"/>
      <c r="HE18" s="2907"/>
      <c r="HF18" s="2907"/>
      <c r="HG18" s="2907"/>
      <c r="HH18" s="2907"/>
      <c r="HI18" s="2907"/>
      <c r="HJ18" s="2907"/>
      <c r="HK18" s="2907"/>
      <c r="HL18" s="2907"/>
      <c r="HM18" s="2907"/>
      <c r="HN18" s="2907"/>
      <c r="HO18" s="2907"/>
      <c r="HP18" s="2907"/>
      <c r="HQ18" s="2907"/>
      <c r="HR18" s="2907"/>
      <c r="HS18" s="2907"/>
      <c r="HT18" s="2907"/>
      <c r="HU18" s="2907"/>
      <c r="HV18" s="2907"/>
      <c r="HW18" s="2907"/>
      <c r="HX18" s="2907"/>
      <c r="HY18" s="2907"/>
      <c r="HZ18" s="2907"/>
      <c r="IA18" s="2907"/>
      <c r="IB18" s="2907"/>
      <c r="IC18" s="2907"/>
      <c r="ID18" s="2907"/>
      <c r="IE18" s="2907"/>
      <c r="IF18" s="2907"/>
      <c r="IG18" s="2907"/>
      <c r="IH18" s="2907"/>
      <c r="II18" s="2907"/>
      <c r="IJ18" s="2907"/>
      <c r="IK18" s="2907"/>
      <c r="IL18" s="2907"/>
      <c r="IM18" s="2907"/>
      <c r="IN18" s="2907"/>
      <c r="IO18" s="2907"/>
      <c r="IP18" s="2907"/>
      <c r="IQ18" s="2907"/>
      <c r="IR18" s="2907"/>
    </row>
    <row r="19" spans="1:252" ht="15" customHeight="1">
      <c r="A19" s="2951"/>
      <c r="B19" s="2951"/>
      <c r="C19" s="2951"/>
      <c r="D19" s="2908"/>
      <c r="E19" s="2951"/>
      <c r="F19" s="2951"/>
      <c r="G19" s="2907"/>
      <c r="H19" s="2907"/>
      <c r="I19" s="2929" t="s">
        <v>787</v>
      </c>
      <c r="J19" s="2907"/>
      <c r="K19" s="2907"/>
      <c r="L19" s="2907"/>
      <c r="M19" s="2907"/>
      <c r="N19" s="2907"/>
      <c r="O19" s="2907"/>
      <c r="P19" s="2907"/>
      <c r="Q19" s="2907"/>
      <c r="R19" s="2907"/>
      <c r="S19" s="2907"/>
      <c r="T19" s="2907"/>
      <c r="U19" s="2907"/>
      <c r="V19" s="2907"/>
      <c r="W19" s="2907"/>
      <c r="X19" s="2907"/>
      <c r="Y19" s="2907"/>
      <c r="Z19" s="2907"/>
      <c r="AA19" s="2907"/>
      <c r="AB19" s="2907"/>
      <c r="AC19" s="2907"/>
      <c r="AD19" s="2907"/>
      <c r="AE19" s="2907"/>
      <c r="AF19" s="2907"/>
      <c r="AG19" s="2907"/>
      <c r="AH19" s="2907"/>
      <c r="AI19" s="2907"/>
      <c r="AJ19" s="2907"/>
      <c r="AK19" s="2907"/>
      <c r="AL19" s="2907"/>
      <c r="AM19" s="2907"/>
      <c r="AN19" s="2907"/>
      <c r="AO19" s="2907"/>
      <c r="AP19" s="2907"/>
      <c r="AQ19" s="2907"/>
      <c r="AR19" s="2907"/>
      <c r="AS19" s="2907"/>
      <c r="AT19" s="2907"/>
      <c r="AU19" s="2907"/>
      <c r="AV19" s="2907"/>
      <c r="AW19" s="2907"/>
      <c r="AX19" s="2907"/>
      <c r="AY19" s="2907"/>
      <c r="AZ19" s="2907"/>
      <c r="BA19" s="2907"/>
      <c r="BB19" s="2907"/>
      <c r="BC19" s="2907"/>
      <c r="BD19" s="2907"/>
      <c r="BE19" s="2907"/>
      <c r="BF19" s="2907"/>
      <c r="BG19" s="2907"/>
      <c r="BH19" s="2907"/>
      <c r="BI19" s="2907"/>
      <c r="BJ19" s="2907"/>
      <c r="BK19" s="2907"/>
      <c r="BL19" s="2907"/>
      <c r="BM19" s="2907"/>
      <c r="BN19" s="2907"/>
      <c r="BO19" s="2907"/>
      <c r="BP19" s="2907"/>
      <c r="BQ19" s="2907"/>
      <c r="BR19" s="2907"/>
      <c r="BS19" s="2907"/>
      <c r="BT19" s="2907"/>
      <c r="BU19" s="2907"/>
      <c r="BV19" s="2907"/>
      <c r="BW19" s="2907"/>
      <c r="BX19" s="2907"/>
      <c r="BY19" s="2907"/>
      <c r="BZ19" s="2907"/>
      <c r="CA19" s="2907"/>
      <c r="CB19" s="2907"/>
      <c r="CC19" s="2907"/>
      <c r="CD19" s="2907"/>
      <c r="CE19" s="2907"/>
      <c r="CF19" s="2907"/>
      <c r="CG19" s="2907"/>
      <c r="CH19" s="2907"/>
      <c r="CI19" s="2907"/>
      <c r="CJ19" s="2907"/>
      <c r="CK19" s="2907"/>
      <c r="CL19" s="2907"/>
      <c r="CM19" s="2907"/>
      <c r="CN19" s="2907"/>
      <c r="CO19" s="2907"/>
      <c r="CP19" s="2907"/>
      <c r="CQ19" s="2907"/>
      <c r="CR19" s="2907"/>
      <c r="CS19" s="2907"/>
      <c r="CT19" s="2907"/>
      <c r="CU19" s="2907"/>
      <c r="CV19" s="2907"/>
      <c r="CW19" s="2907"/>
      <c r="CX19" s="2907"/>
      <c r="CY19" s="2907"/>
      <c r="CZ19" s="2907"/>
      <c r="DA19" s="2907"/>
      <c r="DB19" s="2907"/>
      <c r="DC19" s="2907"/>
      <c r="DD19" s="2907"/>
      <c r="DE19" s="2907"/>
      <c r="DF19" s="2907"/>
      <c r="DG19" s="2907"/>
      <c r="DH19" s="2907"/>
      <c r="DI19" s="2907"/>
      <c r="DJ19" s="2907"/>
      <c r="DK19" s="2907"/>
      <c r="DL19" s="2907"/>
      <c r="DM19" s="2907"/>
      <c r="DN19" s="2907"/>
      <c r="DO19" s="2907"/>
      <c r="DP19" s="2907"/>
      <c r="DQ19" s="2907"/>
      <c r="DR19" s="2907"/>
      <c r="DS19" s="2907"/>
      <c r="DT19" s="2907"/>
      <c r="DU19" s="2907"/>
      <c r="DV19" s="2907"/>
      <c r="DW19" s="2907"/>
      <c r="DX19" s="2907"/>
      <c r="DY19" s="2907"/>
      <c r="DZ19" s="2907"/>
      <c r="EA19" s="2907"/>
      <c r="EB19" s="2907"/>
      <c r="EC19" s="2907"/>
      <c r="ED19" s="2907"/>
      <c r="EE19" s="2907"/>
      <c r="EF19" s="2907"/>
      <c r="EG19" s="2907"/>
      <c r="EH19" s="2907"/>
      <c r="EI19" s="2907"/>
      <c r="EJ19" s="2907"/>
      <c r="EK19" s="2907"/>
      <c r="EL19" s="2907"/>
      <c r="EM19" s="2907"/>
      <c r="EN19" s="2907"/>
      <c r="EO19" s="2907"/>
      <c r="EP19" s="2907"/>
      <c r="EQ19" s="2907"/>
      <c r="ER19" s="2907"/>
      <c r="ES19" s="2907"/>
      <c r="ET19" s="2907"/>
      <c r="EU19" s="2907"/>
      <c r="EV19" s="2907"/>
      <c r="EW19" s="2907"/>
      <c r="EX19" s="2907"/>
      <c r="EY19" s="2907"/>
      <c r="EZ19" s="2907"/>
      <c r="FA19" s="2907"/>
      <c r="FB19" s="2907"/>
      <c r="FC19" s="2907"/>
      <c r="FD19" s="2907"/>
      <c r="FE19" s="2907"/>
      <c r="FF19" s="2907"/>
      <c r="FG19" s="2907"/>
      <c r="FH19" s="2907"/>
      <c r="FI19" s="2907"/>
      <c r="FJ19" s="2907"/>
      <c r="FK19" s="2907"/>
      <c r="FL19" s="2907"/>
      <c r="FM19" s="2907"/>
      <c r="FN19" s="2907"/>
      <c r="FO19" s="2907"/>
      <c r="FP19" s="2907"/>
      <c r="FQ19" s="2907"/>
      <c r="FR19" s="2907"/>
      <c r="FS19" s="2907"/>
      <c r="FT19" s="2907"/>
      <c r="FU19" s="2907"/>
      <c r="FV19" s="2907"/>
      <c r="FW19" s="2907"/>
      <c r="FX19" s="2907"/>
      <c r="FY19" s="2907"/>
      <c r="FZ19" s="2907"/>
      <c r="GA19" s="2907"/>
      <c r="GB19" s="2907"/>
      <c r="GC19" s="2907"/>
      <c r="GD19" s="2907"/>
      <c r="GE19" s="2907"/>
      <c r="GF19" s="2907"/>
      <c r="GG19" s="2907"/>
      <c r="GH19" s="2907"/>
      <c r="GI19" s="2907"/>
      <c r="GJ19" s="2907"/>
      <c r="GK19" s="2907"/>
      <c r="GL19" s="2907"/>
      <c r="GM19" s="2907"/>
      <c r="GN19" s="2907"/>
      <c r="GO19" s="2907"/>
      <c r="GP19" s="2907"/>
      <c r="GQ19" s="2907"/>
      <c r="GR19" s="2907"/>
      <c r="GS19" s="2907"/>
      <c r="GT19" s="2907"/>
      <c r="GU19" s="2907"/>
      <c r="GV19" s="2907"/>
      <c r="GW19" s="2907"/>
      <c r="GX19" s="2907"/>
      <c r="GY19" s="2907"/>
      <c r="GZ19" s="2907"/>
      <c r="HA19" s="2907"/>
      <c r="HB19" s="2907"/>
      <c r="HC19" s="2907"/>
      <c r="HD19" s="2907"/>
      <c r="HE19" s="2907"/>
      <c r="HF19" s="2907"/>
      <c r="HG19" s="2907"/>
      <c r="HH19" s="2907"/>
      <c r="HI19" s="2907"/>
      <c r="HJ19" s="2907"/>
      <c r="HK19" s="2907"/>
      <c r="HL19" s="2907"/>
      <c r="HM19" s="2907"/>
      <c r="HN19" s="2907"/>
      <c r="HO19" s="2907"/>
      <c r="HP19" s="2907"/>
      <c r="HQ19" s="2907"/>
      <c r="HR19" s="2907"/>
      <c r="HS19" s="2907"/>
      <c r="HT19" s="2907"/>
      <c r="HU19" s="2907"/>
      <c r="HV19" s="2907"/>
      <c r="HW19" s="2907"/>
      <c r="HX19" s="2907"/>
      <c r="HY19" s="2907"/>
      <c r="HZ19" s="2907"/>
      <c r="IA19" s="2907"/>
      <c r="IB19" s="2907"/>
      <c r="IC19" s="2907"/>
      <c r="ID19" s="2907"/>
      <c r="IE19" s="2907"/>
      <c r="IF19" s="2907"/>
      <c r="IG19" s="2907"/>
      <c r="IH19" s="2907"/>
      <c r="II19" s="2907"/>
      <c r="IJ19" s="2907"/>
      <c r="IK19" s="2907"/>
      <c r="IL19" s="2907"/>
      <c r="IM19" s="2907"/>
      <c r="IN19" s="2907"/>
      <c r="IO19" s="2907"/>
      <c r="IP19" s="2907"/>
      <c r="IQ19" s="2907"/>
      <c r="IR19" s="2907"/>
    </row>
    <row r="20" spans="1:252" ht="15" customHeight="1">
      <c r="A20" s="2952" t="s">
        <v>788</v>
      </c>
      <c r="B20" s="2952"/>
      <c r="C20" s="2952"/>
      <c r="D20" s="2908">
        <f>+'Accounts by GL'!D562</f>
        <v>0</v>
      </c>
      <c r="E20" s="2951"/>
      <c r="F20" s="2951"/>
      <c r="G20" s="2907"/>
      <c r="H20" s="2907"/>
      <c r="I20" s="2929" t="s">
        <v>150</v>
      </c>
      <c r="J20" s="2907"/>
      <c r="K20" s="2907"/>
      <c r="L20" s="2907"/>
      <c r="M20" s="2907"/>
      <c r="N20" s="2907"/>
      <c r="O20" s="2907"/>
      <c r="P20" s="2907"/>
      <c r="Q20" s="2907"/>
      <c r="R20" s="2907"/>
      <c r="S20" s="2907"/>
      <c r="T20" s="2907"/>
      <c r="U20" s="2907"/>
      <c r="V20" s="2907"/>
      <c r="W20" s="2907"/>
      <c r="X20" s="2907"/>
      <c r="Y20" s="2907"/>
      <c r="Z20" s="2907"/>
      <c r="AA20" s="2907"/>
      <c r="AB20" s="2907"/>
      <c r="AC20" s="2907"/>
      <c r="AD20" s="2907"/>
      <c r="AE20" s="2907"/>
      <c r="AF20" s="2907"/>
      <c r="AG20" s="2907"/>
      <c r="AH20" s="2907"/>
      <c r="AI20" s="2907"/>
      <c r="AJ20" s="2907"/>
      <c r="AK20" s="2907"/>
      <c r="AL20" s="2907"/>
      <c r="AM20" s="2907"/>
      <c r="AN20" s="2907"/>
      <c r="AO20" s="2907"/>
      <c r="AP20" s="2907"/>
      <c r="AQ20" s="2907"/>
      <c r="AR20" s="2907"/>
      <c r="AS20" s="2907"/>
      <c r="AT20" s="2907"/>
      <c r="AU20" s="2907"/>
      <c r="AV20" s="2907"/>
      <c r="AW20" s="2907"/>
      <c r="AX20" s="2907"/>
      <c r="AY20" s="2907"/>
      <c r="AZ20" s="2907"/>
      <c r="BA20" s="2907"/>
      <c r="BB20" s="2907"/>
      <c r="BC20" s="2907"/>
      <c r="BD20" s="2907"/>
      <c r="BE20" s="2907"/>
      <c r="BF20" s="2907"/>
      <c r="BG20" s="2907"/>
      <c r="BH20" s="2907"/>
      <c r="BI20" s="2907"/>
      <c r="BJ20" s="2907"/>
      <c r="BK20" s="2907"/>
      <c r="BL20" s="2907"/>
      <c r="BM20" s="2907"/>
      <c r="BN20" s="2907"/>
      <c r="BO20" s="2907"/>
      <c r="BP20" s="2907"/>
      <c r="BQ20" s="2907"/>
      <c r="BR20" s="2907"/>
      <c r="BS20" s="2907"/>
      <c r="BT20" s="2907"/>
      <c r="BU20" s="2907"/>
      <c r="BV20" s="2907"/>
      <c r="BW20" s="2907"/>
      <c r="BX20" s="2907"/>
      <c r="BY20" s="2907"/>
      <c r="BZ20" s="2907"/>
      <c r="CA20" s="2907"/>
      <c r="CB20" s="2907"/>
      <c r="CC20" s="2907"/>
      <c r="CD20" s="2907"/>
      <c r="CE20" s="2907"/>
      <c r="CF20" s="2907"/>
      <c r="CG20" s="2907"/>
      <c r="CH20" s="2907"/>
      <c r="CI20" s="2907"/>
      <c r="CJ20" s="2907"/>
      <c r="CK20" s="2907"/>
      <c r="CL20" s="2907"/>
      <c r="CM20" s="2907"/>
      <c r="CN20" s="2907"/>
      <c r="CO20" s="2907"/>
      <c r="CP20" s="2907"/>
      <c r="CQ20" s="2907"/>
      <c r="CR20" s="2907"/>
      <c r="CS20" s="2907"/>
      <c r="CT20" s="2907"/>
      <c r="CU20" s="2907"/>
      <c r="CV20" s="2907"/>
      <c r="CW20" s="2907"/>
      <c r="CX20" s="2907"/>
      <c r="CY20" s="2907"/>
      <c r="CZ20" s="2907"/>
      <c r="DA20" s="2907"/>
      <c r="DB20" s="2907"/>
      <c r="DC20" s="2907"/>
      <c r="DD20" s="2907"/>
      <c r="DE20" s="2907"/>
      <c r="DF20" s="2907"/>
      <c r="DG20" s="2907"/>
      <c r="DH20" s="2907"/>
      <c r="DI20" s="2907"/>
      <c r="DJ20" s="2907"/>
      <c r="DK20" s="2907"/>
      <c r="DL20" s="2907"/>
      <c r="DM20" s="2907"/>
      <c r="DN20" s="2907"/>
      <c r="DO20" s="2907"/>
      <c r="DP20" s="2907"/>
      <c r="DQ20" s="2907"/>
      <c r="DR20" s="2907"/>
      <c r="DS20" s="2907"/>
      <c r="DT20" s="2907"/>
      <c r="DU20" s="2907"/>
      <c r="DV20" s="2907"/>
      <c r="DW20" s="2907"/>
      <c r="DX20" s="2907"/>
      <c r="DY20" s="2907"/>
      <c r="DZ20" s="2907"/>
      <c r="EA20" s="2907"/>
      <c r="EB20" s="2907"/>
      <c r="EC20" s="2907"/>
      <c r="ED20" s="2907"/>
      <c r="EE20" s="2907"/>
      <c r="EF20" s="2907"/>
      <c r="EG20" s="2907"/>
      <c r="EH20" s="2907"/>
      <c r="EI20" s="2907"/>
      <c r="EJ20" s="2907"/>
      <c r="EK20" s="2907"/>
      <c r="EL20" s="2907"/>
      <c r="EM20" s="2907"/>
      <c r="EN20" s="2907"/>
      <c r="EO20" s="2907"/>
      <c r="EP20" s="2907"/>
      <c r="EQ20" s="2907"/>
      <c r="ER20" s="2907"/>
      <c r="ES20" s="2907"/>
      <c r="ET20" s="2907"/>
      <c r="EU20" s="2907"/>
      <c r="EV20" s="2907"/>
      <c r="EW20" s="2907"/>
      <c r="EX20" s="2907"/>
      <c r="EY20" s="2907"/>
      <c r="EZ20" s="2907"/>
      <c r="FA20" s="2907"/>
      <c r="FB20" s="2907"/>
      <c r="FC20" s="2907"/>
      <c r="FD20" s="2907"/>
      <c r="FE20" s="2907"/>
      <c r="FF20" s="2907"/>
      <c r="FG20" s="2907"/>
      <c r="FH20" s="2907"/>
      <c r="FI20" s="2907"/>
      <c r="FJ20" s="2907"/>
      <c r="FK20" s="2907"/>
      <c r="FL20" s="2907"/>
      <c r="FM20" s="2907"/>
      <c r="FN20" s="2907"/>
      <c r="FO20" s="2907"/>
      <c r="FP20" s="2907"/>
      <c r="FQ20" s="2907"/>
      <c r="FR20" s="2907"/>
      <c r="FS20" s="2907"/>
      <c r="FT20" s="2907"/>
      <c r="FU20" s="2907"/>
      <c r="FV20" s="2907"/>
      <c r="FW20" s="2907"/>
      <c r="FX20" s="2907"/>
      <c r="FY20" s="2907"/>
      <c r="FZ20" s="2907"/>
      <c r="GA20" s="2907"/>
      <c r="GB20" s="2907"/>
      <c r="GC20" s="2907"/>
      <c r="GD20" s="2907"/>
      <c r="GE20" s="2907"/>
      <c r="GF20" s="2907"/>
      <c r="GG20" s="2907"/>
      <c r="GH20" s="2907"/>
      <c r="GI20" s="2907"/>
      <c r="GJ20" s="2907"/>
      <c r="GK20" s="2907"/>
      <c r="GL20" s="2907"/>
      <c r="GM20" s="2907"/>
      <c r="GN20" s="2907"/>
      <c r="GO20" s="2907"/>
      <c r="GP20" s="2907"/>
      <c r="GQ20" s="2907"/>
      <c r="GR20" s="2907"/>
      <c r="GS20" s="2907"/>
      <c r="GT20" s="2907"/>
      <c r="GU20" s="2907"/>
      <c r="GV20" s="2907"/>
      <c r="GW20" s="2907"/>
      <c r="GX20" s="2907"/>
      <c r="GY20" s="2907"/>
      <c r="GZ20" s="2907"/>
      <c r="HA20" s="2907"/>
      <c r="HB20" s="2907"/>
      <c r="HC20" s="2907"/>
      <c r="HD20" s="2907"/>
      <c r="HE20" s="2907"/>
      <c r="HF20" s="2907"/>
      <c r="HG20" s="2907"/>
      <c r="HH20" s="2907"/>
      <c r="HI20" s="2907"/>
      <c r="HJ20" s="2907"/>
      <c r="HK20" s="2907"/>
      <c r="HL20" s="2907"/>
      <c r="HM20" s="2907"/>
      <c r="HN20" s="2907"/>
      <c r="HO20" s="2907"/>
      <c r="HP20" s="2907"/>
      <c r="HQ20" s="2907"/>
      <c r="HR20" s="2907"/>
      <c r="HS20" s="2907"/>
      <c r="HT20" s="2907"/>
      <c r="HU20" s="2907"/>
      <c r="HV20" s="2907"/>
      <c r="HW20" s="2907"/>
      <c r="HX20" s="2907"/>
      <c r="HY20" s="2907"/>
      <c r="HZ20" s="2907"/>
      <c r="IA20" s="2907"/>
      <c r="IB20" s="2907"/>
      <c r="IC20" s="2907"/>
      <c r="ID20" s="2907"/>
      <c r="IE20" s="2907"/>
      <c r="IF20" s="2907"/>
      <c r="IG20" s="2907"/>
      <c r="IH20" s="2907"/>
      <c r="II20" s="2907"/>
      <c r="IJ20" s="2907"/>
      <c r="IK20" s="2907"/>
      <c r="IL20" s="2907"/>
      <c r="IM20" s="2907"/>
      <c r="IN20" s="2907"/>
      <c r="IO20" s="2907"/>
      <c r="IP20" s="2907"/>
      <c r="IQ20" s="2907"/>
      <c r="IR20" s="2907"/>
    </row>
    <row r="21" spans="1:252" s="2912" customFormat="1" ht="15" customHeight="1">
      <c r="A21" s="2909" t="s">
        <v>789</v>
      </c>
      <c r="B21" s="2910"/>
      <c r="C21" s="2910"/>
      <c r="D21" s="2911">
        <f>+'Accounts by GL'!D564</f>
        <v>0</v>
      </c>
      <c r="E21" s="2946"/>
      <c r="I21" s="2929" t="s">
        <v>790</v>
      </c>
    </row>
    <row r="22" spans="1:252" s="2912" customFormat="1" ht="15" customHeight="1">
      <c r="A22" s="2913"/>
      <c r="B22" s="2946"/>
      <c r="C22" s="2946"/>
      <c r="D22" s="2946"/>
      <c r="E22" s="2946"/>
      <c r="I22" s="2929" t="s">
        <v>154</v>
      </c>
    </row>
    <row r="23" spans="1:252" s="2912" customFormat="1" ht="15" customHeight="1">
      <c r="A23" s="2913"/>
      <c r="B23" s="2946"/>
      <c r="C23" s="2946"/>
      <c r="D23" s="2946"/>
      <c r="E23" s="2946"/>
      <c r="I23" s="2929" t="s">
        <v>791</v>
      </c>
    </row>
    <row r="24" spans="1:252" ht="15" customHeight="1">
      <c r="A24" s="2952" t="s">
        <v>792</v>
      </c>
      <c r="B24" s="2914"/>
      <c r="C24" s="2914"/>
      <c r="D24" s="2915"/>
      <c r="E24" s="2947"/>
      <c r="F24" s="2914"/>
      <c r="I24" s="2929" t="s">
        <v>793</v>
      </c>
    </row>
    <row r="25" spans="1:252" ht="15" customHeight="1">
      <c r="A25" s="2916" t="s">
        <v>794</v>
      </c>
      <c r="B25" s="2917"/>
      <c r="C25" s="2917"/>
      <c r="D25" s="2917"/>
      <c r="E25" s="2918"/>
      <c r="F25" s="2917"/>
      <c r="I25" s="2933" t="s">
        <v>166</v>
      </c>
    </row>
    <row r="26" spans="1:252" ht="15" customHeight="1" thickBot="1">
      <c r="A26" s="2952" t="s">
        <v>795</v>
      </c>
      <c r="B26" s="2919"/>
      <c r="C26" s="2920"/>
      <c r="D26" s="2920"/>
      <c r="E26" s="2947" t="s">
        <v>796</v>
      </c>
      <c r="F26" s="2920"/>
      <c r="I26" s="2933" t="s">
        <v>797</v>
      </c>
    </row>
    <row r="27" spans="1:252" ht="15" customHeight="1">
      <c r="A27" s="2914"/>
      <c r="B27" s="2914"/>
      <c r="C27" s="2951" t="s">
        <v>798</v>
      </c>
      <c r="D27" s="2989"/>
      <c r="E27" s="2914"/>
      <c r="F27" s="2914"/>
      <c r="I27" s="2933" t="s">
        <v>160</v>
      </c>
    </row>
    <row r="28" spans="1:252">
      <c r="A28" s="2914"/>
      <c r="B28" s="2914"/>
      <c r="C28" s="2951"/>
      <c r="D28" s="2989"/>
      <c r="E28" s="2914"/>
      <c r="F28" s="2914"/>
      <c r="I28" s="2933" t="s">
        <v>799</v>
      </c>
    </row>
    <row r="29" spans="1:252" s="2921" customFormat="1" ht="15" customHeight="1">
      <c r="A29" s="2992" t="s">
        <v>800</v>
      </c>
      <c r="B29" s="2993"/>
      <c r="C29" s="2993"/>
      <c r="D29" s="2993"/>
      <c r="E29" s="2993"/>
      <c r="F29" s="2993"/>
      <c r="I29" s="2933" t="s">
        <v>164</v>
      </c>
    </row>
    <row r="30" spans="1:252" s="2921" customFormat="1" ht="15" customHeight="1">
      <c r="A30" s="2991" t="s">
        <v>801</v>
      </c>
      <c r="B30" s="2991"/>
      <c r="C30" s="2991"/>
      <c r="D30" s="2991"/>
      <c r="E30" s="2991"/>
      <c r="F30" s="2991"/>
      <c r="I30" s="2933" t="s">
        <v>172</v>
      </c>
    </row>
    <row r="31" spans="1:252" s="2921" customFormat="1" ht="15" customHeight="1">
      <c r="A31" s="2993"/>
      <c r="B31" s="2993"/>
      <c r="C31" s="2993"/>
      <c r="D31" s="2993"/>
      <c r="E31" s="2993"/>
      <c r="F31" s="2993"/>
      <c r="I31" s="2933" t="s">
        <v>802</v>
      </c>
    </row>
    <row r="32" spans="1:252" s="2921" customFormat="1" ht="15" customHeight="1">
      <c r="A32" s="2993"/>
      <c r="B32" s="2993"/>
      <c r="C32" s="2993"/>
      <c r="D32" s="2993"/>
      <c r="E32" s="2993"/>
      <c r="F32" s="2993"/>
      <c r="I32" s="2933"/>
    </row>
    <row r="33" spans="1:9" s="2921" customFormat="1">
      <c r="A33" s="2992" t="s">
        <v>803</v>
      </c>
      <c r="B33" s="2990"/>
      <c r="C33" s="2990"/>
      <c r="D33" s="2990"/>
      <c r="E33" s="2990"/>
      <c r="F33" s="2990"/>
      <c r="I33" s="2926"/>
    </row>
    <row r="34" spans="1:9" s="2921" customFormat="1" ht="16.5" customHeight="1">
      <c r="A34" s="2992" t="s">
        <v>804</v>
      </c>
      <c r="B34" s="2993"/>
      <c r="C34" s="2993"/>
      <c r="D34" s="2993"/>
      <c r="E34" s="2993"/>
      <c r="F34" s="2993"/>
      <c r="I34" s="2926"/>
    </row>
    <row r="35" spans="1:9" s="2921" customFormat="1" ht="16.5" customHeight="1">
      <c r="A35" s="2992" t="s">
        <v>805</v>
      </c>
      <c r="B35" s="2993"/>
      <c r="C35" s="2993"/>
      <c r="D35" s="2993"/>
      <c r="E35" s="2993"/>
      <c r="F35" s="2993"/>
      <c r="I35" s="2926"/>
    </row>
    <row r="36" spans="1:9" s="2921" customFormat="1" ht="16.5" customHeight="1">
      <c r="A36" s="2992" t="s">
        <v>806</v>
      </c>
      <c r="B36" s="2993"/>
      <c r="C36" s="2993"/>
      <c r="D36" s="2993"/>
      <c r="E36" s="2993"/>
      <c r="F36" s="2993"/>
      <c r="I36" s="2937"/>
    </row>
    <row r="37" spans="1:9" s="2921" customFormat="1" ht="16.5" customHeight="1">
      <c r="A37" s="2992"/>
      <c r="B37" s="2993"/>
      <c r="C37" s="2993"/>
      <c r="D37" s="2993"/>
      <c r="E37" s="2993"/>
      <c r="F37" s="2993"/>
      <c r="I37" s="2937"/>
    </row>
    <row r="38" spans="1:9" s="2921" customFormat="1" ht="16.5" customHeight="1">
      <c r="A38" s="2922" t="s">
        <v>4053</v>
      </c>
      <c r="B38" s="2906"/>
      <c r="C38" s="2923"/>
      <c r="D38" s="2924"/>
      <c r="E38" s="2906"/>
      <c r="F38" s="2906"/>
      <c r="G38" s="2906"/>
      <c r="I38" s="2937"/>
    </row>
    <row r="39" spans="1:9" s="2921" customFormat="1" ht="16.5" customHeight="1">
      <c r="A39" s="2925" t="s">
        <v>807</v>
      </c>
      <c r="B39" s="2906"/>
      <c r="C39" s="2923"/>
      <c r="D39" s="2924"/>
      <c r="E39" s="2906"/>
      <c r="F39" s="2906"/>
      <c r="G39" s="2906"/>
      <c r="I39" s="2937"/>
    </row>
    <row r="40" spans="1:9" s="2921" customFormat="1" ht="16.5" customHeight="1">
      <c r="A40" s="2906"/>
      <c r="B40" s="2923"/>
      <c r="C40" s="2923"/>
      <c r="D40" s="2906"/>
      <c r="E40" s="2906"/>
      <c r="F40" s="2906"/>
      <c r="G40" s="2906"/>
      <c r="I40" s="2937"/>
    </row>
    <row r="41" spans="1:9" s="2921" customFormat="1" ht="16.5" customHeight="1">
      <c r="A41" s="2906"/>
      <c r="B41" s="2923"/>
      <c r="C41" s="2923"/>
      <c r="D41" s="2906"/>
      <c r="E41" s="2906"/>
      <c r="F41" s="2906"/>
      <c r="G41" s="2906"/>
      <c r="I41" s="2937"/>
    </row>
    <row r="42" spans="1:9" s="2921" customFormat="1" ht="16.5" customHeight="1">
      <c r="A42" s="2906"/>
      <c r="B42" s="2923"/>
      <c r="C42" s="2923"/>
      <c r="D42" s="2906"/>
      <c r="E42" s="2906"/>
      <c r="F42" s="2906"/>
      <c r="G42" s="2906"/>
      <c r="I42" s="2937"/>
    </row>
    <row r="43" spans="1:9" s="2921" customFormat="1" ht="16.5" customHeight="1">
      <c r="A43" s="2906"/>
      <c r="B43" s="2923"/>
      <c r="C43" s="2923"/>
      <c r="D43" s="2906"/>
      <c r="E43" s="2906"/>
      <c r="F43" s="2906"/>
      <c r="G43" s="2906"/>
      <c r="I43" s="2937"/>
    </row>
    <row r="44" spans="1:9" s="2921" customFormat="1" ht="16.5" customHeight="1">
      <c r="A44" s="2906"/>
      <c r="B44" s="2923"/>
      <c r="C44" s="2923"/>
      <c r="D44" s="2906"/>
      <c r="E44" s="2906"/>
      <c r="F44" s="2906"/>
      <c r="G44" s="2906"/>
      <c r="I44" s="2937"/>
    </row>
    <row r="45" spans="1:9" s="2921" customFormat="1" ht="16.5" customHeight="1">
      <c r="A45" s="2906"/>
      <c r="B45" s="2923"/>
      <c r="C45" s="2923"/>
      <c r="D45" s="2906"/>
      <c r="E45" s="2906"/>
      <c r="F45" s="2906"/>
      <c r="G45" s="2906"/>
      <c r="I45" s="2937"/>
    </row>
    <row r="46" spans="1:9" s="2921" customFormat="1" ht="16.5" customHeight="1">
      <c r="A46" s="2906"/>
      <c r="B46" s="2923"/>
      <c r="C46" s="2923"/>
      <c r="D46" s="2906"/>
      <c r="E46" s="2906"/>
      <c r="F46" s="2906"/>
      <c r="G46" s="2906"/>
      <c r="I46" s="2937"/>
    </row>
    <row r="47" spans="1:9" s="2921" customFormat="1" ht="16.5" customHeight="1">
      <c r="A47" s="2906"/>
      <c r="B47" s="2923"/>
      <c r="C47" s="2923"/>
      <c r="D47" s="2906"/>
      <c r="E47" s="2906"/>
      <c r="F47" s="2906"/>
      <c r="G47" s="2906"/>
      <c r="I47" s="2937"/>
    </row>
    <row r="48" spans="1:9" s="2921" customFormat="1" ht="16.5" customHeight="1">
      <c r="A48" s="2906"/>
      <c r="B48" s="2923"/>
      <c r="C48" s="2923"/>
      <c r="D48" s="2906"/>
      <c r="E48" s="2906"/>
      <c r="F48" s="2906"/>
      <c r="G48" s="2906"/>
      <c r="I48" s="2937"/>
    </row>
    <row r="49" spans="1:9" s="2921" customFormat="1" ht="16.5" customHeight="1">
      <c r="A49" s="2906"/>
      <c r="B49" s="2923"/>
      <c r="C49" s="2923"/>
      <c r="D49" s="2906"/>
      <c r="E49" s="2906"/>
      <c r="F49" s="2906"/>
      <c r="G49" s="2906"/>
      <c r="I49" s="2937"/>
    </row>
    <row r="50" spans="1:9" s="2921" customFormat="1" ht="16.5" customHeight="1">
      <c r="A50" s="2906"/>
      <c r="B50" s="2923"/>
      <c r="C50" s="2923"/>
      <c r="D50" s="2906"/>
      <c r="E50" s="2906"/>
      <c r="F50" s="2906"/>
      <c r="G50" s="2906"/>
      <c r="I50" s="2937"/>
    </row>
    <row r="51" spans="1:9" s="2921" customFormat="1" ht="16.5" customHeight="1">
      <c r="A51" s="2906"/>
      <c r="B51" s="2923"/>
      <c r="C51" s="2923"/>
      <c r="D51" s="2906"/>
      <c r="E51" s="2906"/>
      <c r="F51" s="2906"/>
      <c r="G51" s="2906"/>
      <c r="I51" s="2937"/>
    </row>
    <row r="52" spans="1:9" s="2921" customFormat="1" ht="16.5" customHeight="1">
      <c r="A52" s="2906"/>
      <c r="B52" s="2923"/>
      <c r="C52" s="2923"/>
      <c r="D52" s="2906"/>
      <c r="E52" s="2906"/>
      <c r="F52" s="2906"/>
      <c r="G52" s="2906"/>
      <c r="I52" s="2937"/>
    </row>
    <row r="53" spans="1:9" s="2921" customFormat="1" ht="16.5" customHeight="1">
      <c r="A53" s="2906"/>
      <c r="B53" s="2923"/>
      <c r="C53" s="2923"/>
      <c r="D53" s="2906"/>
      <c r="E53" s="2906"/>
      <c r="F53" s="2906"/>
      <c r="G53" s="2906"/>
    </row>
    <row r="54" spans="1:9" s="2921" customFormat="1" ht="16.5" customHeight="1">
      <c r="A54" s="2906"/>
      <c r="B54" s="2923"/>
      <c r="C54" s="2923"/>
      <c r="D54" s="2906"/>
      <c r="E54" s="2906"/>
      <c r="F54" s="2906"/>
      <c r="G54" s="2906"/>
    </row>
    <row r="55" spans="1:9" s="2921" customFormat="1" ht="16.5" customHeight="1">
      <c r="A55" s="2906"/>
      <c r="B55" s="2923"/>
      <c r="C55" s="2923"/>
      <c r="D55" s="2906"/>
      <c r="E55" s="2906"/>
      <c r="F55" s="2906"/>
      <c r="G55" s="2906"/>
    </row>
    <row r="56" spans="1:9" s="2921" customFormat="1" ht="16.5" customHeight="1">
      <c r="A56" s="2906"/>
      <c r="B56" s="2923"/>
      <c r="C56" s="2923"/>
      <c r="D56" s="2906"/>
      <c r="E56" s="2906"/>
      <c r="F56" s="2906"/>
      <c r="G56" s="2906"/>
    </row>
    <row r="57" spans="1:9" s="2921" customFormat="1" ht="16.5" customHeight="1">
      <c r="A57" s="2906"/>
      <c r="B57" s="2923"/>
      <c r="C57" s="2923"/>
      <c r="D57" s="2906"/>
      <c r="E57" s="2906"/>
      <c r="F57" s="2906"/>
      <c r="G57" s="2906"/>
    </row>
    <row r="58" spans="1:9" s="2921" customFormat="1" ht="16.5" customHeight="1">
      <c r="A58" s="2906"/>
      <c r="B58" s="2923"/>
      <c r="C58" s="2923"/>
      <c r="D58" s="2906"/>
      <c r="E58" s="2906"/>
      <c r="F58" s="2906"/>
      <c r="G58" s="2906"/>
    </row>
    <row r="59" spans="1:9" s="2921" customFormat="1" ht="16.5" customHeight="1">
      <c r="A59" s="2906"/>
      <c r="B59" s="2923"/>
      <c r="C59" s="2923"/>
      <c r="D59" s="2906"/>
      <c r="E59" s="2906"/>
      <c r="F59" s="2906"/>
      <c r="G59" s="2906"/>
    </row>
    <row r="60" spans="1:9" s="2921" customFormat="1" ht="16.5" customHeight="1">
      <c r="A60" s="2906"/>
      <c r="B60" s="2923"/>
      <c r="C60" s="2923"/>
      <c r="D60" s="2906"/>
      <c r="E60" s="2906"/>
      <c r="F60" s="2906"/>
      <c r="G60" s="2906"/>
    </row>
    <row r="61" spans="1:9" s="2921" customFormat="1" ht="16.5" customHeight="1">
      <c r="A61" s="2906"/>
      <c r="B61" s="2923"/>
      <c r="C61" s="2923"/>
      <c r="D61" s="2906"/>
      <c r="E61" s="2906"/>
      <c r="F61" s="2906"/>
      <c r="G61" s="2906"/>
    </row>
    <row r="62" spans="1:9" s="2921" customFormat="1" ht="16.5" customHeight="1">
      <c r="A62" s="2906"/>
      <c r="B62" s="2923"/>
      <c r="C62" s="2923"/>
      <c r="D62" s="2906"/>
      <c r="E62" s="2906"/>
      <c r="F62" s="2906"/>
      <c r="G62" s="2906"/>
    </row>
    <row r="63" spans="1:9" s="2921" customFormat="1" ht="16.5" customHeight="1">
      <c r="A63" s="2906"/>
      <c r="B63" s="2923"/>
      <c r="C63" s="2923"/>
      <c r="D63" s="2906"/>
      <c r="E63" s="2906"/>
      <c r="F63" s="2906"/>
      <c r="G63" s="2906"/>
    </row>
    <row r="64" spans="1:9" s="2921" customFormat="1" ht="16.5" customHeight="1">
      <c r="A64" s="2906"/>
      <c r="B64" s="2923"/>
      <c r="C64" s="2923"/>
      <c r="D64" s="2906"/>
      <c r="E64" s="2906"/>
      <c r="F64" s="2906"/>
      <c r="G64" s="2906"/>
    </row>
    <row r="65" spans="1:7" s="2921" customFormat="1" ht="16.5" customHeight="1">
      <c r="A65" s="2906"/>
      <c r="B65" s="2923"/>
      <c r="C65" s="2923"/>
      <c r="D65" s="2906"/>
      <c r="E65" s="2906"/>
      <c r="F65" s="2906"/>
      <c r="G65" s="2906"/>
    </row>
    <row r="66" spans="1:7" s="2921" customFormat="1" ht="16.5" customHeight="1">
      <c r="A66" s="2906"/>
      <c r="B66" s="2923"/>
      <c r="C66" s="2923"/>
      <c r="D66" s="2906"/>
      <c r="E66" s="2906"/>
      <c r="F66" s="2906"/>
      <c r="G66" s="2906"/>
    </row>
    <row r="67" spans="1:7" s="2921" customFormat="1" ht="16.5" customHeight="1">
      <c r="A67" s="2906"/>
      <c r="B67" s="2923"/>
      <c r="C67" s="2923"/>
      <c r="D67" s="2906"/>
      <c r="E67" s="2906"/>
      <c r="F67" s="2906"/>
      <c r="G67" s="2906"/>
    </row>
    <row r="68" spans="1:7" s="2921" customFormat="1" ht="16.5" customHeight="1">
      <c r="A68" s="2906"/>
      <c r="B68" s="2923"/>
      <c r="C68" s="2923"/>
      <c r="D68" s="2906"/>
      <c r="E68" s="2906"/>
      <c r="F68" s="2906"/>
      <c r="G68" s="2906"/>
    </row>
    <row r="69" spans="1:7" s="2921" customFormat="1" ht="16.5" customHeight="1">
      <c r="A69" s="2906"/>
      <c r="B69" s="2923"/>
      <c r="C69" s="2923"/>
      <c r="D69" s="2906"/>
      <c r="E69" s="2906"/>
      <c r="F69" s="2906"/>
      <c r="G69" s="2906"/>
    </row>
    <row r="70" spans="1:7" s="2921" customFormat="1" ht="16.5" customHeight="1">
      <c r="A70" s="2906"/>
      <c r="B70" s="2923"/>
      <c r="C70" s="2923"/>
      <c r="D70" s="2906"/>
      <c r="E70" s="2906"/>
      <c r="F70" s="2906"/>
      <c r="G70" s="2906"/>
    </row>
    <row r="71" spans="1:7" s="2921" customFormat="1" ht="16.5" customHeight="1">
      <c r="A71" s="2906"/>
      <c r="B71" s="2923"/>
      <c r="C71" s="2923"/>
      <c r="D71" s="2906"/>
      <c r="E71" s="2906"/>
      <c r="F71" s="2906"/>
      <c r="G71" s="2906"/>
    </row>
    <row r="72" spans="1:7" s="2921" customFormat="1" ht="16.5" customHeight="1">
      <c r="A72" s="2906"/>
      <c r="B72" s="2923"/>
      <c r="C72" s="2923"/>
      <c r="D72" s="2906"/>
      <c r="E72" s="2906"/>
      <c r="F72" s="2906"/>
      <c r="G72" s="2906"/>
    </row>
    <row r="73" spans="1:7" s="2921" customFormat="1" ht="16.5" customHeight="1">
      <c r="A73" s="2906"/>
      <c r="B73" s="2923"/>
      <c r="C73" s="2923"/>
      <c r="D73" s="2906"/>
      <c r="E73" s="2906"/>
      <c r="F73" s="2906"/>
      <c r="G73" s="2906"/>
    </row>
    <row r="74" spans="1:7" s="2921" customFormat="1" ht="16.5" customHeight="1">
      <c r="A74" s="2906"/>
      <c r="B74" s="2923"/>
      <c r="C74" s="2923"/>
      <c r="D74" s="2906"/>
      <c r="E74" s="2906"/>
      <c r="F74" s="2906"/>
      <c r="G74" s="2906"/>
    </row>
    <row r="75" spans="1:7" s="2921" customFormat="1" ht="16.5" customHeight="1">
      <c r="A75" s="2906"/>
      <c r="B75" s="2923"/>
      <c r="C75" s="2923"/>
      <c r="D75" s="2906"/>
      <c r="E75" s="2906"/>
      <c r="F75" s="2906"/>
      <c r="G75" s="2906"/>
    </row>
    <row r="76" spans="1:7" s="2921" customFormat="1" ht="16.5" customHeight="1">
      <c r="A76" s="2906"/>
      <c r="B76" s="2923"/>
      <c r="C76" s="2923"/>
      <c r="D76" s="2906"/>
      <c r="E76" s="2906"/>
      <c r="F76" s="2906"/>
      <c r="G76" s="2906"/>
    </row>
    <row r="77" spans="1:7" s="2921" customFormat="1" ht="16.5" customHeight="1">
      <c r="A77" s="2906"/>
      <c r="B77" s="2923"/>
      <c r="C77" s="2923"/>
      <c r="D77" s="2906"/>
      <c r="E77" s="2906"/>
      <c r="F77" s="2906"/>
      <c r="G77" s="2906"/>
    </row>
    <row r="78" spans="1:7" s="2921" customFormat="1" ht="16.5" customHeight="1">
      <c r="A78" s="2906"/>
      <c r="B78" s="2923"/>
      <c r="C78" s="2923"/>
      <c r="D78" s="2906"/>
      <c r="E78" s="2906"/>
      <c r="F78" s="2906"/>
      <c r="G78" s="2906"/>
    </row>
    <row r="79" spans="1:7" s="2921" customFormat="1" ht="16.5" customHeight="1">
      <c r="A79" s="2906"/>
      <c r="B79" s="2923"/>
      <c r="C79" s="2923"/>
      <c r="D79" s="2906"/>
      <c r="E79" s="2906"/>
      <c r="F79" s="2906"/>
      <c r="G79" s="2906"/>
    </row>
    <row r="80" spans="1:7" s="2921" customFormat="1" ht="16.5" customHeight="1">
      <c r="A80" s="2906"/>
      <c r="B80" s="2923"/>
      <c r="C80" s="2923"/>
      <c r="D80" s="2906"/>
      <c r="E80" s="2906"/>
      <c r="F80" s="2906"/>
      <c r="G80" s="2906"/>
    </row>
    <row r="81" spans="1:7" s="2921" customFormat="1" ht="16.5" customHeight="1">
      <c r="A81" s="2906"/>
      <c r="B81" s="2923"/>
      <c r="C81" s="2923"/>
      <c r="D81" s="2906"/>
      <c r="E81" s="2906"/>
      <c r="F81" s="2906"/>
      <c r="G81" s="2906"/>
    </row>
    <row r="82" spans="1:7" s="2921" customFormat="1" ht="16.5" customHeight="1">
      <c r="A82" s="2906"/>
      <c r="B82" s="2923"/>
      <c r="C82" s="2923"/>
      <c r="D82" s="2906"/>
      <c r="E82" s="2906"/>
      <c r="F82" s="2906"/>
      <c r="G82" s="2906"/>
    </row>
    <row r="83" spans="1:7" s="2921" customFormat="1" ht="16.5" customHeight="1">
      <c r="A83" s="2906"/>
      <c r="B83" s="2923"/>
      <c r="C83" s="2923"/>
      <c r="D83" s="2906"/>
      <c r="E83" s="2906"/>
      <c r="F83" s="2906"/>
      <c r="G83" s="2906"/>
    </row>
    <row r="84" spans="1:7" s="2921" customFormat="1" ht="16.5" customHeight="1">
      <c r="A84" s="2906"/>
      <c r="B84" s="2923"/>
      <c r="C84" s="2923"/>
      <c r="D84" s="2906"/>
      <c r="E84" s="2906"/>
      <c r="F84" s="2906"/>
      <c r="G84" s="2906"/>
    </row>
    <row r="85" spans="1:7" s="2921" customFormat="1" ht="16.5" customHeight="1">
      <c r="A85" s="2906"/>
      <c r="B85" s="2923"/>
      <c r="C85" s="2923"/>
      <c r="D85" s="2906"/>
      <c r="E85" s="2906"/>
      <c r="F85" s="2906"/>
      <c r="G85" s="2906"/>
    </row>
    <row r="86" spans="1:7" s="2921" customFormat="1" ht="16.5" customHeight="1">
      <c r="A86" s="2906"/>
      <c r="B86" s="2923"/>
      <c r="C86" s="2923"/>
      <c r="D86" s="2906"/>
      <c r="E86" s="2906"/>
      <c r="F86" s="2906"/>
      <c r="G86" s="2906"/>
    </row>
    <row r="87" spans="1:7" s="2921" customFormat="1" ht="16.5" customHeight="1">
      <c r="A87" s="2906"/>
      <c r="B87" s="2923"/>
      <c r="C87" s="2923"/>
      <c r="D87" s="2906"/>
      <c r="E87" s="2906"/>
      <c r="F87" s="2906"/>
      <c r="G87" s="2906"/>
    </row>
    <row r="88" spans="1:7" s="2921" customFormat="1" ht="16.5" customHeight="1">
      <c r="A88" s="2906"/>
      <c r="B88" s="2923"/>
      <c r="C88" s="2923"/>
      <c r="D88" s="2906"/>
      <c r="E88" s="2906"/>
      <c r="F88" s="2906"/>
      <c r="G88" s="2906"/>
    </row>
    <row r="89" spans="1:7" s="2921" customFormat="1" ht="16.5" customHeight="1">
      <c r="A89" s="2906"/>
      <c r="B89" s="2923"/>
      <c r="C89" s="2923"/>
      <c r="D89" s="2906"/>
      <c r="E89" s="2906"/>
      <c r="F89" s="2906"/>
      <c r="G89" s="2906"/>
    </row>
    <row r="90" spans="1:7" s="2921" customFormat="1" ht="16.5" customHeight="1">
      <c r="A90" s="2906"/>
      <c r="B90" s="2923"/>
      <c r="C90" s="2923"/>
      <c r="D90" s="2906"/>
      <c r="E90" s="2906"/>
      <c r="F90" s="2906"/>
      <c r="G90" s="2906"/>
    </row>
    <row r="91" spans="1:7" s="2921" customFormat="1" ht="16.5" customHeight="1">
      <c r="A91" s="2906"/>
      <c r="B91" s="2923"/>
      <c r="C91" s="2923"/>
      <c r="D91" s="2906"/>
      <c r="E91" s="2906"/>
      <c r="F91" s="2906"/>
      <c r="G91" s="2906"/>
    </row>
    <row r="92" spans="1:7" s="2921" customFormat="1" ht="16.5" customHeight="1">
      <c r="A92" s="2906"/>
      <c r="B92" s="2923"/>
      <c r="C92" s="2923"/>
      <c r="D92" s="2906"/>
      <c r="E92" s="2906"/>
      <c r="F92" s="2906"/>
      <c r="G92" s="2906"/>
    </row>
    <row r="93" spans="1:7" s="2921" customFormat="1" ht="16.5" customHeight="1">
      <c r="A93" s="2906"/>
      <c r="B93" s="2923"/>
      <c r="C93" s="2923"/>
      <c r="D93" s="2906"/>
      <c r="E93" s="2906"/>
      <c r="F93" s="2906"/>
      <c r="G93" s="2906"/>
    </row>
    <row r="94" spans="1:7" s="2921" customFormat="1" ht="16.5" customHeight="1">
      <c r="A94" s="2906"/>
      <c r="B94" s="2923"/>
      <c r="C94" s="2923"/>
      <c r="D94" s="2906"/>
      <c r="E94" s="2906"/>
      <c r="F94" s="2906"/>
      <c r="G94" s="2906"/>
    </row>
    <row r="95" spans="1:7" s="2921" customFormat="1" ht="16.5" customHeight="1">
      <c r="A95" s="2906"/>
      <c r="B95" s="2923"/>
      <c r="C95" s="2923"/>
      <c r="D95" s="2906"/>
      <c r="E95" s="2906"/>
      <c r="F95" s="2906"/>
      <c r="G95" s="2906"/>
    </row>
    <row r="96" spans="1:7" s="2921" customFormat="1" ht="16.5" customHeight="1">
      <c r="A96" s="2906"/>
      <c r="B96" s="2923"/>
      <c r="C96" s="2923"/>
      <c r="D96" s="2906"/>
      <c r="E96" s="2906"/>
      <c r="F96" s="2906"/>
      <c r="G96" s="2906"/>
    </row>
    <row r="97" spans="1:7" s="2921" customFormat="1" ht="16.5" customHeight="1">
      <c r="A97" s="2906"/>
      <c r="B97" s="2923"/>
      <c r="C97" s="2923"/>
      <c r="D97" s="2906"/>
      <c r="E97" s="2906"/>
      <c r="F97" s="2906"/>
      <c r="G97" s="2906"/>
    </row>
    <row r="98" spans="1:7" s="2921" customFormat="1" ht="16.5" customHeight="1">
      <c r="A98" s="2906"/>
      <c r="B98" s="2923"/>
      <c r="C98" s="2923"/>
      <c r="D98" s="2906"/>
      <c r="E98" s="2906"/>
      <c r="F98" s="2906"/>
      <c r="G98" s="2906"/>
    </row>
    <row r="99" spans="1:7" s="2921" customFormat="1" ht="16.5" customHeight="1">
      <c r="A99" s="2906"/>
      <c r="B99" s="2923"/>
      <c r="C99" s="2923"/>
      <c r="D99" s="2906"/>
      <c r="E99" s="2906"/>
      <c r="F99" s="2906"/>
      <c r="G99" s="2906"/>
    </row>
    <row r="100" spans="1:7" s="2921" customFormat="1" ht="16.5" customHeight="1">
      <c r="A100" s="2906"/>
      <c r="B100" s="2923"/>
      <c r="C100" s="2923"/>
      <c r="D100" s="2906"/>
      <c r="E100" s="2906"/>
      <c r="F100" s="2906"/>
      <c r="G100" s="2906"/>
    </row>
    <row r="101" spans="1:7" s="2921" customFormat="1" ht="16.5" customHeight="1">
      <c r="A101" s="2906"/>
      <c r="B101" s="2923"/>
      <c r="C101" s="2923"/>
      <c r="D101" s="2906"/>
      <c r="E101" s="2906"/>
      <c r="F101" s="2906"/>
      <c r="G101" s="2906"/>
    </row>
    <row r="102" spans="1:7" s="2921" customFormat="1" ht="16.5" customHeight="1">
      <c r="A102" s="2906"/>
      <c r="B102" s="2923"/>
      <c r="C102" s="2923"/>
      <c r="D102" s="2906"/>
      <c r="E102" s="2906"/>
      <c r="F102" s="2906"/>
      <c r="G102" s="2906"/>
    </row>
    <row r="103" spans="1:7" s="2921" customFormat="1" ht="16.5" customHeight="1">
      <c r="A103" s="2906"/>
      <c r="B103" s="2923"/>
      <c r="C103" s="2923"/>
      <c r="D103" s="2906"/>
      <c r="E103" s="2906"/>
      <c r="F103" s="2906"/>
      <c r="G103" s="2906"/>
    </row>
    <row r="104" spans="1:7" s="2921" customFormat="1" ht="16.5" customHeight="1">
      <c r="A104" s="2906"/>
      <c r="B104" s="2923"/>
      <c r="C104" s="2923"/>
      <c r="D104" s="2906"/>
      <c r="E104" s="2906"/>
      <c r="F104" s="2906"/>
      <c r="G104" s="2906"/>
    </row>
    <row r="105" spans="1:7" s="2921" customFormat="1" ht="16.5" customHeight="1">
      <c r="A105" s="2906"/>
      <c r="B105" s="2923"/>
      <c r="C105" s="2923"/>
      <c r="D105" s="2906"/>
      <c r="E105" s="2906"/>
      <c r="F105" s="2906"/>
      <c r="G105" s="2906"/>
    </row>
    <row r="106" spans="1:7" s="2921" customFormat="1" ht="16.5" customHeight="1">
      <c r="A106" s="2906"/>
      <c r="B106" s="2923"/>
      <c r="C106" s="2923"/>
      <c r="D106" s="2906"/>
      <c r="E106" s="2906"/>
      <c r="F106" s="2906"/>
      <c r="G106" s="2906"/>
    </row>
    <row r="107" spans="1:7" s="2921" customFormat="1" ht="16.5" customHeight="1">
      <c r="A107" s="2906"/>
      <c r="B107" s="2923"/>
      <c r="C107" s="2923"/>
      <c r="D107" s="2906"/>
      <c r="E107" s="2906"/>
      <c r="F107" s="2906"/>
      <c r="G107" s="2906"/>
    </row>
    <row r="108" spans="1:7" s="2921" customFormat="1" ht="16.5" customHeight="1">
      <c r="A108" s="2906"/>
      <c r="B108" s="2923"/>
      <c r="C108" s="2923"/>
      <c r="D108" s="2906"/>
      <c r="E108" s="2906"/>
      <c r="F108" s="2906"/>
      <c r="G108" s="2906"/>
    </row>
    <row r="109" spans="1:7" s="2921" customFormat="1" ht="16.5" customHeight="1">
      <c r="A109" s="2906"/>
      <c r="B109" s="2923"/>
      <c r="C109" s="2923"/>
      <c r="D109" s="2906"/>
      <c r="E109" s="2906"/>
      <c r="F109" s="2906"/>
      <c r="G109" s="2906"/>
    </row>
    <row r="110" spans="1:7" s="2921" customFormat="1" ht="16.5" customHeight="1">
      <c r="A110" s="2906"/>
      <c r="B110" s="2923"/>
      <c r="C110" s="2923"/>
      <c r="D110" s="2906"/>
      <c r="E110" s="2906"/>
      <c r="F110" s="2906"/>
      <c r="G110" s="2906"/>
    </row>
    <row r="111" spans="1:7" s="2921" customFormat="1" ht="16.5" customHeight="1">
      <c r="A111" s="2906"/>
      <c r="B111" s="2923"/>
      <c r="C111" s="2923"/>
      <c r="D111" s="2906"/>
      <c r="E111" s="2906"/>
      <c r="F111" s="2906"/>
      <c r="G111" s="2906"/>
    </row>
    <row r="112" spans="1:7" s="2921" customFormat="1" ht="16.5" customHeight="1">
      <c r="A112" s="2906"/>
      <c r="B112" s="2923"/>
      <c r="C112" s="2923"/>
      <c r="D112" s="2906"/>
      <c r="E112" s="2906"/>
      <c r="F112" s="2906"/>
      <c r="G112" s="2906"/>
    </row>
    <row r="113" spans="1:7" s="2921" customFormat="1" ht="16.5" customHeight="1">
      <c r="A113" s="2906"/>
      <c r="B113" s="2923"/>
      <c r="C113" s="2923"/>
      <c r="D113" s="2906"/>
      <c r="E113" s="2906"/>
      <c r="F113" s="2906"/>
      <c r="G113" s="2906"/>
    </row>
    <row r="114" spans="1:7" s="2921" customFormat="1" ht="16.5" customHeight="1">
      <c r="A114" s="2906"/>
      <c r="B114" s="2923"/>
      <c r="C114" s="2923"/>
      <c r="D114" s="2906"/>
      <c r="E114" s="2906"/>
      <c r="F114" s="2906"/>
      <c r="G114" s="2906"/>
    </row>
    <row r="115" spans="1:7" s="2921" customFormat="1" ht="16.5" customHeight="1">
      <c r="A115" s="2906"/>
      <c r="B115" s="2923"/>
      <c r="C115" s="2923"/>
      <c r="D115" s="2906"/>
      <c r="E115" s="2906"/>
      <c r="F115" s="2906"/>
      <c r="G115" s="2906"/>
    </row>
    <row r="116" spans="1:7" s="2921" customFormat="1" ht="16.5" customHeight="1">
      <c r="A116" s="2906"/>
      <c r="B116" s="2923"/>
      <c r="C116" s="2923"/>
      <c r="D116" s="2906"/>
      <c r="E116" s="2906"/>
      <c r="F116" s="2906"/>
      <c r="G116" s="2906"/>
    </row>
    <row r="117" spans="1:7" s="2921" customFormat="1" ht="16.5" customHeight="1">
      <c r="A117" s="2906"/>
      <c r="B117" s="2923"/>
      <c r="C117" s="2923"/>
      <c r="D117" s="2906"/>
      <c r="E117" s="2906"/>
      <c r="F117" s="2906"/>
      <c r="G117" s="2906"/>
    </row>
    <row r="118" spans="1:7" s="2921" customFormat="1" ht="16.5" customHeight="1">
      <c r="A118" s="2906"/>
      <c r="B118" s="2923"/>
      <c r="C118" s="2923"/>
      <c r="D118" s="2906"/>
      <c r="E118" s="2906"/>
      <c r="F118" s="2906"/>
      <c r="G118" s="2906"/>
    </row>
    <row r="119" spans="1:7" s="2921" customFormat="1" ht="16.5" customHeight="1">
      <c r="A119" s="2906"/>
      <c r="B119" s="2923"/>
      <c r="C119" s="2923"/>
      <c r="D119" s="2906"/>
      <c r="E119" s="2906"/>
      <c r="F119" s="2906"/>
      <c r="G119" s="2906"/>
    </row>
    <row r="120" spans="1:7" s="2921" customFormat="1" ht="16.5" customHeight="1">
      <c r="A120" s="2906"/>
      <c r="B120" s="2923"/>
      <c r="C120" s="2923"/>
      <c r="D120" s="2906"/>
      <c r="E120" s="2906"/>
      <c r="F120" s="2906"/>
      <c r="G120" s="2906"/>
    </row>
    <row r="121" spans="1:7" s="2921" customFormat="1" ht="16.5" customHeight="1">
      <c r="A121" s="2906"/>
      <c r="B121" s="2923"/>
      <c r="C121" s="2923"/>
      <c r="D121" s="2906"/>
      <c r="E121" s="2906"/>
      <c r="F121" s="2906"/>
      <c r="G121" s="2906"/>
    </row>
    <row r="122" spans="1:7" s="2921" customFormat="1" ht="16.5" customHeight="1">
      <c r="A122" s="2906"/>
      <c r="B122" s="2923"/>
      <c r="C122" s="2923"/>
      <c r="D122" s="2906"/>
      <c r="E122" s="2906"/>
      <c r="F122" s="2906"/>
      <c r="G122" s="2906"/>
    </row>
    <row r="123" spans="1:7" s="2921" customFormat="1" ht="16.5" customHeight="1">
      <c r="A123" s="2906"/>
      <c r="B123" s="2923"/>
      <c r="C123" s="2923"/>
      <c r="D123" s="2906"/>
      <c r="E123" s="2906"/>
      <c r="F123" s="2906"/>
      <c r="G123" s="2906"/>
    </row>
    <row r="124" spans="1:7" s="2921" customFormat="1" ht="16.5" customHeight="1">
      <c r="A124" s="2906"/>
      <c r="B124" s="2923"/>
      <c r="C124" s="2923"/>
      <c r="D124" s="2906"/>
      <c r="E124" s="2906"/>
      <c r="F124" s="2906"/>
      <c r="G124" s="2906"/>
    </row>
    <row r="125" spans="1:7" s="2921" customFormat="1" ht="16.5" customHeight="1">
      <c r="A125" s="2906"/>
      <c r="B125" s="2923"/>
      <c r="C125" s="2923"/>
      <c r="D125" s="2906"/>
      <c r="E125" s="2906"/>
      <c r="F125" s="2906"/>
      <c r="G125" s="2906"/>
    </row>
    <row r="126" spans="1:7" s="2921" customFormat="1" ht="16.5" customHeight="1">
      <c r="A126" s="2906"/>
      <c r="B126" s="2923"/>
      <c r="C126" s="2923"/>
      <c r="D126" s="2906"/>
      <c r="E126" s="2906"/>
      <c r="F126" s="2906"/>
      <c r="G126" s="2906"/>
    </row>
    <row r="127" spans="1:7" s="2921" customFormat="1" ht="16.5" customHeight="1">
      <c r="A127" s="2906"/>
      <c r="B127" s="2923"/>
      <c r="C127" s="2923"/>
      <c r="D127" s="2906"/>
      <c r="E127" s="2906"/>
      <c r="F127" s="2906"/>
      <c r="G127" s="2906"/>
    </row>
    <row r="128" spans="1:7" s="2921" customFormat="1" ht="16.5" customHeight="1">
      <c r="A128" s="2906"/>
      <c r="B128" s="2923"/>
      <c r="C128" s="2923"/>
      <c r="D128" s="2906"/>
      <c r="E128" s="2906"/>
      <c r="F128" s="2906"/>
      <c r="G128" s="2906"/>
    </row>
    <row r="129" spans="1:7" s="2921" customFormat="1" ht="16.5" customHeight="1">
      <c r="A129" s="2906"/>
      <c r="B129" s="2923"/>
      <c r="C129" s="2923"/>
      <c r="D129" s="2906"/>
      <c r="E129" s="2906"/>
      <c r="F129" s="2906"/>
      <c r="G129" s="2906"/>
    </row>
    <row r="130" spans="1:7" s="2921" customFormat="1" ht="16.5" customHeight="1">
      <c r="A130" s="2906"/>
      <c r="B130" s="2923"/>
      <c r="C130" s="2923"/>
      <c r="D130" s="2906"/>
      <c r="E130" s="2906"/>
      <c r="F130" s="2906"/>
      <c r="G130" s="2906"/>
    </row>
    <row r="131" spans="1:7" s="2921" customFormat="1" ht="16.5" customHeight="1">
      <c r="A131" s="2906"/>
      <c r="B131" s="2923"/>
      <c r="C131" s="2923"/>
      <c r="D131" s="2906"/>
      <c r="E131" s="2906"/>
      <c r="F131" s="2906"/>
      <c r="G131" s="2906"/>
    </row>
    <row r="132" spans="1:7" s="2921" customFormat="1" ht="16.5" customHeight="1">
      <c r="A132" s="2906"/>
      <c r="B132" s="2923"/>
      <c r="C132" s="2923"/>
      <c r="D132" s="2906"/>
      <c r="E132" s="2906"/>
      <c r="F132" s="2906"/>
      <c r="G132" s="2906"/>
    </row>
    <row r="133" spans="1:7" s="2921" customFormat="1" ht="16.5" customHeight="1">
      <c r="A133" s="2906"/>
      <c r="B133" s="2923"/>
      <c r="C133" s="2923"/>
      <c r="D133" s="2906"/>
      <c r="E133" s="2906"/>
      <c r="F133" s="2906"/>
      <c r="G133" s="2906"/>
    </row>
    <row r="134" spans="1:7" s="2921" customFormat="1" ht="16.5" customHeight="1">
      <c r="A134" s="2906"/>
      <c r="B134" s="2923"/>
      <c r="C134" s="2923"/>
      <c r="D134" s="2906"/>
      <c r="E134" s="2906"/>
      <c r="F134" s="2906"/>
      <c r="G134" s="2906"/>
    </row>
    <row r="135" spans="1:7" s="2921" customFormat="1" ht="16.5" customHeight="1">
      <c r="A135" s="2906"/>
      <c r="B135" s="2923"/>
      <c r="C135" s="2923"/>
      <c r="D135" s="2906"/>
      <c r="E135" s="2906"/>
      <c r="F135" s="2906"/>
      <c r="G135" s="2906"/>
    </row>
    <row r="136" spans="1:7" s="2921" customFormat="1" ht="16.5" customHeight="1">
      <c r="A136" s="2906"/>
      <c r="B136" s="2923"/>
      <c r="C136" s="2923"/>
      <c r="D136" s="2906"/>
      <c r="E136" s="2906"/>
      <c r="F136" s="2906"/>
      <c r="G136" s="2906"/>
    </row>
    <row r="137" spans="1:7" s="2921" customFormat="1" ht="16.5" customHeight="1">
      <c r="A137" s="2906"/>
      <c r="B137" s="2923"/>
      <c r="C137" s="2923"/>
      <c r="D137" s="2906"/>
      <c r="E137" s="2906"/>
      <c r="F137" s="2906"/>
      <c r="G137" s="2906"/>
    </row>
    <row r="138" spans="1:7" s="2921" customFormat="1" ht="16.5" customHeight="1">
      <c r="A138" s="2906"/>
      <c r="B138" s="2923"/>
      <c r="C138" s="2923"/>
      <c r="D138" s="2906"/>
      <c r="E138" s="2906"/>
      <c r="F138" s="2906"/>
      <c r="G138" s="2906"/>
    </row>
    <row r="139" spans="1:7" s="2921" customFormat="1" ht="16.5" customHeight="1">
      <c r="A139" s="2906"/>
      <c r="B139" s="2923"/>
      <c r="C139" s="2923"/>
      <c r="D139" s="2906"/>
      <c r="E139" s="2906"/>
      <c r="F139" s="2906"/>
      <c r="G139" s="2906"/>
    </row>
    <row r="140" spans="1:7" s="2921" customFormat="1" ht="16.5" customHeight="1">
      <c r="A140" s="2906"/>
      <c r="B140" s="2923"/>
      <c r="C140" s="2923"/>
      <c r="D140" s="2906"/>
      <c r="E140" s="2906"/>
      <c r="F140" s="2906"/>
      <c r="G140" s="2906"/>
    </row>
    <row r="141" spans="1:7" s="2921" customFormat="1" ht="16.5" customHeight="1">
      <c r="A141" s="2906"/>
      <c r="B141" s="2923"/>
      <c r="C141" s="2923"/>
      <c r="D141" s="2906"/>
      <c r="E141" s="2906"/>
      <c r="F141" s="2906"/>
      <c r="G141" s="2906"/>
    </row>
    <row r="142" spans="1:7" s="2921" customFormat="1" ht="16.5" customHeight="1">
      <c r="A142" s="2906"/>
      <c r="B142" s="2923"/>
      <c r="C142" s="2923"/>
      <c r="D142" s="2906"/>
      <c r="E142" s="2906"/>
      <c r="F142" s="2906"/>
      <c r="G142" s="2906"/>
    </row>
    <row r="143" spans="1:7" s="2921" customFormat="1" ht="16.5" customHeight="1">
      <c r="A143" s="2906"/>
      <c r="B143" s="2923"/>
      <c r="C143" s="2923"/>
      <c r="D143" s="2906"/>
      <c r="E143" s="2906"/>
      <c r="F143" s="2906"/>
      <c r="G143" s="2906"/>
    </row>
    <row r="144" spans="1:7" s="2921" customFormat="1" ht="16.5" customHeight="1">
      <c r="A144" s="2906"/>
      <c r="B144" s="2923"/>
      <c r="C144" s="2923"/>
      <c r="D144" s="2906"/>
      <c r="E144" s="2906"/>
      <c r="F144" s="2906"/>
      <c r="G144" s="2906"/>
    </row>
    <row r="145" spans="1:7" s="2921" customFormat="1" ht="16.5" customHeight="1">
      <c r="A145" s="2906"/>
      <c r="B145" s="2923"/>
      <c r="C145" s="2923"/>
      <c r="D145" s="2906"/>
      <c r="E145" s="2906"/>
      <c r="F145" s="2906"/>
      <c r="G145" s="2906"/>
    </row>
    <row r="146" spans="1:7" s="2921" customFormat="1" ht="16.5" customHeight="1">
      <c r="A146" s="2906"/>
      <c r="B146" s="2923"/>
      <c r="C146" s="2923"/>
      <c r="D146" s="2906"/>
      <c r="E146" s="2906"/>
      <c r="F146" s="2906"/>
      <c r="G146" s="2906"/>
    </row>
    <row r="147" spans="1:7" s="2921" customFormat="1" ht="16.5" customHeight="1">
      <c r="A147" s="2906"/>
      <c r="B147" s="2923"/>
      <c r="C147" s="2923"/>
      <c r="D147" s="2906"/>
      <c r="E147" s="2906"/>
      <c r="F147" s="2906"/>
      <c r="G147" s="2906"/>
    </row>
    <row r="148" spans="1:7" s="2921" customFormat="1" ht="16.5" customHeight="1">
      <c r="A148" s="2906"/>
      <c r="B148" s="2923"/>
      <c r="C148" s="2923"/>
      <c r="D148" s="2906"/>
      <c r="E148" s="2906"/>
      <c r="F148" s="2906"/>
      <c r="G148" s="2906"/>
    </row>
    <row r="149" spans="1:7" s="2921" customFormat="1" ht="16.5" customHeight="1">
      <c r="A149" s="2906"/>
      <c r="B149" s="2923"/>
      <c r="C149" s="2923"/>
      <c r="D149" s="2906"/>
      <c r="E149" s="2906"/>
      <c r="F149" s="2906"/>
      <c r="G149" s="2906"/>
    </row>
    <row r="150" spans="1:7" s="2921" customFormat="1" ht="16.5" customHeight="1">
      <c r="A150" s="2906"/>
      <c r="B150" s="2923"/>
      <c r="C150" s="2923"/>
      <c r="D150" s="2906"/>
      <c r="E150" s="2906"/>
      <c r="F150" s="2906"/>
      <c r="G150" s="2906"/>
    </row>
    <row r="151" spans="1:7" s="2921" customFormat="1" ht="16.5" customHeight="1">
      <c r="A151" s="2906"/>
      <c r="B151" s="2923"/>
      <c r="C151" s="2923"/>
      <c r="D151" s="2906"/>
      <c r="E151" s="2906"/>
      <c r="F151" s="2906"/>
      <c r="G151" s="2906"/>
    </row>
    <row r="152" spans="1:7" s="2921" customFormat="1" ht="16.5" customHeight="1">
      <c r="A152" s="2906"/>
      <c r="B152" s="2923"/>
      <c r="C152" s="2923"/>
      <c r="D152" s="2906"/>
      <c r="E152" s="2906"/>
      <c r="F152" s="2906"/>
      <c r="G152" s="2906"/>
    </row>
    <row r="153" spans="1:7" s="2921" customFormat="1" ht="16.5" customHeight="1">
      <c r="A153" s="2906"/>
      <c r="B153" s="2923"/>
      <c r="C153" s="2923"/>
      <c r="D153" s="2906"/>
      <c r="E153" s="2906"/>
      <c r="F153" s="2906"/>
      <c r="G153" s="2906"/>
    </row>
    <row r="154" spans="1:7" s="2921" customFormat="1" ht="16.5" customHeight="1">
      <c r="A154" s="2906"/>
      <c r="B154" s="2923"/>
      <c r="C154" s="2923"/>
      <c r="D154" s="2906"/>
      <c r="E154" s="2906"/>
      <c r="F154" s="2906"/>
      <c r="G154" s="2906"/>
    </row>
    <row r="155" spans="1:7" s="2921" customFormat="1" ht="16.5" customHeight="1">
      <c r="A155" s="2906"/>
      <c r="B155" s="2923"/>
      <c r="C155" s="2923"/>
      <c r="D155" s="2906"/>
      <c r="E155" s="2906"/>
      <c r="F155" s="2906"/>
      <c r="G155" s="2906"/>
    </row>
    <row r="156" spans="1:7" s="2921" customFormat="1" ht="16.5" customHeight="1">
      <c r="A156" s="2906"/>
      <c r="B156" s="2923"/>
      <c r="C156" s="2923"/>
      <c r="D156" s="2906"/>
      <c r="E156" s="2906"/>
      <c r="F156" s="2906"/>
      <c r="G156" s="2906"/>
    </row>
    <row r="157" spans="1:7" s="2921" customFormat="1" ht="16.5" customHeight="1">
      <c r="A157" s="2906"/>
      <c r="B157" s="2923"/>
      <c r="C157" s="2923"/>
      <c r="D157" s="2906"/>
      <c r="E157" s="2906"/>
      <c r="F157" s="2906"/>
      <c r="G157" s="2906"/>
    </row>
    <row r="158" spans="1:7" s="2921" customFormat="1" ht="16.5" customHeight="1">
      <c r="A158" s="2906"/>
      <c r="B158" s="2923"/>
      <c r="C158" s="2923"/>
      <c r="D158" s="2906"/>
      <c r="E158" s="2906"/>
      <c r="F158" s="2906"/>
      <c r="G158" s="2906"/>
    </row>
    <row r="159" spans="1:7" s="2921" customFormat="1" ht="16.5" customHeight="1">
      <c r="A159" s="2906"/>
      <c r="B159" s="2923"/>
      <c r="C159" s="2923"/>
      <c r="D159" s="2906"/>
      <c r="E159" s="2906"/>
      <c r="F159" s="2906"/>
      <c r="G159" s="2906"/>
    </row>
    <row r="160" spans="1:7" s="2921" customFormat="1" ht="16.5" customHeight="1">
      <c r="A160" s="2906"/>
      <c r="B160" s="2923"/>
      <c r="C160" s="2923"/>
      <c r="D160" s="2906"/>
      <c r="E160" s="2906"/>
      <c r="F160" s="2906"/>
      <c r="G160" s="2906"/>
    </row>
    <row r="161" spans="1:7" s="2921" customFormat="1" ht="16.5" customHeight="1">
      <c r="A161" s="2906"/>
      <c r="B161" s="2923"/>
      <c r="C161" s="2923"/>
      <c r="D161" s="2906"/>
      <c r="E161" s="2906"/>
      <c r="F161" s="2906"/>
      <c r="G161" s="2906"/>
    </row>
    <row r="162" spans="1:7" s="2921" customFormat="1" ht="16.5" customHeight="1">
      <c r="A162" s="2906"/>
      <c r="B162" s="2923"/>
      <c r="C162" s="2923"/>
      <c r="D162" s="2906"/>
      <c r="E162" s="2906"/>
      <c r="F162" s="2906"/>
      <c r="G162" s="2906"/>
    </row>
    <row r="163" spans="1:7" s="2921" customFormat="1" ht="16.5" customHeight="1">
      <c r="A163" s="2906"/>
      <c r="B163" s="2923"/>
      <c r="C163" s="2923"/>
      <c r="D163" s="2906"/>
      <c r="E163" s="2906"/>
      <c r="F163" s="2906"/>
      <c r="G163" s="2906"/>
    </row>
    <row r="164" spans="1:7" s="2921" customFormat="1" ht="16.5" customHeight="1">
      <c r="A164" s="2906"/>
      <c r="B164" s="2923"/>
      <c r="C164" s="2923"/>
      <c r="D164" s="2906"/>
      <c r="E164" s="2906"/>
      <c r="F164" s="2906"/>
      <c r="G164" s="2906"/>
    </row>
    <row r="165" spans="1:7" s="2921" customFormat="1" ht="16.5" customHeight="1">
      <c r="A165" s="2906"/>
      <c r="B165" s="2923"/>
      <c r="C165" s="2923"/>
      <c r="D165" s="2906"/>
      <c r="E165" s="2906"/>
      <c r="F165" s="2906"/>
      <c r="G165" s="2906"/>
    </row>
    <row r="166" spans="1:7" s="2921" customFormat="1" ht="16.5" customHeight="1">
      <c r="A166" s="2906"/>
      <c r="B166" s="2923"/>
      <c r="C166" s="2923"/>
      <c r="D166" s="2906"/>
      <c r="E166" s="2906"/>
      <c r="F166" s="2906"/>
      <c r="G166" s="2906"/>
    </row>
    <row r="167" spans="1:7" s="2921" customFormat="1" ht="16.5" customHeight="1">
      <c r="A167" s="2906"/>
      <c r="B167" s="2923"/>
      <c r="C167" s="2923"/>
      <c r="D167" s="2906"/>
      <c r="E167" s="2906"/>
      <c r="F167" s="2906"/>
      <c r="G167" s="2906"/>
    </row>
    <row r="168" spans="1:7" s="2921" customFormat="1" ht="16.5" customHeight="1">
      <c r="A168" s="2906"/>
      <c r="B168" s="2923"/>
      <c r="C168" s="2923"/>
      <c r="D168" s="2906"/>
      <c r="E168" s="2906"/>
      <c r="F168" s="2906"/>
      <c r="G168" s="2906"/>
    </row>
    <row r="169" spans="1:7" s="2921" customFormat="1" ht="16.5" customHeight="1">
      <c r="A169" s="2906"/>
      <c r="B169" s="2923"/>
      <c r="C169" s="2923"/>
      <c r="D169" s="2906"/>
      <c r="E169" s="2906"/>
      <c r="F169" s="2906"/>
      <c r="G169" s="2906"/>
    </row>
    <row r="170" spans="1:7" s="2921" customFormat="1" ht="16.5" customHeight="1">
      <c r="A170" s="2906"/>
      <c r="B170" s="2923"/>
      <c r="C170" s="2923"/>
      <c r="D170" s="2906"/>
      <c r="E170" s="2906"/>
      <c r="F170" s="2906"/>
      <c r="G170" s="2906"/>
    </row>
    <row r="171" spans="1:7" s="2921" customFormat="1" ht="16.5" customHeight="1">
      <c r="A171" s="2906"/>
      <c r="B171" s="2923"/>
      <c r="C171" s="2923"/>
      <c r="D171" s="2906"/>
      <c r="E171" s="2906"/>
      <c r="F171" s="2906"/>
      <c r="G171" s="2906"/>
    </row>
    <row r="172" spans="1:7" s="2921" customFormat="1" ht="16.5" customHeight="1">
      <c r="A172" s="2906"/>
      <c r="B172" s="2923"/>
      <c r="C172" s="2923"/>
      <c r="D172" s="2906"/>
      <c r="E172" s="2906"/>
      <c r="F172" s="2906"/>
      <c r="G172" s="2906"/>
    </row>
    <row r="173" spans="1:7" s="2921" customFormat="1" ht="16.5" customHeight="1">
      <c r="A173" s="2906"/>
      <c r="B173" s="2923"/>
      <c r="C173" s="2923"/>
      <c r="D173" s="2906"/>
      <c r="E173" s="2906"/>
      <c r="F173" s="2906"/>
      <c r="G173" s="2906"/>
    </row>
    <row r="174" spans="1:7" s="2921" customFormat="1" ht="16.5" customHeight="1">
      <c r="A174" s="2906"/>
      <c r="B174" s="2923"/>
      <c r="C174" s="2923"/>
      <c r="D174" s="2906"/>
      <c r="E174" s="2906"/>
      <c r="F174" s="2906"/>
      <c r="G174" s="2906"/>
    </row>
    <row r="175" spans="1:7" s="2921" customFormat="1" ht="16.5" customHeight="1">
      <c r="A175" s="2906"/>
      <c r="B175" s="2923"/>
      <c r="C175" s="2923"/>
      <c r="D175" s="2906"/>
      <c r="E175" s="2906"/>
      <c r="F175" s="2906"/>
      <c r="G175" s="2906"/>
    </row>
    <row r="176" spans="1:7" s="2921" customFormat="1" ht="16.5" customHeight="1">
      <c r="A176" s="2906"/>
      <c r="B176" s="2923"/>
      <c r="C176" s="2923"/>
      <c r="D176" s="2906"/>
      <c r="E176" s="2906"/>
      <c r="F176" s="2906"/>
      <c r="G176" s="2906"/>
    </row>
    <row r="177" spans="1:7" s="2921" customFormat="1" ht="16.5" customHeight="1">
      <c r="A177" s="2906"/>
      <c r="B177" s="2923"/>
      <c r="C177" s="2923"/>
      <c r="D177" s="2906"/>
      <c r="E177" s="2906"/>
      <c r="F177" s="2906"/>
      <c r="G177" s="2906"/>
    </row>
    <row r="178" spans="1:7" s="2921" customFormat="1" ht="16.5" customHeight="1">
      <c r="A178" s="2906"/>
      <c r="B178" s="2923"/>
      <c r="C178" s="2923"/>
      <c r="D178" s="2906"/>
      <c r="E178" s="2906"/>
      <c r="F178" s="2906"/>
      <c r="G178" s="2906"/>
    </row>
    <row r="179" spans="1:7" s="2921" customFormat="1" ht="16.5" customHeight="1">
      <c r="A179" s="2906"/>
      <c r="B179" s="2923"/>
      <c r="C179" s="2923"/>
      <c r="D179" s="2906"/>
      <c r="E179" s="2906"/>
      <c r="F179" s="2906"/>
      <c r="G179" s="2906"/>
    </row>
    <row r="180" spans="1:7" s="2921" customFormat="1" ht="16.5" customHeight="1">
      <c r="A180" s="2906"/>
      <c r="B180" s="2923"/>
      <c r="C180" s="2923"/>
      <c r="D180" s="2906"/>
      <c r="E180" s="2906"/>
      <c r="F180" s="2906"/>
      <c r="G180" s="2906"/>
    </row>
    <row r="181" spans="1:7" s="2921" customFormat="1" ht="16.5" customHeight="1">
      <c r="A181" s="2906"/>
      <c r="B181" s="2923"/>
      <c r="C181" s="2923"/>
      <c r="D181" s="2906"/>
      <c r="E181" s="2906"/>
      <c r="F181" s="2906"/>
      <c r="G181" s="2906"/>
    </row>
    <row r="182" spans="1:7" s="2921" customFormat="1" ht="16.5" customHeight="1">
      <c r="A182" s="2906"/>
      <c r="B182" s="2923"/>
      <c r="C182" s="2923"/>
      <c r="D182" s="2906"/>
      <c r="E182" s="2906"/>
      <c r="F182" s="2906"/>
      <c r="G182" s="2906"/>
    </row>
    <row r="183" spans="1:7" s="2921" customFormat="1" ht="16.5" customHeight="1">
      <c r="A183" s="2906"/>
      <c r="B183" s="2923"/>
      <c r="C183" s="2923"/>
      <c r="D183" s="2906"/>
      <c r="E183" s="2906"/>
      <c r="F183" s="2906"/>
      <c r="G183" s="2906"/>
    </row>
    <row r="184" spans="1:7" s="2921" customFormat="1" ht="16.5" customHeight="1">
      <c r="A184" s="2906"/>
      <c r="B184" s="2923"/>
      <c r="C184" s="2923"/>
      <c r="D184" s="2906"/>
      <c r="E184" s="2906"/>
      <c r="F184" s="2906"/>
      <c r="G184" s="2906"/>
    </row>
    <row r="185" spans="1:7" s="2921" customFormat="1" ht="16.5" customHeight="1">
      <c r="A185" s="2906"/>
      <c r="B185" s="2923"/>
      <c r="C185" s="2923"/>
      <c r="D185" s="2906"/>
      <c r="E185" s="2906"/>
      <c r="F185" s="2906"/>
      <c r="G185" s="2906"/>
    </row>
    <row r="186" spans="1:7" s="2921" customFormat="1" ht="16.5" customHeight="1">
      <c r="A186" s="2906"/>
      <c r="B186" s="2923"/>
      <c r="C186" s="2923"/>
      <c r="D186" s="2906"/>
      <c r="E186" s="2906"/>
      <c r="F186" s="2906"/>
      <c r="G186" s="2906"/>
    </row>
    <row r="187" spans="1:7" s="2921" customFormat="1" ht="16.5" customHeight="1">
      <c r="A187" s="2906"/>
      <c r="B187" s="2923"/>
      <c r="C187" s="2923"/>
      <c r="D187" s="2906"/>
      <c r="E187" s="2906"/>
      <c r="F187" s="2906"/>
      <c r="G187" s="2906"/>
    </row>
    <row r="188" spans="1:7" s="2921" customFormat="1" ht="16.5" customHeight="1">
      <c r="A188" s="2906"/>
      <c r="B188" s="2923"/>
      <c r="C188" s="2923"/>
      <c r="D188" s="2906"/>
      <c r="E188" s="2906"/>
      <c r="F188" s="2906"/>
      <c r="G188" s="2906"/>
    </row>
    <row r="189" spans="1:7" s="2921" customFormat="1" ht="16.5" customHeight="1">
      <c r="A189" s="2906"/>
      <c r="B189" s="2923"/>
      <c r="C189" s="2923"/>
      <c r="D189" s="2906"/>
      <c r="E189" s="2906"/>
      <c r="F189" s="2906"/>
      <c r="G189" s="2906"/>
    </row>
    <row r="190" spans="1:7" s="2921" customFormat="1" ht="16.5" customHeight="1">
      <c r="A190" s="2906"/>
      <c r="B190" s="2923"/>
      <c r="C190" s="2923"/>
      <c r="D190" s="2906"/>
      <c r="E190" s="2906"/>
      <c r="F190" s="2906"/>
      <c r="G190" s="2906"/>
    </row>
    <row r="191" spans="1:7" s="2921" customFormat="1" ht="16.5" customHeight="1">
      <c r="A191" s="2906"/>
      <c r="B191" s="2923"/>
      <c r="C191" s="2923"/>
      <c r="D191" s="2906"/>
      <c r="E191" s="2906"/>
      <c r="F191" s="2906"/>
      <c r="G191" s="2906"/>
    </row>
    <row r="192" spans="1:7" s="2921" customFormat="1" ht="16.5" customHeight="1">
      <c r="A192" s="2906"/>
      <c r="B192" s="2923"/>
      <c r="C192" s="2923"/>
      <c r="D192" s="2906"/>
      <c r="E192" s="2906"/>
      <c r="F192" s="2906"/>
      <c r="G192" s="2906"/>
    </row>
    <row r="193" spans="1:7" s="2921" customFormat="1" ht="16.5" customHeight="1">
      <c r="A193" s="2906"/>
      <c r="B193" s="2923"/>
      <c r="C193" s="2923"/>
      <c r="D193" s="2906"/>
      <c r="E193" s="2906"/>
      <c r="F193" s="2906"/>
      <c r="G193" s="2906"/>
    </row>
    <row r="194" spans="1:7" s="2921" customFormat="1" ht="16.5" customHeight="1">
      <c r="A194" s="2906"/>
      <c r="B194" s="2923"/>
      <c r="C194" s="2923"/>
      <c r="D194" s="2906"/>
      <c r="E194" s="2906"/>
      <c r="F194" s="2906"/>
      <c r="G194" s="2906"/>
    </row>
    <row r="195" spans="1:7" s="2921" customFormat="1" ht="16.5" customHeight="1">
      <c r="A195" s="2906"/>
      <c r="B195" s="2923"/>
      <c r="C195" s="2923"/>
      <c r="D195" s="2906"/>
      <c r="E195" s="2906"/>
      <c r="F195" s="2906"/>
      <c r="G195" s="2906"/>
    </row>
    <row r="196" spans="1:7" s="2921" customFormat="1" ht="16.5" customHeight="1">
      <c r="A196" s="2906"/>
      <c r="B196" s="2923"/>
      <c r="C196" s="2923"/>
      <c r="D196" s="2906"/>
      <c r="E196" s="2906"/>
      <c r="F196" s="2906"/>
      <c r="G196" s="2906"/>
    </row>
    <row r="197" spans="1:7" s="2921" customFormat="1" ht="16.5" customHeight="1">
      <c r="A197" s="2906"/>
      <c r="B197" s="2923"/>
      <c r="C197" s="2923"/>
      <c r="D197" s="2906"/>
      <c r="E197" s="2906"/>
      <c r="F197" s="2906"/>
      <c r="G197" s="2906"/>
    </row>
    <row r="198" spans="1:7" s="2921" customFormat="1" ht="16.5" customHeight="1">
      <c r="A198" s="2906"/>
      <c r="B198" s="2923"/>
      <c r="C198" s="2923"/>
      <c r="D198" s="2906"/>
      <c r="E198" s="2906"/>
      <c r="F198" s="2906"/>
      <c r="G198" s="2906"/>
    </row>
    <row r="199" spans="1:7" s="2921" customFormat="1" ht="16.5" customHeight="1">
      <c r="A199" s="2906"/>
      <c r="B199" s="2923"/>
      <c r="C199" s="2923"/>
      <c r="D199" s="2906"/>
      <c r="E199" s="2906"/>
      <c r="F199" s="2906"/>
      <c r="G199" s="2906"/>
    </row>
    <row r="200" spans="1:7" s="2921" customFormat="1" ht="16.5" customHeight="1">
      <c r="A200" s="2906"/>
      <c r="B200" s="2923"/>
      <c r="C200" s="2923"/>
      <c r="D200" s="2906"/>
      <c r="E200" s="2906"/>
      <c r="F200" s="2906"/>
      <c r="G200" s="2906"/>
    </row>
    <row r="201" spans="1:7" s="2921" customFormat="1" ht="16.5" customHeight="1">
      <c r="A201" s="2906"/>
      <c r="B201" s="2923"/>
      <c r="C201" s="2923"/>
      <c r="D201" s="2906"/>
      <c r="E201" s="2906"/>
      <c r="F201" s="2906"/>
      <c r="G201" s="2906"/>
    </row>
    <row r="202" spans="1:7" s="2921" customFormat="1" ht="16.5" customHeight="1">
      <c r="A202" s="2906"/>
      <c r="B202" s="2923"/>
      <c r="C202" s="2923"/>
      <c r="D202" s="2906"/>
      <c r="E202" s="2906"/>
      <c r="F202" s="2906"/>
      <c r="G202" s="2906"/>
    </row>
    <row r="203" spans="1:7" s="2921" customFormat="1" ht="16.5" customHeight="1">
      <c r="A203" s="2906"/>
      <c r="B203" s="2923"/>
      <c r="C203" s="2923"/>
      <c r="D203" s="2906"/>
      <c r="E203" s="2906"/>
      <c r="F203" s="2906"/>
      <c r="G203" s="2906"/>
    </row>
    <row r="204" spans="1:7" s="2921" customFormat="1" ht="16.5" customHeight="1">
      <c r="A204" s="2906"/>
      <c r="B204" s="2923"/>
      <c r="C204" s="2923"/>
      <c r="D204" s="2906"/>
      <c r="E204" s="2906"/>
      <c r="F204" s="2906"/>
      <c r="G204" s="2906"/>
    </row>
    <row r="205" spans="1:7" s="2921" customFormat="1" ht="16.5" customHeight="1">
      <c r="A205" s="2906"/>
      <c r="D205" s="2906"/>
      <c r="E205" s="2906"/>
      <c r="F205" s="2906"/>
      <c r="G205" s="2906"/>
    </row>
    <row r="206" spans="1:7" s="2921" customFormat="1" ht="16.5" customHeight="1">
      <c r="A206" s="2906"/>
      <c r="D206" s="2906"/>
      <c r="E206" s="2906"/>
      <c r="F206" s="2906"/>
      <c r="G206" s="2906"/>
    </row>
    <row r="207" spans="1:7" s="2921" customFormat="1" ht="16.5" customHeight="1">
      <c r="A207" s="2906"/>
      <c r="D207" s="2928"/>
      <c r="E207" s="2906"/>
      <c r="F207" s="2906"/>
      <c r="G207" s="2906"/>
    </row>
    <row r="208" spans="1:7" s="2921" customFormat="1" ht="16.5" customHeight="1">
      <c r="A208" s="2906"/>
      <c r="D208" s="2930"/>
      <c r="E208" s="2906"/>
      <c r="F208" s="2906"/>
      <c r="G208" s="2906"/>
    </row>
    <row r="209" spans="1:7" s="2921" customFormat="1" ht="16.5" customHeight="1">
      <c r="A209" s="2906"/>
      <c r="D209" s="2931"/>
      <c r="E209" s="2906"/>
      <c r="F209" s="2906"/>
      <c r="G209" s="2906"/>
    </row>
    <row r="210" spans="1:7" s="2921" customFormat="1" ht="16.5" customHeight="1">
      <c r="A210" s="2906"/>
      <c r="D210" s="2931"/>
      <c r="E210" s="2906"/>
      <c r="F210" s="2906"/>
      <c r="G210" s="2906"/>
    </row>
    <row r="211" spans="1:7" s="2921" customFormat="1" ht="16.5" customHeight="1">
      <c r="A211" s="2906"/>
      <c r="D211" s="2931"/>
      <c r="E211" s="2906"/>
      <c r="F211" s="2906"/>
      <c r="G211" s="2906"/>
    </row>
    <row r="212" spans="1:7" s="2921" customFormat="1" ht="16.5" customHeight="1">
      <c r="A212" s="2906"/>
      <c r="D212" s="2931"/>
      <c r="E212" s="2906"/>
      <c r="F212" s="2906"/>
      <c r="G212" s="2906"/>
    </row>
    <row r="213" spans="1:7" s="2921" customFormat="1" ht="16.5" customHeight="1">
      <c r="A213" s="2906"/>
      <c r="D213" s="2932"/>
      <c r="E213" s="2906"/>
      <c r="F213" s="2906"/>
      <c r="G213" s="2906"/>
    </row>
    <row r="214" spans="1:7" s="2921" customFormat="1" ht="16.5" customHeight="1">
      <c r="A214" s="2906"/>
      <c r="D214" s="2931"/>
      <c r="E214" s="2906"/>
      <c r="F214" s="2906"/>
      <c r="G214" s="2906"/>
    </row>
    <row r="215" spans="1:7" s="2921" customFormat="1" ht="16.5" customHeight="1">
      <c r="A215" s="2906"/>
      <c r="D215" s="2931"/>
      <c r="E215" s="2906"/>
      <c r="F215" s="2906"/>
      <c r="G215" s="2906"/>
    </row>
    <row r="216" spans="1:7" s="2921" customFormat="1" ht="16.5" customHeight="1">
      <c r="A216" s="2906"/>
      <c r="D216" s="2931"/>
      <c r="E216" s="2906"/>
      <c r="F216" s="2906"/>
      <c r="G216" s="2906"/>
    </row>
    <row r="217" spans="1:7" s="2921" customFormat="1" ht="16.5" customHeight="1">
      <c r="A217" s="2906"/>
      <c r="D217" s="2931"/>
      <c r="E217" s="2906"/>
      <c r="F217" s="2906"/>
      <c r="G217" s="2906"/>
    </row>
    <row r="218" spans="1:7" s="2921" customFormat="1" ht="16.5" customHeight="1">
      <c r="A218" s="2906"/>
      <c r="D218" s="2931"/>
      <c r="E218" s="2906"/>
      <c r="F218" s="2906"/>
      <c r="G218" s="2906"/>
    </row>
    <row r="219" spans="1:7" s="2921" customFormat="1" ht="16.5" customHeight="1">
      <c r="A219" s="2906"/>
      <c r="D219" s="2931"/>
      <c r="E219" s="2906"/>
      <c r="F219" s="2906"/>
      <c r="G219" s="2906"/>
    </row>
    <row r="220" spans="1:7" ht="15" customHeight="1">
      <c r="D220" s="2931"/>
    </row>
    <row r="221" spans="1:7" ht="15" customHeight="1">
      <c r="D221" s="2931"/>
    </row>
    <row r="222" spans="1:7" ht="15" customHeight="1">
      <c r="D222" s="2931"/>
    </row>
    <row r="223" spans="1:7" ht="15" customHeight="1">
      <c r="D223" s="2931"/>
    </row>
    <row r="224" spans="1:7" ht="15" hidden="1" customHeight="1">
      <c r="D224" s="2932"/>
    </row>
    <row r="225" spans="4:4" ht="15" hidden="1" customHeight="1">
      <c r="D225" s="2931"/>
    </row>
    <row r="226" spans="4:4" ht="15" hidden="1" customHeight="1">
      <c r="D226" s="2931"/>
    </row>
    <row r="227" spans="4:4" ht="15" hidden="1" customHeight="1">
      <c r="D227" s="2931"/>
    </row>
    <row r="228" spans="4:4" ht="15" hidden="1" customHeight="1">
      <c r="D228" s="2932"/>
    </row>
    <row r="229" spans="4:4" ht="15" hidden="1" customHeight="1">
      <c r="D229" s="2931"/>
    </row>
    <row r="230" spans="4:4" ht="15" hidden="1" customHeight="1">
      <c r="D230" s="2931"/>
    </row>
    <row r="231" spans="4:4" ht="15" hidden="1" customHeight="1">
      <c r="D231" s="2931"/>
    </row>
    <row r="232" spans="4:4" ht="15" hidden="1" customHeight="1">
      <c r="D232" s="2932"/>
    </row>
    <row r="233" spans="4:4" ht="15" hidden="1" customHeight="1">
      <c r="D233" s="2931"/>
    </row>
    <row r="234" spans="4:4" ht="15" hidden="1" customHeight="1">
      <c r="D234" s="2931"/>
    </row>
    <row r="235" spans="4:4" ht="15" hidden="1" customHeight="1">
      <c r="D235" s="2931"/>
    </row>
    <row r="236" spans="4:4" ht="15" hidden="1" customHeight="1">
      <c r="D236" s="2931"/>
    </row>
    <row r="237" spans="4:4" ht="15" hidden="1" customHeight="1">
      <c r="D237" s="2935"/>
    </row>
    <row r="238" spans="4:4" ht="15" hidden="1" customHeight="1"/>
    <row r="239" spans="4:4" ht="15" hidden="1" customHeight="1"/>
    <row r="240" spans="4:4"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7" spans="2:3">
      <c r="B257" s="2937"/>
      <c r="C257" s="2931"/>
    </row>
    <row r="258" spans="2:3">
      <c r="B258" s="2937"/>
      <c r="C258" s="2931"/>
    </row>
    <row r="259" spans="2:3">
      <c r="B259" s="2937"/>
      <c r="C259" s="2931"/>
    </row>
    <row r="260" spans="2:3">
      <c r="B260" s="2937"/>
      <c r="C260" s="2931"/>
    </row>
    <row r="261" spans="2:3">
      <c r="B261" s="2937"/>
      <c r="C261" s="2931"/>
    </row>
    <row r="262" spans="2:3">
      <c r="B262" s="2937"/>
      <c r="C262" s="2931"/>
    </row>
    <row r="263" spans="2:3">
      <c r="B263" s="2937"/>
      <c r="C263" s="2931"/>
    </row>
    <row r="264" spans="2:3">
      <c r="B264" s="2937"/>
      <c r="C264" s="2931"/>
    </row>
    <row r="265" spans="2:3">
      <c r="B265" s="2937"/>
      <c r="C265" s="2931"/>
    </row>
    <row r="266" spans="2:3">
      <c r="B266" s="2937"/>
      <c r="C266" s="2931"/>
    </row>
    <row r="267" spans="2:3">
      <c r="B267" s="2937"/>
      <c r="C267" s="2931"/>
    </row>
    <row r="268" spans="2:3">
      <c r="B268" s="2938"/>
      <c r="C268" s="2931"/>
    </row>
    <row r="269" spans="2:3">
      <c r="B269" s="2926"/>
      <c r="C269" s="2934"/>
    </row>
    <row r="270" spans="2:3">
      <c r="B270" s="2926"/>
      <c r="C270" s="2926"/>
    </row>
    <row r="271" spans="2:3">
      <c r="B271" s="2926"/>
      <c r="C271" s="2936"/>
    </row>
    <row r="272" spans="2:3">
      <c r="B272" s="2937"/>
      <c r="C272" s="2939"/>
    </row>
    <row r="273" spans="2:3">
      <c r="B273" s="2937"/>
      <c r="C273" s="2931"/>
    </row>
    <row r="274" spans="2:3">
      <c r="B274" s="2937"/>
      <c r="C274" s="2931"/>
    </row>
    <row r="275" spans="2:3">
      <c r="B275" s="2937"/>
      <c r="C275" s="2931"/>
    </row>
    <row r="276" spans="2:3">
      <c r="B276" s="2937"/>
      <c r="C276" s="2931"/>
    </row>
    <row r="277" spans="2:3">
      <c r="B277" s="2937"/>
      <c r="C277" s="2932"/>
    </row>
    <row r="278" spans="2:3">
      <c r="B278" s="2937"/>
      <c r="C278" s="2931"/>
    </row>
    <row r="279" spans="2:3">
      <c r="B279" s="2937"/>
      <c r="C279" s="2931"/>
    </row>
    <row r="280" spans="2:3">
      <c r="B280" s="2937"/>
      <c r="C280" s="2931"/>
    </row>
    <row r="281" spans="2:3">
      <c r="B281" s="2937"/>
      <c r="C281" s="2931"/>
    </row>
    <row r="282" spans="2:3">
      <c r="B282" s="2937"/>
      <c r="C282" s="2931"/>
    </row>
    <row r="283" spans="2:3">
      <c r="B283" s="2937"/>
      <c r="C283" s="2931"/>
    </row>
    <row r="284" spans="2:3">
      <c r="B284" s="2937"/>
      <c r="C284" s="2931"/>
    </row>
    <row r="299" spans="2:3">
      <c r="B299" s="2937"/>
      <c r="C299" s="2931"/>
    </row>
    <row r="300" spans="2:3">
      <c r="B300" s="2937"/>
      <c r="C300" s="2931"/>
    </row>
    <row r="301" spans="2:3">
      <c r="B301" s="2937"/>
      <c r="C301" s="2931"/>
    </row>
    <row r="302" spans="2:3">
      <c r="B302" s="2937"/>
      <c r="C302" s="2932"/>
    </row>
    <row r="303" spans="2:3">
      <c r="B303" s="2937"/>
      <c r="C303" s="2931"/>
    </row>
    <row r="304" spans="2:3">
      <c r="B304" s="2937"/>
      <c r="C304" s="2931"/>
    </row>
    <row r="305" spans="2:3">
      <c r="B305" s="2937"/>
      <c r="C305" s="2931"/>
    </row>
    <row r="306" spans="2:3">
      <c r="B306" s="2937"/>
      <c r="C306" s="2932"/>
    </row>
    <row r="307" spans="2:3">
      <c r="B307" s="2937"/>
      <c r="C307" s="2931"/>
    </row>
    <row r="308" spans="2:3">
      <c r="B308" s="2937"/>
      <c r="C308" s="2931"/>
    </row>
    <row r="309" spans="2:3">
      <c r="B309" s="2937"/>
      <c r="C309" s="2931"/>
    </row>
    <row r="310" spans="2:3">
      <c r="B310" s="2937"/>
      <c r="C310" s="2932"/>
    </row>
    <row r="311" spans="2:3">
      <c r="B311" s="2937"/>
      <c r="C311" s="2931"/>
    </row>
    <row r="312" spans="2:3">
      <c r="B312" s="2937"/>
      <c r="C312" s="2931"/>
    </row>
    <row r="313" spans="2:3">
      <c r="B313" s="2937"/>
      <c r="C313" s="2931"/>
    </row>
    <row r="314" spans="2:3">
      <c r="B314" s="2938"/>
      <c r="C314" s="2931"/>
    </row>
    <row r="315" spans="2:3">
      <c r="B315" s="2926"/>
      <c r="C315" s="2934"/>
    </row>
    <row r="316" spans="2:3">
      <c r="B316" s="2926"/>
      <c r="C316" s="2926"/>
    </row>
  </sheetData>
  <sheetProtection algorithmName="SHA-512" hashValue="9aekzlKzrHuvhqtnfEf0KqpZ50mOJvOmUjQmm+1XkB35LCJ86ipESixLP7DInm+umCX253u/FERsrHiuSjBp9A==" saltValue="jLussqWX5KugRDvtl293Ug==" spinCount="100000" sheet="1" formatCells="0"/>
  <pageMargins left="0.7" right="0.7" top="0.5" bottom="0.5" header="0.3" footer="0.3"/>
  <pageSetup scale="87"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F125"/>
  <sheetViews>
    <sheetView workbookViewId="0"/>
  </sheetViews>
  <sheetFormatPr defaultColWidth="9.140625" defaultRowHeight="12"/>
  <cols>
    <col min="1" max="1" width="5.5703125" style="1100" customWidth="1"/>
    <col min="2" max="2" width="11.42578125" style="703" bestFit="1" customWidth="1"/>
    <col min="3" max="3" width="60.85546875" style="701" customWidth="1"/>
    <col min="4" max="4" width="17.42578125" style="718" customWidth="1"/>
    <col min="5" max="5" width="31.28515625" style="701" customWidth="1"/>
    <col min="6" max="6" width="26" style="701" customWidth="1"/>
    <col min="7" max="7" width="19.140625" style="701" customWidth="1"/>
    <col min="8" max="8" width="29.7109375" style="701" customWidth="1"/>
    <col min="9" max="10" width="5.28515625" style="701"/>
    <col min="11" max="11" width="16" style="701" bestFit="1" customWidth="1"/>
    <col min="12" max="16384" width="9.140625" style="701"/>
  </cols>
  <sheetData>
    <row r="1" spans="1:6">
      <c r="B1" s="789"/>
      <c r="C1" s="1100" t="str">
        <f>'Contact Information'!$C$5</f>
        <v>SAMPLE STATE COLLEGE</v>
      </c>
      <c r="D1" s="789"/>
      <c r="E1" s="789"/>
    </row>
    <row r="2" spans="1:6">
      <c r="B2" s="789"/>
      <c r="C2" s="1100" t="s">
        <v>808</v>
      </c>
      <c r="D2" s="789"/>
      <c r="E2" s="789"/>
    </row>
    <row r="3" spans="1:6">
      <c r="B3" s="789"/>
      <c r="C3" s="3004" t="s">
        <v>4054</v>
      </c>
      <c r="D3" s="717" t="s">
        <v>3</v>
      </c>
      <c r="E3" s="1871" t="str">
        <f>'Contact Information'!C3</f>
        <v>2021.v01</v>
      </c>
    </row>
    <row r="4" spans="1:6" ht="4.5" customHeight="1">
      <c r="A4" s="789"/>
      <c r="B4" s="1100"/>
      <c r="D4" s="701"/>
    </row>
    <row r="5" spans="1:6" ht="12" customHeight="1">
      <c r="A5" s="3719" t="s">
        <v>809</v>
      </c>
      <c r="B5" s="3720"/>
      <c r="C5" s="3720"/>
      <c r="D5" s="3720"/>
      <c r="E5" s="3721"/>
    </row>
    <row r="6" spans="1:6" ht="12" customHeight="1">
      <c r="A6" s="2574" t="s">
        <v>810</v>
      </c>
      <c r="B6" s="2575"/>
      <c r="C6" s="2575"/>
      <c r="D6" s="2575"/>
      <c r="E6" s="2576"/>
    </row>
    <row r="7" spans="1:6">
      <c r="A7" s="2573" t="s">
        <v>811</v>
      </c>
      <c r="B7" s="2571"/>
      <c r="C7" s="2571"/>
      <c r="D7" s="2571"/>
      <c r="E7" s="2572"/>
    </row>
    <row r="8" spans="1:6" ht="4.5" customHeight="1"/>
    <row r="9" spans="1:6" ht="14.25">
      <c r="A9" s="702" t="s">
        <v>812</v>
      </c>
      <c r="C9" s="701" t="s">
        <v>813</v>
      </c>
      <c r="E9" s="704" t="s">
        <v>814</v>
      </c>
    </row>
    <row r="10" spans="1:6" ht="4.5" customHeight="1">
      <c r="A10" s="702"/>
      <c r="E10" s="704"/>
    </row>
    <row r="11" spans="1:6" ht="15">
      <c r="A11" s="2570" t="s">
        <v>815</v>
      </c>
      <c r="B11" s="2570"/>
      <c r="C11" s="2570"/>
      <c r="D11" s="2570"/>
      <c r="E11" s="2570"/>
    </row>
    <row r="12" spans="1:6" ht="5.25" customHeight="1">
      <c r="C12" s="705"/>
    </row>
    <row r="13" spans="1:6">
      <c r="A13" s="1100" t="s">
        <v>816</v>
      </c>
      <c r="B13" s="703" t="s">
        <v>5</v>
      </c>
      <c r="C13" s="705" t="s">
        <v>817</v>
      </c>
      <c r="E13" s="860"/>
    </row>
    <row r="14" spans="1:6">
      <c r="C14" s="706" t="s">
        <v>818</v>
      </c>
      <c r="D14" s="719">
        <f>'Accounts by GL'!O89</f>
        <v>0</v>
      </c>
      <c r="E14" s="860"/>
    </row>
    <row r="15" spans="1:6">
      <c r="C15" s="706" t="s">
        <v>819</v>
      </c>
      <c r="D15" s="790">
        <f>SNP!M51</f>
        <v>0</v>
      </c>
      <c r="E15" s="860"/>
    </row>
    <row r="16" spans="1:6" ht="12.75" thickBot="1">
      <c r="C16" s="722" t="s">
        <v>224</v>
      </c>
      <c r="D16" s="791">
        <f>+D14-D15</f>
        <v>0</v>
      </c>
      <c r="E16" s="860"/>
      <c r="F16" s="709"/>
    </row>
    <row r="17" spans="1:6" ht="4.5" customHeight="1" thickTop="1">
      <c r="C17" s="710" t="s">
        <v>813</v>
      </c>
      <c r="E17" s="860"/>
      <c r="F17" s="709"/>
    </row>
    <row r="18" spans="1:6">
      <c r="A18" s="1100" t="s">
        <v>820</v>
      </c>
      <c r="B18" s="703" t="s">
        <v>5</v>
      </c>
      <c r="C18" s="711" t="s">
        <v>821</v>
      </c>
      <c r="D18" s="720"/>
      <c r="E18" s="860"/>
    </row>
    <row r="19" spans="1:6">
      <c r="B19" s="701"/>
      <c r="C19" s="48" t="s">
        <v>822</v>
      </c>
      <c r="D19" s="718">
        <f>SUM('Accounts by GL'!O47:O80)</f>
        <v>0</v>
      </c>
      <c r="E19" s="860"/>
    </row>
    <row r="20" spans="1:6">
      <c r="C20" s="48" t="s">
        <v>823</v>
      </c>
      <c r="D20" s="716">
        <f>SNP!M33+SNP!M34</f>
        <v>0</v>
      </c>
      <c r="E20" s="860"/>
    </row>
    <row r="21" spans="1:6" ht="12.75" thickBot="1">
      <c r="C21" s="722" t="s">
        <v>224</v>
      </c>
      <c r="D21" s="791">
        <f>+D19-D20</f>
        <v>0</v>
      </c>
      <c r="E21" s="860"/>
    </row>
    <row r="22" spans="1:6" ht="4.5" customHeight="1" thickTop="1">
      <c r="C22" s="713" t="s">
        <v>813</v>
      </c>
      <c r="E22" s="860"/>
    </row>
    <row r="23" spans="1:6">
      <c r="A23" s="1100" t="s">
        <v>824</v>
      </c>
      <c r="B23" s="703" t="s">
        <v>5</v>
      </c>
      <c r="C23" s="711" t="s">
        <v>825</v>
      </c>
      <c r="D23" s="720"/>
      <c r="E23" s="860"/>
      <c r="F23" s="709"/>
    </row>
    <row r="24" spans="1:6">
      <c r="C24" s="48" t="s">
        <v>826</v>
      </c>
      <c r="D24" s="719">
        <f>'Accounts by GL'!O156</f>
        <v>0</v>
      </c>
      <c r="E24" s="860"/>
      <c r="F24" s="709"/>
    </row>
    <row r="25" spans="1:6">
      <c r="C25" s="48" t="s">
        <v>827</v>
      </c>
      <c r="D25" s="790">
        <f>SNP!M113</f>
        <v>0</v>
      </c>
      <c r="E25" s="860"/>
      <c r="F25" s="709"/>
    </row>
    <row r="26" spans="1:6" ht="12.75" thickBot="1">
      <c r="C26" s="722" t="s">
        <v>224</v>
      </c>
      <c r="D26" s="791">
        <f>+D24-D25</f>
        <v>0</v>
      </c>
      <c r="E26" s="860"/>
      <c r="F26" s="709"/>
    </row>
    <row r="27" spans="1:6" ht="4.5" customHeight="1" thickTop="1">
      <c r="C27" s="712" t="s">
        <v>813</v>
      </c>
      <c r="E27" s="860"/>
      <c r="F27" s="709"/>
    </row>
    <row r="28" spans="1:6">
      <c r="A28" s="1100" t="s">
        <v>828</v>
      </c>
      <c r="B28" s="703" t="s">
        <v>5</v>
      </c>
      <c r="C28" s="711" t="s">
        <v>829</v>
      </c>
      <c r="D28" s="720"/>
      <c r="E28" s="860"/>
      <c r="F28" s="709"/>
    </row>
    <row r="29" spans="1:6">
      <c r="C29" s="48" t="s">
        <v>830</v>
      </c>
      <c r="D29" s="719">
        <f>'Accounts by GL'!O554</f>
        <v>0</v>
      </c>
      <c r="E29" s="860"/>
      <c r="F29" s="709"/>
    </row>
    <row r="30" spans="1:6">
      <c r="C30" s="48" t="s">
        <v>831</v>
      </c>
      <c r="D30" s="790">
        <f>SNP!M129</f>
        <v>0</v>
      </c>
      <c r="E30" s="860"/>
      <c r="F30" s="709"/>
    </row>
    <row r="31" spans="1:6" ht="12.75" thickBot="1">
      <c r="C31" s="722" t="s">
        <v>224</v>
      </c>
      <c r="D31" s="791">
        <f>+D29-D30</f>
        <v>0</v>
      </c>
      <c r="E31" s="860"/>
      <c r="F31" s="709"/>
    </row>
    <row r="32" spans="1:6" ht="4.5" customHeight="1" thickTop="1">
      <c r="C32" s="713" t="s">
        <v>813</v>
      </c>
      <c r="E32" s="860"/>
      <c r="F32" s="709"/>
    </row>
    <row r="33" spans="1:6">
      <c r="A33" s="1100" t="s">
        <v>832</v>
      </c>
      <c r="B33" s="703" t="s">
        <v>5</v>
      </c>
      <c r="C33" s="711" t="s">
        <v>833</v>
      </c>
      <c r="D33" s="720"/>
      <c r="E33" s="860"/>
      <c r="F33" s="709"/>
    </row>
    <row r="34" spans="1:6">
      <c r="C34" s="48" t="s">
        <v>830</v>
      </c>
      <c r="D34" s="718">
        <f>'Accounts by GL'!O554</f>
        <v>0</v>
      </c>
      <c r="E34" s="860"/>
    </row>
    <row r="35" spans="1:6">
      <c r="C35" s="48" t="s">
        <v>834</v>
      </c>
      <c r="D35" s="716" t="e">
        <f>SRECNP!L66</f>
        <v>#N/A</v>
      </c>
      <c r="E35" s="860"/>
    </row>
    <row r="36" spans="1:6" ht="12.75" thickBot="1">
      <c r="C36" s="722" t="s">
        <v>224</v>
      </c>
      <c r="D36" s="791" t="e">
        <f>+D34-D35</f>
        <v>#N/A</v>
      </c>
      <c r="E36" s="860"/>
    </row>
    <row r="37" spans="1:6" ht="4.5" customHeight="1" thickTop="1">
      <c r="C37" s="713" t="s">
        <v>813</v>
      </c>
      <c r="E37" s="860"/>
      <c r="F37" s="709"/>
    </row>
    <row r="38" spans="1:6">
      <c r="A38" s="1100" t="s">
        <v>835</v>
      </c>
      <c r="B38" s="703" t="s">
        <v>5</v>
      </c>
      <c r="C38" s="711" t="s">
        <v>836</v>
      </c>
      <c r="D38" s="720"/>
      <c r="E38" s="860"/>
      <c r="F38" s="709"/>
    </row>
    <row r="39" spans="1:6">
      <c r="C39" s="48" t="s">
        <v>837</v>
      </c>
      <c r="D39" s="718">
        <f>'Accounts by GL'!O181</f>
        <v>0</v>
      </c>
      <c r="E39" s="860"/>
    </row>
    <row r="40" spans="1:6">
      <c r="C40" s="48" t="s">
        <v>838</v>
      </c>
      <c r="D40" s="716" t="e">
        <f>SRECNP!L64</f>
        <v>#N/A</v>
      </c>
      <c r="E40" s="860"/>
    </row>
    <row r="41" spans="1:6" ht="12.75" thickBot="1">
      <c r="C41" s="722" t="s">
        <v>224</v>
      </c>
      <c r="D41" s="791" t="e">
        <f>+D39-D40</f>
        <v>#N/A</v>
      </c>
      <c r="E41" s="860"/>
    </row>
    <row r="42" spans="1:6" ht="4.5" customHeight="1" thickTop="1">
      <c r="C42" s="708" t="s">
        <v>813</v>
      </c>
      <c r="E42" s="860"/>
    </row>
    <row r="43" spans="1:6">
      <c r="A43" s="1100" t="s">
        <v>839</v>
      </c>
      <c r="B43" s="703" t="s">
        <v>5</v>
      </c>
      <c r="C43" s="711" t="s">
        <v>840</v>
      </c>
      <c r="D43" s="720"/>
      <c r="E43" s="860"/>
    </row>
    <row r="44" spans="1:6">
      <c r="B44" s="701"/>
      <c r="C44" s="48" t="s">
        <v>841</v>
      </c>
      <c r="D44" s="718">
        <f>'Accounts by GL'!O437</f>
        <v>0</v>
      </c>
      <c r="E44" s="860"/>
    </row>
    <row r="45" spans="1:6">
      <c r="C45" s="48" t="s">
        <v>842</v>
      </c>
      <c r="D45" s="716">
        <f>SRECNP!L24</f>
        <v>0</v>
      </c>
      <c r="E45" s="860"/>
    </row>
    <row r="46" spans="1:6" ht="12.75" thickBot="1">
      <c r="C46" s="722" t="s">
        <v>224</v>
      </c>
      <c r="D46" s="791">
        <f>+D44-D45</f>
        <v>0</v>
      </c>
      <c r="E46" s="860"/>
    </row>
    <row r="47" spans="1:6" ht="4.5" customHeight="1" thickTop="1">
      <c r="C47" s="713" t="s">
        <v>813</v>
      </c>
    </row>
    <row r="48" spans="1:6" ht="15">
      <c r="A48" s="2570" t="s">
        <v>843</v>
      </c>
      <c r="B48" s="2570"/>
      <c r="C48" s="2570"/>
      <c r="D48" s="2570"/>
      <c r="E48" s="2570"/>
    </row>
    <row r="49" spans="1:6" ht="4.5" customHeight="1">
      <c r="C49" s="713"/>
      <c r="E49" s="707"/>
    </row>
    <row r="50" spans="1:6">
      <c r="A50" s="1100" t="s">
        <v>844</v>
      </c>
      <c r="B50" s="703" t="s">
        <v>5</v>
      </c>
      <c r="C50" s="711" t="s">
        <v>845</v>
      </c>
      <c r="D50" s="720"/>
      <c r="E50" s="860"/>
    </row>
    <row r="51" spans="1:6">
      <c r="C51" s="48" t="s">
        <v>846</v>
      </c>
      <c r="D51" s="718" t="e">
        <f>VLOOKUP($C$1,VLOOKUP!A44:D71,2,FALSE)</f>
        <v>#N/A</v>
      </c>
      <c r="E51" s="860"/>
    </row>
    <row r="52" spans="1:6">
      <c r="C52" s="48" t="s">
        <v>847</v>
      </c>
      <c r="D52" s="716" t="e">
        <f>SRECNP!L61</f>
        <v>#N/A</v>
      </c>
      <c r="E52" s="860"/>
    </row>
    <row r="53" spans="1:6" ht="12.75" thickBot="1">
      <c r="C53" s="722" t="s">
        <v>224</v>
      </c>
      <c r="D53" s="791" t="e">
        <f>+D51-D52</f>
        <v>#N/A</v>
      </c>
      <c r="E53" s="860"/>
    </row>
    <row r="54" spans="1:6" ht="4.5" customHeight="1" thickTop="1">
      <c r="C54" s="708" t="s">
        <v>813</v>
      </c>
      <c r="E54" s="860"/>
    </row>
    <row r="55" spans="1:6">
      <c r="A55" s="1100" t="s">
        <v>848</v>
      </c>
      <c r="B55" s="703" t="s">
        <v>849</v>
      </c>
      <c r="C55" s="711" t="s">
        <v>850</v>
      </c>
      <c r="E55" s="860"/>
      <c r="F55" s="709"/>
    </row>
    <row r="56" spans="1:6">
      <c r="B56" s="703" t="s">
        <v>851</v>
      </c>
      <c r="C56" s="48" t="s">
        <v>852</v>
      </c>
      <c r="D56" s="718" t="e">
        <f>ROUND(VLOOKUP($C$1,VLOOKUP!A44:D71,3,FALSE),0)</f>
        <v>#N/A</v>
      </c>
      <c r="E56" s="860"/>
    </row>
    <row r="57" spans="1:6">
      <c r="C57" s="48" t="s">
        <v>853</v>
      </c>
      <c r="D57" s="716" t="e">
        <f>SRECNP!N61</f>
        <v>#N/A</v>
      </c>
      <c r="E57" s="860"/>
    </row>
    <row r="58" spans="1:6" ht="12.75" thickBot="1">
      <c r="C58" s="722" t="s">
        <v>224</v>
      </c>
      <c r="D58" s="791" t="e">
        <f>+D56-D57</f>
        <v>#N/A</v>
      </c>
      <c r="E58" s="860"/>
    </row>
    <row r="59" spans="1:6" ht="4.5" customHeight="1" thickTop="1">
      <c r="C59" s="713"/>
      <c r="E59" s="860"/>
    </row>
    <row r="60" spans="1:6">
      <c r="A60" s="1100" t="s">
        <v>854</v>
      </c>
      <c r="B60" s="703" t="s">
        <v>5</v>
      </c>
      <c r="C60" s="711" t="s">
        <v>855</v>
      </c>
      <c r="D60" s="720"/>
      <c r="E60" s="860"/>
    </row>
    <row r="61" spans="1:6">
      <c r="C61" s="48" t="s">
        <v>856</v>
      </c>
      <c r="D61" s="718" t="e">
        <f>VLOOKUP($C$1,VLOOKUP!A9:E36,5,FALSE)</f>
        <v>#N/A</v>
      </c>
      <c r="E61" s="860"/>
    </row>
    <row r="62" spans="1:6">
      <c r="C62" s="48" t="s">
        <v>857</v>
      </c>
      <c r="D62" s="716" t="e">
        <f>SCF!M56</f>
        <v>#N/A</v>
      </c>
      <c r="E62" s="860"/>
    </row>
    <row r="63" spans="1:6" ht="12.75" thickBot="1">
      <c r="C63" s="722" t="s">
        <v>224</v>
      </c>
      <c r="D63" s="791" t="e">
        <f>+D61-D62</f>
        <v>#N/A</v>
      </c>
      <c r="E63" s="860"/>
    </row>
    <row r="64" spans="1:6" ht="4.5" customHeight="1" thickTop="1">
      <c r="C64" s="708" t="s">
        <v>813</v>
      </c>
    </row>
    <row r="65" spans="1:5" ht="15">
      <c r="A65" s="2570" t="s">
        <v>858</v>
      </c>
      <c r="B65" s="2570"/>
      <c r="C65" s="2570"/>
      <c r="D65" s="2570"/>
      <c r="E65" s="2570"/>
    </row>
    <row r="66" spans="1:5" ht="4.5" customHeight="1">
      <c r="C66" s="708"/>
      <c r="E66" s="707"/>
    </row>
    <row r="67" spans="1:5">
      <c r="A67" s="1100" t="s">
        <v>859</v>
      </c>
      <c r="B67" s="703" t="s">
        <v>5</v>
      </c>
      <c r="C67" s="711" t="s">
        <v>860</v>
      </c>
      <c r="E67" s="860"/>
    </row>
    <row r="68" spans="1:5">
      <c r="C68" s="48" t="s">
        <v>861</v>
      </c>
      <c r="D68" s="718">
        <f>SRECNP!L34</f>
        <v>0</v>
      </c>
      <c r="E68" s="860"/>
    </row>
    <row r="69" spans="1:5">
      <c r="C69" s="48" t="s">
        <v>862</v>
      </c>
      <c r="D69" s="716">
        <f>SCF!M69</f>
        <v>0</v>
      </c>
      <c r="E69" s="860"/>
    </row>
    <row r="70" spans="1:5" ht="12.75" thickBot="1">
      <c r="C70" s="722" t="s">
        <v>224</v>
      </c>
      <c r="D70" s="791">
        <f>+D68-D69</f>
        <v>0</v>
      </c>
      <c r="E70" s="860"/>
    </row>
    <row r="71" spans="1:5" ht="4.5" customHeight="1" thickTop="1">
      <c r="C71" s="708" t="s">
        <v>813</v>
      </c>
      <c r="E71" s="860"/>
    </row>
    <row r="72" spans="1:5">
      <c r="A72" s="1100" t="s">
        <v>863</v>
      </c>
      <c r="B72" s="703" t="s">
        <v>5</v>
      </c>
      <c r="C72" s="711" t="s">
        <v>864</v>
      </c>
      <c r="E72" s="860"/>
    </row>
    <row r="73" spans="1:5">
      <c r="B73" s="701"/>
      <c r="C73" s="48" t="s">
        <v>865</v>
      </c>
      <c r="D73" s="718">
        <f>SNP!M12</f>
        <v>0</v>
      </c>
      <c r="E73" s="860"/>
    </row>
    <row r="74" spans="1:5">
      <c r="C74" s="48" t="s">
        <v>866</v>
      </c>
      <c r="D74" s="721">
        <f>SNP!M13+SNP!M28</f>
        <v>0</v>
      </c>
      <c r="E74" s="860"/>
    </row>
    <row r="75" spans="1:5">
      <c r="C75" s="712" t="s">
        <v>867</v>
      </c>
      <c r="D75" s="719">
        <f>SUM(D73:D74)</f>
        <v>0</v>
      </c>
      <c r="E75" s="860"/>
    </row>
    <row r="76" spans="1:5">
      <c r="C76" s="712" t="s">
        <v>813</v>
      </c>
      <c r="E76" s="860"/>
    </row>
    <row r="77" spans="1:5">
      <c r="C77" s="48" t="s">
        <v>868</v>
      </c>
      <c r="D77" s="716" t="e">
        <f>SCF!M58</f>
        <v>#N/A</v>
      </c>
      <c r="E77" s="860"/>
    </row>
    <row r="78" spans="1:5" ht="12.75" thickBot="1">
      <c r="C78" s="722" t="s">
        <v>224</v>
      </c>
      <c r="D78" s="791" t="e">
        <f>+D75-D77</f>
        <v>#N/A</v>
      </c>
      <c r="E78" s="860"/>
    </row>
    <row r="79" spans="1:5" ht="4.5" customHeight="1" thickTop="1">
      <c r="C79" s="708" t="s">
        <v>813</v>
      </c>
      <c r="E79" s="860"/>
    </row>
    <row r="80" spans="1:5">
      <c r="A80" s="1100" t="s">
        <v>869</v>
      </c>
      <c r="B80" s="703" t="s">
        <v>5</v>
      </c>
      <c r="C80" s="711" t="s">
        <v>870</v>
      </c>
      <c r="E80" s="860"/>
    </row>
    <row r="81" spans="1:5">
      <c r="B81" s="701"/>
      <c r="C81" s="48" t="s">
        <v>871</v>
      </c>
      <c r="D81" s="718">
        <f>SCF!M96</f>
        <v>0</v>
      </c>
      <c r="E81" s="860"/>
    </row>
    <row r="82" spans="1:5">
      <c r="C82" s="48" t="s">
        <v>872</v>
      </c>
      <c r="D82" s="716">
        <f>SCF!M22</f>
        <v>0</v>
      </c>
      <c r="E82" s="860"/>
    </row>
    <row r="83" spans="1:5" ht="12.75" thickBot="1">
      <c r="C83" s="722" t="s">
        <v>224</v>
      </c>
      <c r="D83" s="791">
        <f>+D81-D82</f>
        <v>0</v>
      </c>
      <c r="E83" s="860"/>
    </row>
    <row r="84" spans="1:5" ht="5.25" customHeight="1" thickTop="1">
      <c r="C84" s="713"/>
    </row>
    <row r="85" spans="1:5" ht="15">
      <c r="A85" s="2570" t="s">
        <v>873</v>
      </c>
      <c r="B85" s="2570"/>
      <c r="C85" s="2570"/>
      <c r="D85" s="2570"/>
      <c r="E85" s="2570"/>
    </row>
    <row r="86" spans="1:5" ht="5.25" customHeight="1">
      <c r="C86" s="713"/>
      <c r="E86" s="707"/>
    </row>
    <row r="87" spans="1:5">
      <c r="A87" s="1100" t="s">
        <v>874</v>
      </c>
      <c r="B87" s="703" t="s">
        <v>875</v>
      </c>
      <c r="C87" s="711" t="s">
        <v>876</v>
      </c>
      <c r="D87" s="720"/>
      <c r="E87" s="860"/>
    </row>
    <row r="88" spans="1:5">
      <c r="B88" s="701"/>
      <c r="C88" s="48" t="s">
        <v>877</v>
      </c>
      <c r="D88" s="718">
        <f>'Accounts by GL'!$D$437</f>
        <v>0</v>
      </c>
      <c r="E88" s="860"/>
    </row>
    <row r="89" spans="1:5">
      <c r="C89" s="48" t="s">
        <v>878</v>
      </c>
      <c r="D89" s="716">
        <f>'Exp by Function'!$B$22</f>
        <v>0</v>
      </c>
      <c r="E89" s="860"/>
    </row>
    <row r="90" spans="1:5" ht="12.75" thickBot="1">
      <c r="C90" s="722" t="s">
        <v>224</v>
      </c>
      <c r="D90" s="791">
        <f>+D88-D89</f>
        <v>0</v>
      </c>
      <c r="E90" s="860"/>
    </row>
    <row r="91" spans="1:5" ht="4.5" customHeight="1" thickTop="1">
      <c r="C91" s="708" t="s">
        <v>813</v>
      </c>
      <c r="E91" s="860"/>
    </row>
    <row r="92" spans="1:5">
      <c r="A92" s="1100" t="s">
        <v>879</v>
      </c>
      <c r="B92" s="703" t="s">
        <v>875</v>
      </c>
      <c r="C92" s="711" t="s">
        <v>880</v>
      </c>
      <c r="D92" s="720"/>
      <c r="E92" s="860"/>
    </row>
    <row r="93" spans="1:5">
      <c r="C93" s="48" t="s">
        <v>881</v>
      </c>
      <c r="D93" s="718">
        <f>'Accounts by GL'!$D$507</f>
        <v>0</v>
      </c>
      <c r="E93" s="860"/>
    </row>
    <row r="94" spans="1:5">
      <c r="C94" s="48" t="s">
        <v>882</v>
      </c>
      <c r="D94" s="716">
        <f>'Exp by Function'!$C$22</f>
        <v>0</v>
      </c>
      <c r="E94" s="860"/>
    </row>
    <row r="95" spans="1:5" ht="12.75" thickBot="1">
      <c r="C95" s="722" t="s">
        <v>224</v>
      </c>
      <c r="D95" s="791">
        <f>+D93-D94</f>
        <v>0</v>
      </c>
      <c r="E95" s="860"/>
    </row>
    <row r="96" spans="1:5" ht="4.5" customHeight="1" thickTop="1">
      <c r="C96" s="708" t="s">
        <v>813</v>
      </c>
      <c r="E96" s="860"/>
    </row>
    <row r="97" spans="1:5">
      <c r="A97" s="1100" t="s">
        <v>883</v>
      </c>
      <c r="B97" s="703" t="s">
        <v>875</v>
      </c>
      <c r="C97" s="711" t="s">
        <v>884</v>
      </c>
      <c r="D97" s="720"/>
      <c r="E97" s="860"/>
    </row>
    <row r="98" spans="1:5">
      <c r="C98" s="48" t="s">
        <v>885</v>
      </c>
      <c r="D98" s="718">
        <f>'Accounts by GL'!$D$530</f>
        <v>0</v>
      </c>
      <c r="E98" s="860"/>
    </row>
    <row r="99" spans="1:5">
      <c r="C99" s="48" t="s">
        <v>886</v>
      </c>
      <c r="D99" s="716">
        <f>'Exp by Function'!$D$22</f>
        <v>0</v>
      </c>
      <c r="E99" s="860"/>
    </row>
    <row r="100" spans="1:5" ht="12.75" thickBot="1">
      <c r="C100" s="722" t="s">
        <v>224</v>
      </c>
      <c r="D100" s="791">
        <f>+D98-D99</f>
        <v>0</v>
      </c>
      <c r="E100" s="860"/>
    </row>
    <row r="101" spans="1:5" ht="4.5" customHeight="1" thickTop="1">
      <c r="C101" s="708" t="s">
        <v>813</v>
      </c>
      <c r="E101" s="860"/>
    </row>
    <row r="102" spans="1:5">
      <c r="A102" s="1100" t="s">
        <v>887</v>
      </c>
      <c r="B102" s="703" t="s">
        <v>875</v>
      </c>
      <c r="C102" s="711" t="s">
        <v>888</v>
      </c>
      <c r="D102" s="720"/>
      <c r="E102" s="860"/>
    </row>
    <row r="103" spans="1:5">
      <c r="C103" s="48" t="s">
        <v>889</v>
      </c>
      <c r="D103" s="718">
        <f>'Accounts by GL'!$D$532</f>
        <v>0</v>
      </c>
      <c r="E103" s="860"/>
    </row>
    <row r="104" spans="1:5">
      <c r="C104" s="48" t="s">
        <v>890</v>
      </c>
      <c r="D104" s="716">
        <f>'Exp by Function'!$E$22</f>
        <v>0</v>
      </c>
      <c r="E104" s="860"/>
    </row>
    <row r="105" spans="1:5" ht="12.75" thickBot="1">
      <c r="C105" s="722" t="s">
        <v>224</v>
      </c>
      <c r="D105" s="791">
        <f>+D103-D104</f>
        <v>0</v>
      </c>
      <c r="E105" s="860"/>
    </row>
    <row r="106" spans="1:5" ht="5.25" customHeight="1" thickTop="1">
      <c r="C106" s="713"/>
      <c r="E106" s="860"/>
    </row>
    <row r="107" spans="1:5">
      <c r="A107" s="1100" t="s">
        <v>891</v>
      </c>
      <c r="B107" s="703" t="s">
        <v>892</v>
      </c>
      <c r="C107" s="711" t="s">
        <v>893</v>
      </c>
      <c r="D107" s="720"/>
      <c r="E107" s="860"/>
    </row>
    <row r="108" spans="1:5">
      <c r="B108" s="714"/>
      <c r="C108" s="715" t="s">
        <v>894</v>
      </c>
      <c r="D108" s="718">
        <f>'Accounts by GL'!$O$226</f>
        <v>0</v>
      </c>
      <c r="E108" s="860"/>
    </row>
    <row r="109" spans="1:5">
      <c r="B109" s="714"/>
      <c r="C109" s="715" t="s">
        <v>895</v>
      </c>
      <c r="D109" s="718">
        <f>'Accounts by GL'!$O$227</f>
        <v>0</v>
      </c>
      <c r="E109" s="860"/>
    </row>
    <row r="110" spans="1:5">
      <c r="B110" s="714"/>
      <c r="C110" s="715" t="s">
        <v>896</v>
      </c>
      <c r="D110" s="721">
        <f>'Accounts by GL'!$O$228</f>
        <v>0</v>
      </c>
      <c r="E110" s="860"/>
    </row>
    <row r="111" spans="1:5">
      <c r="C111" s="712" t="s">
        <v>897</v>
      </c>
      <c r="D111" s="716">
        <f>SUM(D108:D110)</f>
        <v>0</v>
      </c>
      <c r="E111" s="860"/>
    </row>
    <row r="112" spans="1:5">
      <c r="C112" s="713" t="s">
        <v>813</v>
      </c>
      <c r="E112" s="860"/>
    </row>
    <row r="113" spans="1:5">
      <c r="C113" s="48" t="s">
        <v>898</v>
      </c>
      <c r="D113" s="721">
        <f>CIF!$B$17</f>
        <v>0</v>
      </c>
      <c r="E113" s="860"/>
    </row>
    <row r="114" spans="1:5" ht="12.75" thickBot="1">
      <c r="C114" s="722" t="s">
        <v>224</v>
      </c>
      <c r="D114" s="792">
        <f>+D111-D113</f>
        <v>0</v>
      </c>
      <c r="E114" s="860"/>
    </row>
    <row r="115" spans="1:5" ht="4.5" customHeight="1" thickTop="1">
      <c r="C115" s="708" t="s">
        <v>813</v>
      </c>
      <c r="E115" s="860"/>
    </row>
    <row r="116" spans="1:5">
      <c r="A116" s="1100" t="s">
        <v>899</v>
      </c>
      <c r="B116" s="703" t="s">
        <v>892</v>
      </c>
      <c r="C116" s="711" t="s">
        <v>900</v>
      </c>
      <c r="D116" s="720"/>
      <c r="E116" s="860"/>
    </row>
    <row r="117" spans="1:5">
      <c r="B117" s="714"/>
      <c r="C117" s="48" t="s">
        <v>901</v>
      </c>
      <c r="D117" s="718">
        <f>'Accounts by GL'!$O$219</f>
        <v>0</v>
      </c>
      <c r="E117" s="860"/>
    </row>
    <row r="118" spans="1:5">
      <c r="C118" s="48" t="s">
        <v>902</v>
      </c>
      <c r="D118" s="716">
        <f>'Dist Learning'!$E$8</f>
        <v>0</v>
      </c>
      <c r="E118" s="860"/>
    </row>
    <row r="119" spans="1:5" ht="12.75" thickBot="1">
      <c r="C119" s="722" t="s">
        <v>224</v>
      </c>
      <c r="D119" s="791">
        <f>+D117-D118</f>
        <v>0</v>
      </c>
      <c r="E119" s="860"/>
    </row>
    <row r="120" spans="1:5" ht="4.5" customHeight="1" thickTop="1">
      <c r="C120" s="708" t="s">
        <v>813</v>
      </c>
      <c r="E120" s="860"/>
    </row>
    <row r="121" spans="1:5">
      <c r="A121" s="1100" t="s">
        <v>903</v>
      </c>
      <c r="B121" s="703" t="s">
        <v>892</v>
      </c>
      <c r="C121" s="711" t="s">
        <v>904</v>
      </c>
      <c r="D121" s="720"/>
      <c r="E121" s="860"/>
    </row>
    <row r="122" spans="1:5">
      <c r="B122" s="714"/>
      <c r="C122" s="48" t="s">
        <v>905</v>
      </c>
      <c r="D122" s="718">
        <f>'Accounts by GL'!$O$224+'Accounts by GL'!$O$225</f>
        <v>0</v>
      </c>
      <c r="E122" s="860"/>
    </row>
    <row r="123" spans="1:5">
      <c r="C123" s="48" t="s">
        <v>906</v>
      </c>
      <c r="D123" s="716">
        <f>'Student Activity Fee Report'!$C$10+'Student Activity Fee Report'!$C$11</f>
        <v>0</v>
      </c>
      <c r="E123" s="860"/>
    </row>
    <row r="124" spans="1:5" ht="12.75" thickBot="1">
      <c r="C124" s="722" t="s">
        <v>224</v>
      </c>
      <c r="D124" s="791">
        <f>+D122-D123</f>
        <v>0</v>
      </c>
      <c r="E124" s="860"/>
    </row>
    <row r="125" spans="1:5" ht="12.75" thickTop="1"/>
  </sheetData>
  <sheetProtection algorithmName="SHA-512" hashValue="5B7yo+UkkCyWOWVUGtk6iKQmHOR6tN4R8EG7bJ7zR3R6l3JzYrm7Kaglx7oXEWYIeHFwr55kle8IDlbRrG4isw==" saltValue="PifEH3QEmaimOgWcJtfjhg==" spinCount="100000" sheet="1" formatColumns="0" formatRows="0"/>
  <sortState ref="C130:F157">
    <sortCondition ref="C130"/>
  </sortState>
  <phoneticPr fontId="0" type="noConversion"/>
  <conditionalFormatting sqref="D124 D119 D114 D90 D95 D100 D105 D70 D78 D63 D53 D46 D21 D16 D26 D31 D36 D41 D58 D83">
    <cfRule type="cellIs" dxfId="421" priority="7" operator="notBetween">
      <formula>-5</formula>
      <formula>5</formula>
    </cfRule>
    <cfRule type="cellIs" dxfId="420" priority="8" operator="between">
      <formula>1</formula>
      <formula>5</formula>
    </cfRule>
    <cfRule type="cellIs" dxfId="419" priority="280" operator="between">
      <formula>-1</formula>
      <formula>-5</formula>
    </cfRule>
    <cfRule type="cellIs" dxfId="418" priority="282" operator="between">
      <formula>-1</formula>
      <formula>1</formula>
    </cfRule>
  </conditionalFormatting>
  <pageMargins left="0.45" right="0.45" top="0.75" bottom="0.5" header="0.3" footer="0.3"/>
  <pageSetup scale="88" fitToHeight="4" orientation="landscape" horizontalDpi="300" verticalDpi="300" r:id="rId1"/>
  <headerFooter>
    <oddHeader>&amp;L&amp;"Arial,Regular"&amp;8&amp;K000000&amp;F&amp;R&amp;"Arial,Regular"&amp;8&amp;A</oddHeader>
    <oddFooter>&amp;L&amp;"Arial,Regular"&amp;8&amp;D&amp;R&amp;"Arial,Regular"&amp;8&amp;P of &amp;N</oddFooter>
  </headerFooter>
  <rowBreaks count="1" manualBreakCount="1">
    <brk id="106" max="4"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IN611"/>
  <sheetViews>
    <sheetView zoomScaleNormal="100" workbookViewId="0">
      <pane xSplit="3" ySplit="4" topLeftCell="D5" activePane="bottomRight" state="frozen"/>
      <selection pane="topRight" activeCell="D1" sqref="D1"/>
      <selection pane="bottomLeft" activeCell="B7" sqref="B7"/>
      <selection pane="bottomRight" activeCell="B1" sqref="B1"/>
    </sheetView>
  </sheetViews>
  <sheetFormatPr defaultColWidth="11.140625" defaultRowHeight="12"/>
  <cols>
    <col min="1" max="1" width="9.140625" style="304" hidden="1" customWidth="1"/>
    <col min="2" max="2" width="58.7109375" style="308" customWidth="1"/>
    <col min="3" max="3" width="10.5703125" style="644" customWidth="1"/>
    <col min="4" max="12" width="15.7109375" style="303" customWidth="1"/>
    <col min="13" max="13" width="19.85546875" style="303" customWidth="1"/>
    <col min="14" max="14" width="23.7109375" style="303" customWidth="1"/>
    <col min="15" max="15" width="19.5703125" style="658" customWidth="1"/>
    <col min="16" max="16" width="50.140625" style="307" customWidth="1"/>
    <col min="17" max="17" width="32" style="305" customWidth="1"/>
    <col min="18" max="18" width="113.85546875" style="305" customWidth="1"/>
    <col min="19" max="19" width="17.28515625" style="305" customWidth="1"/>
    <col min="20" max="16384" width="11.140625" style="305"/>
  </cols>
  <sheetData>
    <row r="1" spans="1:20" s="3228" customFormat="1" ht="24.95" customHeight="1">
      <c r="A1" s="3224"/>
      <c r="B1" s="3223"/>
      <c r="C1" s="3225"/>
      <c r="D1" s="3225"/>
      <c r="E1" s="3225"/>
      <c r="F1" s="3225"/>
      <c r="G1" s="3225"/>
      <c r="H1" s="3235" t="str">
        <f>'Contact Information'!$C$5</f>
        <v>SAMPLE STATE COLLEGE</v>
      </c>
      <c r="I1" s="3225"/>
      <c r="J1" s="3225"/>
      <c r="K1" s="3225"/>
      <c r="L1" s="3225"/>
      <c r="M1" s="3225"/>
      <c r="N1" s="3225"/>
      <c r="O1" s="3225"/>
      <c r="P1" s="3226"/>
      <c r="Q1" s="3226"/>
      <c r="R1" s="1871"/>
      <c r="S1" s="3227"/>
      <c r="T1" s="3227"/>
    </row>
    <row r="2" spans="1:20" s="3228" customFormat="1" ht="24.95" customHeight="1">
      <c r="A2" s="3229"/>
      <c r="B2" s="3223"/>
      <c r="C2" s="3230"/>
      <c r="D2" s="3230"/>
      <c r="E2" s="3230"/>
      <c r="F2" s="3230"/>
      <c r="G2" s="3230"/>
      <c r="H2" s="3236" t="s">
        <v>4055</v>
      </c>
      <c r="I2" s="3230"/>
      <c r="J2" s="3230"/>
      <c r="K2" s="3230"/>
      <c r="L2" s="3230"/>
      <c r="M2" s="3230"/>
      <c r="N2" s="3230"/>
      <c r="O2" s="3231" t="s">
        <v>3</v>
      </c>
      <c r="P2" s="3232"/>
      <c r="Q2" s="3226"/>
      <c r="R2" s="1871"/>
      <c r="S2" s="3227"/>
      <c r="T2" s="3227"/>
    </row>
    <row r="3" spans="1:20" s="3228" customFormat="1" ht="24.95" customHeight="1" thickBot="1">
      <c r="A3" s="3229"/>
      <c r="B3" s="3233"/>
      <c r="C3" s="3234"/>
      <c r="D3" s="3234"/>
      <c r="E3" s="3234"/>
      <c r="F3" s="3234"/>
      <c r="G3" s="3234"/>
      <c r="H3" s="3237" t="s">
        <v>907</v>
      </c>
      <c r="I3" s="3234"/>
      <c r="J3" s="3234"/>
      <c r="K3" s="3234"/>
      <c r="L3" s="3234"/>
      <c r="M3" s="3234"/>
      <c r="N3" s="3234"/>
      <c r="O3" s="3240" t="str">
        <f>'Contact Information'!C3</f>
        <v>2021.v01</v>
      </c>
      <c r="P3" s="3241"/>
      <c r="Q3" s="3242"/>
      <c r="S3" s="3227"/>
      <c r="T3" s="3227"/>
    </row>
    <row r="4" spans="1:20" s="3223" customFormat="1" ht="45" customHeight="1">
      <c r="A4" s="3220"/>
      <c r="B4" s="3722"/>
      <c r="C4" s="3723" t="s">
        <v>908</v>
      </c>
      <c r="D4" s="3722" t="s">
        <v>909</v>
      </c>
      <c r="E4" s="3722" t="s">
        <v>910</v>
      </c>
      <c r="F4" s="3722" t="s">
        <v>911</v>
      </c>
      <c r="G4" s="3722" t="s">
        <v>912</v>
      </c>
      <c r="H4" s="3722" t="s">
        <v>913</v>
      </c>
      <c r="I4" s="3722" t="s">
        <v>914</v>
      </c>
      <c r="J4" s="3722" t="s">
        <v>915</v>
      </c>
      <c r="K4" s="3722" t="s">
        <v>916</v>
      </c>
      <c r="L4" s="3722" t="s">
        <v>917</v>
      </c>
      <c r="M4" s="3722" t="s">
        <v>918</v>
      </c>
      <c r="N4" s="3722" t="s">
        <v>919</v>
      </c>
      <c r="O4" s="3288" t="s">
        <v>920</v>
      </c>
      <c r="P4" s="3288" t="s">
        <v>921</v>
      </c>
      <c r="Q4" s="3289" t="s">
        <v>922</v>
      </c>
      <c r="R4" s="3239" t="s">
        <v>923</v>
      </c>
      <c r="S4" s="3222"/>
      <c r="T4" s="3222"/>
    </row>
    <row r="5" spans="1:20">
      <c r="A5" s="1870"/>
      <c r="B5" s="505" t="s">
        <v>924</v>
      </c>
      <c r="C5" s="639"/>
      <c r="D5" s="506"/>
      <c r="E5" s="506"/>
      <c r="F5" s="1896"/>
      <c r="G5" s="506"/>
      <c r="H5" s="506"/>
      <c r="I5" s="506"/>
      <c r="J5" s="506"/>
      <c r="K5" s="506"/>
      <c r="L5" s="506"/>
      <c r="M5" s="506"/>
      <c r="N5" s="506"/>
      <c r="O5" s="2027" t="s">
        <v>925</v>
      </c>
      <c r="P5" s="2028">
        <f>SUM(O39:O46)+SUM(O140:O147)+SUM(O358:O371)+SUM(O488:O501)+O482-O288-O303</f>
        <v>0</v>
      </c>
      <c r="Q5" s="1202"/>
      <c r="R5" s="3238" t="s">
        <v>926</v>
      </c>
      <c r="S5" s="1871"/>
      <c r="T5" s="1871"/>
    </row>
    <row r="6" spans="1:20" ht="12" customHeight="1">
      <c r="A6" s="1870" t="s">
        <v>927</v>
      </c>
      <c r="B6" s="3724" t="s">
        <v>928</v>
      </c>
      <c r="C6" s="3725" t="s">
        <v>929</v>
      </c>
      <c r="D6" s="1897">
        <v>0</v>
      </c>
      <c r="E6" s="1897">
        <v>0</v>
      </c>
      <c r="F6" s="1897">
        <v>0</v>
      </c>
      <c r="G6" s="1897">
        <v>0</v>
      </c>
      <c r="H6" s="1897">
        <v>0</v>
      </c>
      <c r="I6" s="1897">
        <v>0</v>
      </c>
      <c r="J6" s="1897">
        <v>0</v>
      </c>
      <c r="K6" s="1897">
        <v>0</v>
      </c>
      <c r="L6" s="1897">
        <v>0</v>
      </c>
      <c r="M6" s="4098">
        <f>SUM(D6:L6)</f>
        <v>0</v>
      </c>
      <c r="N6" s="2031">
        <v>0</v>
      </c>
      <c r="O6" s="1900">
        <f>SUM(M6:N6)</f>
        <v>0</v>
      </c>
      <c r="P6" s="3290" t="s">
        <v>930</v>
      </c>
      <c r="Q6" s="3290"/>
      <c r="R6" s="669" t="s">
        <v>931</v>
      </c>
      <c r="S6" s="1871"/>
      <c r="T6" s="1871"/>
    </row>
    <row r="7" spans="1:20" ht="12" customHeight="1">
      <c r="A7" s="507" t="s">
        <v>932</v>
      </c>
      <c r="B7" s="1879" t="s">
        <v>933</v>
      </c>
      <c r="C7" s="640" t="s">
        <v>934</v>
      </c>
      <c r="D7" s="1897">
        <v>0</v>
      </c>
      <c r="E7" s="1897">
        <v>0</v>
      </c>
      <c r="F7" s="1897">
        <v>0</v>
      </c>
      <c r="G7" s="1897">
        <v>0</v>
      </c>
      <c r="H7" s="1897">
        <v>0</v>
      </c>
      <c r="I7" s="1897">
        <v>0</v>
      </c>
      <c r="J7" s="1897">
        <v>0</v>
      </c>
      <c r="K7" s="1897">
        <v>0</v>
      </c>
      <c r="L7" s="1897">
        <v>0</v>
      </c>
      <c r="M7" s="4098">
        <f t="shared" ref="M7:M70" si="0">SUM(D7:L7)</f>
        <v>0</v>
      </c>
      <c r="N7" s="2031">
        <v>0</v>
      </c>
      <c r="O7" s="1900">
        <f t="shared" ref="O7:O71" si="1">SUM(M7:N7)</f>
        <v>0</v>
      </c>
      <c r="P7" s="3290" t="s">
        <v>177</v>
      </c>
      <c r="Q7" s="3291">
        <f>N6+N7+N8</f>
        <v>0</v>
      </c>
      <c r="R7" s="3221"/>
      <c r="S7" s="1871"/>
      <c r="T7" s="1871"/>
    </row>
    <row r="8" spans="1:20" ht="24">
      <c r="A8" s="507" t="s">
        <v>932</v>
      </c>
      <c r="B8" s="1876" t="s">
        <v>935</v>
      </c>
      <c r="C8" s="642" t="s">
        <v>936</v>
      </c>
      <c r="D8" s="1897">
        <v>0</v>
      </c>
      <c r="E8" s="1897">
        <v>0</v>
      </c>
      <c r="F8" s="1897">
        <v>0</v>
      </c>
      <c r="G8" s="1897">
        <v>0</v>
      </c>
      <c r="H8" s="1897">
        <v>0</v>
      </c>
      <c r="I8" s="1897">
        <v>0</v>
      </c>
      <c r="J8" s="1897">
        <v>0</v>
      </c>
      <c r="K8" s="1897">
        <v>0</v>
      </c>
      <c r="L8" s="1897">
        <v>0</v>
      </c>
      <c r="M8" s="4098">
        <f t="shared" si="0"/>
        <v>0</v>
      </c>
      <c r="N8" s="2031">
        <v>0</v>
      </c>
      <c r="O8" s="1900">
        <f t="shared" si="1"/>
        <v>0</v>
      </c>
      <c r="P8" s="3290" t="s">
        <v>177</v>
      </c>
      <c r="Q8" s="3290"/>
      <c r="R8" s="2583" t="s">
        <v>937</v>
      </c>
      <c r="S8" s="1871"/>
      <c r="T8" s="1871"/>
    </row>
    <row r="9" spans="1:20" ht="12" customHeight="1">
      <c r="A9" s="507" t="s">
        <v>932</v>
      </c>
      <c r="B9" s="1876" t="s">
        <v>938</v>
      </c>
      <c r="C9" s="1881" t="s">
        <v>939</v>
      </c>
      <c r="D9" s="1897">
        <v>0</v>
      </c>
      <c r="E9" s="1897">
        <v>0</v>
      </c>
      <c r="F9" s="1897">
        <v>0</v>
      </c>
      <c r="G9" s="1897">
        <v>0</v>
      </c>
      <c r="H9" s="1897">
        <v>0</v>
      </c>
      <c r="I9" s="1897">
        <v>0</v>
      </c>
      <c r="J9" s="1897">
        <v>0</v>
      </c>
      <c r="K9" s="1897">
        <v>0</v>
      </c>
      <c r="L9" s="1897">
        <v>0</v>
      </c>
      <c r="M9" s="4098">
        <f t="shared" si="0"/>
        <v>0</v>
      </c>
      <c r="N9" s="1897">
        <v>0</v>
      </c>
      <c r="O9" s="1900">
        <f t="shared" si="1"/>
        <v>0</v>
      </c>
      <c r="P9" s="3290" t="s">
        <v>177</v>
      </c>
      <c r="Q9" s="3290"/>
      <c r="R9" s="2583"/>
      <c r="S9" s="1871"/>
      <c r="T9" s="1871"/>
    </row>
    <row r="10" spans="1:20" ht="12" customHeight="1">
      <c r="A10" s="1870" t="s">
        <v>940</v>
      </c>
      <c r="B10" s="1879" t="s">
        <v>941</v>
      </c>
      <c r="C10" s="1880" t="s">
        <v>942</v>
      </c>
      <c r="D10" s="1897">
        <v>0</v>
      </c>
      <c r="E10" s="1897">
        <v>0</v>
      </c>
      <c r="F10" s="1897">
        <v>0</v>
      </c>
      <c r="G10" s="1897">
        <v>0</v>
      </c>
      <c r="H10" s="1897">
        <v>0</v>
      </c>
      <c r="I10" s="1897">
        <v>0</v>
      </c>
      <c r="J10" s="1897">
        <v>0</v>
      </c>
      <c r="K10" s="1897">
        <v>0</v>
      </c>
      <c r="L10" s="1897">
        <v>0</v>
      </c>
      <c r="M10" s="4098">
        <f t="shared" si="0"/>
        <v>0</v>
      </c>
      <c r="N10" s="1897">
        <v>0</v>
      </c>
      <c r="O10" s="1900">
        <f t="shared" si="1"/>
        <v>0</v>
      </c>
      <c r="P10" s="3290" t="s">
        <v>190</v>
      </c>
      <c r="Q10" s="3290"/>
      <c r="R10" s="2583" t="s">
        <v>943</v>
      </c>
      <c r="S10" s="1871"/>
      <c r="T10" s="1871"/>
    </row>
    <row r="11" spans="1:20">
      <c r="A11" s="1870" t="s">
        <v>944</v>
      </c>
      <c r="B11" s="1879" t="s">
        <v>15</v>
      </c>
      <c r="C11" s="1880" t="s">
        <v>945</v>
      </c>
      <c r="D11" s="1897">
        <v>0</v>
      </c>
      <c r="E11" s="1897">
        <v>0</v>
      </c>
      <c r="F11" s="1897">
        <v>0</v>
      </c>
      <c r="G11" s="1897">
        <v>0</v>
      </c>
      <c r="H11" s="1897">
        <v>0</v>
      </c>
      <c r="I11" s="1897">
        <v>0</v>
      </c>
      <c r="J11" s="1897">
        <v>0</v>
      </c>
      <c r="K11" s="1897">
        <v>0</v>
      </c>
      <c r="L11" s="1897">
        <v>0</v>
      </c>
      <c r="M11" s="4098">
        <f t="shared" si="0"/>
        <v>0</v>
      </c>
      <c r="N11" s="1897">
        <v>0</v>
      </c>
      <c r="O11" s="1900">
        <f t="shared" si="1"/>
        <v>0</v>
      </c>
      <c r="P11" s="3290" t="s">
        <v>177</v>
      </c>
      <c r="Q11" s="3290"/>
      <c r="R11" s="2583"/>
      <c r="S11" s="1871"/>
      <c r="T11" s="1871"/>
    </row>
    <row r="12" spans="1:20" ht="12" customHeight="1">
      <c r="A12" s="1870" t="s">
        <v>946</v>
      </c>
      <c r="B12" s="1879" t="s">
        <v>947</v>
      </c>
      <c r="C12" s="1880" t="s">
        <v>948</v>
      </c>
      <c r="D12" s="1897">
        <v>0</v>
      </c>
      <c r="E12" s="1897">
        <v>0</v>
      </c>
      <c r="F12" s="1897">
        <v>0</v>
      </c>
      <c r="G12" s="1897">
        <v>0</v>
      </c>
      <c r="H12" s="1897">
        <v>0</v>
      </c>
      <c r="I12" s="1897">
        <v>0</v>
      </c>
      <c r="J12" s="1897">
        <v>0</v>
      </c>
      <c r="K12" s="1897">
        <v>0</v>
      </c>
      <c r="L12" s="1897">
        <v>0</v>
      </c>
      <c r="M12" s="4098">
        <f t="shared" si="0"/>
        <v>0</v>
      </c>
      <c r="N12" s="1897">
        <v>0</v>
      </c>
      <c r="O12" s="1900">
        <f t="shared" si="1"/>
        <v>0</v>
      </c>
      <c r="P12" s="3290" t="s">
        <v>177</v>
      </c>
      <c r="Q12" s="3290"/>
      <c r="R12" s="2583" t="s">
        <v>949</v>
      </c>
      <c r="S12" s="1871"/>
      <c r="T12" s="1871"/>
    </row>
    <row r="13" spans="1:20" ht="12" customHeight="1">
      <c r="A13" s="1870" t="s">
        <v>950</v>
      </c>
      <c r="B13" s="1879" t="s">
        <v>951</v>
      </c>
      <c r="C13" s="1880" t="s">
        <v>952</v>
      </c>
      <c r="D13" s="1897">
        <v>0</v>
      </c>
      <c r="E13" s="1897">
        <v>0</v>
      </c>
      <c r="F13" s="1897">
        <v>0</v>
      </c>
      <c r="G13" s="1897">
        <v>0</v>
      </c>
      <c r="H13" s="1897">
        <v>0</v>
      </c>
      <c r="I13" s="1897">
        <v>0</v>
      </c>
      <c r="J13" s="1897">
        <v>0</v>
      </c>
      <c r="K13" s="1897">
        <v>0</v>
      </c>
      <c r="L13" s="1897">
        <v>0</v>
      </c>
      <c r="M13" s="4098">
        <f t="shared" si="0"/>
        <v>0</v>
      </c>
      <c r="N13" s="1897">
        <v>0</v>
      </c>
      <c r="O13" s="1900">
        <f t="shared" si="1"/>
        <v>0</v>
      </c>
      <c r="P13" s="3290" t="s">
        <v>177</v>
      </c>
      <c r="Q13" s="3290"/>
      <c r="R13" s="2583"/>
      <c r="S13" s="1871"/>
      <c r="T13" s="1871"/>
    </row>
    <row r="14" spans="1:20">
      <c r="A14" s="1870" t="s">
        <v>953</v>
      </c>
      <c r="B14" s="1879" t="s">
        <v>954</v>
      </c>
      <c r="C14" s="1880" t="s">
        <v>955</v>
      </c>
      <c r="D14" s="1897">
        <v>0</v>
      </c>
      <c r="E14" s="1897">
        <v>0</v>
      </c>
      <c r="F14" s="1897">
        <v>0</v>
      </c>
      <c r="G14" s="1897">
        <v>0</v>
      </c>
      <c r="H14" s="1897">
        <v>0</v>
      </c>
      <c r="I14" s="1897">
        <v>0</v>
      </c>
      <c r="J14" s="1897">
        <v>0</v>
      </c>
      <c r="K14" s="1897">
        <v>0</v>
      </c>
      <c r="L14" s="1897">
        <v>0</v>
      </c>
      <c r="M14" s="4098">
        <f t="shared" si="0"/>
        <v>0</v>
      </c>
      <c r="N14" s="1897">
        <v>0</v>
      </c>
      <c r="O14" s="1900">
        <f t="shared" si="1"/>
        <v>0</v>
      </c>
      <c r="P14" s="3290" t="s">
        <v>177</v>
      </c>
      <c r="Q14" s="3290"/>
      <c r="R14" s="2584" t="s">
        <v>956</v>
      </c>
      <c r="S14" s="1871"/>
      <c r="T14" s="1871"/>
    </row>
    <row r="15" spans="1:20" ht="12" customHeight="1">
      <c r="A15" s="1870" t="s">
        <v>957</v>
      </c>
      <c r="B15" s="1879" t="s">
        <v>958</v>
      </c>
      <c r="C15" s="1880" t="s">
        <v>959</v>
      </c>
      <c r="D15" s="1897">
        <v>0</v>
      </c>
      <c r="E15" s="1897">
        <v>0</v>
      </c>
      <c r="F15" s="1897">
        <v>0</v>
      </c>
      <c r="G15" s="1897">
        <v>0</v>
      </c>
      <c r="H15" s="1897">
        <v>0</v>
      </c>
      <c r="I15" s="1897">
        <v>0</v>
      </c>
      <c r="J15" s="1897">
        <v>0</v>
      </c>
      <c r="K15" s="1897">
        <v>0</v>
      </c>
      <c r="L15" s="1897">
        <v>0</v>
      </c>
      <c r="M15" s="4098">
        <f t="shared" si="0"/>
        <v>0</v>
      </c>
      <c r="N15" s="1897">
        <v>0</v>
      </c>
      <c r="O15" s="1900">
        <f t="shared" si="1"/>
        <v>0</v>
      </c>
      <c r="P15" s="3290" t="s">
        <v>177</v>
      </c>
      <c r="Q15" s="3290"/>
      <c r="R15" s="2584" t="s">
        <v>960</v>
      </c>
      <c r="S15" s="1871"/>
      <c r="T15" s="1871"/>
    </row>
    <row r="16" spans="1:20" ht="12" customHeight="1">
      <c r="A16" s="1870" t="s">
        <v>961</v>
      </c>
      <c r="B16" s="1879" t="s">
        <v>962</v>
      </c>
      <c r="C16" s="1880" t="s">
        <v>963</v>
      </c>
      <c r="D16" s="1897">
        <v>0</v>
      </c>
      <c r="E16" s="1897">
        <v>0</v>
      </c>
      <c r="F16" s="1897">
        <v>0</v>
      </c>
      <c r="G16" s="1897">
        <v>0</v>
      </c>
      <c r="H16" s="1897">
        <v>0</v>
      </c>
      <c r="I16" s="1897">
        <v>0</v>
      </c>
      <c r="J16" s="1897">
        <v>0</v>
      </c>
      <c r="K16" s="1897">
        <v>0</v>
      </c>
      <c r="L16" s="1897">
        <v>0</v>
      </c>
      <c r="M16" s="4098">
        <f t="shared" si="0"/>
        <v>0</v>
      </c>
      <c r="N16" s="1897">
        <v>0</v>
      </c>
      <c r="O16" s="1900">
        <f t="shared" si="1"/>
        <v>0</v>
      </c>
      <c r="P16" s="3290" t="s">
        <v>190</v>
      </c>
      <c r="Q16" s="3290"/>
      <c r="R16" s="2035"/>
      <c r="S16" s="1871"/>
      <c r="T16" s="1871"/>
    </row>
    <row r="17" spans="1:18" ht="24">
      <c r="A17" s="1870" t="s">
        <v>964</v>
      </c>
      <c r="B17" s="1879" t="s">
        <v>965</v>
      </c>
      <c r="C17" s="1880" t="s">
        <v>966</v>
      </c>
      <c r="D17" s="1897">
        <v>0</v>
      </c>
      <c r="E17" s="1897">
        <v>0</v>
      </c>
      <c r="F17" s="1897">
        <v>0</v>
      </c>
      <c r="G17" s="1897">
        <v>0</v>
      </c>
      <c r="H17" s="1897">
        <v>0</v>
      </c>
      <c r="I17" s="1897">
        <v>0</v>
      </c>
      <c r="J17" s="1897">
        <v>0</v>
      </c>
      <c r="K17" s="1897">
        <v>0</v>
      </c>
      <c r="L17" s="1897">
        <v>0</v>
      </c>
      <c r="M17" s="4098">
        <f t="shared" si="0"/>
        <v>0</v>
      </c>
      <c r="N17" s="1897">
        <v>0</v>
      </c>
      <c r="O17" s="1900">
        <f t="shared" si="1"/>
        <v>0</v>
      </c>
      <c r="P17" s="3290" t="s">
        <v>190</v>
      </c>
      <c r="Q17" s="3290"/>
      <c r="R17" s="2583" t="s">
        <v>967</v>
      </c>
    </row>
    <row r="18" spans="1:18" ht="12.75" thickBot="1">
      <c r="A18" s="1870" t="s">
        <v>968</v>
      </c>
      <c r="B18" s="1879" t="s">
        <v>969</v>
      </c>
      <c r="C18" s="1880" t="s">
        <v>970</v>
      </c>
      <c r="D18" s="1897">
        <v>0</v>
      </c>
      <c r="E18" s="1897">
        <v>0</v>
      </c>
      <c r="F18" s="1897">
        <v>0</v>
      </c>
      <c r="G18" s="1897">
        <v>0</v>
      </c>
      <c r="H18" s="1897">
        <v>0</v>
      </c>
      <c r="I18" s="1897">
        <v>0</v>
      </c>
      <c r="J18" s="1897">
        <v>0</v>
      </c>
      <c r="K18" s="1897">
        <v>0</v>
      </c>
      <c r="L18" s="1897">
        <v>0</v>
      </c>
      <c r="M18" s="4098">
        <f t="shared" si="0"/>
        <v>0</v>
      </c>
      <c r="N18" s="1897">
        <v>0</v>
      </c>
      <c r="O18" s="1900">
        <f t="shared" si="1"/>
        <v>0</v>
      </c>
      <c r="P18" s="3290" t="s">
        <v>190</v>
      </c>
      <c r="Q18" s="3290"/>
      <c r="R18" s="2585"/>
    </row>
    <row r="19" spans="1:18" ht="12" customHeight="1">
      <c r="A19" s="1870" t="s">
        <v>968</v>
      </c>
      <c r="B19" s="1876" t="s">
        <v>490</v>
      </c>
      <c r="C19" s="1881" t="s">
        <v>971</v>
      </c>
      <c r="D19" s="1897">
        <v>0</v>
      </c>
      <c r="E19" s="1897">
        <v>0</v>
      </c>
      <c r="F19" s="1897">
        <v>0</v>
      </c>
      <c r="G19" s="1897">
        <v>0</v>
      </c>
      <c r="H19" s="1897">
        <v>0</v>
      </c>
      <c r="I19" s="1897">
        <v>0</v>
      </c>
      <c r="J19" s="1897">
        <v>0</v>
      </c>
      <c r="K19" s="1897">
        <v>0</v>
      </c>
      <c r="L19" s="1897">
        <v>0</v>
      </c>
      <c r="M19" s="4098">
        <f t="shared" si="0"/>
        <v>0</v>
      </c>
      <c r="N19" s="1897">
        <v>0</v>
      </c>
      <c r="O19" s="1900">
        <f t="shared" si="1"/>
        <v>0</v>
      </c>
      <c r="P19" s="3290" t="s">
        <v>190</v>
      </c>
      <c r="Q19" s="3290"/>
      <c r="R19" s="1877"/>
    </row>
    <row r="20" spans="1:18">
      <c r="A20" s="1870" t="s">
        <v>972</v>
      </c>
      <c r="B20" s="1879" t="s">
        <v>973</v>
      </c>
      <c r="C20" s="1880" t="s">
        <v>974</v>
      </c>
      <c r="D20" s="1897">
        <v>0</v>
      </c>
      <c r="E20" s="1897">
        <v>0</v>
      </c>
      <c r="F20" s="1897">
        <v>0</v>
      </c>
      <c r="G20" s="1897">
        <v>0</v>
      </c>
      <c r="H20" s="1897">
        <v>0</v>
      </c>
      <c r="I20" s="1897">
        <v>0</v>
      </c>
      <c r="J20" s="1897">
        <v>0</v>
      </c>
      <c r="K20" s="1897">
        <v>0</v>
      </c>
      <c r="L20" s="1897">
        <v>0</v>
      </c>
      <c r="M20" s="4098">
        <f t="shared" si="0"/>
        <v>0</v>
      </c>
      <c r="N20" s="1897">
        <v>0</v>
      </c>
      <c r="O20" s="1900">
        <f t="shared" si="1"/>
        <v>0</v>
      </c>
      <c r="P20" s="3290" t="s">
        <v>190</v>
      </c>
      <c r="Q20" s="3290"/>
      <c r="R20" s="1877"/>
    </row>
    <row r="21" spans="1:18">
      <c r="A21" s="1870" t="s">
        <v>975</v>
      </c>
      <c r="B21" s="1879" t="s">
        <v>976</v>
      </c>
      <c r="C21" s="1880" t="s">
        <v>977</v>
      </c>
      <c r="D21" s="1897">
        <v>0</v>
      </c>
      <c r="E21" s="1897">
        <v>0</v>
      </c>
      <c r="F21" s="1897">
        <v>0</v>
      </c>
      <c r="G21" s="1897">
        <v>0</v>
      </c>
      <c r="H21" s="1897">
        <v>0</v>
      </c>
      <c r="I21" s="1897">
        <v>0</v>
      </c>
      <c r="J21" s="1897">
        <v>0</v>
      </c>
      <c r="K21" s="1897">
        <v>0</v>
      </c>
      <c r="L21" s="1897">
        <v>0</v>
      </c>
      <c r="M21" s="4098">
        <f t="shared" si="0"/>
        <v>0</v>
      </c>
      <c r="N21" s="1897">
        <v>0</v>
      </c>
      <c r="O21" s="1900">
        <f t="shared" si="1"/>
        <v>0</v>
      </c>
      <c r="P21" s="3290" t="s">
        <v>978</v>
      </c>
      <c r="Q21" s="3290"/>
      <c r="R21" s="1877"/>
    </row>
    <row r="22" spans="1:18" ht="12" customHeight="1">
      <c r="A22" s="1870" t="s">
        <v>979</v>
      </c>
      <c r="B22" s="1879" t="s">
        <v>980</v>
      </c>
      <c r="C22" s="1880" t="s">
        <v>981</v>
      </c>
      <c r="D22" s="1897">
        <v>0</v>
      </c>
      <c r="E22" s="1897">
        <v>0</v>
      </c>
      <c r="F22" s="1897">
        <v>0</v>
      </c>
      <c r="G22" s="1897">
        <v>0</v>
      </c>
      <c r="H22" s="1897">
        <v>0</v>
      </c>
      <c r="I22" s="1897">
        <v>0</v>
      </c>
      <c r="J22" s="1897">
        <v>0</v>
      </c>
      <c r="K22" s="1897">
        <v>0</v>
      </c>
      <c r="L22" s="1897">
        <v>0</v>
      </c>
      <c r="M22" s="4098">
        <f t="shared" si="0"/>
        <v>0</v>
      </c>
      <c r="N22" s="1897">
        <v>0</v>
      </c>
      <c r="O22" s="1900">
        <f t="shared" si="1"/>
        <v>0</v>
      </c>
      <c r="P22" s="3290" t="s">
        <v>982</v>
      </c>
      <c r="Q22" s="3290"/>
      <c r="R22" s="1877"/>
    </row>
    <row r="23" spans="1:18">
      <c r="A23" s="1870" t="s">
        <v>983</v>
      </c>
      <c r="B23" s="1879" t="s">
        <v>984</v>
      </c>
      <c r="C23" s="1880" t="s">
        <v>985</v>
      </c>
      <c r="D23" s="1897">
        <v>0</v>
      </c>
      <c r="E23" s="1897">
        <v>0</v>
      </c>
      <c r="F23" s="1897">
        <v>0</v>
      </c>
      <c r="G23" s="1897">
        <v>0</v>
      </c>
      <c r="H23" s="1897">
        <v>0</v>
      </c>
      <c r="I23" s="1897">
        <v>0</v>
      </c>
      <c r="J23" s="1897">
        <v>0</v>
      </c>
      <c r="K23" s="1897">
        <v>0</v>
      </c>
      <c r="L23" s="1897">
        <v>0</v>
      </c>
      <c r="M23" s="4098">
        <f t="shared" si="0"/>
        <v>0</v>
      </c>
      <c r="N23" s="1897">
        <v>0</v>
      </c>
      <c r="O23" s="1900">
        <f t="shared" si="1"/>
        <v>0</v>
      </c>
      <c r="P23" s="3290" t="s">
        <v>978</v>
      </c>
      <c r="Q23" s="3290"/>
      <c r="R23" s="1877"/>
    </row>
    <row r="24" spans="1:18">
      <c r="A24" s="1870" t="s">
        <v>983</v>
      </c>
      <c r="B24" s="1876" t="s">
        <v>496</v>
      </c>
      <c r="C24" s="1881" t="s">
        <v>986</v>
      </c>
      <c r="D24" s="1897">
        <v>0</v>
      </c>
      <c r="E24" s="1897">
        <v>0</v>
      </c>
      <c r="F24" s="1897">
        <v>0</v>
      </c>
      <c r="G24" s="1897">
        <v>0</v>
      </c>
      <c r="H24" s="1897">
        <v>0</v>
      </c>
      <c r="I24" s="1897">
        <v>0</v>
      </c>
      <c r="J24" s="1897">
        <v>0</v>
      </c>
      <c r="K24" s="1897">
        <v>0</v>
      </c>
      <c r="L24" s="1897">
        <v>0</v>
      </c>
      <c r="M24" s="4098">
        <f t="shared" si="0"/>
        <v>0</v>
      </c>
      <c r="N24" s="1897">
        <v>0</v>
      </c>
      <c r="O24" s="1900">
        <f t="shared" si="1"/>
        <v>0</v>
      </c>
      <c r="P24" s="3290" t="s">
        <v>978</v>
      </c>
      <c r="Q24" s="3290"/>
      <c r="R24" s="1877"/>
    </row>
    <row r="25" spans="1:18" ht="12" customHeight="1">
      <c r="A25" s="1870" t="s">
        <v>987</v>
      </c>
      <c r="B25" s="1876" t="s">
        <v>210</v>
      </c>
      <c r="C25" s="1881" t="s">
        <v>988</v>
      </c>
      <c r="D25" s="1897">
        <v>0</v>
      </c>
      <c r="E25" s="1897">
        <v>0</v>
      </c>
      <c r="F25" s="1897">
        <v>0</v>
      </c>
      <c r="G25" s="1897">
        <v>0</v>
      </c>
      <c r="H25" s="1897">
        <v>0</v>
      </c>
      <c r="I25" s="1897">
        <v>0</v>
      </c>
      <c r="J25" s="1897">
        <v>0</v>
      </c>
      <c r="K25" s="1897">
        <v>0</v>
      </c>
      <c r="L25" s="1897">
        <v>0</v>
      </c>
      <c r="M25" s="4098">
        <f t="shared" si="0"/>
        <v>0</v>
      </c>
      <c r="N25" s="1897">
        <v>0</v>
      </c>
      <c r="O25" s="1900">
        <f t="shared" si="1"/>
        <v>0</v>
      </c>
      <c r="P25" s="3290" t="s">
        <v>989</v>
      </c>
      <c r="Q25" s="3290"/>
      <c r="R25" s="1877"/>
    </row>
    <row r="26" spans="1:18" s="504" customFormat="1">
      <c r="A26" s="1919"/>
      <c r="B26" s="1876" t="s">
        <v>990</v>
      </c>
      <c r="C26" s="1881" t="s">
        <v>991</v>
      </c>
      <c r="D26" s="1897">
        <v>0</v>
      </c>
      <c r="E26" s="1897">
        <v>0</v>
      </c>
      <c r="F26" s="1897">
        <v>0</v>
      </c>
      <c r="G26" s="1897">
        <v>0</v>
      </c>
      <c r="H26" s="1897">
        <v>0</v>
      </c>
      <c r="I26" s="1897">
        <v>0</v>
      </c>
      <c r="J26" s="1897">
        <v>0</v>
      </c>
      <c r="K26" s="1897">
        <v>0</v>
      </c>
      <c r="L26" s="1897">
        <v>0</v>
      </c>
      <c r="M26" s="4098">
        <f t="shared" si="0"/>
        <v>0</v>
      </c>
      <c r="N26" s="1897">
        <v>0</v>
      </c>
      <c r="O26" s="1900">
        <f t="shared" si="1"/>
        <v>0</v>
      </c>
      <c r="P26" s="3290" t="s">
        <v>992</v>
      </c>
      <c r="Q26" s="3290"/>
      <c r="R26" s="1877"/>
    </row>
    <row r="27" spans="1:18">
      <c r="A27" s="1870" t="s">
        <v>993</v>
      </c>
      <c r="B27" s="1876" t="s">
        <v>217</v>
      </c>
      <c r="C27" s="1881" t="s">
        <v>994</v>
      </c>
      <c r="D27" s="1897">
        <v>0</v>
      </c>
      <c r="E27" s="1897">
        <v>0</v>
      </c>
      <c r="F27" s="1897">
        <v>0</v>
      </c>
      <c r="G27" s="1897">
        <v>0</v>
      </c>
      <c r="H27" s="1897">
        <v>0</v>
      </c>
      <c r="I27" s="1897">
        <v>0</v>
      </c>
      <c r="J27" s="1897">
        <v>0</v>
      </c>
      <c r="K27" s="1897">
        <v>0</v>
      </c>
      <c r="L27" s="1897">
        <v>0</v>
      </c>
      <c r="M27" s="4098">
        <f t="shared" si="0"/>
        <v>0</v>
      </c>
      <c r="N27" s="1897">
        <v>0</v>
      </c>
      <c r="O27" s="1900">
        <f t="shared" si="1"/>
        <v>0</v>
      </c>
      <c r="P27" s="3290" t="s">
        <v>217</v>
      </c>
      <c r="Q27" s="3290"/>
      <c r="R27" s="1877"/>
    </row>
    <row r="28" spans="1:18" ht="12" customHeight="1">
      <c r="A28" s="1870" t="s">
        <v>995</v>
      </c>
      <c r="B28" s="1876" t="s">
        <v>996</v>
      </c>
      <c r="C28" s="1881" t="s">
        <v>997</v>
      </c>
      <c r="D28" s="1897">
        <v>0</v>
      </c>
      <c r="E28" s="1897">
        <v>0</v>
      </c>
      <c r="F28" s="1897">
        <v>0</v>
      </c>
      <c r="G28" s="1897">
        <v>0</v>
      </c>
      <c r="H28" s="1897">
        <v>0</v>
      </c>
      <c r="I28" s="1897">
        <v>0</v>
      </c>
      <c r="J28" s="1897">
        <v>0</v>
      </c>
      <c r="K28" s="1897">
        <v>0</v>
      </c>
      <c r="L28" s="1897">
        <v>0</v>
      </c>
      <c r="M28" s="4098">
        <f t="shared" si="0"/>
        <v>0</v>
      </c>
      <c r="N28" s="1897">
        <v>0</v>
      </c>
      <c r="O28" s="1900">
        <f t="shared" si="1"/>
        <v>0</v>
      </c>
      <c r="P28" s="3290" t="s">
        <v>28</v>
      </c>
      <c r="Q28" s="3290"/>
      <c r="R28" s="1877"/>
    </row>
    <row r="29" spans="1:18">
      <c r="A29" s="1870" t="s">
        <v>998</v>
      </c>
      <c r="B29" s="1876" t="s">
        <v>999</v>
      </c>
      <c r="C29" s="1881" t="s">
        <v>488</v>
      </c>
      <c r="D29" s="1897">
        <v>0</v>
      </c>
      <c r="E29" s="1897">
        <v>0</v>
      </c>
      <c r="F29" s="1897">
        <v>0</v>
      </c>
      <c r="G29" s="1897">
        <v>0</v>
      </c>
      <c r="H29" s="1897">
        <v>0</v>
      </c>
      <c r="I29" s="1897">
        <v>0</v>
      </c>
      <c r="J29" s="1897">
        <v>0</v>
      </c>
      <c r="K29" s="1897">
        <v>0</v>
      </c>
      <c r="L29" s="1897">
        <v>0</v>
      </c>
      <c r="M29" s="4098">
        <f t="shared" si="0"/>
        <v>0</v>
      </c>
      <c r="N29" s="1897">
        <v>0</v>
      </c>
      <c r="O29" s="1900">
        <f t="shared" si="1"/>
        <v>0</v>
      </c>
      <c r="P29" s="3290" t="s">
        <v>1000</v>
      </c>
      <c r="Q29" s="3290"/>
      <c r="R29" s="1877"/>
    </row>
    <row r="30" spans="1:18">
      <c r="A30" s="1870" t="s">
        <v>1001</v>
      </c>
      <c r="B30" s="1876" t="s">
        <v>1002</v>
      </c>
      <c r="C30" s="1881" t="s">
        <v>1003</v>
      </c>
      <c r="D30" s="1897">
        <v>0</v>
      </c>
      <c r="E30" s="1897">
        <v>0</v>
      </c>
      <c r="F30" s="1897">
        <v>0</v>
      </c>
      <c r="G30" s="1897">
        <v>0</v>
      </c>
      <c r="H30" s="1897">
        <v>0</v>
      </c>
      <c r="I30" s="1897">
        <v>0</v>
      </c>
      <c r="J30" s="1897">
        <v>0</v>
      </c>
      <c r="K30" s="1897">
        <v>0</v>
      </c>
      <c r="L30" s="1897">
        <v>0</v>
      </c>
      <c r="M30" s="4098">
        <f t="shared" si="0"/>
        <v>0</v>
      </c>
      <c r="N30" s="1897">
        <v>0</v>
      </c>
      <c r="O30" s="1900">
        <f t="shared" si="1"/>
        <v>0</v>
      </c>
      <c r="P30" s="3290" t="s">
        <v>28</v>
      </c>
      <c r="Q30" s="3290"/>
      <c r="R30" s="1877"/>
    </row>
    <row r="31" spans="1:18" ht="12" customHeight="1">
      <c r="A31" s="507" t="s">
        <v>1004</v>
      </c>
      <c r="B31" s="1876" t="s">
        <v>1005</v>
      </c>
      <c r="C31" s="1881" t="s">
        <v>1006</v>
      </c>
      <c r="D31" s="1897">
        <v>0</v>
      </c>
      <c r="E31" s="1897">
        <v>0</v>
      </c>
      <c r="F31" s="1897">
        <v>0</v>
      </c>
      <c r="G31" s="1897">
        <v>0</v>
      </c>
      <c r="H31" s="1897">
        <v>0</v>
      </c>
      <c r="I31" s="1897">
        <v>0</v>
      </c>
      <c r="J31" s="1897">
        <v>0</v>
      </c>
      <c r="K31" s="1897">
        <v>0</v>
      </c>
      <c r="L31" s="1897">
        <v>0</v>
      </c>
      <c r="M31" s="4098">
        <f t="shared" si="0"/>
        <v>0</v>
      </c>
      <c r="N31" s="2031">
        <v>0</v>
      </c>
      <c r="O31" s="1900">
        <f t="shared" si="1"/>
        <v>0</v>
      </c>
      <c r="P31" s="3290" t="s">
        <v>1007</v>
      </c>
      <c r="Q31" s="3290"/>
      <c r="R31" s="1877"/>
    </row>
    <row r="32" spans="1:18">
      <c r="A32" s="507" t="s">
        <v>1008</v>
      </c>
      <c r="B32" s="1876" t="s">
        <v>1009</v>
      </c>
      <c r="C32" s="1881" t="s">
        <v>1010</v>
      </c>
      <c r="D32" s="1897">
        <v>0</v>
      </c>
      <c r="E32" s="1897">
        <v>0</v>
      </c>
      <c r="F32" s="1897">
        <v>0</v>
      </c>
      <c r="G32" s="1897">
        <v>0</v>
      </c>
      <c r="H32" s="1897">
        <v>0</v>
      </c>
      <c r="I32" s="1897">
        <v>0</v>
      </c>
      <c r="J32" s="1897">
        <v>0</v>
      </c>
      <c r="K32" s="1897">
        <v>0</v>
      </c>
      <c r="L32" s="1897">
        <v>0</v>
      </c>
      <c r="M32" s="4098">
        <f t="shared" si="0"/>
        <v>0</v>
      </c>
      <c r="N32" s="2031">
        <v>0</v>
      </c>
      <c r="O32" s="1900">
        <f t="shared" si="1"/>
        <v>0</v>
      </c>
      <c r="P32" s="3290" t="s">
        <v>187</v>
      </c>
      <c r="Q32" s="3290"/>
      <c r="R32" s="1877"/>
    </row>
    <row r="33" spans="1:18">
      <c r="A33" s="507" t="s">
        <v>1008</v>
      </c>
      <c r="B33" s="1876" t="s">
        <v>1011</v>
      </c>
      <c r="C33" s="1881" t="s">
        <v>1012</v>
      </c>
      <c r="D33" s="1897">
        <v>0</v>
      </c>
      <c r="E33" s="1897">
        <v>0</v>
      </c>
      <c r="F33" s="1897">
        <v>0</v>
      </c>
      <c r="G33" s="1897">
        <v>0</v>
      </c>
      <c r="H33" s="1897">
        <v>0</v>
      </c>
      <c r="I33" s="1897">
        <v>0</v>
      </c>
      <c r="J33" s="1897">
        <v>0</v>
      </c>
      <c r="K33" s="1897">
        <v>0</v>
      </c>
      <c r="L33" s="1897">
        <v>0</v>
      </c>
      <c r="M33" s="4098">
        <f t="shared" si="0"/>
        <v>0</v>
      </c>
      <c r="N33" s="2031">
        <v>0</v>
      </c>
      <c r="O33" s="1900">
        <f t="shared" si="1"/>
        <v>0</v>
      </c>
      <c r="P33" s="3290" t="s">
        <v>1013</v>
      </c>
      <c r="Q33" s="3290"/>
      <c r="R33" s="1877"/>
    </row>
    <row r="34" spans="1:18" ht="12" customHeight="1">
      <c r="A34" s="507" t="s">
        <v>1008</v>
      </c>
      <c r="B34" s="1876" t="s">
        <v>1014</v>
      </c>
      <c r="C34" s="1881" t="s">
        <v>1015</v>
      </c>
      <c r="D34" s="1897">
        <v>0</v>
      </c>
      <c r="E34" s="1897">
        <v>0</v>
      </c>
      <c r="F34" s="1897">
        <v>0</v>
      </c>
      <c r="G34" s="1897">
        <v>0</v>
      </c>
      <c r="H34" s="1897">
        <v>0</v>
      </c>
      <c r="I34" s="1897">
        <v>0</v>
      </c>
      <c r="J34" s="1897">
        <v>0</v>
      </c>
      <c r="K34" s="1897">
        <v>0</v>
      </c>
      <c r="L34" s="1897">
        <v>0</v>
      </c>
      <c r="M34" s="4098">
        <f t="shared" si="0"/>
        <v>0</v>
      </c>
      <c r="N34" s="2031">
        <v>0</v>
      </c>
      <c r="O34" s="1900">
        <f t="shared" si="1"/>
        <v>0</v>
      </c>
      <c r="P34" s="3290" t="s">
        <v>1016</v>
      </c>
      <c r="Q34" s="3290"/>
      <c r="R34" s="1877"/>
    </row>
    <row r="35" spans="1:18">
      <c r="A35" s="1870" t="s">
        <v>1017</v>
      </c>
      <c r="B35" s="1876" t="s">
        <v>1018</v>
      </c>
      <c r="C35" s="1881" t="s">
        <v>1019</v>
      </c>
      <c r="D35" s="1897">
        <v>0</v>
      </c>
      <c r="E35" s="1897">
        <v>0</v>
      </c>
      <c r="F35" s="1897">
        <v>0</v>
      </c>
      <c r="G35" s="1897">
        <v>0</v>
      </c>
      <c r="H35" s="1897">
        <v>0</v>
      </c>
      <c r="I35" s="1897">
        <v>0</v>
      </c>
      <c r="J35" s="1897">
        <v>0</v>
      </c>
      <c r="K35" s="1897">
        <v>0</v>
      </c>
      <c r="L35" s="1897">
        <v>0</v>
      </c>
      <c r="M35" s="4098">
        <f t="shared" si="0"/>
        <v>0</v>
      </c>
      <c r="N35" s="1897">
        <v>0</v>
      </c>
      <c r="O35" s="1900">
        <f t="shared" si="1"/>
        <v>0</v>
      </c>
      <c r="P35" s="3290" t="s">
        <v>1020</v>
      </c>
      <c r="Q35" s="3290"/>
      <c r="R35" s="1877"/>
    </row>
    <row r="36" spans="1:18">
      <c r="A36" s="1870" t="s">
        <v>1021</v>
      </c>
      <c r="B36" s="1876" t="s">
        <v>1022</v>
      </c>
      <c r="C36" s="1881" t="s">
        <v>1023</v>
      </c>
      <c r="D36" s="1897">
        <v>0</v>
      </c>
      <c r="E36" s="1897">
        <v>0</v>
      </c>
      <c r="F36" s="1897">
        <v>0</v>
      </c>
      <c r="G36" s="1897">
        <v>0</v>
      </c>
      <c r="H36" s="1897">
        <v>0</v>
      </c>
      <c r="I36" s="1897">
        <v>0</v>
      </c>
      <c r="J36" s="1897">
        <v>0</v>
      </c>
      <c r="K36" s="1897">
        <v>0</v>
      </c>
      <c r="L36" s="1897">
        <v>0</v>
      </c>
      <c r="M36" s="4098">
        <f t="shared" si="0"/>
        <v>0</v>
      </c>
      <c r="N36" s="1897">
        <v>0</v>
      </c>
      <c r="O36" s="1900">
        <f t="shared" si="1"/>
        <v>0</v>
      </c>
      <c r="P36" s="3290" t="s">
        <v>1024</v>
      </c>
      <c r="Q36" s="3290"/>
      <c r="R36" s="1877"/>
    </row>
    <row r="37" spans="1:18">
      <c r="A37" s="1870" t="s">
        <v>1025</v>
      </c>
      <c r="B37" s="1876" t="s">
        <v>1026</v>
      </c>
      <c r="C37" s="1881" t="s">
        <v>1027</v>
      </c>
      <c r="D37" s="1897">
        <v>0</v>
      </c>
      <c r="E37" s="1897">
        <v>0</v>
      </c>
      <c r="F37" s="1897">
        <v>0</v>
      </c>
      <c r="G37" s="1897">
        <v>0</v>
      </c>
      <c r="H37" s="1897">
        <v>0</v>
      </c>
      <c r="I37" s="1897">
        <v>0</v>
      </c>
      <c r="J37" s="1897">
        <v>0</v>
      </c>
      <c r="K37" s="1897">
        <v>0</v>
      </c>
      <c r="L37" s="1897">
        <v>0</v>
      </c>
      <c r="M37" s="4098">
        <f t="shared" si="0"/>
        <v>0</v>
      </c>
      <c r="N37" s="1897">
        <v>0</v>
      </c>
      <c r="O37" s="1900">
        <f t="shared" si="1"/>
        <v>0</v>
      </c>
      <c r="P37" s="3290" t="s">
        <v>1024</v>
      </c>
      <c r="Q37" s="3290"/>
      <c r="R37" s="1877"/>
    </row>
    <row r="38" spans="1:18">
      <c r="A38" s="1870" t="s">
        <v>1028</v>
      </c>
      <c r="B38" s="1876" t="s">
        <v>1029</v>
      </c>
      <c r="C38" s="1881" t="s">
        <v>1030</v>
      </c>
      <c r="D38" s="1897">
        <v>0</v>
      </c>
      <c r="E38" s="1897">
        <v>0</v>
      </c>
      <c r="F38" s="1897">
        <v>0</v>
      </c>
      <c r="G38" s="1897">
        <v>0</v>
      </c>
      <c r="H38" s="1897">
        <v>0</v>
      </c>
      <c r="I38" s="1897">
        <v>0</v>
      </c>
      <c r="J38" s="1897">
        <v>0</v>
      </c>
      <c r="K38" s="1897">
        <v>0</v>
      </c>
      <c r="L38" s="1897">
        <v>0</v>
      </c>
      <c r="M38" s="4098">
        <f t="shared" si="0"/>
        <v>0</v>
      </c>
      <c r="N38" s="1897"/>
      <c r="O38" s="1900">
        <f t="shared" si="1"/>
        <v>0</v>
      </c>
      <c r="P38" s="3290" t="s">
        <v>1031</v>
      </c>
      <c r="Q38" s="3290"/>
      <c r="R38" s="1877"/>
    </row>
    <row r="39" spans="1:18">
      <c r="A39" s="1870" t="s">
        <v>1032</v>
      </c>
      <c r="B39" s="1876" t="s">
        <v>1033</v>
      </c>
      <c r="C39" s="1881" t="s">
        <v>1034</v>
      </c>
      <c r="D39" s="1897">
        <v>0</v>
      </c>
      <c r="E39" s="1897">
        <v>0</v>
      </c>
      <c r="F39" s="1897">
        <v>0</v>
      </c>
      <c r="G39" s="1897">
        <v>0</v>
      </c>
      <c r="H39" s="1897">
        <v>0</v>
      </c>
      <c r="I39" s="1897">
        <v>0</v>
      </c>
      <c r="J39" s="1897">
        <v>0</v>
      </c>
      <c r="K39" s="1897">
        <v>0</v>
      </c>
      <c r="L39" s="1897">
        <v>0</v>
      </c>
      <c r="M39" s="4098">
        <f t="shared" si="0"/>
        <v>0</v>
      </c>
      <c r="N39" s="1897">
        <f t="shared" ref="N39:N46" si="2">-M39</f>
        <v>0</v>
      </c>
      <c r="O39" s="2026">
        <f>SUM(M39:N39)</f>
        <v>0</v>
      </c>
      <c r="P39" s="3292" t="s">
        <v>1035</v>
      </c>
      <c r="Q39" s="3290"/>
      <c r="R39" s="1877"/>
    </row>
    <row r="40" spans="1:18">
      <c r="A40" s="1870" t="s">
        <v>1036</v>
      </c>
      <c r="B40" s="1876" t="s">
        <v>1037</v>
      </c>
      <c r="C40" s="1881" t="s">
        <v>1038</v>
      </c>
      <c r="D40" s="1897">
        <v>0</v>
      </c>
      <c r="E40" s="1897">
        <v>0</v>
      </c>
      <c r="F40" s="1897">
        <v>0</v>
      </c>
      <c r="G40" s="1897">
        <v>0</v>
      </c>
      <c r="H40" s="1897">
        <v>0</v>
      </c>
      <c r="I40" s="1897">
        <v>0</v>
      </c>
      <c r="J40" s="1897">
        <v>0</v>
      </c>
      <c r="K40" s="1897">
        <v>0</v>
      </c>
      <c r="L40" s="1897">
        <v>0</v>
      </c>
      <c r="M40" s="4098">
        <f t="shared" si="0"/>
        <v>0</v>
      </c>
      <c r="N40" s="1897">
        <f t="shared" si="2"/>
        <v>0</v>
      </c>
      <c r="O40" s="2026">
        <f>SUM(M40:N40)</f>
        <v>0</v>
      </c>
      <c r="P40" s="3292" t="s">
        <v>1035</v>
      </c>
      <c r="Q40" s="3290"/>
      <c r="R40" s="1877"/>
    </row>
    <row r="41" spans="1:18">
      <c r="A41" s="1870" t="s">
        <v>1039</v>
      </c>
      <c r="B41" s="1876" t="s">
        <v>1040</v>
      </c>
      <c r="C41" s="1881" t="s">
        <v>1041</v>
      </c>
      <c r="D41" s="1897">
        <v>0</v>
      </c>
      <c r="E41" s="1897">
        <v>0</v>
      </c>
      <c r="F41" s="1897">
        <v>0</v>
      </c>
      <c r="G41" s="1897">
        <v>0</v>
      </c>
      <c r="H41" s="1897">
        <v>0</v>
      </c>
      <c r="I41" s="1897">
        <v>0</v>
      </c>
      <c r="J41" s="1897">
        <v>0</v>
      </c>
      <c r="K41" s="1897">
        <v>0</v>
      </c>
      <c r="L41" s="1897">
        <v>0</v>
      </c>
      <c r="M41" s="4098">
        <f t="shared" si="0"/>
        <v>0</v>
      </c>
      <c r="N41" s="1897">
        <f t="shared" si="2"/>
        <v>0</v>
      </c>
      <c r="O41" s="2026">
        <f t="shared" si="1"/>
        <v>0</v>
      </c>
      <c r="P41" s="3292" t="s">
        <v>1035</v>
      </c>
      <c r="Q41" s="3290"/>
      <c r="R41" s="1877"/>
    </row>
    <row r="42" spans="1:18">
      <c r="A42" s="1870" t="s">
        <v>1042</v>
      </c>
      <c r="B42" s="1876" t="s">
        <v>1043</v>
      </c>
      <c r="C42" s="1881" t="s">
        <v>1044</v>
      </c>
      <c r="D42" s="1897">
        <v>0</v>
      </c>
      <c r="E42" s="1897">
        <v>0</v>
      </c>
      <c r="F42" s="1897">
        <v>0</v>
      </c>
      <c r="G42" s="1897">
        <v>0</v>
      </c>
      <c r="H42" s="1897">
        <v>0</v>
      </c>
      <c r="I42" s="1897">
        <v>0</v>
      </c>
      <c r="J42" s="1897">
        <v>0</v>
      </c>
      <c r="K42" s="1897">
        <v>0</v>
      </c>
      <c r="L42" s="1897">
        <v>0</v>
      </c>
      <c r="M42" s="4098">
        <f t="shared" si="0"/>
        <v>0</v>
      </c>
      <c r="N42" s="1897">
        <f t="shared" si="2"/>
        <v>0</v>
      </c>
      <c r="O42" s="2026">
        <f t="shared" si="1"/>
        <v>0</v>
      </c>
      <c r="P42" s="3292" t="s">
        <v>1035</v>
      </c>
      <c r="Q42" s="3290"/>
      <c r="R42" s="1877"/>
    </row>
    <row r="43" spans="1:18">
      <c r="A43" s="1870" t="s">
        <v>1045</v>
      </c>
      <c r="B43" s="1876" t="s">
        <v>1046</v>
      </c>
      <c r="C43" s="1881" t="s">
        <v>1047</v>
      </c>
      <c r="D43" s="1897">
        <v>0</v>
      </c>
      <c r="E43" s="1897">
        <v>0</v>
      </c>
      <c r="F43" s="1897">
        <v>0</v>
      </c>
      <c r="G43" s="1897">
        <v>0</v>
      </c>
      <c r="H43" s="1897">
        <v>0</v>
      </c>
      <c r="I43" s="1897">
        <v>0</v>
      </c>
      <c r="J43" s="1897">
        <v>0</v>
      </c>
      <c r="K43" s="1897">
        <v>0</v>
      </c>
      <c r="L43" s="1897">
        <v>0</v>
      </c>
      <c r="M43" s="4098">
        <f t="shared" si="0"/>
        <v>0</v>
      </c>
      <c r="N43" s="1897">
        <f>-M43</f>
        <v>0</v>
      </c>
      <c r="O43" s="2026">
        <f t="shared" si="1"/>
        <v>0</v>
      </c>
      <c r="P43" s="3292" t="s">
        <v>1035</v>
      </c>
      <c r="Q43" s="3290"/>
      <c r="R43" s="1877"/>
    </row>
    <row r="44" spans="1:18">
      <c r="A44" s="1870" t="s">
        <v>1048</v>
      </c>
      <c r="B44" s="1876" t="s">
        <v>1049</v>
      </c>
      <c r="C44" s="1881" t="s">
        <v>1050</v>
      </c>
      <c r="D44" s="1897">
        <v>0</v>
      </c>
      <c r="E44" s="1897">
        <v>0</v>
      </c>
      <c r="F44" s="1897">
        <v>0</v>
      </c>
      <c r="G44" s="1897">
        <v>0</v>
      </c>
      <c r="H44" s="1897">
        <v>0</v>
      </c>
      <c r="I44" s="1897">
        <v>0</v>
      </c>
      <c r="J44" s="1897">
        <v>0</v>
      </c>
      <c r="K44" s="1897">
        <v>0</v>
      </c>
      <c r="L44" s="1897">
        <v>0</v>
      </c>
      <c r="M44" s="4098">
        <f t="shared" si="0"/>
        <v>0</v>
      </c>
      <c r="N44" s="1897">
        <f t="shared" si="2"/>
        <v>0</v>
      </c>
      <c r="O44" s="2026">
        <f t="shared" si="1"/>
        <v>0</v>
      </c>
      <c r="P44" s="3292" t="s">
        <v>1035</v>
      </c>
      <c r="Q44" s="3290"/>
      <c r="R44" s="1877"/>
    </row>
    <row r="45" spans="1:18">
      <c r="A45" s="1870" t="s">
        <v>1051</v>
      </c>
      <c r="B45" s="1876" t="s">
        <v>1052</v>
      </c>
      <c r="C45" s="1881" t="s">
        <v>1053</v>
      </c>
      <c r="D45" s="1897">
        <v>0</v>
      </c>
      <c r="E45" s="1897">
        <v>0</v>
      </c>
      <c r="F45" s="1897">
        <v>0</v>
      </c>
      <c r="G45" s="1897">
        <v>0</v>
      </c>
      <c r="H45" s="1897">
        <v>0</v>
      </c>
      <c r="I45" s="1897">
        <v>0</v>
      </c>
      <c r="J45" s="1897">
        <v>0</v>
      </c>
      <c r="K45" s="1897">
        <v>0</v>
      </c>
      <c r="L45" s="1897">
        <v>0</v>
      </c>
      <c r="M45" s="4098">
        <f t="shared" si="0"/>
        <v>0</v>
      </c>
      <c r="N45" s="1897">
        <f t="shared" si="2"/>
        <v>0</v>
      </c>
      <c r="O45" s="2026">
        <f t="shared" si="1"/>
        <v>0</v>
      </c>
      <c r="P45" s="3292" t="s">
        <v>1035</v>
      </c>
      <c r="Q45" s="3290"/>
      <c r="R45" s="1877"/>
    </row>
    <row r="46" spans="1:18">
      <c r="A46" s="1870" t="s">
        <v>1054</v>
      </c>
      <c r="B46" s="1876" t="s">
        <v>1055</v>
      </c>
      <c r="C46" s="1881" t="s">
        <v>1056</v>
      </c>
      <c r="D46" s="1897">
        <v>0</v>
      </c>
      <c r="E46" s="1897">
        <v>0</v>
      </c>
      <c r="F46" s="1897">
        <v>0</v>
      </c>
      <c r="G46" s="1897">
        <v>0</v>
      </c>
      <c r="H46" s="1897">
        <v>0</v>
      </c>
      <c r="I46" s="1897">
        <v>0</v>
      </c>
      <c r="J46" s="1897">
        <v>0</v>
      </c>
      <c r="K46" s="1897">
        <v>0</v>
      </c>
      <c r="L46" s="1897">
        <v>0</v>
      </c>
      <c r="M46" s="4098">
        <f t="shared" si="0"/>
        <v>0</v>
      </c>
      <c r="N46" s="1897">
        <f t="shared" si="2"/>
        <v>0</v>
      </c>
      <c r="O46" s="2026">
        <f t="shared" si="1"/>
        <v>0</v>
      </c>
      <c r="P46" s="3292" t="s">
        <v>1035</v>
      </c>
      <c r="Q46" s="3290"/>
      <c r="R46" s="1877"/>
    </row>
    <row r="47" spans="1:18">
      <c r="A47" s="507" t="s">
        <v>1057</v>
      </c>
      <c r="B47" s="1876" t="s">
        <v>1058</v>
      </c>
      <c r="C47" s="1881" t="s">
        <v>1059</v>
      </c>
      <c r="D47" s="1897">
        <v>0</v>
      </c>
      <c r="E47" s="1897">
        <v>0</v>
      </c>
      <c r="F47" s="1897">
        <v>0</v>
      </c>
      <c r="G47" s="1897">
        <v>0</v>
      </c>
      <c r="H47" s="1897">
        <v>0</v>
      </c>
      <c r="I47" s="1897">
        <v>0</v>
      </c>
      <c r="J47" s="1897">
        <v>0</v>
      </c>
      <c r="K47" s="1897">
        <v>0</v>
      </c>
      <c r="L47" s="1897">
        <v>0</v>
      </c>
      <c r="M47" s="4098">
        <f t="shared" si="0"/>
        <v>0</v>
      </c>
      <c r="N47" s="1897">
        <v>0</v>
      </c>
      <c r="O47" s="1900">
        <f t="shared" si="1"/>
        <v>0</v>
      </c>
      <c r="P47" s="3290" t="s">
        <v>1060</v>
      </c>
      <c r="Q47" s="3290"/>
      <c r="R47" s="1877"/>
    </row>
    <row r="48" spans="1:18">
      <c r="A48" s="507" t="s">
        <v>1061</v>
      </c>
      <c r="B48" s="1876" t="s">
        <v>1062</v>
      </c>
      <c r="C48" s="1881" t="s">
        <v>1063</v>
      </c>
      <c r="D48" s="1897">
        <v>0</v>
      </c>
      <c r="E48" s="1897">
        <v>0</v>
      </c>
      <c r="F48" s="1897">
        <v>0</v>
      </c>
      <c r="G48" s="1897">
        <v>0</v>
      </c>
      <c r="H48" s="1897">
        <v>0</v>
      </c>
      <c r="I48" s="1897">
        <v>0</v>
      </c>
      <c r="J48" s="1897">
        <v>0</v>
      </c>
      <c r="K48" s="1897">
        <v>0</v>
      </c>
      <c r="L48" s="1897">
        <v>0</v>
      </c>
      <c r="M48" s="4098">
        <f t="shared" si="0"/>
        <v>0</v>
      </c>
      <c r="N48" s="1897">
        <v>0</v>
      </c>
      <c r="O48" s="1900">
        <f t="shared" si="1"/>
        <v>0</v>
      </c>
      <c r="P48" s="3290" t="s">
        <v>1060</v>
      </c>
      <c r="Q48" s="3290"/>
      <c r="R48" s="1877"/>
    </row>
    <row r="49" spans="1:18">
      <c r="A49" s="507" t="s">
        <v>1057</v>
      </c>
      <c r="B49" s="1876" t="s">
        <v>41</v>
      </c>
      <c r="C49" s="1881" t="s">
        <v>1064</v>
      </c>
      <c r="D49" s="1897">
        <v>0</v>
      </c>
      <c r="E49" s="1897">
        <v>0</v>
      </c>
      <c r="F49" s="1897">
        <v>0</v>
      </c>
      <c r="G49" s="1897">
        <v>0</v>
      </c>
      <c r="H49" s="1897">
        <v>0</v>
      </c>
      <c r="I49" s="1897">
        <v>0</v>
      </c>
      <c r="J49" s="1897">
        <v>0</v>
      </c>
      <c r="K49" s="1897">
        <v>0</v>
      </c>
      <c r="L49" s="1897">
        <v>0</v>
      </c>
      <c r="M49" s="4098">
        <f t="shared" si="0"/>
        <v>0</v>
      </c>
      <c r="N49" s="1897">
        <v>0</v>
      </c>
      <c r="O49" s="1900">
        <f t="shared" si="1"/>
        <v>0</v>
      </c>
      <c r="P49" s="3290" t="s">
        <v>1060</v>
      </c>
      <c r="Q49" s="3290"/>
      <c r="R49" s="1877"/>
    </row>
    <row r="50" spans="1:18">
      <c r="A50" s="507" t="s">
        <v>1061</v>
      </c>
      <c r="B50" s="1876" t="s">
        <v>1065</v>
      </c>
      <c r="C50" s="1881" t="s">
        <v>1066</v>
      </c>
      <c r="D50" s="1897">
        <v>0</v>
      </c>
      <c r="E50" s="1897">
        <v>0</v>
      </c>
      <c r="F50" s="1897">
        <v>0</v>
      </c>
      <c r="G50" s="1897">
        <v>0</v>
      </c>
      <c r="H50" s="1897">
        <v>0</v>
      </c>
      <c r="I50" s="1897">
        <v>0</v>
      </c>
      <c r="J50" s="1897">
        <v>0</v>
      </c>
      <c r="K50" s="1897">
        <v>0</v>
      </c>
      <c r="L50" s="1897">
        <v>0</v>
      </c>
      <c r="M50" s="4098">
        <f t="shared" si="0"/>
        <v>0</v>
      </c>
      <c r="N50" s="1897">
        <v>0</v>
      </c>
      <c r="O50" s="1900">
        <f t="shared" si="1"/>
        <v>0</v>
      </c>
      <c r="P50" s="3290" t="s">
        <v>1060</v>
      </c>
      <c r="Q50" s="3290"/>
      <c r="R50" s="1877"/>
    </row>
    <row r="51" spans="1:18">
      <c r="A51" s="1870" t="s">
        <v>1067</v>
      </c>
      <c r="B51" s="1876" t="s">
        <v>454</v>
      </c>
      <c r="C51" s="1881" t="s">
        <v>211</v>
      </c>
      <c r="D51" s="1897">
        <v>0</v>
      </c>
      <c r="E51" s="1897">
        <v>0</v>
      </c>
      <c r="F51" s="1897">
        <v>0</v>
      </c>
      <c r="G51" s="1897">
        <v>0</v>
      </c>
      <c r="H51" s="1897">
        <v>0</v>
      </c>
      <c r="I51" s="1897">
        <v>0</v>
      </c>
      <c r="J51" s="1897">
        <v>0</v>
      </c>
      <c r="K51" s="1897">
        <v>0</v>
      </c>
      <c r="L51" s="1897">
        <v>0</v>
      </c>
      <c r="M51" s="4098">
        <f t="shared" si="0"/>
        <v>0</v>
      </c>
      <c r="N51" s="1897">
        <v>0</v>
      </c>
      <c r="O51" s="1900">
        <f t="shared" si="1"/>
        <v>0</v>
      </c>
      <c r="P51" s="3290" t="s">
        <v>1068</v>
      </c>
      <c r="Q51" s="3290"/>
      <c r="R51" s="1877"/>
    </row>
    <row r="52" spans="1:18">
      <c r="A52" s="1870" t="s">
        <v>1069</v>
      </c>
      <c r="B52" s="1876" t="s">
        <v>463</v>
      </c>
      <c r="C52" s="1881" t="s">
        <v>215</v>
      </c>
      <c r="D52" s="1897">
        <v>0</v>
      </c>
      <c r="E52" s="1897">
        <v>0</v>
      </c>
      <c r="F52" s="1897">
        <v>0</v>
      </c>
      <c r="G52" s="1897">
        <v>0</v>
      </c>
      <c r="H52" s="1897">
        <v>0</v>
      </c>
      <c r="I52" s="1897">
        <v>0</v>
      </c>
      <c r="J52" s="1897">
        <v>0</v>
      </c>
      <c r="K52" s="1897">
        <v>0</v>
      </c>
      <c r="L52" s="1897">
        <v>0</v>
      </c>
      <c r="M52" s="4098">
        <f t="shared" si="0"/>
        <v>0</v>
      </c>
      <c r="N52" s="1897">
        <v>0</v>
      </c>
      <c r="O52" s="1900">
        <f t="shared" si="1"/>
        <v>0</v>
      </c>
      <c r="P52" s="3290" t="s">
        <v>1060</v>
      </c>
      <c r="Q52" s="3290"/>
      <c r="R52" s="1877"/>
    </row>
    <row r="53" spans="1:18">
      <c r="A53" s="1870" t="s">
        <v>1070</v>
      </c>
      <c r="B53" s="1876" t="s">
        <v>1071</v>
      </c>
      <c r="C53" s="1881" t="s">
        <v>1072</v>
      </c>
      <c r="D53" s="1897">
        <v>0</v>
      </c>
      <c r="E53" s="1897">
        <v>0</v>
      </c>
      <c r="F53" s="1897">
        <v>0</v>
      </c>
      <c r="G53" s="1897">
        <v>0</v>
      </c>
      <c r="H53" s="1897">
        <v>0</v>
      </c>
      <c r="I53" s="1897">
        <v>0</v>
      </c>
      <c r="J53" s="1897">
        <v>0</v>
      </c>
      <c r="K53" s="1897">
        <v>0</v>
      </c>
      <c r="L53" s="1897">
        <v>0</v>
      </c>
      <c r="M53" s="4098">
        <f t="shared" si="0"/>
        <v>0</v>
      </c>
      <c r="N53" s="1897">
        <v>0</v>
      </c>
      <c r="O53" s="1900">
        <f t="shared" si="1"/>
        <v>0</v>
      </c>
      <c r="P53" s="3290" t="s">
        <v>1060</v>
      </c>
      <c r="Q53" s="3290"/>
      <c r="R53" s="1877"/>
    </row>
    <row r="54" spans="1:18">
      <c r="A54" s="1870" t="s">
        <v>1073</v>
      </c>
      <c r="B54" s="1876" t="s">
        <v>1074</v>
      </c>
      <c r="C54" s="1881" t="s">
        <v>1075</v>
      </c>
      <c r="D54" s="1897">
        <v>0</v>
      </c>
      <c r="E54" s="1897">
        <v>0</v>
      </c>
      <c r="F54" s="1897">
        <v>0</v>
      </c>
      <c r="G54" s="1897">
        <v>0</v>
      </c>
      <c r="H54" s="1897">
        <v>0</v>
      </c>
      <c r="I54" s="1897">
        <v>0</v>
      </c>
      <c r="J54" s="1897">
        <v>0</v>
      </c>
      <c r="K54" s="1897">
        <v>0</v>
      </c>
      <c r="L54" s="1897">
        <v>0</v>
      </c>
      <c r="M54" s="4098">
        <f t="shared" si="0"/>
        <v>0</v>
      </c>
      <c r="N54" s="1897">
        <v>0</v>
      </c>
      <c r="O54" s="1900">
        <f t="shared" si="1"/>
        <v>0</v>
      </c>
      <c r="P54" s="3290" t="s">
        <v>1060</v>
      </c>
      <c r="Q54" s="3290"/>
      <c r="R54" s="1877"/>
    </row>
    <row r="55" spans="1:18">
      <c r="A55" s="1870" t="s">
        <v>1076</v>
      </c>
      <c r="B55" s="1876" t="s">
        <v>1077</v>
      </c>
      <c r="C55" s="1881" t="s">
        <v>1078</v>
      </c>
      <c r="D55" s="1897">
        <v>0</v>
      </c>
      <c r="E55" s="1897">
        <v>0</v>
      </c>
      <c r="F55" s="1897">
        <v>0</v>
      </c>
      <c r="G55" s="1897">
        <v>0</v>
      </c>
      <c r="H55" s="1897">
        <v>0</v>
      </c>
      <c r="I55" s="1897">
        <v>0</v>
      </c>
      <c r="J55" s="1897">
        <v>0</v>
      </c>
      <c r="K55" s="1897">
        <v>0</v>
      </c>
      <c r="L55" s="1897">
        <v>0</v>
      </c>
      <c r="M55" s="4098">
        <f t="shared" si="0"/>
        <v>0</v>
      </c>
      <c r="N55" s="1897">
        <v>0</v>
      </c>
      <c r="O55" s="1900">
        <f t="shared" si="1"/>
        <v>0</v>
      </c>
      <c r="P55" s="3290" t="s">
        <v>1060</v>
      </c>
      <c r="Q55" s="3290"/>
      <c r="R55" s="1877"/>
    </row>
    <row r="56" spans="1:18" s="1871" customFormat="1">
      <c r="A56" s="1870" t="s">
        <v>1079</v>
      </c>
      <c r="B56" s="2037" t="s">
        <v>1080</v>
      </c>
      <c r="C56" s="2038" t="s">
        <v>1081</v>
      </c>
      <c r="D56" s="1897">
        <v>0</v>
      </c>
      <c r="E56" s="1897">
        <v>0</v>
      </c>
      <c r="F56" s="1897">
        <v>0</v>
      </c>
      <c r="G56" s="1897">
        <v>0</v>
      </c>
      <c r="H56" s="1897">
        <v>0</v>
      </c>
      <c r="I56" s="1897">
        <v>0</v>
      </c>
      <c r="J56" s="1897">
        <v>0</v>
      </c>
      <c r="K56" s="1897">
        <v>0</v>
      </c>
      <c r="L56" s="1897">
        <v>0</v>
      </c>
      <c r="M56" s="4098">
        <f t="shared" si="0"/>
        <v>0</v>
      </c>
      <c r="N56" s="1897">
        <v>0</v>
      </c>
      <c r="O56" s="1900">
        <f>SUM(M56:N56)</f>
        <v>0</v>
      </c>
      <c r="P56" s="3290" t="s">
        <v>1060</v>
      </c>
      <c r="Q56" s="3290"/>
      <c r="R56" s="1877"/>
    </row>
    <row r="57" spans="1:18">
      <c r="A57" s="1870" t="s">
        <v>1082</v>
      </c>
      <c r="B57" s="1876" t="s">
        <v>1083</v>
      </c>
      <c r="C57" s="1881" t="s">
        <v>1084</v>
      </c>
      <c r="D57" s="1897">
        <v>0</v>
      </c>
      <c r="E57" s="1897">
        <v>0</v>
      </c>
      <c r="F57" s="1897">
        <v>0</v>
      </c>
      <c r="G57" s="1897">
        <v>0</v>
      </c>
      <c r="H57" s="1897">
        <v>0</v>
      </c>
      <c r="I57" s="1897">
        <v>0</v>
      </c>
      <c r="J57" s="1897">
        <v>0</v>
      </c>
      <c r="K57" s="1897">
        <v>0</v>
      </c>
      <c r="L57" s="1897">
        <v>0</v>
      </c>
      <c r="M57" s="4098">
        <f t="shared" si="0"/>
        <v>0</v>
      </c>
      <c r="N57" s="1897">
        <v>0</v>
      </c>
      <c r="O57" s="1900">
        <f t="shared" si="1"/>
        <v>0</v>
      </c>
      <c r="P57" s="3290" t="s">
        <v>1060</v>
      </c>
      <c r="Q57" s="3290"/>
      <c r="R57" s="1877"/>
    </row>
    <row r="58" spans="1:18">
      <c r="A58" s="1870" t="s">
        <v>1085</v>
      </c>
      <c r="B58" s="1876" t="s">
        <v>1086</v>
      </c>
      <c r="C58" s="1881" t="s">
        <v>1087</v>
      </c>
      <c r="D58" s="1897">
        <v>0</v>
      </c>
      <c r="E58" s="1897">
        <v>0</v>
      </c>
      <c r="F58" s="1897">
        <v>0</v>
      </c>
      <c r="G58" s="1897">
        <v>0</v>
      </c>
      <c r="H58" s="1897">
        <v>0</v>
      </c>
      <c r="I58" s="1897">
        <v>0</v>
      </c>
      <c r="J58" s="1897">
        <v>0</v>
      </c>
      <c r="K58" s="1897">
        <v>0</v>
      </c>
      <c r="L58" s="1897">
        <v>0</v>
      </c>
      <c r="M58" s="4098">
        <f t="shared" si="0"/>
        <v>0</v>
      </c>
      <c r="N58" s="1897">
        <v>0</v>
      </c>
      <c r="O58" s="1900">
        <f t="shared" si="1"/>
        <v>0</v>
      </c>
      <c r="P58" s="3290" t="s">
        <v>1060</v>
      </c>
      <c r="Q58" s="3290"/>
      <c r="R58" s="1877"/>
    </row>
    <row r="59" spans="1:18">
      <c r="A59" s="1870" t="s">
        <v>1088</v>
      </c>
      <c r="B59" s="1876" t="s">
        <v>1089</v>
      </c>
      <c r="C59" s="1881" t="s">
        <v>1090</v>
      </c>
      <c r="D59" s="1897">
        <v>0</v>
      </c>
      <c r="E59" s="1897">
        <v>0</v>
      </c>
      <c r="F59" s="1897">
        <v>0</v>
      </c>
      <c r="G59" s="1897">
        <v>0</v>
      </c>
      <c r="H59" s="1897">
        <v>0</v>
      </c>
      <c r="I59" s="1897">
        <v>0</v>
      </c>
      <c r="J59" s="1897">
        <v>0</v>
      </c>
      <c r="K59" s="1897">
        <v>0</v>
      </c>
      <c r="L59" s="1897">
        <v>0</v>
      </c>
      <c r="M59" s="4098">
        <f t="shared" si="0"/>
        <v>0</v>
      </c>
      <c r="N59" s="1897">
        <v>0</v>
      </c>
      <c r="O59" s="1900">
        <f t="shared" si="1"/>
        <v>0</v>
      </c>
      <c r="P59" s="3290" t="s">
        <v>1060</v>
      </c>
      <c r="Q59" s="3290"/>
      <c r="R59" s="1877"/>
    </row>
    <row r="60" spans="1:18">
      <c r="A60" s="1870" t="s">
        <v>1091</v>
      </c>
      <c r="B60" s="1876" t="s">
        <v>1092</v>
      </c>
      <c r="C60" s="1881" t="s">
        <v>1093</v>
      </c>
      <c r="D60" s="1897">
        <v>0</v>
      </c>
      <c r="E60" s="1897">
        <v>0</v>
      </c>
      <c r="F60" s="1897">
        <v>0</v>
      </c>
      <c r="G60" s="1897">
        <v>0</v>
      </c>
      <c r="H60" s="1897">
        <v>0</v>
      </c>
      <c r="I60" s="1897">
        <v>0</v>
      </c>
      <c r="J60" s="1897">
        <v>0</v>
      </c>
      <c r="K60" s="1897">
        <v>0</v>
      </c>
      <c r="L60" s="1897">
        <v>0</v>
      </c>
      <c r="M60" s="4098">
        <f t="shared" si="0"/>
        <v>0</v>
      </c>
      <c r="N60" s="1897">
        <v>0</v>
      </c>
      <c r="O60" s="1900">
        <f t="shared" si="1"/>
        <v>0</v>
      </c>
      <c r="P60" s="3290" t="s">
        <v>1060</v>
      </c>
      <c r="Q60" s="3290"/>
      <c r="R60" s="1877"/>
    </row>
    <row r="61" spans="1:18">
      <c r="A61" s="1870" t="s">
        <v>1094</v>
      </c>
      <c r="B61" s="1876" t="s">
        <v>1095</v>
      </c>
      <c r="C61" s="1881" t="s">
        <v>1096</v>
      </c>
      <c r="D61" s="1897">
        <v>0</v>
      </c>
      <c r="E61" s="1897">
        <v>0</v>
      </c>
      <c r="F61" s="1897">
        <v>0</v>
      </c>
      <c r="G61" s="1897">
        <v>0</v>
      </c>
      <c r="H61" s="1897">
        <v>0</v>
      </c>
      <c r="I61" s="1897">
        <v>0</v>
      </c>
      <c r="J61" s="1897">
        <v>0</v>
      </c>
      <c r="K61" s="1897">
        <v>0</v>
      </c>
      <c r="L61" s="1897">
        <v>0</v>
      </c>
      <c r="M61" s="4098">
        <f t="shared" si="0"/>
        <v>0</v>
      </c>
      <c r="N61" s="1897">
        <v>0</v>
      </c>
      <c r="O61" s="1900">
        <f t="shared" si="1"/>
        <v>0</v>
      </c>
      <c r="P61" s="3290" t="s">
        <v>1060</v>
      </c>
      <c r="Q61" s="3290"/>
      <c r="R61" s="1877"/>
    </row>
    <row r="62" spans="1:18">
      <c r="A62" s="1870" t="s">
        <v>1097</v>
      </c>
      <c r="B62" s="1876" t="s">
        <v>1098</v>
      </c>
      <c r="C62" s="1881" t="s">
        <v>1099</v>
      </c>
      <c r="D62" s="1897">
        <v>0</v>
      </c>
      <c r="E62" s="1897">
        <v>0</v>
      </c>
      <c r="F62" s="1897">
        <v>0</v>
      </c>
      <c r="G62" s="1897">
        <v>0</v>
      </c>
      <c r="H62" s="1897">
        <v>0</v>
      </c>
      <c r="I62" s="1897">
        <v>0</v>
      </c>
      <c r="J62" s="1897">
        <v>0</v>
      </c>
      <c r="K62" s="1897">
        <v>0</v>
      </c>
      <c r="L62" s="1897">
        <v>0</v>
      </c>
      <c r="M62" s="4098">
        <f t="shared" si="0"/>
        <v>0</v>
      </c>
      <c r="N62" s="1897">
        <v>0</v>
      </c>
      <c r="O62" s="1900">
        <f t="shared" si="1"/>
        <v>0</v>
      </c>
      <c r="P62" s="3290" t="s">
        <v>1060</v>
      </c>
      <c r="Q62" s="3290"/>
      <c r="R62" s="1877"/>
    </row>
    <row r="63" spans="1:18">
      <c r="A63" s="1870" t="s">
        <v>1100</v>
      </c>
      <c r="B63" s="1876" t="s">
        <v>1101</v>
      </c>
      <c r="C63" s="1881" t="s">
        <v>1102</v>
      </c>
      <c r="D63" s="1897">
        <v>0</v>
      </c>
      <c r="E63" s="1897">
        <v>0</v>
      </c>
      <c r="F63" s="1897">
        <v>0</v>
      </c>
      <c r="G63" s="1897">
        <v>0</v>
      </c>
      <c r="H63" s="1897">
        <v>0</v>
      </c>
      <c r="I63" s="1897">
        <v>0</v>
      </c>
      <c r="J63" s="1897">
        <v>0</v>
      </c>
      <c r="K63" s="1897">
        <v>0</v>
      </c>
      <c r="L63" s="1897">
        <v>0</v>
      </c>
      <c r="M63" s="4098">
        <f t="shared" si="0"/>
        <v>0</v>
      </c>
      <c r="N63" s="1897">
        <v>0</v>
      </c>
      <c r="O63" s="1900">
        <f t="shared" si="1"/>
        <v>0</v>
      </c>
      <c r="P63" s="3290" t="s">
        <v>1060</v>
      </c>
      <c r="Q63" s="3290"/>
      <c r="R63" s="1877"/>
    </row>
    <row r="64" spans="1:18">
      <c r="A64" s="1870" t="s">
        <v>1103</v>
      </c>
      <c r="B64" s="1876" t="s">
        <v>1104</v>
      </c>
      <c r="C64" s="1881" t="s">
        <v>1105</v>
      </c>
      <c r="D64" s="1897">
        <v>0</v>
      </c>
      <c r="E64" s="1897">
        <v>0</v>
      </c>
      <c r="F64" s="1897">
        <v>0</v>
      </c>
      <c r="G64" s="1897">
        <v>0</v>
      </c>
      <c r="H64" s="1897">
        <v>0</v>
      </c>
      <c r="I64" s="1897">
        <v>0</v>
      </c>
      <c r="J64" s="1897">
        <v>0</v>
      </c>
      <c r="K64" s="1897">
        <v>0</v>
      </c>
      <c r="L64" s="1897">
        <v>0</v>
      </c>
      <c r="M64" s="4098">
        <f t="shared" si="0"/>
        <v>0</v>
      </c>
      <c r="N64" s="1897">
        <v>0</v>
      </c>
      <c r="O64" s="1900">
        <f t="shared" si="1"/>
        <v>0</v>
      </c>
      <c r="P64" s="3290" t="s">
        <v>1060</v>
      </c>
      <c r="Q64" s="3290"/>
      <c r="R64" s="1877"/>
    </row>
    <row r="65" spans="1:18">
      <c r="A65" s="1870" t="s">
        <v>1106</v>
      </c>
      <c r="B65" s="1876" t="s">
        <v>1107</v>
      </c>
      <c r="C65" s="1881" t="s">
        <v>1108</v>
      </c>
      <c r="D65" s="1897">
        <v>0</v>
      </c>
      <c r="E65" s="1897">
        <v>0</v>
      </c>
      <c r="F65" s="1897">
        <v>0</v>
      </c>
      <c r="G65" s="1897">
        <v>0</v>
      </c>
      <c r="H65" s="1897">
        <v>0</v>
      </c>
      <c r="I65" s="1897">
        <v>0</v>
      </c>
      <c r="J65" s="1897">
        <v>0</v>
      </c>
      <c r="K65" s="1897">
        <v>0</v>
      </c>
      <c r="L65" s="1897">
        <v>0</v>
      </c>
      <c r="M65" s="4098">
        <f t="shared" si="0"/>
        <v>0</v>
      </c>
      <c r="N65" s="1897">
        <v>0</v>
      </c>
      <c r="O65" s="1900">
        <f t="shared" si="1"/>
        <v>0</v>
      </c>
      <c r="P65" s="3290" t="s">
        <v>1060</v>
      </c>
      <c r="Q65" s="3290"/>
      <c r="R65" s="1877"/>
    </row>
    <row r="66" spans="1:18">
      <c r="A66" s="1870" t="s">
        <v>1109</v>
      </c>
      <c r="B66" s="1876" t="s">
        <v>1110</v>
      </c>
      <c r="C66" s="1881" t="s">
        <v>1111</v>
      </c>
      <c r="D66" s="1897">
        <v>0</v>
      </c>
      <c r="E66" s="1897">
        <v>0</v>
      </c>
      <c r="F66" s="1897">
        <v>0</v>
      </c>
      <c r="G66" s="1897">
        <v>0</v>
      </c>
      <c r="H66" s="1897">
        <v>0</v>
      </c>
      <c r="I66" s="1897">
        <v>0</v>
      </c>
      <c r="J66" s="1897">
        <v>0</v>
      </c>
      <c r="K66" s="1897">
        <v>0</v>
      </c>
      <c r="L66" s="1897">
        <v>0</v>
      </c>
      <c r="M66" s="4098">
        <f t="shared" si="0"/>
        <v>0</v>
      </c>
      <c r="N66" s="1897">
        <v>0</v>
      </c>
      <c r="O66" s="1900">
        <f>SUM(M66:N66)</f>
        <v>0</v>
      </c>
      <c r="P66" s="3290" t="s">
        <v>1060</v>
      </c>
      <c r="Q66" s="3290"/>
      <c r="R66" s="1877"/>
    </row>
    <row r="67" spans="1:18" s="1871" customFormat="1">
      <c r="A67" s="1870" t="s">
        <v>1112</v>
      </c>
      <c r="B67" s="2037" t="s">
        <v>217</v>
      </c>
      <c r="C67" s="2038" t="s">
        <v>1113</v>
      </c>
      <c r="D67" s="1897">
        <v>0</v>
      </c>
      <c r="E67" s="1897">
        <v>0</v>
      </c>
      <c r="F67" s="1897">
        <v>0</v>
      </c>
      <c r="G67" s="1897">
        <v>0</v>
      </c>
      <c r="H67" s="1897">
        <v>0</v>
      </c>
      <c r="I67" s="1897">
        <v>0</v>
      </c>
      <c r="J67" s="1897">
        <v>0</v>
      </c>
      <c r="K67" s="1897">
        <v>0</v>
      </c>
      <c r="L67" s="1897">
        <v>0</v>
      </c>
      <c r="M67" s="4098">
        <f t="shared" si="0"/>
        <v>0</v>
      </c>
      <c r="N67" s="1897">
        <v>0</v>
      </c>
      <c r="O67" s="1900">
        <f>SUM(M67:N67)</f>
        <v>0</v>
      </c>
      <c r="P67" s="3290" t="s">
        <v>1060</v>
      </c>
      <c r="Q67" s="3290"/>
      <c r="R67" s="1877"/>
    </row>
    <row r="68" spans="1:18">
      <c r="A68" s="1870" t="s">
        <v>1114</v>
      </c>
      <c r="B68" s="1876" t="s">
        <v>1115</v>
      </c>
      <c r="C68" s="1881" t="s">
        <v>1116</v>
      </c>
      <c r="D68" s="1897">
        <v>0</v>
      </c>
      <c r="E68" s="1897">
        <v>0</v>
      </c>
      <c r="F68" s="1897">
        <v>0</v>
      </c>
      <c r="G68" s="1897">
        <v>0</v>
      </c>
      <c r="H68" s="1897">
        <v>0</v>
      </c>
      <c r="I68" s="1897">
        <v>0</v>
      </c>
      <c r="J68" s="1897">
        <v>0</v>
      </c>
      <c r="K68" s="1897">
        <v>0</v>
      </c>
      <c r="L68" s="1897">
        <v>0</v>
      </c>
      <c r="M68" s="4098">
        <f t="shared" si="0"/>
        <v>0</v>
      </c>
      <c r="N68" s="1897">
        <v>0</v>
      </c>
      <c r="O68" s="1900">
        <f t="shared" si="1"/>
        <v>0</v>
      </c>
      <c r="P68" s="3290" t="s">
        <v>1060</v>
      </c>
      <c r="Q68" s="3290"/>
      <c r="R68" s="1877"/>
    </row>
    <row r="69" spans="1:18">
      <c r="A69" s="1870" t="s">
        <v>1117</v>
      </c>
      <c r="B69" s="1876" t="s">
        <v>1118</v>
      </c>
      <c r="C69" s="1881" t="s">
        <v>1119</v>
      </c>
      <c r="D69" s="1897">
        <v>0</v>
      </c>
      <c r="E69" s="1897">
        <v>0</v>
      </c>
      <c r="F69" s="1897">
        <v>0</v>
      </c>
      <c r="G69" s="1897">
        <v>0</v>
      </c>
      <c r="H69" s="1897">
        <v>0</v>
      </c>
      <c r="I69" s="1897">
        <v>0</v>
      </c>
      <c r="J69" s="1897">
        <v>0</v>
      </c>
      <c r="K69" s="1897">
        <v>0</v>
      </c>
      <c r="L69" s="1897">
        <v>0</v>
      </c>
      <c r="M69" s="4098">
        <f t="shared" si="0"/>
        <v>0</v>
      </c>
      <c r="N69" s="1897">
        <v>0</v>
      </c>
      <c r="O69" s="1900">
        <f t="shared" si="1"/>
        <v>0</v>
      </c>
      <c r="P69" s="3290" t="s">
        <v>1060</v>
      </c>
      <c r="Q69" s="3290"/>
      <c r="R69" s="1877"/>
    </row>
    <row r="70" spans="1:18">
      <c r="A70" s="1870" t="s">
        <v>1120</v>
      </c>
      <c r="B70" s="1876" t="s">
        <v>1121</v>
      </c>
      <c r="C70" s="1881" t="s">
        <v>1122</v>
      </c>
      <c r="D70" s="1897">
        <v>0</v>
      </c>
      <c r="E70" s="1897">
        <v>0</v>
      </c>
      <c r="F70" s="1897">
        <v>0</v>
      </c>
      <c r="G70" s="1897">
        <v>0</v>
      </c>
      <c r="H70" s="1897">
        <v>0</v>
      </c>
      <c r="I70" s="1897">
        <v>0</v>
      </c>
      <c r="J70" s="1897">
        <v>0</v>
      </c>
      <c r="K70" s="1897">
        <v>0</v>
      </c>
      <c r="L70" s="1897">
        <v>0</v>
      </c>
      <c r="M70" s="4098">
        <f t="shared" si="0"/>
        <v>0</v>
      </c>
      <c r="N70" s="1897">
        <v>0</v>
      </c>
      <c r="O70" s="1900">
        <f t="shared" si="1"/>
        <v>0</v>
      </c>
      <c r="P70" s="3290" t="s">
        <v>1060</v>
      </c>
      <c r="Q70" s="3290"/>
      <c r="R70" s="1877"/>
    </row>
    <row r="71" spans="1:18">
      <c r="A71" s="1870" t="s">
        <v>1123</v>
      </c>
      <c r="B71" s="1876" t="s">
        <v>1124</v>
      </c>
      <c r="C71" s="1881" t="s">
        <v>1125</v>
      </c>
      <c r="D71" s="1897">
        <v>0</v>
      </c>
      <c r="E71" s="1897">
        <v>0</v>
      </c>
      <c r="F71" s="1897">
        <v>0</v>
      </c>
      <c r="G71" s="1897">
        <v>0</v>
      </c>
      <c r="H71" s="1897">
        <v>0</v>
      </c>
      <c r="I71" s="1897">
        <v>0</v>
      </c>
      <c r="J71" s="1897">
        <v>0</v>
      </c>
      <c r="K71" s="1897">
        <v>0</v>
      </c>
      <c r="L71" s="1897">
        <v>0</v>
      </c>
      <c r="M71" s="4098">
        <f t="shared" ref="M71:M87" si="3">SUM(D71:L71)</f>
        <v>0</v>
      </c>
      <c r="N71" s="1897">
        <v>0</v>
      </c>
      <c r="O71" s="1900">
        <f t="shared" si="1"/>
        <v>0</v>
      </c>
      <c r="P71" s="3290" t="s">
        <v>1060</v>
      </c>
      <c r="Q71" s="3290"/>
      <c r="R71" s="1877"/>
    </row>
    <row r="72" spans="1:18">
      <c r="A72" s="1870" t="s">
        <v>1126</v>
      </c>
      <c r="B72" s="1876" t="s">
        <v>1127</v>
      </c>
      <c r="C72" s="1881" t="s">
        <v>1128</v>
      </c>
      <c r="D72" s="1897">
        <v>0</v>
      </c>
      <c r="E72" s="1897">
        <v>0</v>
      </c>
      <c r="F72" s="1897">
        <v>0</v>
      </c>
      <c r="G72" s="1897">
        <v>0</v>
      </c>
      <c r="H72" s="1897">
        <v>0</v>
      </c>
      <c r="I72" s="1897">
        <v>0</v>
      </c>
      <c r="J72" s="1897">
        <v>0</v>
      </c>
      <c r="K72" s="1897">
        <v>0</v>
      </c>
      <c r="L72" s="1897">
        <v>0</v>
      </c>
      <c r="M72" s="4098">
        <f t="shared" si="3"/>
        <v>0</v>
      </c>
      <c r="N72" s="1897">
        <v>0</v>
      </c>
      <c r="O72" s="1900">
        <f t="shared" ref="O72:O80" si="4">SUM(M72:N72)</f>
        <v>0</v>
      </c>
      <c r="P72" s="3290" t="s">
        <v>1060</v>
      </c>
      <c r="Q72" s="3290"/>
      <c r="R72" s="1877"/>
    </row>
    <row r="73" spans="1:18">
      <c r="A73" s="1870" t="s">
        <v>1129</v>
      </c>
      <c r="B73" s="1876" t="s">
        <v>1130</v>
      </c>
      <c r="C73" s="1881" t="s">
        <v>1131</v>
      </c>
      <c r="D73" s="1897">
        <v>0</v>
      </c>
      <c r="E73" s="1897">
        <v>0</v>
      </c>
      <c r="F73" s="1897">
        <v>0</v>
      </c>
      <c r="G73" s="1897">
        <v>0</v>
      </c>
      <c r="H73" s="1897">
        <v>0</v>
      </c>
      <c r="I73" s="1897">
        <v>0</v>
      </c>
      <c r="J73" s="1897">
        <v>0</v>
      </c>
      <c r="K73" s="1897">
        <v>0</v>
      </c>
      <c r="L73" s="1897">
        <v>0</v>
      </c>
      <c r="M73" s="4098">
        <f t="shared" si="3"/>
        <v>0</v>
      </c>
      <c r="N73" s="1897">
        <v>0</v>
      </c>
      <c r="O73" s="1900">
        <f t="shared" si="4"/>
        <v>0</v>
      </c>
      <c r="P73" s="3290" t="s">
        <v>1060</v>
      </c>
      <c r="Q73" s="3290"/>
      <c r="R73" s="1877"/>
    </row>
    <row r="74" spans="1:18">
      <c r="A74" s="1870" t="s">
        <v>1132</v>
      </c>
      <c r="B74" s="1876" t="s">
        <v>1133</v>
      </c>
      <c r="C74" s="1881" t="s">
        <v>1134</v>
      </c>
      <c r="D74" s="1897">
        <v>0</v>
      </c>
      <c r="E74" s="1897">
        <v>0</v>
      </c>
      <c r="F74" s="1897">
        <v>0</v>
      </c>
      <c r="G74" s="1897">
        <v>0</v>
      </c>
      <c r="H74" s="1897">
        <v>0</v>
      </c>
      <c r="I74" s="1897">
        <v>0</v>
      </c>
      <c r="J74" s="1897">
        <v>0</v>
      </c>
      <c r="K74" s="1897">
        <v>0</v>
      </c>
      <c r="L74" s="1897">
        <v>0</v>
      </c>
      <c r="M74" s="4098">
        <f t="shared" si="3"/>
        <v>0</v>
      </c>
      <c r="N74" s="1897">
        <v>0</v>
      </c>
      <c r="O74" s="1900">
        <f t="shared" si="4"/>
        <v>0</v>
      </c>
      <c r="P74" s="3290" t="s">
        <v>1060</v>
      </c>
      <c r="Q74" s="3290"/>
      <c r="R74" s="1877"/>
    </row>
    <row r="75" spans="1:18">
      <c r="A75" s="1870" t="s">
        <v>1135</v>
      </c>
      <c r="B75" s="1876" t="s">
        <v>1136</v>
      </c>
      <c r="C75" s="1881" t="s">
        <v>1137</v>
      </c>
      <c r="D75" s="1897">
        <v>0</v>
      </c>
      <c r="E75" s="1897">
        <v>0</v>
      </c>
      <c r="F75" s="1897">
        <v>0</v>
      </c>
      <c r="G75" s="1897">
        <v>0</v>
      </c>
      <c r="H75" s="1897">
        <v>0</v>
      </c>
      <c r="I75" s="1897">
        <v>0</v>
      </c>
      <c r="J75" s="1897">
        <v>0</v>
      </c>
      <c r="K75" s="1897">
        <v>0</v>
      </c>
      <c r="L75" s="1897">
        <v>0</v>
      </c>
      <c r="M75" s="4098">
        <f t="shared" si="3"/>
        <v>0</v>
      </c>
      <c r="N75" s="1897">
        <v>0</v>
      </c>
      <c r="O75" s="1900">
        <f t="shared" si="4"/>
        <v>0</v>
      </c>
      <c r="P75" s="3290" t="s">
        <v>1060</v>
      </c>
      <c r="Q75" s="3290"/>
      <c r="R75" s="1877"/>
    </row>
    <row r="76" spans="1:18">
      <c r="A76" s="1870" t="s">
        <v>1138</v>
      </c>
      <c r="B76" s="1876" t="s">
        <v>1139</v>
      </c>
      <c r="C76" s="1881" t="s">
        <v>1140</v>
      </c>
      <c r="D76" s="1897">
        <v>0</v>
      </c>
      <c r="E76" s="1897">
        <v>0</v>
      </c>
      <c r="F76" s="1897">
        <v>0</v>
      </c>
      <c r="G76" s="1897">
        <v>0</v>
      </c>
      <c r="H76" s="1897">
        <v>0</v>
      </c>
      <c r="I76" s="1897">
        <v>0</v>
      </c>
      <c r="J76" s="1897">
        <v>0</v>
      </c>
      <c r="K76" s="1897">
        <v>0</v>
      </c>
      <c r="L76" s="1897">
        <v>0</v>
      </c>
      <c r="M76" s="4098">
        <f t="shared" si="3"/>
        <v>0</v>
      </c>
      <c r="N76" s="1897">
        <v>0</v>
      </c>
      <c r="O76" s="1900">
        <f t="shared" si="4"/>
        <v>0</v>
      </c>
      <c r="P76" s="3290" t="s">
        <v>1060</v>
      </c>
      <c r="Q76" s="3290"/>
      <c r="R76" s="1877"/>
    </row>
    <row r="77" spans="1:18">
      <c r="A77" s="1870" t="s">
        <v>1141</v>
      </c>
      <c r="B77" s="1876" t="s">
        <v>1142</v>
      </c>
      <c r="C77" s="1881" t="s">
        <v>1143</v>
      </c>
      <c r="D77" s="1897">
        <v>0</v>
      </c>
      <c r="E77" s="1897">
        <v>0</v>
      </c>
      <c r="F77" s="1897">
        <v>0</v>
      </c>
      <c r="G77" s="1897">
        <v>0</v>
      </c>
      <c r="H77" s="1897">
        <v>0</v>
      </c>
      <c r="I77" s="1897">
        <v>0</v>
      </c>
      <c r="J77" s="1897">
        <v>0</v>
      </c>
      <c r="K77" s="1897">
        <v>0</v>
      </c>
      <c r="L77" s="1897">
        <v>0</v>
      </c>
      <c r="M77" s="4098">
        <f t="shared" si="3"/>
        <v>0</v>
      </c>
      <c r="N77" s="1897">
        <v>0</v>
      </c>
      <c r="O77" s="1900">
        <f t="shared" si="4"/>
        <v>0</v>
      </c>
      <c r="P77" s="3290" t="s">
        <v>1060</v>
      </c>
      <c r="Q77" s="3290"/>
      <c r="R77" s="1877"/>
    </row>
    <row r="78" spans="1:18">
      <c r="A78" s="1870" t="s">
        <v>1144</v>
      </c>
      <c r="B78" s="1876" t="s">
        <v>1145</v>
      </c>
      <c r="C78" s="1881" t="s">
        <v>1146</v>
      </c>
      <c r="D78" s="1897">
        <v>0</v>
      </c>
      <c r="E78" s="1897">
        <v>0</v>
      </c>
      <c r="F78" s="1897">
        <v>0</v>
      </c>
      <c r="G78" s="1897">
        <v>0</v>
      </c>
      <c r="H78" s="1897">
        <v>0</v>
      </c>
      <c r="I78" s="1897">
        <v>0</v>
      </c>
      <c r="J78" s="1897">
        <v>0</v>
      </c>
      <c r="K78" s="1897">
        <v>0</v>
      </c>
      <c r="L78" s="1897">
        <v>0</v>
      </c>
      <c r="M78" s="4098">
        <f t="shared" si="3"/>
        <v>0</v>
      </c>
      <c r="N78" s="1897">
        <v>0</v>
      </c>
      <c r="O78" s="1900">
        <f t="shared" si="4"/>
        <v>0</v>
      </c>
      <c r="P78" s="3290" t="s">
        <v>1068</v>
      </c>
      <c r="Q78" s="3290"/>
      <c r="R78" s="1877"/>
    </row>
    <row r="79" spans="1:18">
      <c r="A79" s="507" t="s">
        <v>1144</v>
      </c>
      <c r="B79" s="1876" t="s">
        <v>457</v>
      </c>
      <c r="C79" s="1881" t="s">
        <v>1147</v>
      </c>
      <c r="D79" s="1897">
        <v>0</v>
      </c>
      <c r="E79" s="1897">
        <v>0</v>
      </c>
      <c r="F79" s="1897">
        <v>0</v>
      </c>
      <c r="G79" s="1897">
        <v>0</v>
      </c>
      <c r="H79" s="1897">
        <v>0</v>
      </c>
      <c r="I79" s="1897">
        <v>0</v>
      </c>
      <c r="J79" s="1897">
        <v>0</v>
      </c>
      <c r="K79" s="1897">
        <v>0</v>
      </c>
      <c r="L79" s="1897">
        <v>0</v>
      </c>
      <c r="M79" s="4098">
        <f t="shared" si="3"/>
        <v>0</v>
      </c>
      <c r="N79" s="1897">
        <v>0</v>
      </c>
      <c r="O79" s="1900">
        <f t="shared" si="4"/>
        <v>0</v>
      </c>
      <c r="P79" s="3290" t="s">
        <v>1068</v>
      </c>
      <c r="Q79" s="3290"/>
      <c r="R79" s="1877"/>
    </row>
    <row r="80" spans="1:18">
      <c r="A80" s="1870" t="s">
        <v>1148</v>
      </c>
      <c r="B80" s="1876" t="s">
        <v>1149</v>
      </c>
      <c r="C80" s="1881" t="s">
        <v>1150</v>
      </c>
      <c r="D80" s="1897">
        <v>0</v>
      </c>
      <c r="E80" s="1897">
        <v>0</v>
      </c>
      <c r="F80" s="1897">
        <v>0</v>
      </c>
      <c r="G80" s="1897">
        <v>0</v>
      </c>
      <c r="H80" s="1897">
        <v>0</v>
      </c>
      <c r="I80" s="1897">
        <v>0</v>
      </c>
      <c r="J80" s="1897">
        <v>0</v>
      </c>
      <c r="K80" s="1897">
        <v>0</v>
      </c>
      <c r="L80" s="1897">
        <v>0</v>
      </c>
      <c r="M80" s="4098">
        <f t="shared" si="3"/>
        <v>0</v>
      </c>
      <c r="N80" s="1897">
        <v>0</v>
      </c>
      <c r="O80" s="1900">
        <f t="shared" si="4"/>
        <v>0</v>
      </c>
      <c r="P80" s="3290" t="s">
        <v>1068</v>
      </c>
      <c r="Q80" s="3290"/>
      <c r="R80" s="1877"/>
    </row>
    <row r="81" spans="1:18">
      <c r="A81" s="1870" t="s">
        <v>1148</v>
      </c>
      <c r="B81" s="1876" t="s">
        <v>1151</v>
      </c>
      <c r="C81" s="1881" t="s">
        <v>1152</v>
      </c>
      <c r="D81" s="1897">
        <v>0</v>
      </c>
      <c r="E81" s="1897">
        <v>0</v>
      </c>
      <c r="F81" s="1897">
        <v>0</v>
      </c>
      <c r="G81" s="1897">
        <v>0</v>
      </c>
      <c r="H81" s="1897">
        <v>0</v>
      </c>
      <c r="I81" s="1897">
        <v>0</v>
      </c>
      <c r="J81" s="1897">
        <v>0</v>
      </c>
      <c r="K81" s="1897">
        <v>0</v>
      </c>
      <c r="L81" s="1897">
        <v>0</v>
      </c>
      <c r="M81" s="4098">
        <f t="shared" si="3"/>
        <v>0</v>
      </c>
      <c r="N81" s="1897">
        <v>0</v>
      </c>
      <c r="O81" s="1899">
        <f t="shared" ref="O81:O87" si="5">SUM(F81:N81)</f>
        <v>0</v>
      </c>
      <c r="P81" s="3290" t="s">
        <v>1153</v>
      </c>
      <c r="Q81" s="3290"/>
      <c r="R81" s="1877"/>
    </row>
    <row r="82" spans="1:18" s="504" customFormat="1" ht="15" customHeight="1">
      <c r="A82" s="1919"/>
      <c r="B82" s="1876" t="s">
        <v>1154</v>
      </c>
      <c r="C82" s="1881" t="s">
        <v>1155</v>
      </c>
      <c r="D82" s="1897">
        <v>0</v>
      </c>
      <c r="E82" s="1897">
        <v>0</v>
      </c>
      <c r="F82" s="1897">
        <v>0</v>
      </c>
      <c r="G82" s="1897">
        <v>0</v>
      </c>
      <c r="H82" s="1897">
        <v>0</v>
      </c>
      <c r="I82" s="1897">
        <v>0</v>
      </c>
      <c r="J82" s="1897">
        <v>0</v>
      </c>
      <c r="K82" s="1897">
        <v>0</v>
      </c>
      <c r="L82" s="1897">
        <v>0</v>
      </c>
      <c r="M82" s="4098">
        <f t="shared" si="3"/>
        <v>0</v>
      </c>
      <c r="N82" s="1897">
        <v>0</v>
      </c>
      <c r="O82" s="1899">
        <f t="shared" si="5"/>
        <v>0</v>
      </c>
      <c r="P82" s="3290" t="s">
        <v>1156</v>
      </c>
      <c r="Q82" s="3290"/>
      <c r="R82" s="1877"/>
    </row>
    <row r="83" spans="1:18" s="1871" customFormat="1">
      <c r="A83" s="1870"/>
      <c r="B83" s="1876" t="s">
        <v>35</v>
      </c>
      <c r="C83" s="1881" t="s">
        <v>1157</v>
      </c>
      <c r="D83" s="1897">
        <v>0</v>
      </c>
      <c r="E83" s="1897">
        <v>0</v>
      </c>
      <c r="F83" s="1897">
        <v>0</v>
      </c>
      <c r="G83" s="1897">
        <v>0</v>
      </c>
      <c r="H83" s="1897">
        <v>0</v>
      </c>
      <c r="I83" s="1897">
        <v>0</v>
      </c>
      <c r="J83" s="1897">
        <v>0</v>
      </c>
      <c r="K83" s="1897">
        <v>0</v>
      </c>
      <c r="L83" s="1897">
        <v>0</v>
      </c>
      <c r="M83" s="4098">
        <f t="shared" si="3"/>
        <v>0</v>
      </c>
      <c r="N83" s="1897">
        <v>0</v>
      </c>
      <c r="O83" s="1899">
        <f t="shared" si="5"/>
        <v>0</v>
      </c>
      <c r="P83" s="3290" t="s">
        <v>1158</v>
      </c>
      <c r="Q83" s="3290"/>
      <c r="R83" s="1877"/>
    </row>
    <row r="84" spans="1:18" s="1871" customFormat="1">
      <c r="A84" s="1870"/>
      <c r="B84" s="1876" t="s">
        <v>36</v>
      </c>
      <c r="C84" s="1881" t="s">
        <v>1159</v>
      </c>
      <c r="D84" s="1897">
        <v>0</v>
      </c>
      <c r="E84" s="1897">
        <v>0</v>
      </c>
      <c r="F84" s="1897">
        <v>0</v>
      </c>
      <c r="G84" s="1897">
        <v>0</v>
      </c>
      <c r="H84" s="1897">
        <v>0</v>
      </c>
      <c r="I84" s="1897">
        <v>0</v>
      </c>
      <c r="J84" s="1897">
        <v>0</v>
      </c>
      <c r="K84" s="1897">
        <v>0</v>
      </c>
      <c r="L84" s="1897">
        <v>0</v>
      </c>
      <c r="M84" s="4098">
        <f t="shared" si="3"/>
        <v>0</v>
      </c>
      <c r="N84" s="1897">
        <v>0</v>
      </c>
      <c r="O84" s="1899">
        <f t="shared" si="5"/>
        <v>0</v>
      </c>
      <c r="P84" s="3290" t="s">
        <v>1160</v>
      </c>
      <c r="Q84" s="3290"/>
      <c r="R84" s="1877"/>
    </row>
    <row r="85" spans="1:18" s="1871" customFormat="1">
      <c r="A85" s="1870"/>
      <c r="B85" s="1876" t="s">
        <v>1161</v>
      </c>
      <c r="C85" s="1881" t="s">
        <v>1162</v>
      </c>
      <c r="D85" s="1897">
        <v>0</v>
      </c>
      <c r="E85" s="1897">
        <v>0</v>
      </c>
      <c r="F85" s="1897">
        <v>0</v>
      </c>
      <c r="G85" s="1897">
        <v>0</v>
      </c>
      <c r="H85" s="1897">
        <v>0</v>
      </c>
      <c r="I85" s="1897">
        <v>0</v>
      </c>
      <c r="J85" s="1897">
        <v>0</v>
      </c>
      <c r="K85" s="1897">
        <v>0</v>
      </c>
      <c r="L85" s="1897">
        <v>0</v>
      </c>
      <c r="M85" s="4098">
        <f t="shared" si="3"/>
        <v>0</v>
      </c>
      <c r="N85" s="1898">
        <v>0</v>
      </c>
      <c r="O85" s="2426">
        <f t="shared" si="5"/>
        <v>0</v>
      </c>
      <c r="P85" s="3293" t="s">
        <v>1163</v>
      </c>
      <c r="Q85" s="3559"/>
      <c r="R85" s="1877"/>
    </row>
    <row r="86" spans="1:18" s="1871" customFormat="1">
      <c r="A86" s="1870"/>
      <c r="B86" s="1876" t="s">
        <v>1164</v>
      </c>
      <c r="C86" s="1881" t="s">
        <v>1165</v>
      </c>
      <c r="D86" s="1897">
        <v>0</v>
      </c>
      <c r="E86" s="1897">
        <v>0</v>
      </c>
      <c r="F86" s="1897">
        <v>0</v>
      </c>
      <c r="G86" s="1897">
        <v>0</v>
      </c>
      <c r="H86" s="1897">
        <v>0</v>
      </c>
      <c r="I86" s="1897">
        <v>0</v>
      </c>
      <c r="J86" s="1897">
        <v>0</v>
      </c>
      <c r="K86" s="1897">
        <v>0</v>
      </c>
      <c r="L86" s="1897">
        <v>0</v>
      </c>
      <c r="M86" s="4098">
        <f t="shared" si="3"/>
        <v>0</v>
      </c>
      <c r="N86" s="1898">
        <v>0</v>
      </c>
      <c r="O86" s="1910">
        <f t="shared" si="5"/>
        <v>0</v>
      </c>
      <c r="P86" s="3293" t="s">
        <v>1166</v>
      </c>
      <c r="Q86" s="3559"/>
      <c r="R86" s="1877"/>
    </row>
    <row r="87" spans="1:18" s="1871" customFormat="1" ht="15.75" customHeight="1">
      <c r="A87" s="1870"/>
      <c r="B87" s="1876" t="s">
        <v>248</v>
      </c>
      <c r="C87" s="1881" t="s">
        <v>1167</v>
      </c>
      <c r="D87" s="1897">
        <v>0</v>
      </c>
      <c r="E87" s="1897">
        <v>0</v>
      </c>
      <c r="F87" s="1897">
        <v>0</v>
      </c>
      <c r="G87" s="1897">
        <v>0</v>
      </c>
      <c r="H87" s="1897">
        <v>0</v>
      </c>
      <c r="I87" s="1897">
        <v>0</v>
      </c>
      <c r="J87" s="1897">
        <v>0</v>
      </c>
      <c r="K87" s="1897">
        <v>0</v>
      </c>
      <c r="L87" s="1897">
        <v>0</v>
      </c>
      <c r="M87" s="4098">
        <f t="shared" si="3"/>
        <v>0</v>
      </c>
      <c r="N87" s="1898">
        <v>0</v>
      </c>
      <c r="O87" s="1910">
        <f t="shared" si="5"/>
        <v>0</v>
      </c>
      <c r="P87" s="3293" t="s">
        <v>1168</v>
      </c>
      <c r="Q87" s="3559"/>
      <c r="R87" s="1877"/>
    </row>
    <row r="88" spans="1:18">
      <c r="A88" s="1870"/>
      <c r="B88" s="508"/>
      <c r="C88" s="1880"/>
      <c r="D88" s="3726"/>
      <c r="E88" s="3726"/>
      <c r="F88" s="3726"/>
      <c r="G88" s="3726"/>
      <c r="H88" s="3726"/>
      <c r="I88" s="3726"/>
      <c r="J88" s="3726"/>
      <c r="K88" s="3726"/>
      <c r="L88" s="3726"/>
      <c r="M88" s="1901"/>
      <c r="N88" s="1901"/>
      <c r="O88" s="3726"/>
      <c r="P88" s="3726"/>
      <c r="Q88" s="3290"/>
      <c r="R88" s="1877"/>
    </row>
    <row r="89" spans="1:18">
      <c r="A89" s="1870"/>
      <c r="B89" s="510" t="s">
        <v>1169</v>
      </c>
      <c r="C89" s="1880"/>
      <c r="D89" s="1901">
        <f t="shared" ref="D89:N89" si="6">SUM(D6:D87)</f>
        <v>0</v>
      </c>
      <c r="E89" s="1901">
        <f t="shared" si="6"/>
        <v>0</v>
      </c>
      <c r="F89" s="1901">
        <f t="shared" si="6"/>
        <v>0</v>
      </c>
      <c r="G89" s="1901">
        <f t="shared" si="6"/>
        <v>0</v>
      </c>
      <c r="H89" s="1901">
        <f t="shared" si="6"/>
        <v>0</v>
      </c>
      <c r="I89" s="1901">
        <f t="shared" si="6"/>
        <v>0</v>
      </c>
      <c r="J89" s="1901">
        <f t="shared" si="6"/>
        <v>0</v>
      </c>
      <c r="K89" s="1901">
        <f t="shared" si="6"/>
        <v>0</v>
      </c>
      <c r="L89" s="1901">
        <f t="shared" si="6"/>
        <v>0</v>
      </c>
      <c r="M89" s="1901">
        <f t="shared" si="6"/>
        <v>0</v>
      </c>
      <c r="N89" s="1901">
        <f t="shared" si="6"/>
        <v>0</v>
      </c>
      <c r="O89" s="1901">
        <f>SUM(M89:N89)</f>
        <v>0</v>
      </c>
      <c r="P89" s="3726"/>
      <c r="Q89" s="3290"/>
      <c r="R89" s="1877"/>
    </row>
    <row r="90" spans="1:18">
      <c r="A90" s="1870"/>
      <c r="B90" s="508"/>
      <c r="C90" s="1880"/>
      <c r="D90" s="3727"/>
      <c r="E90" s="3727"/>
      <c r="F90" s="3727"/>
      <c r="G90" s="3727"/>
      <c r="H90" s="3727"/>
      <c r="I90" s="3727"/>
      <c r="J90" s="3727"/>
      <c r="K90" s="3727"/>
      <c r="L90" s="3727"/>
      <c r="M90" s="3727"/>
      <c r="N90" s="3727"/>
      <c r="O90" s="3728"/>
      <c r="P90" s="3290"/>
      <c r="Q90" s="3290"/>
      <c r="R90" s="1877"/>
    </row>
    <row r="91" spans="1:18">
      <c r="A91" s="1870"/>
      <c r="B91" s="3729" t="s">
        <v>1170</v>
      </c>
      <c r="C91" s="3730"/>
      <c r="D91" s="1902"/>
      <c r="E91" s="1902"/>
      <c r="F91" s="1902"/>
      <c r="G91" s="1902"/>
      <c r="H91" s="1902"/>
      <c r="I91" s="1902"/>
      <c r="J91" s="1902"/>
      <c r="K91" s="1902"/>
      <c r="L91" s="1902"/>
      <c r="M91" s="1902"/>
      <c r="N91" s="1902"/>
      <c r="O91" s="1900"/>
      <c r="P91" s="3290"/>
      <c r="Q91" s="3290"/>
      <c r="R91" s="1877"/>
    </row>
    <row r="92" spans="1:18" ht="18.75" customHeight="1">
      <c r="A92" s="1870"/>
      <c r="B92" s="3731"/>
      <c r="C92" s="3725"/>
      <c r="D92" s="1902"/>
      <c r="E92" s="1902"/>
      <c r="F92" s="1902"/>
      <c r="G92" s="1902"/>
      <c r="H92" s="1902"/>
      <c r="I92" s="1902"/>
      <c r="J92" s="1902"/>
      <c r="K92" s="1902"/>
      <c r="L92" s="1902"/>
      <c r="M92" s="1902"/>
      <c r="N92" s="1902"/>
      <c r="O92" s="1900"/>
      <c r="P92" s="3290"/>
      <c r="Q92" s="3290"/>
      <c r="R92" s="1877"/>
    </row>
    <row r="93" spans="1:18">
      <c r="A93" s="1870" t="s">
        <v>1171</v>
      </c>
      <c r="B93" s="1876" t="s">
        <v>1172</v>
      </c>
      <c r="C93" s="1881" t="s">
        <v>1173</v>
      </c>
      <c r="D93" s="1897">
        <v>0</v>
      </c>
      <c r="E93" s="1897">
        <v>0</v>
      </c>
      <c r="F93" s="1897">
        <v>0</v>
      </c>
      <c r="G93" s="1897">
        <v>0</v>
      </c>
      <c r="H93" s="1897">
        <v>0</v>
      </c>
      <c r="I93" s="1897">
        <v>0</v>
      </c>
      <c r="J93" s="1897">
        <v>0</v>
      </c>
      <c r="K93" s="1897">
        <v>0</v>
      </c>
      <c r="L93" s="1897">
        <v>0</v>
      </c>
      <c r="M93" s="1899">
        <f>SUM(D93:L93)</f>
        <v>0</v>
      </c>
      <c r="N93" s="1897">
        <v>0</v>
      </c>
      <c r="O93" s="1900">
        <f>SUM(M93:N93)</f>
        <v>0</v>
      </c>
      <c r="P93" s="3290" t="s">
        <v>1174</v>
      </c>
      <c r="Q93" s="3290"/>
      <c r="R93" s="1877"/>
    </row>
    <row r="94" spans="1:18" s="1871" customFormat="1">
      <c r="A94" s="1870"/>
      <c r="B94" s="1876" t="s">
        <v>1175</v>
      </c>
      <c r="C94" s="1881" t="s">
        <v>1173</v>
      </c>
      <c r="D94" s="1897">
        <v>0</v>
      </c>
      <c r="E94" s="1897">
        <v>0</v>
      </c>
      <c r="F94" s="1897">
        <v>0</v>
      </c>
      <c r="G94" s="1897">
        <v>0</v>
      </c>
      <c r="H94" s="1897">
        <v>0</v>
      </c>
      <c r="I94" s="1897">
        <v>0</v>
      </c>
      <c r="J94" s="1897">
        <v>0</v>
      </c>
      <c r="K94" s="1897">
        <v>0</v>
      </c>
      <c r="L94" s="1897">
        <v>0</v>
      </c>
      <c r="M94" s="1899">
        <f>SUM(D94:L94)</f>
        <v>0</v>
      </c>
      <c r="N94" s="1897">
        <v>0</v>
      </c>
      <c r="O94" s="1900">
        <f>SUM(M94:N94)</f>
        <v>0</v>
      </c>
      <c r="P94" s="3290" t="s">
        <v>1176</v>
      </c>
      <c r="Q94" s="3290"/>
      <c r="R94" s="1877"/>
    </row>
    <row r="95" spans="1:18">
      <c r="A95" s="1870" t="s">
        <v>1177</v>
      </c>
      <c r="B95" s="1879" t="s">
        <v>1178</v>
      </c>
      <c r="C95" s="1881" t="s">
        <v>1179</v>
      </c>
      <c r="D95" s="1897">
        <v>0</v>
      </c>
      <c r="E95" s="1897">
        <v>0</v>
      </c>
      <c r="F95" s="1897">
        <v>0</v>
      </c>
      <c r="G95" s="1897">
        <v>0</v>
      </c>
      <c r="H95" s="1897">
        <v>0</v>
      </c>
      <c r="I95" s="1897">
        <v>0</v>
      </c>
      <c r="J95" s="1897">
        <v>0</v>
      </c>
      <c r="K95" s="1897">
        <v>0</v>
      </c>
      <c r="L95" s="1897">
        <v>0</v>
      </c>
      <c r="M95" s="1899">
        <f t="shared" ref="M95:M151" si="7">SUM(D95:L95)</f>
        <v>0</v>
      </c>
      <c r="N95" s="1897">
        <v>0</v>
      </c>
      <c r="O95" s="1900">
        <f t="shared" ref="O95:O151" si="8">SUM(M95:N95)</f>
        <v>0</v>
      </c>
      <c r="P95" s="3290" t="s">
        <v>256</v>
      </c>
      <c r="Q95" s="3290"/>
      <c r="R95" s="1877"/>
    </row>
    <row r="96" spans="1:18">
      <c r="A96" s="1870" t="s">
        <v>1180</v>
      </c>
      <c r="B96" s="1879" t="s">
        <v>1178</v>
      </c>
      <c r="C96" s="1881" t="s">
        <v>1181</v>
      </c>
      <c r="D96" s="1897">
        <v>0</v>
      </c>
      <c r="E96" s="1897">
        <v>0</v>
      </c>
      <c r="F96" s="1897">
        <v>0</v>
      </c>
      <c r="G96" s="1897">
        <v>0</v>
      </c>
      <c r="H96" s="1897">
        <v>0</v>
      </c>
      <c r="I96" s="1897">
        <v>0</v>
      </c>
      <c r="J96" s="1897">
        <v>0</v>
      </c>
      <c r="K96" s="1897">
        <v>0</v>
      </c>
      <c r="L96" s="1897">
        <v>0</v>
      </c>
      <c r="M96" s="1899">
        <f t="shared" si="7"/>
        <v>0</v>
      </c>
      <c r="N96" s="1897">
        <v>0</v>
      </c>
      <c r="O96" s="1900">
        <f t="shared" si="8"/>
        <v>0</v>
      </c>
      <c r="P96" s="3290" t="s">
        <v>256</v>
      </c>
      <c r="Q96" s="3290"/>
      <c r="R96" s="1877"/>
    </row>
    <row r="97" spans="1:18">
      <c r="A97" s="1870" t="s">
        <v>1182</v>
      </c>
      <c r="B97" s="1879" t="s">
        <v>1178</v>
      </c>
      <c r="C97" s="1881" t="s">
        <v>1183</v>
      </c>
      <c r="D97" s="1897">
        <v>0</v>
      </c>
      <c r="E97" s="1897">
        <v>0</v>
      </c>
      <c r="F97" s="1897">
        <v>0</v>
      </c>
      <c r="G97" s="1897">
        <v>0</v>
      </c>
      <c r="H97" s="1897">
        <v>0</v>
      </c>
      <c r="I97" s="1897">
        <v>0</v>
      </c>
      <c r="J97" s="1897">
        <v>0</v>
      </c>
      <c r="K97" s="1897">
        <v>0</v>
      </c>
      <c r="L97" s="1897">
        <v>0</v>
      </c>
      <c r="M97" s="1899">
        <f t="shared" si="7"/>
        <v>0</v>
      </c>
      <c r="N97" s="1897">
        <v>0</v>
      </c>
      <c r="O97" s="1900">
        <f t="shared" si="8"/>
        <v>0</v>
      </c>
      <c r="P97" s="3290" t="s">
        <v>256</v>
      </c>
      <c r="Q97" s="3290"/>
      <c r="R97" s="1877"/>
    </row>
    <row r="98" spans="1:18">
      <c r="A98" s="1870" t="s">
        <v>1184</v>
      </c>
      <c r="B98" s="1879" t="s">
        <v>1185</v>
      </c>
      <c r="C98" s="1880" t="s">
        <v>1186</v>
      </c>
      <c r="D98" s="1897">
        <v>0</v>
      </c>
      <c r="E98" s="1897">
        <v>0</v>
      </c>
      <c r="F98" s="1897">
        <v>0</v>
      </c>
      <c r="G98" s="1897">
        <v>0</v>
      </c>
      <c r="H98" s="1897">
        <v>0</v>
      </c>
      <c r="I98" s="1897">
        <v>0</v>
      </c>
      <c r="J98" s="1897">
        <v>0</v>
      </c>
      <c r="K98" s="1897">
        <v>0</v>
      </c>
      <c r="L98" s="1897">
        <v>0</v>
      </c>
      <c r="M98" s="1899">
        <f t="shared" si="7"/>
        <v>0</v>
      </c>
      <c r="N98" s="1897">
        <v>0</v>
      </c>
      <c r="O98" s="1900">
        <f t="shared" si="8"/>
        <v>0</v>
      </c>
      <c r="P98" s="3290" t="s">
        <v>56</v>
      </c>
      <c r="Q98" s="3290"/>
      <c r="R98" s="1877"/>
    </row>
    <row r="99" spans="1:18">
      <c r="A99" s="1870" t="s">
        <v>1187</v>
      </c>
      <c r="B99" s="1879" t="s">
        <v>1188</v>
      </c>
      <c r="C99" s="1880" t="s">
        <v>1189</v>
      </c>
      <c r="D99" s="1897">
        <v>0</v>
      </c>
      <c r="E99" s="1897">
        <v>0</v>
      </c>
      <c r="F99" s="1897">
        <v>0</v>
      </c>
      <c r="G99" s="1897">
        <v>0</v>
      </c>
      <c r="H99" s="1897">
        <v>0</v>
      </c>
      <c r="I99" s="1897">
        <v>0</v>
      </c>
      <c r="J99" s="1897">
        <v>0</v>
      </c>
      <c r="K99" s="1897">
        <v>0</v>
      </c>
      <c r="L99" s="1897">
        <v>0</v>
      </c>
      <c r="M99" s="1899">
        <f t="shared" si="7"/>
        <v>0</v>
      </c>
      <c r="N99" s="1897">
        <v>0</v>
      </c>
      <c r="O99" s="1900">
        <f t="shared" si="8"/>
        <v>0</v>
      </c>
      <c r="P99" s="3290" t="s">
        <v>256</v>
      </c>
      <c r="Q99" s="3290"/>
      <c r="R99" s="1877"/>
    </row>
    <row r="100" spans="1:18">
      <c r="A100" s="1870" t="s">
        <v>1190</v>
      </c>
      <c r="B100" s="1879" t="s">
        <v>1191</v>
      </c>
      <c r="C100" s="1880" t="s">
        <v>1192</v>
      </c>
      <c r="D100" s="1897">
        <v>0</v>
      </c>
      <c r="E100" s="1897">
        <v>0</v>
      </c>
      <c r="F100" s="1897">
        <v>0</v>
      </c>
      <c r="G100" s="1897">
        <v>0</v>
      </c>
      <c r="H100" s="1897">
        <v>0</v>
      </c>
      <c r="I100" s="1897">
        <v>0</v>
      </c>
      <c r="J100" s="1897">
        <v>0</v>
      </c>
      <c r="K100" s="1897">
        <v>0</v>
      </c>
      <c r="L100" s="1897">
        <v>0</v>
      </c>
      <c r="M100" s="1899">
        <f t="shared" si="7"/>
        <v>0</v>
      </c>
      <c r="N100" s="1897">
        <v>0</v>
      </c>
      <c r="O100" s="1900">
        <f t="shared" si="8"/>
        <v>0</v>
      </c>
      <c r="P100" s="3290" t="s">
        <v>256</v>
      </c>
      <c r="Q100" s="3290"/>
      <c r="R100" s="1877"/>
    </row>
    <row r="101" spans="1:18">
      <c r="A101" s="1870" t="s">
        <v>1193</v>
      </c>
      <c r="B101" s="1879" t="s">
        <v>1194</v>
      </c>
      <c r="C101" s="1880" t="s">
        <v>1195</v>
      </c>
      <c r="D101" s="1897">
        <v>0</v>
      </c>
      <c r="E101" s="1897">
        <v>0</v>
      </c>
      <c r="F101" s="1897">
        <v>0</v>
      </c>
      <c r="G101" s="1897">
        <v>0</v>
      </c>
      <c r="H101" s="1897">
        <v>0</v>
      </c>
      <c r="I101" s="1897">
        <v>0</v>
      </c>
      <c r="J101" s="1897">
        <v>0</v>
      </c>
      <c r="K101" s="1897">
        <v>0</v>
      </c>
      <c r="L101" s="1897">
        <v>0</v>
      </c>
      <c r="M101" s="1899">
        <f t="shared" si="7"/>
        <v>0</v>
      </c>
      <c r="N101" s="1897">
        <v>0</v>
      </c>
      <c r="O101" s="1900">
        <f t="shared" si="8"/>
        <v>0</v>
      </c>
      <c r="P101" s="3290" t="s">
        <v>256</v>
      </c>
      <c r="Q101" s="3290"/>
      <c r="R101" s="1877"/>
    </row>
    <row r="102" spans="1:18">
      <c r="A102" s="1870" t="s">
        <v>1196</v>
      </c>
      <c r="B102" s="1879" t="s">
        <v>1197</v>
      </c>
      <c r="C102" s="1880" t="s">
        <v>1198</v>
      </c>
      <c r="D102" s="1897">
        <v>0</v>
      </c>
      <c r="E102" s="1897">
        <v>0</v>
      </c>
      <c r="F102" s="1897">
        <v>0</v>
      </c>
      <c r="G102" s="1897">
        <v>0</v>
      </c>
      <c r="H102" s="1897">
        <v>0</v>
      </c>
      <c r="I102" s="1897">
        <v>0</v>
      </c>
      <c r="J102" s="1897">
        <v>0</v>
      </c>
      <c r="K102" s="1897">
        <v>0</v>
      </c>
      <c r="L102" s="1897">
        <v>0</v>
      </c>
      <c r="M102" s="1899">
        <f t="shared" si="7"/>
        <v>0</v>
      </c>
      <c r="N102" s="1897">
        <v>0</v>
      </c>
      <c r="O102" s="1900">
        <f t="shared" si="8"/>
        <v>0</v>
      </c>
      <c r="P102" s="3290" t="s">
        <v>256</v>
      </c>
      <c r="Q102" s="3290"/>
      <c r="R102" s="1877"/>
    </row>
    <row r="103" spans="1:18">
      <c r="A103" s="1870" t="s">
        <v>1199</v>
      </c>
      <c r="B103" s="1879" t="s">
        <v>56</v>
      </c>
      <c r="C103" s="1880" t="s">
        <v>1200</v>
      </c>
      <c r="D103" s="1897">
        <v>0</v>
      </c>
      <c r="E103" s="1897">
        <v>0</v>
      </c>
      <c r="F103" s="1897">
        <v>0</v>
      </c>
      <c r="G103" s="1897">
        <v>0</v>
      </c>
      <c r="H103" s="1897">
        <v>0</v>
      </c>
      <c r="I103" s="1897">
        <v>0</v>
      </c>
      <c r="J103" s="1897">
        <v>0</v>
      </c>
      <c r="K103" s="1897">
        <v>0</v>
      </c>
      <c r="L103" s="1897">
        <v>0</v>
      </c>
      <c r="M103" s="1899">
        <f t="shared" si="7"/>
        <v>0</v>
      </c>
      <c r="N103" s="1897">
        <v>0</v>
      </c>
      <c r="O103" s="1900">
        <f t="shared" si="8"/>
        <v>0</v>
      </c>
      <c r="P103" s="3290" t="s">
        <v>56</v>
      </c>
      <c r="Q103" s="3290"/>
      <c r="R103" s="1877"/>
    </row>
    <row r="104" spans="1:18">
      <c r="A104" s="1870" t="s">
        <v>1201</v>
      </c>
      <c r="B104" s="1879" t="s">
        <v>1202</v>
      </c>
      <c r="C104" s="1880" t="s">
        <v>1203</v>
      </c>
      <c r="D104" s="1897">
        <v>0</v>
      </c>
      <c r="E104" s="1897">
        <v>0</v>
      </c>
      <c r="F104" s="1897">
        <v>0</v>
      </c>
      <c r="G104" s="1897">
        <v>0</v>
      </c>
      <c r="H104" s="1897">
        <v>0</v>
      </c>
      <c r="I104" s="1897">
        <v>0</v>
      </c>
      <c r="J104" s="1897">
        <v>0</v>
      </c>
      <c r="K104" s="1897">
        <v>0</v>
      </c>
      <c r="L104" s="1897">
        <v>0</v>
      </c>
      <c r="M104" s="1899">
        <f t="shared" si="7"/>
        <v>0</v>
      </c>
      <c r="N104" s="1897">
        <v>0</v>
      </c>
      <c r="O104" s="1900">
        <f t="shared" si="8"/>
        <v>0</v>
      </c>
      <c r="P104" s="3290" t="s">
        <v>256</v>
      </c>
      <c r="Q104" s="3290"/>
      <c r="R104" s="1877"/>
    </row>
    <row r="105" spans="1:18">
      <c r="A105" s="1870" t="s">
        <v>1204</v>
      </c>
      <c r="B105" s="1879" t="s">
        <v>1205</v>
      </c>
      <c r="C105" s="1880" t="s">
        <v>1206</v>
      </c>
      <c r="D105" s="1897">
        <v>0</v>
      </c>
      <c r="E105" s="1897">
        <v>0</v>
      </c>
      <c r="F105" s="1897">
        <v>0</v>
      </c>
      <c r="G105" s="1897">
        <v>0</v>
      </c>
      <c r="H105" s="1897">
        <v>0</v>
      </c>
      <c r="I105" s="1897">
        <v>0</v>
      </c>
      <c r="J105" s="1897">
        <v>0</v>
      </c>
      <c r="K105" s="1897">
        <v>0</v>
      </c>
      <c r="L105" s="1897">
        <v>0</v>
      </c>
      <c r="M105" s="1899">
        <f t="shared" si="7"/>
        <v>0</v>
      </c>
      <c r="N105" s="1897">
        <v>0</v>
      </c>
      <c r="O105" s="1900">
        <f t="shared" si="8"/>
        <v>0</v>
      </c>
      <c r="P105" s="3290" t="s">
        <v>1207</v>
      </c>
      <c r="Q105" s="3290"/>
      <c r="R105" s="1877"/>
    </row>
    <row r="106" spans="1:18">
      <c r="A106" s="1870" t="s">
        <v>1208</v>
      </c>
      <c r="B106" s="1879" t="s">
        <v>1209</v>
      </c>
      <c r="C106" s="1880" t="s">
        <v>1210</v>
      </c>
      <c r="D106" s="1897">
        <v>0</v>
      </c>
      <c r="E106" s="1897">
        <v>0</v>
      </c>
      <c r="F106" s="1897">
        <v>0</v>
      </c>
      <c r="G106" s="1897">
        <v>0</v>
      </c>
      <c r="H106" s="1897">
        <v>0</v>
      </c>
      <c r="I106" s="1897">
        <v>0</v>
      </c>
      <c r="J106" s="1897">
        <v>0</v>
      </c>
      <c r="K106" s="1897">
        <v>0</v>
      </c>
      <c r="L106" s="1897">
        <v>0</v>
      </c>
      <c r="M106" s="1899">
        <f t="shared" si="7"/>
        <v>0</v>
      </c>
      <c r="N106" s="1897">
        <v>0</v>
      </c>
      <c r="O106" s="1900">
        <f t="shared" si="8"/>
        <v>0</v>
      </c>
      <c r="P106" s="3290" t="s">
        <v>1211</v>
      </c>
      <c r="Q106" s="3290"/>
      <c r="R106" s="1877"/>
    </row>
    <row r="107" spans="1:18" s="1871" customFormat="1">
      <c r="A107" s="1870"/>
      <c r="B107" s="1879" t="s">
        <v>1212</v>
      </c>
      <c r="C107" s="1880" t="s">
        <v>1213</v>
      </c>
      <c r="D107" s="1897">
        <v>0</v>
      </c>
      <c r="E107" s="1897">
        <v>0</v>
      </c>
      <c r="F107" s="1897">
        <v>0</v>
      </c>
      <c r="G107" s="1897">
        <v>0</v>
      </c>
      <c r="H107" s="1897">
        <v>0</v>
      </c>
      <c r="I107" s="1897">
        <v>0</v>
      </c>
      <c r="J107" s="1897">
        <v>0</v>
      </c>
      <c r="K107" s="1897">
        <v>0</v>
      </c>
      <c r="L107" s="1897">
        <v>0</v>
      </c>
      <c r="M107" s="1899">
        <f>SUM(D107:L107)</f>
        <v>0</v>
      </c>
      <c r="N107" s="1897">
        <v>0</v>
      </c>
      <c r="O107" s="1900">
        <f>SUM(M107:N107)</f>
        <v>0</v>
      </c>
      <c r="P107" s="3559" t="s">
        <v>1214</v>
      </c>
      <c r="Q107" s="3559"/>
      <c r="R107" s="1877"/>
    </row>
    <row r="108" spans="1:18">
      <c r="A108" s="1870" t="s">
        <v>1215</v>
      </c>
      <c r="B108" s="1879" t="s">
        <v>324</v>
      </c>
      <c r="C108" s="1880" t="s">
        <v>1216</v>
      </c>
      <c r="D108" s="1897">
        <v>0</v>
      </c>
      <c r="E108" s="1897">
        <v>0</v>
      </c>
      <c r="F108" s="1897">
        <v>0</v>
      </c>
      <c r="G108" s="1897">
        <v>0</v>
      </c>
      <c r="H108" s="1897">
        <v>0</v>
      </c>
      <c r="I108" s="1897">
        <v>0</v>
      </c>
      <c r="J108" s="1897">
        <v>0</v>
      </c>
      <c r="K108" s="1897">
        <v>0</v>
      </c>
      <c r="L108" s="1897">
        <v>0</v>
      </c>
      <c r="M108" s="1899">
        <f t="shared" si="7"/>
        <v>0</v>
      </c>
      <c r="N108" s="1897">
        <v>0</v>
      </c>
      <c r="O108" s="1900">
        <f t="shared" si="8"/>
        <v>0</v>
      </c>
      <c r="P108" s="3290" t="s">
        <v>1214</v>
      </c>
      <c r="Q108" s="3290"/>
      <c r="R108" s="1877"/>
    </row>
    <row r="109" spans="1:18" s="1871" customFormat="1">
      <c r="A109" s="1870"/>
      <c r="B109" s="1879" t="s">
        <v>70</v>
      </c>
      <c r="C109" s="1880" t="s">
        <v>1217</v>
      </c>
      <c r="D109" s="1897">
        <v>0</v>
      </c>
      <c r="E109" s="1897">
        <v>0</v>
      </c>
      <c r="F109" s="1897">
        <v>0</v>
      </c>
      <c r="G109" s="1897">
        <v>0</v>
      </c>
      <c r="H109" s="1897">
        <v>0</v>
      </c>
      <c r="I109" s="1897">
        <v>0</v>
      </c>
      <c r="J109" s="1897">
        <v>0</v>
      </c>
      <c r="K109" s="1897">
        <v>0</v>
      </c>
      <c r="L109" s="1897">
        <v>0</v>
      </c>
      <c r="M109" s="1899">
        <f t="shared" si="7"/>
        <v>0</v>
      </c>
      <c r="N109" s="1897">
        <v>0</v>
      </c>
      <c r="O109" s="1900">
        <f>SUM(M109:N109)</f>
        <v>0</v>
      </c>
      <c r="P109" s="3290" t="s">
        <v>1218</v>
      </c>
      <c r="Q109" s="3290"/>
      <c r="R109" s="1877"/>
    </row>
    <row r="110" spans="1:18" s="1871" customFormat="1">
      <c r="A110" s="1870"/>
      <c r="B110" s="1879" t="s">
        <v>71</v>
      </c>
      <c r="C110" s="1880" t="s">
        <v>1219</v>
      </c>
      <c r="D110" s="1897">
        <v>0</v>
      </c>
      <c r="E110" s="1897">
        <v>0</v>
      </c>
      <c r="F110" s="1897">
        <v>0</v>
      </c>
      <c r="G110" s="1897">
        <v>0</v>
      </c>
      <c r="H110" s="1897">
        <v>0</v>
      </c>
      <c r="I110" s="1897">
        <v>0</v>
      </c>
      <c r="J110" s="1897">
        <v>0</v>
      </c>
      <c r="K110" s="1897">
        <v>0</v>
      </c>
      <c r="L110" s="1897">
        <v>0</v>
      </c>
      <c r="M110" s="1899">
        <f t="shared" si="7"/>
        <v>0</v>
      </c>
      <c r="N110" s="1897">
        <v>0</v>
      </c>
      <c r="O110" s="1900">
        <f>SUM(M110:N110)</f>
        <v>0</v>
      </c>
      <c r="P110" s="3290" t="s">
        <v>1220</v>
      </c>
      <c r="Q110" s="3290"/>
      <c r="R110" s="1877"/>
    </row>
    <row r="111" spans="1:18" s="1871" customFormat="1">
      <c r="A111" s="1870"/>
      <c r="B111" s="1879" t="s">
        <v>87</v>
      </c>
      <c r="C111" s="1880" t="s">
        <v>1221</v>
      </c>
      <c r="D111" s="1897">
        <v>0</v>
      </c>
      <c r="E111" s="1897">
        <v>0</v>
      </c>
      <c r="F111" s="1897">
        <v>0</v>
      </c>
      <c r="G111" s="1897">
        <v>0</v>
      </c>
      <c r="H111" s="1897">
        <v>0</v>
      </c>
      <c r="I111" s="1897">
        <v>0</v>
      </c>
      <c r="J111" s="1897">
        <v>0</v>
      </c>
      <c r="K111" s="1897">
        <v>0</v>
      </c>
      <c r="L111" s="1897">
        <v>0</v>
      </c>
      <c r="M111" s="1899">
        <f t="shared" si="7"/>
        <v>0</v>
      </c>
      <c r="N111" s="1897">
        <v>0</v>
      </c>
      <c r="O111" s="1900">
        <f>SUM(M111:N111)</f>
        <v>0</v>
      </c>
      <c r="P111" s="3290" t="s">
        <v>1222</v>
      </c>
      <c r="Q111" s="3290"/>
      <c r="R111" s="1877"/>
    </row>
    <row r="112" spans="1:18" s="1871" customFormat="1">
      <c r="A112" s="1870"/>
      <c r="B112" s="1879" t="s">
        <v>88</v>
      </c>
      <c r="C112" s="1880" t="s">
        <v>1223</v>
      </c>
      <c r="D112" s="1897">
        <v>0</v>
      </c>
      <c r="E112" s="1897">
        <v>0</v>
      </c>
      <c r="F112" s="1897">
        <v>0</v>
      </c>
      <c r="G112" s="1897">
        <v>0</v>
      </c>
      <c r="H112" s="1897">
        <v>0</v>
      </c>
      <c r="I112" s="1897">
        <v>0</v>
      </c>
      <c r="J112" s="1897">
        <v>0</v>
      </c>
      <c r="K112" s="1897">
        <v>0</v>
      </c>
      <c r="L112" s="1897">
        <v>0</v>
      </c>
      <c r="M112" s="1899">
        <f t="shared" si="7"/>
        <v>0</v>
      </c>
      <c r="N112" s="1897">
        <v>0</v>
      </c>
      <c r="O112" s="1900">
        <f>SUM(M112:N112)</f>
        <v>0</v>
      </c>
      <c r="P112" s="3290" t="s">
        <v>1224</v>
      </c>
      <c r="Q112" s="3290"/>
      <c r="R112" s="1877"/>
    </row>
    <row r="113" spans="1:18">
      <c r="A113" s="1870" t="s">
        <v>1225</v>
      </c>
      <c r="B113" s="1879" t="s">
        <v>1226</v>
      </c>
      <c r="C113" s="1880" t="s">
        <v>1227</v>
      </c>
      <c r="D113" s="1897">
        <v>0</v>
      </c>
      <c r="E113" s="1897">
        <v>0</v>
      </c>
      <c r="F113" s="1897">
        <v>0</v>
      </c>
      <c r="G113" s="1897">
        <v>0</v>
      </c>
      <c r="H113" s="1897">
        <v>0</v>
      </c>
      <c r="I113" s="1897">
        <v>0</v>
      </c>
      <c r="J113" s="1897">
        <v>0</v>
      </c>
      <c r="K113" s="1897">
        <v>0</v>
      </c>
      <c r="L113" s="1897">
        <v>0</v>
      </c>
      <c r="M113" s="1899">
        <f t="shared" si="7"/>
        <v>0</v>
      </c>
      <c r="N113" s="1897">
        <v>0</v>
      </c>
      <c r="O113" s="1900">
        <f t="shared" si="8"/>
        <v>0</v>
      </c>
      <c r="P113" s="3290" t="s">
        <v>56</v>
      </c>
      <c r="Q113" s="3290"/>
      <c r="R113" s="1877"/>
    </row>
    <row r="114" spans="1:18">
      <c r="A114" s="1870"/>
      <c r="B114" s="1879" t="s">
        <v>1228</v>
      </c>
      <c r="C114" s="1881" t="s">
        <v>1229</v>
      </c>
      <c r="D114" s="1897">
        <v>0</v>
      </c>
      <c r="E114" s="1897">
        <v>0</v>
      </c>
      <c r="F114" s="1897">
        <v>0</v>
      </c>
      <c r="G114" s="1897">
        <v>0</v>
      </c>
      <c r="H114" s="1897">
        <v>0</v>
      </c>
      <c r="I114" s="1897">
        <v>0</v>
      </c>
      <c r="J114" s="1897">
        <v>0</v>
      </c>
      <c r="K114" s="1897">
        <v>0</v>
      </c>
      <c r="L114" s="1897">
        <v>0</v>
      </c>
      <c r="M114" s="1899">
        <f t="shared" si="7"/>
        <v>0</v>
      </c>
      <c r="N114" s="1897">
        <v>0</v>
      </c>
      <c r="O114" s="1900">
        <f t="shared" si="8"/>
        <v>0</v>
      </c>
      <c r="P114" s="3290" t="s">
        <v>1230</v>
      </c>
      <c r="Q114" s="3290"/>
      <c r="R114" s="1877"/>
    </row>
    <row r="115" spans="1:18">
      <c r="A115" s="1870"/>
      <c r="B115" s="1879" t="s">
        <v>1231</v>
      </c>
      <c r="C115" s="1881" t="s">
        <v>1232</v>
      </c>
      <c r="D115" s="1897">
        <v>0</v>
      </c>
      <c r="E115" s="1897">
        <v>0</v>
      </c>
      <c r="F115" s="1897">
        <v>0</v>
      </c>
      <c r="G115" s="1897">
        <v>0</v>
      </c>
      <c r="H115" s="1897">
        <v>0</v>
      </c>
      <c r="I115" s="1897">
        <v>0</v>
      </c>
      <c r="J115" s="1897">
        <v>0</v>
      </c>
      <c r="K115" s="1897">
        <v>0</v>
      </c>
      <c r="L115" s="1897">
        <v>0</v>
      </c>
      <c r="M115" s="1899">
        <f t="shared" si="7"/>
        <v>0</v>
      </c>
      <c r="N115" s="1897">
        <v>0</v>
      </c>
      <c r="O115" s="1900">
        <f t="shared" si="8"/>
        <v>0</v>
      </c>
      <c r="P115" s="3290" t="s">
        <v>1233</v>
      </c>
      <c r="Q115" s="3290"/>
      <c r="R115" s="1877"/>
    </row>
    <row r="116" spans="1:18">
      <c r="A116" s="1870" t="s">
        <v>1234</v>
      </c>
      <c r="B116" s="1879" t="s">
        <v>259</v>
      </c>
      <c r="C116" s="1880" t="s">
        <v>1235</v>
      </c>
      <c r="D116" s="1897">
        <v>0</v>
      </c>
      <c r="E116" s="1897">
        <v>0</v>
      </c>
      <c r="F116" s="1897">
        <v>0</v>
      </c>
      <c r="G116" s="1897">
        <v>0</v>
      </c>
      <c r="H116" s="1897">
        <v>0</v>
      </c>
      <c r="I116" s="1897">
        <v>0</v>
      </c>
      <c r="J116" s="1897">
        <v>0</v>
      </c>
      <c r="K116" s="1897">
        <v>0</v>
      </c>
      <c r="L116" s="1897">
        <v>0</v>
      </c>
      <c r="M116" s="1899">
        <f t="shared" si="7"/>
        <v>0</v>
      </c>
      <c r="N116" s="1897">
        <v>0</v>
      </c>
      <c r="O116" s="1900">
        <f t="shared" si="8"/>
        <v>0</v>
      </c>
      <c r="P116" s="3290" t="s">
        <v>259</v>
      </c>
      <c r="Q116" s="3290"/>
      <c r="R116" s="1877"/>
    </row>
    <row r="117" spans="1:18">
      <c r="A117" s="1870" t="s">
        <v>1236</v>
      </c>
      <c r="B117" s="1879" t="s">
        <v>1237</v>
      </c>
      <c r="C117" s="1880" t="s">
        <v>1238</v>
      </c>
      <c r="D117" s="1897">
        <v>0</v>
      </c>
      <c r="E117" s="1897">
        <v>0</v>
      </c>
      <c r="F117" s="1897">
        <v>0</v>
      </c>
      <c r="G117" s="1897">
        <v>0</v>
      </c>
      <c r="H117" s="1897">
        <v>0</v>
      </c>
      <c r="I117" s="1897">
        <v>0</v>
      </c>
      <c r="J117" s="1897">
        <v>0</v>
      </c>
      <c r="K117" s="1897">
        <v>0</v>
      </c>
      <c r="L117" s="1897">
        <v>0</v>
      </c>
      <c r="M117" s="1899">
        <f t="shared" si="7"/>
        <v>0</v>
      </c>
      <c r="N117" s="1897">
        <v>0</v>
      </c>
      <c r="O117" s="1900">
        <f t="shared" si="8"/>
        <v>0</v>
      </c>
      <c r="P117" s="3290" t="s">
        <v>56</v>
      </c>
      <c r="Q117" s="3290"/>
      <c r="R117" s="1877"/>
    </row>
    <row r="118" spans="1:18">
      <c r="A118" s="1870" t="s">
        <v>1239</v>
      </c>
      <c r="B118" s="1879" t="s">
        <v>270</v>
      </c>
      <c r="C118" s="1880" t="s">
        <v>1240</v>
      </c>
      <c r="D118" s="1897">
        <v>0</v>
      </c>
      <c r="E118" s="1897">
        <v>0</v>
      </c>
      <c r="F118" s="1897">
        <v>0</v>
      </c>
      <c r="G118" s="1897">
        <v>0</v>
      </c>
      <c r="H118" s="1897">
        <v>0</v>
      </c>
      <c r="I118" s="1897">
        <v>0</v>
      </c>
      <c r="J118" s="1897">
        <v>0</v>
      </c>
      <c r="K118" s="1897">
        <v>0</v>
      </c>
      <c r="L118" s="1897">
        <v>0</v>
      </c>
      <c r="M118" s="1899">
        <f t="shared" si="7"/>
        <v>0</v>
      </c>
      <c r="N118" s="1897">
        <v>0</v>
      </c>
      <c r="O118" s="1900">
        <f t="shared" si="8"/>
        <v>0</v>
      </c>
      <c r="P118" s="3290" t="s">
        <v>270</v>
      </c>
      <c r="Q118" s="3290"/>
      <c r="R118" s="1877"/>
    </row>
    <row r="119" spans="1:18">
      <c r="A119" s="1870" t="s">
        <v>1241</v>
      </c>
      <c r="B119" s="1879" t="s">
        <v>1242</v>
      </c>
      <c r="C119" s="1880" t="s">
        <v>246</v>
      </c>
      <c r="D119" s="1897">
        <v>0</v>
      </c>
      <c r="E119" s="1897">
        <v>0</v>
      </c>
      <c r="F119" s="1897">
        <v>0</v>
      </c>
      <c r="G119" s="1897">
        <v>0</v>
      </c>
      <c r="H119" s="1897">
        <v>0</v>
      </c>
      <c r="I119" s="1897">
        <v>0</v>
      </c>
      <c r="J119" s="1897">
        <v>0</v>
      </c>
      <c r="K119" s="1897">
        <v>0</v>
      </c>
      <c r="L119" s="1897">
        <v>0</v>
      </c>
      <c r="M119" s="1899">
        <f t="shared" si="7"/>
        <v>0</v>
      </c>
      <c r="N119" s="1897">
        <v>0</v>
      </c>
      <c r="O119" s="1900">
        <f t="shared" si="8"/>
        <v>0</v>
      </c>
      <c r="P119" s="3290" t="s">
        <v>56</v>
      </c>
      <c r="Q119" s="3290"/>
      <c r="R119" s="1877"/>
    </row>
    <row r="120" spans="1:18">
      <c r="A120" s="1870" t="s">
        <v>1243</v>
      </c>
      <c r="B120" s="1879" t="s">
        <v>1244</v>
      </c>
      <c r="C120" s="1880" t="s">
        <v>1245</v>
      </c>
      <c r="D120" s="1897">
        <v>0</v>
      </c>
      <c r="E120" s="1897">
        <v>0</v>
      </c>
      <c r="F120" s="1897">
        <v>0</v>
      </c>
      <c r="G120" s="1897">
        <v>0</v>
      </c>
      <c r="H120" s="1897">
        <v>0</v>
      </c>
      <c r="I120" s="1897">
        <v>0</v>
      </c>
      <c r="J120" s="1897">
        <v>0</v>
      </c>
      <c r="K120" s="1897">
        <v>0</v>
      </c>
      <c r="L120" s="1897">
        <v>0</v>
      </c>
      <c r="M120" s="1899">
        <f t="shared" si="7"/>
        <v>0</v>
      </c>
      <c r="N120" s="1897">
        <v>0</v>
      </c>
      <c r="O120" s="1900">
        <f t="shared" si="8"/>
        <v>0</v>
      </c>
      <c r="P120" s="3290" t="s">
        <v>1174</v>
      </c>
      <c r="Q120" s="3290"/>
      <c r="R120" s="1877"/>
    </row>
    <row r="121" spans="1:18">
      <c r="A121" s="1870" t="s">
        <v>1246</v>
      </c>
      <c r="B121" s="1879" t="s">
        <v>1247</v>
      </c>
      <c r="C121" s="1880" t="s">
        <v>1248</v>
      </c>
      <c r="D121" s="1897">
        <v>0</v>
      </c>
      <c r="E121" s="1897">
        <v>0</v>
      </c>
      <c r="F121" s="1897">
        <v>0</v>
      </c>
      <c r="G121" s="1897">
        <v>0</v>
      </c>
      <c r="H121" s="1897">
        <v>0</v>
      </c>
      <c r="I121" s="1897">
        <v>0</v>
      </c>
      <c r="J121" s="1897">
        <v>0</v>
      </c>
      <c r="K121" s="1897">
        <v>0</v>
      </c>
      <c r="L121" s="1897">
        <v>0</v>
      </c>
      <c r="M121" s="1899">
        <f t="shared" si="7"/>
        <v>0</v>
      </c>
      <c r="N121" s="1897">
        <v>0</v>
      </c>
      <c r="O121" s="1900">
        <f t="shared" si="8"/>
        <v>0</v>
      </c>
      <c r="P121" s="3290" t="s">
        <v>56</v>
      </c>
      <c r="Q121" s="3290"/>
      <c r="R121" s="1877"/>
    </row>
    <row r="122" spans="1:18">
      <c r="A122" s="1870" t="s">
        <v>1249</v>
      </c>
      <c r="B122" s="1879" t="s">
        <v>64</v>
      </c>
      <c r="C122" s="1880" t="s">
        <v>1250</v>
      </c>
      <c r="D122" s="1897">
        <v>0</v>
      </c>
      <c r="E122" s="1897">
        <v>0</v>
      </c>
      <c r="F122" s="1897">
        <v>0</v>
      </c>
      <c r="G122" s="1897">
        <v>0</v>
      </c>
      <c r="H122" s="1897">
        <v>0</v>
      </c>
      <c r="I122" s="1897">
        <v>0</v>
      </c>
      <c r="J122" s="1897">
        <v>0</v>
      </c>
      <c r="K122" s="1897">
        <v>0</v>
      </c>
      <c r="L122" s="1897">
        <v>0</v>
      </c>
      <c r="M122" s="1899">
        <f t="shared" si="7"/>
        <v>0</v>
      </c>
      <c r="N122" s="1897">
        <v>0</v>
      </c>
      <c r="O122" s="1900">
        <f t="shared" si="8"/>
        <v>0</v>
      </c>
      <c r="P122" s="3290" t="s">
        <v>64</v>
      </c>
      <c r="Q122" s="3290"/>
      <c r="R122" s="1877"/>
    </row>
    <row r="123" spans="1:18">
      <c r="A123" s="1870" t="s">
        <v>1251</v>
      </c>
      <c r="B123" s="1879" t="s">
        <v>1252</v>
      </c>
      <c r="C123" s="1880" t="s">
        <v>1253</v>
      </c>
      <c r="D123" s="1897">
        <v>0</v>
      </c>
      <c r="E123" s="1897">
        <v>0</v>
      </c>
      <c r="F123" s="1897">
        <v>0</v>
      </c>
      <c r="G123" s="1897">
        <v>0</v>
      </c>
      <c r="H123" s="1897">
        <v>0</v>
      </c>
      <c r="I123" s="1897">
        <v>0</v>
      </c>
      <c r="J123" s="1897">
        <v>0</v>
      </c>
      <c r="K123" s="1897">
        <v>0</v>
      </c>
      <c r="L123" s="1897">
        <v>0</v>
      </c>
      <c r="M123" s="1899">
        <f t="shared" si="7"/>
        <v>0</v>
      </c>
      <c r="N123" s="1897">
        <v>0</v>
      </c>
      <c r="O123" s="1900">
        <f t="shared" si="8"/>
        <v>0</v>
      </c>
      <c r="P123" s="3290" t="s">
        <v>1254</v>
      </c>
      <c r="Q123" s="3290"/>
      <c r="R123" s="1877"/>
    </row>
    <row r="124" spans="1:18">
      <c r="A124" s="1870" t="s">
        <v>1255</v>
      </c>
      <c r="B124" s="1879" t="s">
        <v>1256</v>
      </c>
      <c r="C124" s="1880" t="s">
        <v>1257</v>
      </c>
      <c r="D124" s="1897">
        <v>0</v>
      </c>
      <c r="E124" s="1897">
        <v>0</v>
      </c>
      <c r="F124" s="1897">
        <v>0</v>
      </c>
      <c r="G124" s="1897">
        <v>0</v>
      </c>
      <c r="H124" s="1897">
        <v>0</v>
      </c>
      <c r="I124" s="1897">
        <v>0</v>
      </c>
      <c r="J124" s="1897">
        <v>0</v>
      </c>
      <c r="K124" s="1897">
        <v>0</v>
      </c>
      <c r="L124" s="1897">
        <v>0</v>
      </c>
      <c r="M124" s="1899">
        <f t="shared" si="7"/>
        <v>0</v>
      </c>
      <c r="N124" s="1897">
        <v>0</v>
      </c>
      <c r="O124" s="1900">
        <f t="shared" si="8"/>
        <v>0</v>
      </c>
      <c r="P124" s="3290" t="s">
        <v>1258</v>
      </c>
      <c r="Q124" s="3290"/>
      <c r="R124" s="1877"/>
    </row>
    <row r="125" spans="1:18">
      <c r="A125" s="1870" t="s">
        <v>1259</v>
      </c>
      <c r="B125" s="1879" t="s">
        <v>1260</v>
      </c>
      <c r="C125" s="1880" t="s">
        <v>1261</v>
      </c>
      <c r="D125" s="1897">
        <v>0</v>
      </c>
      <c r="E125" s="1897">
        <v>0</v>
      </c>
      <c r="F125" s="1897">
        <v>0</v>
      </c>
      <c r="G125" s="1897">
        <v>0</v>
      </c>
      <c r="H125" s="1897">
        <v>0</v>
      </c>
      <c r="I125" s="1897">
        <v>0</v>
      </c>
      <c r="J125" s="1897">
        <v>0</v>
      </c>
      <c r="K125" s="1897">
        <v>0</v>
      </c>
      <c r="L125" s="1897">
        <v>0</v>
      </c>
      <c r="M125" s="1899">
        <f t="shared" si="7"/>
        <v>0</v>
      </c>
      <c r="N125" s="1897">
        <v>0</v>
      </c>
      <c r="O125" s="1900">
        <f t="shared" si="8"/>
        <v>0</v>
      </c>
      <c r="P125" s="3290" t="s">
        <v>1262</v>
      </c>
      <c r="Q125" s="3290"/>
      <c r="R125" s="1877"/>
    </row>
    <row r="126" spans="1:18">
      <c r="A126" s="1870" t="s">
        <v>1263</v>
      </c>
      <c r="B126" s="1879" t="s">
        <v>1264</v>
      </c>
      <c r="C126" s="1880" t="s">
        <v>1265</v>
      </c>
      <c r="D126" s="1897">
        <v>0</v>
      </c>
      <c r="E126" s="1897">
        <v>0</v>
      </c>
      <c r="F126" s="1897">
        <v>0</v>
      </c>
      <c r="G126" s="1897">
        <v>0</v>
      </c>
      <c r="H126" s="1897">
        <v>0</v>
      </c>
      <c r="I126" s="1897">
        <v>0</v>
      </c>
      <c r="J126" s="1897">
        <v>0</v>
      </c>
      <c r="K126" s="1897">
        <v>0</v>
      </c>
      <c r="L126" s="1897">
        <v>0</v>
      </c>
      <c r="M126" s="1899">
        <f t="shared" si="7"/>
        <v>0</v>
      </c>
      <c r="N126" s="1897">
        <v>0</v>
      </c>
      <c r="O126" s="1900">
        <f t="shared" si="8"/>
        <v>0</v>
      </c>
      <c r="P126" s="3290" t="s">
        <v>253</v>
      </c>
      <c r="Q126" s="3290"/>
      <c r="R126" s="1877"/>
    </row>
    <row r="127" spans="1:18">
      <c r="A127" s="1870" t="s">
        <v>1266</v>
      </c>
      <c r="B127" s="1879" t="s">
        <v>1267</v>
      </c>
      <c r="C127" s="1880" t="s">
        <v>1268</v>
      </c>
      <c r="D127" s="1897">
        <v>0</v>
      </c>
      <c r="E127" s="1897">
        <v>0</v>
      </c>
      <c r="F127" s="1897">
        <v>0</v>
      </c>
      <c r="G127" s="1897">
        <v>0</v>
      </c>
      <c r="H127" s="1897">
        <v>0</v>
      </c>
      <c r="I127" s="1897">
        <v>0</v>
      </c>
      <c r="J127" s="1897">
        <v>0</v>
      </c>
      <c r="K127" s="1897">
        <v>0</v>
      </c>
      <c r="L127" s="1897">
        <v>0</v>
      </c>
      <c r="M127" s="1899">
        <f t="shared" si="7"/>
        <v>0</v>
      </c>
      <c r="N127" s="1897">
        <v>0</v>
      </c>
      <c r="O127" s="1900">
        <f t="shared" si="8"/>
        <v>0</v>
      </c>
      <c r="P127" s="3290" t="s">
        <v>1269</v>
      </c>
      <c r="Q127" s="3290"/>
      <c r="R127" s="1877"/>
    </row>
    <row r="128" spans="1:18">
      <c r="A128" s="1870" t="s">
        <v>1270</v>
      </c>
      <c r="B128" s="1879" t="s">
        <v>1271</v>
      </c>
      <c r="C128" s="1880" t="s">
        <v>1272</v>
      </c>
      <c r="D128" s="1897">
        <v>0</v>
      </c>
      <c r="E128" s="1897">
        <v>0</v>
      </c>
      <c r="F128" s="1897">
        <v>0</v>
      </c>
      <c r="G128" s="1897">
        <v>0</v>
      </c>
      <c r="H128" s="1897">
        <v>0</v>
      </c>
      <c r="I128" s="1897">
        <v>0</v>
      </c>
      <c r="J128" s="1897">
        <v>0</v>
      </c>
      <c r="K128" s="1897">
        <v>0</v>
      </c>
      <c r="L128" s="1897">
        <v>0</v>
      </c>
      <c r="M128" s="1899">
        <f t="shared" si="7"/>
        <v>0</v>
      </c>
      <c r="N128" s="1897">
        <v>0</v>
      </c>
      <c r="O128" s="1900">
        <f t="shared" si="8"/>
        <v>0</v>
      </c>
      <c r="P128" s="3290" t="s">
        <v>1273</v>
      </c>
      <c r="Q128" s="3290"/>
      <c r="R128" s="1877"/>
    </row>
    <row r="129" spans="1:18">
      <c r="A129" s="1870" t="s">
        <v>1274</v>
      </c>
      <c r="B129" s="1879" t="s">
        <v>1275</v>
      </c>
      <c r="C129" s="1880" t="s">
        <v>1276</v>
      </c>
      <c r="D129" s="1897">
        <v>0</v>
      </c>
      <c r="E129" s="1897">
        <v>0</v>
      </c>
      <c r="F129" s="1897">
        <v>0</v>
      </c>
      <c r="G129" s="1897">
        <v>0</v>
      </c>
      <c r="H129" s="1897">
        <v>0</v>
      </c>
      <c r="I129" s="1897">
        <v>0</v>
      </c>
      <c r="J129" s="1897">
        <v>0</v>
      </c>
      <c r="K129" s="1897">
        <v>0</v>
      </c>
      <c r="L129" s="1897">
        <v>0</v>
      </c>
      <c r="M129" s="1899">
        <f t="shared" si="7"/>
        <v>0</v>
      </c>
      <c r="N129" s="1897">
        <v>0</v>
      </c>
      <c r="O129" s="1900">
        <f t="shared" si="8"/>
        <v>0</v>
      </c>
      <c r="P129" s="3290" t="s">
        <v>1277</v>
      </c>
      <c r="Q129" s="3290"/>
      <c r="R129" s="1877"/>
    </row>
    <row r="130" spans="1:18">
      <c r="A130" s="1870" t="s">
        <v>1278</v>
      </c>
      <c r="B130" s="1879" t="s">
        <v>1279</v>
      </c>
      <c r="C130" s="1880" t="s">
        <v>1280</v>
      </c>
      <c r="D130" s="1897">
        <v>0</v>
      </c>
      <c r="E130" s="1897">
        <v>0</v>
      </c>
      <c r="F130" s="1897">
        <v>0</v>
      </c>
      <c r="G130" s="1897">
        <v>0</v>
      </c>
      <c r="H130" s="1897">
        <v>0</v>
      </c>
      <c r="I130" s="1897">
        <v>0</v>
      </c>
      <c r="J130" s="1897">
        <v>0</v>
      </c>
      <c r="K130" s="1897">
        <v>0</v>
      </c>
      <c r="L130" s="1897">
        <v>0</v>
      </c>
      <c r="M130" s="1899">
        <f t="shared" si="7"/>
        <v>0</v>
      </c>
      <c r="N130" s="1897">
        <v>0</v>
      </c>
      <c r="O130" s="1900">
        <f t="shared" si="8"/>
        <v>0</v>
      </c>
      <c r="P130" s="3290" t="s">
        <v>1281</v>
      </c>
      <c r="Q130" s="3290"/>
      <c r="R130" s="1877"/>
    </row>
    <row r="131" spans="1:18">
      <c r="A131" s="1870" t="s">
        <v>1282</v>
      </c>
      <c r="B131" s="1879" t="s">
        <v>1283</v>
      </c>
      <c r="C131" s="1880" t="s">
        <v>1284</v>
      </c>
      <c r="D131" s="1897">
        <v>0</v>
      </c>
      <c r="E131" s="1897">
        <v>0</v>
      </c>
      <c r="F131" s="1897">
        <v>0</v>
      </c>
      <c r="G131" s="1897">
        <v>0</v>
      </c>
      <c r="H131" s="1897">
        <v>0</v>
      </c>
      <c r="I131" s="1897">
        <v>0</v>
      </c>
      <c r="J131" s="1897">
        <v>0</v>
      </c>
      <c r="K131" s="1897">
        <v>0</v>
      </c>
      <c r="L131" s="1897">
        <v>0</v>
      </c>
      <c r="M131" s="1899">
        <f t="shared" si="7"/>
        <v>0</v>
      </c>
      <c r="N131" s="1897">
        <v>0</v>
      </c>
      <c r="O131" s="1900">
        <f t="shared" si="8"/>
        <v>0</v>
      </c>
      <c r="P131" s="3290" t="s">
        <v>1285</v>
      </c>
      <c r="Q131" s="3290"/>
      <c r="R131" s="1877"/>
    </row>
    <row r="132" spans="1:18">
      <c r="A132" s="1870" t="s">
        <v>1286</v>
      </c>
      <c r="B132" s="1879" t="s">
        <v>1287</v>
      </c>
      <c r="C132" s="1880" t="s">
        <v>1288</v>
      </c>
      <c r="D132" s="1897">
        <v>0</v>
      </c>
      <c r="E132" s="1897">
        <v>0</v>
      </c>
      <c r="F132" s="1897">
        <v>0</v>
      </c>
      <c r="G132" s="1897">
        <v>0</v>
      </c>
      <c r="H132" s="1897">
        <v>0</v>
      </c>
      <c r="I132" s="1897">
        <v>0</v>
      </c>
      <c r="J132" s="1897">
        <v>0</v>
      </c>
      <c r="K132" s="1897">
        <v>0</v>
      </c>
      <c r="L132" s="1897">
        <v>0</v>
      </c>
      <c r="M132" s="1899">
        <f t="shared" si="7"/>
        <v>0</v>
      </c>
      <c r="N132" s="1897">
        <v>0</v>
      </c>
      <c r="O132" s="1900">
        <f t="shared" si="8"/>
        <v>0</v>
      </c>
      <c r="P132" s="3290" t="s">
        <v>1289</v>
      </c>
      <c r="Q132" s="3290"/>
      <c r="R132" s="1877"/>
    </row>
    <row r="133" spans="1:18">
      <c r="A133" s="1870" t="s">
        <v>1290</v>
      </c>
      <c r="B133" s="1879" t="s">
        <v>1291</v>
      </c>
      <c r="C133" s="1880" t="s">
        <v>1292</v>
      </c>
      <c r="D133" s="1897">
        <v>0</v>
      </c>
      <c r="E133" s="1897">
        <v>0</v>
      </c>
      <c r="F133" s="1897">
        <v>0</v>
      </c>
      <c r="G133" s="1897">
        <v>0</v>
      </c>
      <c r="H133" s="1897">
        <v>0</v>
      </c>
      <c r="I133" s="1897">
        <v>0</v>
      </c>
      <c r="J133" s="1897">
        <v>0</v>
      </c>
      <c r="K133" s="1897">
        <v>0</v>
      </c>
      <c r="L133" s="1897">
        <v>0</v>
      </c>
      <c r="M133" s="1899">
        <f t="shared" si="7"/>
        <v>0</v>
      </c>
      <c r="N133" s="1897">
        <v>0</v>
      </c>
      <c r="O133" s="1900">
        <f t="shared" si="8"/>
        <v>0</v>
      </c>
      <c r="P133" s="3290" t="s">
        <v>1293</v>
      </c>
      <c r="Q133" s="3290"/>
      <c r="R133" s="1877"/>
    </row>
    <row r="134" spans="1:18" s="1871" customFormat="1">
      <c r="A134" s="1870"/>
      <c r="B134" s="1876" t="s">
        <v>65</v>
      </c>
      <c r="C134" s="1881" t="s">
        <v>1294</v>
      </c>
      <c r="D134" s="1897">
        <v>0</v>
      </c>
      <c r="E134" s="1897">
        <v>0</v>
      </c>
      <c r="F134" s="1897">
        <v>0</v>
      </c>
      <c r="G134" s="1897">
        <v>0</v>
      </c>
      <c r="H134" s="1897">
        <v>0</v>
      </c>
      <c r="I134" s="1897">
        <v>0</v>
      </c>
      <c r="J134" s="1897">
        <v>0</v>
      </c>
      <c r="K134" s="1897">
        <v>0</v>
      </c>
      <c r="L134" s="1897">
        <v>0</v>
      </c>
      <c r="M134" s="1899">
        <f t="shared" si="7"/>
        <v>0</v>
      </c>
      <c r="N134" s="1897">
        <v>0</v>
      </c>
      <c r="O134" s="1900">
        <f t="shared" si="8"/>
        <v>0</v>
      </c>
      <c r="P134" s="3559" t="s">
        <v>286</v>
      </c>
      <c r="Q134" s="3559"/>
      <c r="R134" s="1877"/>
    </row>
    <row r="135" spans="1:18" s="1871" customFormat="1">
      <c r="A135" s="1870"/>
      <c r="B135" s="1876" t="s">
        <v>82</v>
      </c>
      <c r="C135" s="1881" t="s">
        <v>1295</v>
      </c>
      <c r="D135" s="1897">
        <v>0</v>
      </c>
      <c r="E135" s="1897">
        <v>0</v>
      </c>
      <c r="F135" s="1897">
        <v>0</v>
      </c>
      <c r="G135" s="1897">
        <v>0</v>
      </c>
      <c r="H135" s="1897">
        <v>0</v>
      </c>
      <c r="I135" s="1897">
        <v>0</v>
      </c>
      <c r="J135" s="1897">
        <v>0</v>
      </c>
      <c r="K135" s="1897">
        <v>0</v>
      </c>
      <c r="L135" s="1897">
        <v>0</v>
      </c>
      <c r="M135" s="1899">
        <f t="shared" si="7"/>
        <v>0</v>
      </c>
      <c r="N135" s="1897">
        <v>0</v>
      </c>
      <c r="O135" s="1900">
        <f t="shared" si="8"/>
        <v>0</v>
      </c>
      <c r="P135" s="3559" t="s">
        <v>314</v>
      </c>
      <c r="Q135" s="3559"/>
      <c r="R135" s="1877"/>
    </row>
    <row r="136" spans="1:18">
      <c r="A136" s="1870" t="s">
        <v>1296</v>
      </c>
      <c r="B136" s="1879" t="s">
        <v>73</v>
      </c>
      <c r="C136" s="1880" t="s">
        <v>1297</v>
      </c>
      <c r="D136" s="1897">
        <v>0</v>
      </c>
      <c r="E136" s="1897">
        <v>0</v>
      </c>
      <c r="F136" s="1897">
        <v>0</v>
      </c>
      <c r="G136" s="1897">
        <v>0</v>
      </c>
      <c r="H136" s="1897">
        <v>0</v>
      </c>
      <c r="I136" s="1897">
        <v>0</v>
      </c>
      <c r="J136" s="1897">
        <v>0</v>
      </c>
      <c r="K136" s="1897">
        <v>0</v>
      </c>
      <c r="L136" s="1897">
        <v>0</v>
      </c>
      <c r="M136" s="1899">
        <f t="shared" si="7"/>
        <v>0</v>
      </c>
      <c r="N136" s="1897">
        <v>0</v>
      </c>
      <c r="O136" s="1900">
        <f t="shared" si="8"/>
        <v>0</v>
      </c>
      <c r="P136" s="3290" t="s">
        <v>1298</v>
      </c>
      <c r="Q136" s="3290"/>
      <c r="R136" s="1877"/>
    </row>
    <row r="137" spans="1:18">
      <c r="A137" s="1870" t="s">
        <v>1299</v>
      </c>
      <c r="B137" s="1879" t="s">
        <v>1300</v>
      </c>
      <c r="C137" s="1880" t="s">
        <v>1301</v>
      </c>
      <c r="D137" s="1897">
        <v>0</v>
      </c>
      <c r="E137" s="1897">
        <v>0</v>
      </c>
      <c r="F137" s="1897">
        <v>0</v>
      </c>
      <c r="G137" s="1897">
        <v>0</v>
      </c>
      <c r="H137" s="1897">
        <v>0</v>
      </c>
      <c r="I137" s="1897">
        <v>0</v>
      </c>
      <c r="J137" s="1897">
        <v>0</v>
      </c>
      <c r="K137" s="1897">
        <v>0</v>
      </c>
      <c r="L137" s="1897">
        <v>0</v>
      </c>
      <c r="M137" s="1899">
        <f t="shared" si="7"/>
        <v>0</v>
      </c>
      <c r="N137" s="1897">
        <v>0</v>
      </c>
      <c r="O137" s="1900">
        <f t="shared" si="8"/>
        <v>0</v>
      </c>
      <c r="P137" s="3290" t="s">
        <v>1302</v>
      </c>
      <c r="Q137" s="3290"/>
      <c r="R137" s="1877"/>
    </row>
    <row r="138" spans="1:18">
      <c r="A138" s="1870" t="s">
        <v>1303</v>
      </c>
      <c r="B138" s="1879" t="s">
        <v>1304</v>
      </c>
      <c r="C138" s="1880" t="s">
        <v>1305</v>
      </c>
      <c r="D138" s="1897">
        <v>0</v>
      </c>
      <c r="E138" s="1897">
        <v>0</v>
      </c>
      <c r="F138" s="1897">
        <v>0</v>
      </c>
      <c r="G138" s="1897">
        <v>0</v>
      </c>
      <c r="H138" s="1897">
        <v>0</v>
      </c>
      <c r="I138" s="1897">
        <v>0</v>
      </c>
      <c r="J138" s="1897">
        <v>0</v>
      </c>
      <c r="K138" s="1897">
        <v>0</v>
      </c>
      <c r="L138" s="1897">
        <v>0</v>
      </c>
      <c r="M138" s="1899">
        <f t="shared" si="7"/>
        <v>0</v>
      </c>
      <c r="N138" s="1897">
        <v>0</v>
      </c>
      <c r="O138" s="1900">
        <f t="shared" si="8"/>
        <v>0</v>
      </c>
      <c r="P138" s="3290" t="s">
        <v>1302</v>
      </c>
      <c r="Q138" s="3290"/>
      <c r="R138" s="1877"/>
    </row>
    <row r="139" spans="1:18">
      <c r="A139" s="1870" t="s">
        <v>1306</v>
      </c>
      <c r="B139" s="1879" t="s">
        <v>1307</v>
      </c>
      <c r="C139" s="1880" t="s">
        <v>1308</v>
      </c>
      <c r="D139" s="1897">
        <v>0</v>
      </c>
      <c r="E139" s="1897">
        <v>0</v>
      </c>
      <c r="F139" s="1897">
        <v>0</v>
      </c>
      <c r="G139" s="1897">
        <v>0</v>
      </c>
      <c r="H139" s="1897">
        <v>0</v>
      </c>
      <c r="I139" s="1897">
        <v>0</v>
      </c>
      <c r="J139" s="1897">
        <v>0</v>
      </c>
      <c r="K139" s="1897">
        <v>0</v>
      </c>
      <c r="L139" s="1897">
        <v>0</v>
      </c>
      <c r="M139" s="1899">
        <f t="shared" si="7"/>
        <v>0</v>
      </c>
      <c r="N139" s="1897">
        <v>0</v>
      </c>
      <c r="O139" s="1900">
        <f t="shared" si="8"/>
        <v>0</v>
      </c>
      <c r="P139" s="3290" t="s">
        <v>1309</v>
      </c>
      <c r="Q139" s="3290"/>
      <c r="R139" s="1877"/>
    </row>
    <row r="140" spans="1:18">
      <c r="A140" s="1870" t="s">
        <v>1310</v>
      </c>
      <c r="B140" s="1879" t="s">
        <v>1311</v>
      </c>
      <c r="C140" s="1880" t="s">
        <v>1312</v>
      </c>
      <c r="D140" s="1897">
        <v>0</v>
      </c>
      <c r="E140" s="1897">
        <v>0</v>
      </c>
      <c r="F140" s="1897">
        <v>0</v>
      </c>
      <c r="G140" s="1897">
        <v>0</v>
      </c>
      <c r="H140" s="1897">
        <v>0</v>
      </c>
      <c r="I140" s="1897">
        <v>0</v>
      </c>
      <c r="J140" s="1897">
        <v>0</v>
      </c>
      <c r="K140" s="1897">
        <v>0</v>
      </c>
      <c r="L140" s="1897">
        <v>0</v>
      </c>
      <c r="M140" s="1899">
        <f t="shared" si="7"/>
        <v>0</v>
      </c>
      <c r="N140" s="1897">
        <f t="shared" ref="N140:N147" si="9">-M140</f>
        <v>0</v>
      </c>
      <c r="O140" s="2026">
        <f t="shared" si="8"/>
        <v>0</v>
      </c>
      <c r="P140" s="3292" t="s">
        <v>1035</v>
      </c>
      <c r="Q140" s="3290"/>
      <c r="R140" s="1877"/>
    </row>
    <row r="141" spans="1:18">
      <c r="A141" s="1870" t="s">
        <v>1313</v>
      </c>
      <c r="B141" s="1879" t="s">
        <v>1314</v>
      </c>
      <c r="C141" s="1880" t="s">
        <v>1315</v>
      </c>
      <c r="D141" s="1897">
        <v>0</v>
      </c>
      <c r="E141" s="1897">
        <v>0</v>
      </c>
      <c r="F141" s="1897">
        <v>0</v>
      </c>
      <c r="G141" s="1897">
        <v>0</v>
      </c>
      <c r="H141" s="1897">
        <v>0</v>
      </c>
      <c r="I141" s="1897">
        <v>0</v>
      </c>
      <c r="J141" s="1897">
        <v>0</v>
      </c>
      <c r="K141" s="1897">
        <v>0</v>
      </c>
      <c r="L141" s="1897">
        <v>0</v>
      </c>
      <c r="M141" s="1899">
        <f t="shared" si="7"/>
        <v>0</v>
      </c>
      <c r="N141" s="1897">
        <f t="shared" si="9"/>
        <v>0</v>
      </c>
      <c r="O141" s="2026">
        <f t="shared" si="8"/>
        <v>0</v>
      </c>
      <c r="P141" s="3292" t="s">
        <v>1035</v>
      </c>
      <c r="Q141" s="3290"/>
      <c r="R141" s="1877"/>
    </row>
    <row r="142" spans="1:18">
      <c r="A142" s="1870" t="s">
        <v>1316</v>
      </c>
      <c r="B142" s="1879" t="s">
        <v>1317</v>
      </c>
      <c r="C142" s="1880" t="s">
        <v>1318</v>
      </c>
      <c r="D142" s="1897">
        <v>0</v>
      </c>
      <c r="E142" s="1897">
        <v>0</v>
      </c>
      <c r="F142" s="1897">
        <v>0</v>
      </c>
      <c r="G142" s="1897">
        <v>0</v>
      </c>
      <c r="H142" s="1897">
        <v>0</v>
      </c>
      <c r="I142" s="1897">
        <v>0</v>
      </c>
      <c r="J142" s="1897">
        <v>0</v>
      </c>
      <c r="K142" s="1897">
        <v>0</v>
      </c>
      <c r="L142" s="1897">
        <v>0</v>
      </c>
      <c r="M142" s="1899">
        <f t="shared" si="7"/>
        <v>0</v>
      </c>
      <c r="N142" s="1897">
        <f t="shared" si="9"/>
        <v>0</v>
      </c>
      <c r="O142" s="2026">
        <f t="shared" si="8"/>
        <v>0</v>
      </c>
      <c r="P142" s="3292" t="s">
        <v>1035</v>
      </c>
      <c r="Q142" s="3290"/>
      <c r="R142" s="1877"/>
    </row>
    <row r="143" spans="1:18">
      <c r="A143" s="1870" t="s">
        <v>1319</v>
      </c>
      <c r="B143" s="1879" t="s">
        <v>1320</v>
      </c>
      <c r="C143" s="1880" t="s">
        <v>1321</v>
      </c>
      <c r="D143" s="1897">
        <v>0</v>
      </c>
      <c r="E143" s="1897">
        <v>0</v>
      </c>
      <c r="F143" s="1897">
        <v>0</v>
      </c>
      <c r="G143" s="1897">
        <v>0</v>
      </c>
      <c r="H143" s="1897">
        <v>0</v>
      </c>
      <c r="I143" s="1897">
        <v>0</v>
      </c>
      <c r="J143" s="1897">
        <v>0</v>
      </c>
      <c r="K143" s="1897">
        <v>0</v>
      </c>
      <c r="L143" s="1897">
        <v>0</v>
      </c>
      <c r="M143" s="1899">
        <f t="shared" si="7"/>
        <v>0</v>
      </c>
      <c r="N143" s="1897">
        <f t="shared" si="9"/>
        <v>0</v>
      </c>
      <c r="O143" s="2026">
        <f t="shared" si="8"/>
        <v>0</v>
      </c>
      <c r="P143" s="3292" t="s">
        <v>1035</v>
      </c>
      <c r="Q143" s="3290"/>
      <c r="R143" s="1877"/>
    </row>
    <row r="144" spans="1:18">
      <c r="A144" s="1870" t="s">
        <v>1322</v>
      </c>
      <c r="B144" s="1879" t="s">
        <v>1323</v>
      </c>
      <c r="C144" s="1880" t="s">
        <v>1324</v>
      </c>
      <c r="D144" s="1897">
        <v>0</v>
      </c>
      <c r="E144" s="1897">
        <v>0</v>
      </c>
      <c r="F144" s="1897">
        <v>0</v>
      </c>
      <c r="G144" s="1897">
        <v>0</v>
      </c>
      <c r="H144" s="1897">
        <v>0</v>
      </c>
      <c r="I144" s="1897">
        <v>0</v>
      </c>
      <c r="J144" s="1897">
        <v>0</v>
      </c>
      <c r="K144" s="1897">
        <v>0</v>
      </c>
      <c r="L144" s="1897">
        <v>0</v>
      </c>
      <c r="M144" s="1899">
        <f t="shared" si="7"/>
        <v>0</v>
      </c>
      <c r="N144" s="1897">
        <f t="shared" si="9"/>
        <v>0</v>
      </c>
      <c r="O144" s="2026">
        <f t="shared" si="8"/>
        <v>0</v>
      </c>
      <c r="P144" s="3292" t="s">
        <v>1035</v>
      </c>
      <c r="Q144" s="3290"/>
      <c r="R144" s="1877"/>
    </row>
    <row r="145" spans="1:18">
      <c r="A145" s="1870" t="s">
        <v>1325</v>
      </c>
      <c r="B145" s="1879" t="s">
        <v>1326</v>
      </c>
      <c r="C145" s="1880" t="s">
        <v>1327</v>
      </c>
      <c r="D145" s="1897">
        <v>0</v>
      </c>
      <c r="E145" s="1897">
        <v>0</v>
      </c>
      <c r="F145" s="1897">
        <v>0</v>
      </c>
      <c r="G145" s="1897">
        <v>0</v>
      </c>
      <c r="H145" s="1897">
        <v>0</v>
      </c>
      <c r="I145" s="1897">
        <v>0</v>
      </c>
      <c r="J145" s="1897">
        <v>0</v>
      </c>
      <c r="K145" s="1897">
        <v>0</v>
      </c>
      <c r="L145" s="1897">
        <v>0</v>
      </c>
      <c r="M145" s="1899">
        <f t="shared" si="7"/>
        <v>0</v>
      </c>
      <c r="N145" s="1897">
        <f t="shared" si="9"/>
        <v>0</v>
      </c>
      <c r="O145" s="2026">
        <f t="shared" si="8"/>
        <v>0</v>
      </c>
      <c r="P145" s="3292" t="s">
        <v>1035</v>
      </c>
      <c r="Q145" s="3290"/>
      <c r="R145" s="1877"/>
    </row>
    <row r="146" spans="1:18">
      <c r="A146" s="1870" t="s">
        <v>1328</v>
      </c>
      <c r="B146" s="1879" t="s">
        <v>1329</v>
      </c>
      <c r="C146" s="1880" t="s">
        <v>1330</v>
      </c>
      <c r="D146" s="1897">
        <v>0</v>
      </c>
      <c r="E146" s="1897">
        <v>0</v>
      </c>
      <c r="F146" s="1897">
        <v>0</v>
      </c>
      <c r="G146" s="1897">
        <v>0</v>
      </c>
      <c r="H146" s="1897">
        <v>0</v>
      </c>
      <c r="I146" s="1897">
        <v>0</v>
      </c>
      <c r="J146" s="1897">
        <v>0</v>
      </c>
      <c r="K146" s="1897">
        <v>0</v>
      </c>
      <c r="L146" s="1897">
        <v>0</v>
      </c>
      <c r="M146" s="1899">
        <f t="shared" si="7"/>
        <v>0</v>
      </c>
      <c r="N146" s="1897">
        <f t="shared" si="9"/>
        <v>0</v>
      </c>
      <c r="O146" s="2026">
        <f t="shared" si="8"/>
        <v>0</v>
      </c>
      <c r="P146" s="3292" t="s">
        <v>1035</v>
      </c>
      <c r="Q146" s="3290"/>
      <c r="R146" s="1877"/>
    </row>
    <row r="147" spans="1:18">
      <c r="A147" s="1870" t="s">
        <v>1331</v>
      </c>
      <c r="B147" s="1879" t="s">
        <v>1332</v>
      </c>
      <c r="C147" s="1880" t="s">
        <v>1333</v>
      </c>
      <c r="D147" s="1897">
        <v>0</v>
      </c>
      <c r="E147" s="1897">
        <v>0</v>
      </c>
      <c r="F147" s="1897">
        <v>0</v>
      </c>
      <c r="G147" s="1897">
        <v>0</v>
      </c>
      <c r="H147" s="1897">
        <v>0</v>
      </c>
      <c r="I147" s="1897">
        <v>0</v>
      </c>
      <c r="J147" s="1897">
        <v>0</v>
      </c>
      <c r="K147" s="1897">
        <v>0</v>
      </c>
      <c r="L147" s="1897">
        <v>0</v>
      </c>
      <c r="M147" s="1899">
        <f t="shared" si="7"/>
        <v>0</v>
      </c>
      <c r="N147" s="1897">
        <f t="shared" si="9"/>
        <v>0</v>
      </c>
      <c r="O147" s="2026">
        <f t="shared" si="8"/>
        <v>0</v>
      </c>
      <c r="P147" s="3292" t="s">
        <v>1035</v>
      </c>
      <c r="Q147" s="3290"/>
      <c r="R147" s="1877"/>
    </row>
    <row r="148" spans="1:18" s="1871" customFormat="1" ht="12.75">
      <c r="A148" s="1870"/>
      <c r="B148" s="2037" t="s">
        <v>1334</v>
      </c>
      <c r="C148" s="2038" t="s">
        <v>236</v>
      </c>
      <c r="D148" s="3165"/>
      <c r="E148" s="3165"/>
      <c r="F148" s="3165"/>
      <c r="G148" s="3165"/>
      <c r="H148" s="3165"/>
      <c r="I148" s="3165"/>
      <c r="J148" s="3165"/>
      <c r="K148" s="3165"/>
      <c r="L148" s="3165"/>
      <c r="M148" s="2039"/>
      <c r="N148" s="2039"/>
      <c r="O148" s="2039"/>
      <c r="P148" s="3290"/>
      <c r="Q148" s="3290"/>
      <c r="R148" s="1877"/>
    </row>
    <row r="149" spans="1:18">
      <c r="A149" s="1870" t="s">
        <v>1331</v>
      </c>
      <c r="B149" s="1876" t="s">
        <v>1335</v>
      </c>
      <c r="C149" s="1881" t="s">
        <v>1336</v>
      </c>
      <c r="D149" s="1897">
        <v>0</v>
      </c>
      <c r="E149" s="1897">
        <v>0</v>
      </c>
      <c r="F149" s="1897">
        <v>0</v>
      </c>
      <c r="G149" s="1897">
        <v>0</v>
      </c>
      <c r="H149" s="1897">
        <v>0</v>
      </c>
      <c r="I149" s="1897">
        <v>0</v>
      </c>
      <c r="J149" s="1897">
        <v>0</v>
      </c>
      <c r="K149" s="1897">
        <v>0</v>
      </c>
      <c r="L149" s="1897">
        <v>0</v>
      </c>
      <c r="M149" s="1899">
        <f t="shared" si="7"/>
        <v>0</v>
      </c>
      <c r="N149" s="1897">
        <v>0</v>
      </c>
      <c r="O149" s="1900">
        <f t="shared" si="8"/>
        <v>0</v>
      </c>
      <c r="P149" s="3290" t="s">
        <v>1337</v>
      </c>
      <c r="Q149" s="3290"/>
      <c r="R149" s="1877"/>
    </row>
    <row r="150" spans="1:18" s="1871" customFormat="1" ht="13.5" customHeight="1">
      <c r="A150" s="1870"/>
      <c r="B150" s="1876" t="s">
        <v>1338</v>
      </c>
      <c r="C150" s="1881" t="s">
        <v>1339</v>
      </c>
      <c r="D150" s="1897">
        <v>0</v>
      </c>
      <c r="E150" s="1897">
        <v>0</v>
      </c>
      <c r="F150" s="1897">
        <v>0</v>
      </c>
      <c r="G150" s="1897">
        <v>0</v>
      </c>
      <c r="H150" s="1897">
        <v>0</v>
      </c>
      <c r="I150" s="1897">
        <v>0</v>
      </c>
      <c r="J150" s="1897">
        <v>0</v>
      </c>
      <c r="K150" s="1897">
        <v>0</v>
      </c>
      <c r="L150" s="1897">
        <v>0</v>
      </c>
      <c r="M150" s="1899">
        <f t="shared" si="7"/>
        <v>0</v>
      </c>
      <c r="N150" s="1897">
        <v>0</v>
      </c>
      <c r="O150" s="1900">
        <f t="shared" si="8"/>
        <v>0</v>
      </c>
      <c r="P150" s="3290" t="s">
        <v>1340</v>
      </c>
      <c r="Q150" s="3290"/>
      <c r="R150" s="1877"/>
    </row>
    <row r="151" spans="1:18" s="1871" customFormat="1">
      <c r="A151" s="1870"/>
      <c r="B151" s="1876" t="s">
        <v>78</v>
      </c>
      <c r="C151" s="1881" t="s">
        <v>1341</v>
      </c>
      <c r="D151" s="1897">
        <v>0</v>
      </c>
      <c r="E151" s="1897">
        <v>0</v>
      </c>
      <c r="F151" s="1897">
        <v>0</v>
      </c>
      <c r="G151" s="1897">
        <v>0</v>
      </c>
      <c r="H151" s="1897">
        <v>0</v>
      </c>
      <c r="I151" s="1897">
        <v>0</v>
      </c>
      <c r="J151" s="1897">
        <v>0</v>
      </c>
      <c r="K151" s="1897">
        <v>0</v>
      </c>
      <c r="L151" s="1897">
        <v>0</v>
      </c>
      <c r="M151" s="1899">
        <f t="shared" si="7"/>
        <v>0</v>
      </c>
      <c r="N151" s="1897">
        <v>0</v>
      </c>
      <c r="O151" s="1900">
        <f t="shared" si="8"/>
        <v>0</v>
      </c>
      <c r="P151" s="3290" t="s">
        <v>1342</v>
      </c>
      <c r="Q151" s="3290"/>
      <c r="R151" s="1877"/>
    </row>
    <row r="152" spans="1:18" s="1871" customFormat="1">
      <c r="A152" s="1870"/>
      <c r="B152" s="1876" t="s">
        <v>79</v>
      </c>
      <c r="C152" s="1881" t="s">
        <v>1343</v>
      </c>
      <c r="D152" s="1897">
        <v>0</v>
      </c>
      <c r="E152" s="1897">
        <v>0</v>
      </c>
      <c r="F152" s="1897">
        <v>0</v>
      </c>
      <c r="G152" s="1897">
        <v>0</v>
      </c>
      <c r="H152" s="1897">
        <v>0</v>
      </c>
      <c r="I152" s="1897">
        <v>0</v>
      </c>
      <c r="J152" s="1897">
        <v>0</v>
      </c>
      <c r="K152" s="1897">
        <v>0</v>
      </c>
      <c r="L152" s="1897">
        <v>0</v>
      </c>
      <c r="M152" s="1899">
        <f>SUM(D152:L152)</f>
        <v>0</v>
      </c>
      <c r="N152" s="1897">
        <v>0</v>
      </c>
      <c r="O152" s="1900">
        <f>SUM(M152:N152)</f>
        <v>0</v>
      </c>
      <c r="P152" s="3290" t="s">
        <v>1344</v>
      </c>
      <c r="Q152" s="3290"/>
      <c r="R152" s="1877"/>
    </row>
    <row r="153" spans="1:18" s="1871" customFormat="1" ht="14.25" customHeight="1">
      <c r="A153" s="1870"/>
      <c r="B153" s="1876" t="s">
        <v>81</v>
      </c>
      <c r="C153" s="1881" t="s">
        <v>1345</v>
      </c>
      <c r="D153" s="1897">
        <v>0</v>
      </c>
      <c r="E153" s="1897">
        <v>0</v>
      </c>
      <c r="F153" s="1897">
        <v>0</v>
      </c>
      <c r="G153" s="1897">
        <v>0</v>
      </c>
      <c r="H153" s="1897">
        <v>0</v>
      </c>
      <c r="I153" s="1897">
        <v>0</v>
      </c>
      <c r="J153" s="1897">
        <v>0</v>
      </c>
      <c r="K153" s="1897">
        <v>0</v>
      </c>
      <c r="L153" s="1897">
        <v>0</v>
      </c>
      <c r="M153" s="1899">
        <f>SUM(D153:L153)</f>
        <v>0</v>
      </c>
      <c r="N153" s="1897">
        <v>0</v>
      </c>
      <c r="O153" s="1900">
        <f>SUM(M153:N153)</f>
        <v>0</v>
      </c>
      <c r="P153" s="3290" t="s">
        <v>1346</v>
      </c>
      <c r="Q153" s="3290"/>
      <c r="R153" s="1877"/>
    </row>
    <row r="154" spans="1:18" s="1871" customFormat="1" ht="14.25" customHeight="1">
      <c r="A154" s="1870"/>
      <c r="B154" s="1876" t="s">
        <v>1347</v>
      </c>
      <c r="C154" s="1881" t="s">
        <v>1348</v>
      </c>
      <c r="D154" s="1897">
        <v>0</v>
      </c>
      <c r="E154" s="1897">
        <v>0</v>
      </c>
      <c r="F154" s="1897">
        <v>0</v>
      </c>
      <c r="G154" s="1897">
        <v>0</v>
      </c>
      <c r="H154" s="1897">
        <v>0</v>
      </c>
      <c r="I154" s="1897">
        <v>0</v>
      </c>
      <c r="J154" s="1897">
        <v>0</v>
      </c>
      <c r="K154" s="1897">
        <v>0</v>
      </c>
      <c r="L154" s="1897">
        <v>0</v>
      </c>
      <c r="M154" s="1899">
        <f>SUM(D154:L154)</f>
        <v>0</v>
      </c>
      <c r="N154" s="1897">
        <v>0</v>
      </c>
      <c r="O154" s="1900">
        <f>SUM(M154:N154)</f>
        <v>0</v>
      </c>
      <c r="P154" s="3290" t="s">
        <v>1349</v>
      </c>
      <c r="Q154" s="3559"/>
      <c r="R154" s="1877"/>
    </row>
    <row r="155" spans="1:18" s="1871" customFormat="1">
      <c r="A155" s="1870"/>
      <c r="B155" s="1876" t="s">
        <v>1350</v>
      </c>
      <c r="C155" s="1881" t="s">
        <v>1351</v>
      </c>
      <c r="D155" s="1897">
        <v>0</v>
      </c>
      <c r="E155" s="1897">
        <v>0</v>
      </c>
      <c r="F155" s="1897">
        <v>0</v>
      </c>
      <c r="G155" s="1897">
        <v>0</v>
      </c>
      <c r="H155" s="1897">
        <v>0</v>
      </c>
      <c r="I155" s="1897">
        <v>0</v>
      </c>
      <c r="J155" s="1897">
        <v>0</v>
      </c>
      <c r="K155" s="1897">
        <v>0</v>
      </c>
      <c r="L155" s="1897">
        <v>0</v>
      </c>
      <c r="M155" s="1899">
        <f>SUM(D155:L155)</f>
        <v>0</v>
      </c>
      <c r="N155" s="1897">
        <v>0</v>
      </c>
      <c r="O155" s="1900">
        <f>SUM(M155:N155)</f>
        <v>0</v>
      </c>
      <c r="P155" s="3290" t="s">
        <v>1352</v>
      </c>
      <c r="Q155" s="3290"/>
      <c r="R155" s="1877"/>
    </row>
    <row r="156" spans="1:18">
      <c r="A156" s="1870"/>
      <c r="B156" s="510" t="s">
        <v>330</v>
      </c>
      <c r="C156" s="1880"/>
      <c r="D156" s="1901">
        <f t="shared" ref="D156:N156" si="10">SUM(D93:D155)</f>
        <v>0</v>
      </c>
      <c r="E156" s="1901">
        <f t="shared" si="10"/>
        <v>0</v>
      </c>
      <c r="F156" s="1901">
        <f t="shared" si="10"/>
        <v>0</v>
      </c>
      <c r="G156" s="1901">
        <f t="shared" si="10"/>
        <v>0</v>
      </c>
      <c r="H156" s="1901">
        <f>SUM(H93:H155)</f>
        <v>0</v>
      </c>
      <c r="I156" s="1901">
        <f t="shared" si="10"/>
        <v>0</v>
      </c>
      <c r="J156" s="1901">
        <f t="shared" si="10"/>
        <v>0</v>
      </c>
      <c r="K156" s="1901">
        <f t="shared" si="10"/>
        <v>0</v>
      </c>
      <c r="L156" s="1901">
        <f t="shared" si="10"/>
        <v>0</v>
      </c>
      <c r="M156" s="1901">
        <f t="shared" si="10"/>
        <v>0</v>
      </c>
      <c r="N156" s="1901">
        <f t="shared" si="10"/>
        <v>0</v>
      </c>
      <c r="O156" s="1901">
        <f>SUM(M156:N156)</f>
        <v>0</v>
      </c>
      <c r="P156" s="3290"/>
      <c r="Q156" s="3290"/>
      <c r="R156" s="1877"/>
    </row>
    <row r="157" spans="1:18">
      <c r="A157" s="1870"/>
      <c r="B157" s="508"/>
      <c r="C157" s="1880"/>
      <c r="D157" s="3727"/>
      <c r="E157" s="3727"/>
      <c r="F157" s="3727"/>
      <c r="G157" s="3727"/>
      <c r="H157" s="3727"/>
      <c r="I157" s="3727"/>
      <c r="J157" s="3727"/>
      <c r="K157" s="3727"/>
      <c r="L157" s="3727"/>
      <c r="M157" s="3727"/>
      <c r="N157" s="3727"/>
      <c r="O157" s="3728"/>
      <c r="P157" s="3290"/>
      <c r="Q157" s="3290"/>
      <c r="R157" s="1877"/>
    </row>
    <row r="158" spans="1:18">
      <c r="A158" s="1870"/>
      <c r="B158" s="3729" t="s">
        <v>1353</v>
      </c>
      <c r="C158" s="3730"/>
      <c r="D158" s="1902"/>
      <c r="E158" s="1902"/>
      <c r="F158" s="1902"/>
      <c r="G158" s="1902"/>
      <c r="H158" s="1902"/>
      <c r="I158" s="1902"/>
      <c r="J158" s="1902"/>
      <c r="K158" s="1902"/>
      <c r="L158" s="1902"/>
      <c r="M158" s="1902"/>
      <c r="N158" s="1902"/>
      <c r="O158" s="1900"/>
      <c r="P158" s="3290"/>
      <c r="Q158" s="3290"/>
      <c r="R158" s="1877"/>
    </row>
    <row r="159" spans="1:18">
      <c r="A159" s="1870"/>
      <c r="B159" s="3731"/>
      <c r="C159" s="3725"/>
      <c r="D159" s="1902"/>
      <c r="E159" s="1902"/>
      <c r="F159" s="1902"/>
      <c r="G159" s="1902"/>
      <c r="H159" s="1902"/>
      <c r="I159" s="1902"/>
      <c r="J159" s="1902"/>
      <c r="K159" s="1902"/>
      <c r="L159" s="1902"/>
      <c r="M159" s="1902"/>
      <c r="N159" s="1902"/>
      <c r="O159" s="1900"/>
      <c r="P159" s="3290"/>
      <c r="Q159" s="3290"/>
      <c r="R159" s="1877"/>
    </row>
    <row r="160" spans="1:18">
      <c r="A160" s="1870" t="s">
        <v>1354</v>
      </c>
      <c r="B160" s="1879" t="s">
        <v>1355</v>
      </c>
      <c r="C160" s="1880" t="s">
        <v>1356</v>
      </c>
      <c r="D160" s="1897">
        <v>0</v>
      </c>
      <c r="E160" s="1897">
        <v>0</v>
      </c>
      <c r="F160" s="1897">
        <v>0</v>
      </c>
      <c r="G160" s="1897">
        <v>0</v>
      </c>
      <c r="H160" s="1897">
        <v>0</v>
      </c>
      <c r="I160" s="1897">
        <v>0</v>
      </c>
      <c r="J160" s="1897">
        <v>0</v>
      </c>
      <c r="K160" s="1897">
        <v>0</v>
      </c>
      <c r="L160" s="1897">
        <v>0</v>
      </c>
      <c r="M160" s="4098">
        <f>SUM(D160:L160)</f>
        <v>0</v>
      </c>
      <c r="N160" s="1897">
        <v>0</v>
      </c>
      <c r="O160" s="1900">
        <f>SUM(M160:N160)</f>
        <v>0</v>
      </c>
      <c r="P160" s="3290"/>
      <c r="Q160" s="3290"/>
      <c r="R160" s="1877"/>
    </row>
    <row r="161" spans="1:18">
      <c r="A161" s="1870" t="s">
        <v>1357</v>
      </c>
      <c r="B161" s="1879" t="s">
        <v>1358</v>
      </c>
      <c r="C161" s="1880" t="s">
        <v>1359</v>
      </c>
      <c r="D161" s="1897">
        <v>0</v>
      </c>
      <c r="E161" s="1897">
        <v>0</v>
      </c>
      <c r="F161" s="1897">
        <v>0</v>
      </c>
      <c r="G161" s="1897">
        <v>0</v>
      </c>
      <c r="H161" s="1897">
        <v>0</v>
      </c>
      <c r="I161" s="1897">
        <v>0</v>
      </c>
      <c r="J161" s="1897">
        <v>0</v>
      </c>
      <c r="K161" s="1897">
        <v>0</v>
      </c>
      <c r="L161" s="1897">
        <v>0</v>
      </c>
      <c r="M161" s="4098">
        <f t="shared" ref="M161:M178" si="11">SUM(D161:L161)</f>
        <v>0</v>
      </c>
      <c r="N161" s="1897">
        <v>0</v>
      </c>
      <c r="O161" s="1900">
        <f t="shared" ref="O161:O178" si="12">SUM(M161:N161)</f>
        <v>0</v>
      </c>
      <c r="P161" s="3290"/>
      <c r="Q161" s="3290"/>
      <c r="R161" s="1877"/>
    </row>
    <row r="162" spans="1:18">
      <c r="A162" s="1870" t="s">
        <v>1360</v>
      </c>
      <c r="B162" s="1879" t="s">
        <v>1361</v>
      </c>
      <c r="C162" s="1880" t="s">
        <v>1362</v>
      </c>
      <c r="D162" s="1897">
        <v>0</v>
      </c>
      <c r="E162" s="1897">
        <v>0</v>
      </c>
      <c r="F162" s="1897">
        <v>0</v>
      </c>
      <c r="G162" s="1897">
        <v>0</v>
      </c>
      <c r="H162" s="1897">
        <v>0</v>
      </c>
      <c r="I162" s="1897">
        <v>0</v>
      </c>
      <c r="J162" s="1897">
        <v>0</v>
      </c>
      <c r="K162" s="1897">
        <v>0</v>
      </c>
      <c r="L162" s="1897">
        <v>0</v>
      </c>
      <c r="M162" s="4098">
        <f t="shared" si="11"/>
        <v>0</v>
      </c>
      <c r="N162" s="1897">
        <v>0</v>
      </c>
      <c r="O162" s="1900">
        <f t="shared" si="12"/>
        <v>0</v>
      </c>
      <c r="P162" s="3290"/>
      <c r="Q162" s="3290"/>
      <c r="R162" s="1877"/>
    </row>
    <row r="163" spans="1:18">
      <c r="A163" s="1870" t="s">
        <v>1363</v>
      </c>
      <c r="B163" s="1879" t="s">
        <v>1364</v>
      </c>
      <c r="C163" s="1880" t="s">
        <v>1365</v>
      </c>
      <c r="D163" s="1897">
        <v>0</v>
      </c>
      <c r="E163" s="1897">
        <v>0</v>
      </c>
      <c r="F163" s="1897">
        <v>0</v>
      </c>
      <c r="G163" s="1897">
        <v>0</v>
      </c>
      <c r="H163" s="1897">
        <v>0</v>
      </c>
      <c r="I163" s="1897">
        <v>0</v>
      </c>
      <c r="J163" s="1897">
        <v>0</v>
      </c>
      <c r="K163" s="1897">
        <v>0</v>
      </c>
      <c r="L163" s="1897">
        <v>0</v>
      </c>
      <c r="M163" s="4098">
        <f t="shared" si="11"/>
        <v>0</v>
      </c>
      <c r="N163" s="1897">
        <v>0</v>
      </c>
      <c r="O163" s="1900">
        <f t="shared" si="12"/>
        <v>0</v>
      </c>
      <c r="P163" s="3290"/>
      <c r="Q163" s="3290"/>
      <c r="R163" s="1877"/>
    </row>
    <row r="164" spans="1:18">
      <c r="A164" s="1870" t="s">
        <v>1366</v>
      </c>
      <c r="B164" s="1879" t="s">
        <v>1367</v>
      </c>
      <c r="C164" s="1880" t="s">
        <v>1368</v>
      </c>
      <c r="D164" s="1897">
        <v>0</v>
      </c>
      <c r="E164" s="1897">
        <v>0</v>
      </c>
      <c r="F164" s="1897">
        <v>0</v>
      </c>
      <c r="G164" s="1897">
        <v>0</v>
      </c>
      <c r="H164" s="1897">
        <v>0</v>
      </c>
      <c r="I164" s="1897">
        <v>0</v>
      </c>
      <c r="J164" s="1897">
        <v>0</v>
      </c>
      <c r="K164" s="1897">
        <v>0</v>
      </c>
      <c r="L164" s="1897">
        <v>0</v>
      </c>
      <c r="M164" s="4098">
        <f t="shared" si="11"/>
        <v>0</v>
      </c>
      <c r="N164" s="1897">
        <v>0</v>
      </c>
      <c r="O164" s="1900">
        <f t="shared" si="12"/>
        <v>0</v>
      </c>
      <c r="P164" s="3290"/>
      <c r="Q164" s="3290"/>
      <c r="R164" s="1877"/>
    </row>
    <row r="165" spans="1:18">
      <c r="A165" s="1870" t="s">
        <v>1369</v>
      </c>
      <c r="B165" s="1879" t="s">
        <v>1370</v>
      </c>
      <c r="C165" s="1880" t="s">
        <v>1371</v>
      </c>
      <c r="D165" s="1897">
        <v>0</v>
      </c>
      <c r="E165" s="1897">
        <v>0</v>
      </c>
      <c r="F165" s="1897">
        <v>0</v>
      </c>
      <c r="G165" s="1897">
        <v>0</v>
      </c>
      <c r="H165" s="1897">
        <v>0</v>
      </c>
      <c r="I165" s="1897">
        <v>0</v>
      </c>
      <c r="J165" s="1897">
        <v>0</v>
      </c>
      <c r="K165" s="1897">
        <v>0</v>
      </c>
      <c r="L165" s="1897">
        <v>0</v>
      </c>
      <c r="M165" s="4098">
        <f t="shared" si="11"/>
        <v>0</v>
      </c>
      <c r="N165" s="1897">
        <v>0</v>
      </c>
      <c r="O165" s="1900">
        <f t="shared" si="12"/>
        <v>0</v>
      </c>
      <c r="P165" s="3290"/>
      <c r="Q165" s="3290"/>
      <c r="R165" s="1877"/>
    </row>
    <row r="166" spans="1:18">
      <c r="A166" s="1870" t="s">
        <v>1372</v>
      </c>
      <c r="B166" s="1879" t="s">
        <v>1373</v>
      </c>
      <c r="C166" s="1880" t="s">
        <v>1374</v>
      </c>
      <c r="D166" s="1897">
        <v>0</v>
      </c>
      <c r="E166" s="1897">
        <v>0</v>
      </c>
      <c r="F166" s="1897">
        <v>0</v>
      </c>
      <c r="G166" s="1897">
        <v>0</v>
      </c>
      <c r="H166" s="1897">
        <v>0</v>
      </c>
      <c r="I166" s="1897">
        <v>0</v>
      </c>
      <c r="J166" s="1897">
        <v>0</v>
      </c>
      <c r="K166" s="1897">
        <v>0</v>
      </c>
      <c r="L166" s="1897">
        <v>0</v>
      </c>
      <c r="M166" s="4098">
        <f t="shared" si="11"/>
        <v>0</v>
      </c>
      <c r="N166" s="1897">
        <v>0</v>
      </c>
      <c r="O166" s="1900">
        <f t="shared" si="12"/>
        <v>0</v>
      </c>
      <c r="P166" s="3290"/>
      <c r="Q166" s="3290"/>
      <c r="R166" s="1877"/>
    </row>
    <row r="167" spans="1:18">
      <c r="A167" s="1870" t="s">
        <v>1375</v>
      </c>
      <c r="B167" s="1879" t="s">
        <v>1376</v>
      </c>
      <c r="C167" s="1880" t="s">
        <v>1377</v>
      </c>
      <c r="D167" s="1897">
        <v>0</v>
      </c>
      <c r="E167" s="1897">
        <v>0</v>
      </c>
      <c r="F167" s="1897">
        <v>0</v>
      </c>
      <c r="G167" s="1897">
        <v>0</v>
      </c>
      <c r="H167" s="1897">
        <v>0</v>
      </c>
      <c r="I167" s="1897">
        <v>0</v>
      </c>
      <c r="J167" s="1897">
        <v>0</v>
      </c>
      <c r="K167" s="1897">
        <v>0</v>
      </c>
      <c r="L167" s="1897">
        <v>0</v>
      </c>
      <c r="M167" s="4098">
        <f t="shared" si="11"/>
        <v>0</v>
      </c>
      <c r="N167" s="1897">
        <v>0</v>
      </c>
      <c r="O167" s="1900">
        <f t="shared" si="12"/>
        <v>0</v>
      </c>
      <c r="P167" s="3290"/>
      <c r="Q167" s="3290"/>
      <c r="R167" s="1877"/>
    </row>
    <row r="168" spans="1:18">
      <c r="A168" s="1870" t="s">
        <v>1378</v>
      </c>
      <c r="B168" s="1879" t="s">
        <v>1379</v>
      </c>
      <c r="C168" s="1880" t="s">
        <v>1380</v>
      </c>
      <c r="D168" s="1897">
        <v>0</v>
      </c>
      <c r="E168" s="1897">
        <v>0</v>
      </c>
      <c r="F168" s="1897">
        <v>0</v>
      </c>
      <c r="G168" s="1897">
        <v>0</v>
      </c>
      <c r="H168" s="1897">
        <v>0</v>
      </c>
      <c r="I168" s="1897">
        <v>0</v>
      </c>
      <c r="J168" s="1897">
        <v>0</v>
      </c>
      <c r="K168" s="1897">
        <v>0</v>
      </c>
      <c r="L168" s="1897">
        <v>0</v>
      </c>
      <c r="M168" s="4098">
        <f t="shared" si="11"/>
        <v>0</v>
      </c>
      <c r="N168" s="1897">
        <v>0</v>
      </c>
      <c r="O168" s="1900">
        <f t="shared" si="12"/>
        <v>0</v>
      </c>
      <c r="P168" s="3290"/>
      <c r="Q168" s="3290"/>
      <c r="R168" s="1877"/>
    </row>
    <row r="169" spans="1:18">
      <c r="A169" s="1870" t="s">
        <v>1381</v>
      </c>
      <c r="B169" s="1879" t="s">
        <v>1382</v>
      </c>
      <c r="C169" s="1880" t="s">
        <v>1383</v>
      </c>
      <c r="D169" s="1897">
        <v>0</v>
      </c>
      <c r="E169" s="1897">
        <v>0</v>
      </c>
      <c r="F169" s="1897">
        <v>0</v>
      </c>
      <c r="G169" s="1897">
        <v>0</v>
      </c>
      <c r="H169" s="1897">
        <v>0</v>
      </c>
      <c r="I169" s="1897">
        <v>0</v>
      </c>
      <c r="J169" s="1897">
        <v>0</v>
      </c>
      <c r="K169" s="1897">
        <v>0</v>
      </c>
      <c r="L169" s="1897">
        <v>0</v>
      </c>
      <c r="M169" s="4098">
        <f t="shared" si="11"/>
        <v>0</v>
      </c>
      <c r="N169" s="1897">
        <v>0</v>
      </c>
      <c r="O169" s="1900">
        <f t="shared" si="12"/>
        <v>0</v>
      </c>
      <c r="P169" s="3290"/>
      <c r="Q169" s="3290"/>
      <c r="R169" s="1877"/>
    </row>
    <row r="170" spans="1:18">
      <c r="A170" s="1870" t="s">
        <v>1384</v>
      </c>
      <c r="B170" s="1879" t="s">
        <v>1385</v>
      </c>
      <c r="C170" s="1880" t="s">
        <v>251</v>
      </c>
      <c r="D170" s="1897">
        <v>0</v>
      </c>
      <c r="E170" s="1897">
        <v>0</v>
      </c>
      <c r="F170" s="1897">
        <v>0</v>
      </c>
      <c r="G170" s="1897">
        <v>0</v>
      </c>
      <c r="H170" s="1897">
        <v>0</v>
      </c>
      <c r="I170" s="1897">
        <v>0</v>
      </c>
      <c r="J170" s="1897">
        <v>0</v>
      </c>
      <c r="K170" s="1897">
        <v>0</v>
      </c>
      <c r="L170" s="1897">
        <v>0</v>
      </c>
      <c r="M170" s="4098">
        <f t="shared" si="11"/>
        <v>0</v>
      </c>
      <c r="N170" s="1897">
        <v>0</v>
      </c>
      <c r="O170" s="1900">
        <f t="shared" si="12"/>
        <v>0</v>
      </c>
      <c r="P170" s="3290"/>
      <c r="Q170" s="3290"/>
      <c r="R170" s="512"/>
    </row>
    <row r="171" spans="1:18">
      <c r="A171" s="1870" t="s">
        <v>1386</v>
      </c>
      <c r="B171" s="1879" t="s">
        <v>1387</v>
      </c>
      <c r="C171" s="1880" t="s">
        <v>1388</v>
      </c>
      <c r="D171" s="1897">
        <v>0</v>
      </c>
      <c r="E171" s="1897">
        <v>0</v>
      </c>
      <c r="F171" s="1897">
        <v>0</v>
      </c>
      <c r="G171" s="1897">
        <v>0</v>
      </c>
      <c r="H171" s="1897">
        <v>0</v>
      </c>
      <c r="I171" s="1897">
        <v>0</v>
      </c>
      <c r="J171" s="1897">
        <v>0</v>
      </c>
      <c r="K171" s="1897">
        <v>0</v>
      </c>
      <c r="L171" s="1897">
        <v>0</v>
      </c>
      <c r="M171" s="4098">
        <f t="shared" si="11"/>
        <v>0</v>
      </c>
      <c r="N171" s="1897">
        <v>0</v>
      </c>
      <c r="O171" s="1900">
        <f t="shared" si="12"/>
        <v>0</v>
      </c>
      <c r="P171" s="3290"/>
      <c r="Q171" s="3290"/>
      <c r="R171" s="1877"/>
    </row>
    <row r="172" spans="1:18">
      <c r="A172" s="1870" t="s">
        <v>1389</v>
      </c>
      <c r="B172" s="1879" t="s">
        <v>1390</v>
      </c>
      <c r="C172" s="1880" t="s">
        <v>1391</v>
      </c>
      <c r="D172" s="1897">
        <v>0</v>
      </c>
      <c r="E172" s="1897">
        <v>0</v>
      </c>
      <c r="F172" s="1897">
        <v>0</v>
      </c>
      <c r="G172" s="1897">
        <v>0</v>
      </c>
      <c r="H172" s="1897">
        <v>0</v>
      </c>
      <c r="I172" s="1897">
        <v>0</v>
      </c>
      <c r="J172" s="1897">
        <v>0</v>
      </c>
      <c r="K172" s="1897">
        <v>0</v>
      </c>
      <c r="L172" s="1897">
        <v>0</v>
      </c>
      <c r="M172" s="4098">
        <f t="shared" si="11"/>
        <v>0</v>
      </c>
      <c r="N172" s="1897">
        <v>0</v>
      </c>
      <c r="O172" s="1900">
        <f t="shared" si="12"/>
        <v>0</v>
      </c>
      <c r="P172" s="3290"/>
      <c r="Q172" s="3290"/>
      <c r="R172" s="1877"/>
    </row>
    <row r="173" spans="1:18">
      <c r="A173" s="1870" t="s">
        <v>1392</v>
      </c>
      <c r="B173" s="1879" t="s">
        <v>1393</v>
      </c>
      <c r="C173" s="1880" t="s">
        <v>1394</v>
      </c>
      <c r="D173" s="1897">
        <v>0</v>
      </c>
      <c r="E173" s="1897">
        <v>0</v>
      </c>
      <c r="F173" s="1897">
        <v>0</v>
      </c>
      <c r="G173" s="1897">
        <v>0</v>
      </c>
      <c r="H173" s="1897">
        <v>0</v>
      </c>
      <c r="I173" s="1897">
        <v>0</v>
      </c>
      <c r="J173" s="1897">
        <v>0</v>
      </c>
      <c r="K173" s="1897">
        <v>0</v>
      </c>
      <c r="L173" s="1897">
        <v>0</v>
      </c>
      <c r="M173" s="4098">
        <f t="shared" si="11"/>
        <v>0</v>
      </c>
      <c r="N173" s="1897">
        <v>0</v>
      </c>
      <c r="O173" s="1900">
        <f t="shared" si="12"/>
        <v>0</v>
      </c>
      <c r="P173" s="3290"/>
      <c r="Q173" s="3290"/>
      <c r="R173" s="1877"/>
    </row>
    <row r="174" spans="1:18">
      <c r="A174" s="1870" t="s">
        <v>1395</v>
      </c>
      <c r="B174" s="1879" t="s">
        <v>1396</v>
      </c>
      <c r="C174" s="1880" t="s">
        <v>1397</v>
      </c>
      <c r="D174" s="1897">
        <v>0</v>
      </c>
      <c r="E174" s="1897">
        <v>0</v>
      </c>
      <c r="F174" s="1897">
        <v>0</v>
      </c>
      <c r="G174" s="1897">
        <v>0</v>
      </c>
      <c r="H174" s="1897">
        <v>0</v>
      </c>
      <c r="I174" s="1897">
        <v>0</v>
      </c>
      <c r="J174" s="1897">
        <v>0</v>
      </c>
      <c r="K174" s="1897">
        <v>0</v>
      </c>
      <c r="L174" s="1897">
        <v>0</v>
      </c>
      <c r="M174" s="4098">
        <f t="shared" si="11"/>
        <v>0</v>
      </c>
      <c r="N174" s="1897">
        <v>0</v>
      </c>
      <c r="O174" s="1900">
        <f t="shared" si="12"/>
        <v>0</v>
      </c>
      <c r="P174" s="3290"/>
      <c r="Q174" s="3290"/>
      <c r="R174" s="1877"/>
    </row>
    <row r="175" spans="1:18">
      <c r="A175" s="1870" t="s">
        <v>1398</v>
      </c>
      <c r="B175" s="1879" t="s">
        <v>1399</v>
      </c>
      <c r="C175" s="1880" t="s">
        <v>1400</v>
      </c>
      <c r="D175" s="1897">
        <v>0</v>
      </c>
      <c r="E175" s="1897">
        <v>0</v>
      </c>
      <c r="F175" s="1897">
        <v>0</v>
      </c>
      <c r="G175" s="1897">
        <v>0</v>
      </c>
      <c r="H175" s="1897">
        <v>0</v>
      </c>
      <c r="I175" s="1897">
        <v>0</v>
      </c>
      <c r="J175" s="1897">
        <v>0</v>
      </c>
      <c r="K175" s="1897">
        <v>0</v>
      </c>
      <c r="L175" s="1897">
        <v>0</v>
      </c>
      <c r="M175" s="4098">
        <f t="shared" si="11"/>
        <v>0</v>
      </c>
      <c r="N175" s="1897">
        <v>0</v>
      </c>
      <c r="O175" s="1900">
        <f t="shared" si="12"/>
        <v>0</v>
      </c>
      <c r="P175" s="3290"/>
      <c r="Q175" s="3290"/>
      <c r="R175" s="1877"/>
    </row>
    <row r="176" spans="1:18">
      <c r="A176" s="1870" t="s">
        <v>1401</v>
      </c>
      <c r="B176" s="1879" t="s">
        <v>1402</v>
      </c>
      <c r="C176" s="1880" t="s">
        <v>1403</v>
      </c>
      <c r="D176" s="1897">
        <v>0</v>
      </c>
      <c r="E176" s="1897">
        <v>0</v>
      </c>
      <c r="F176" s="1897">
        <v>0</v>
      </c>
      <c r="G176" s="1897">
        <v>0</v>
      </c>
      <c r="H176" s="1897">
        <v>0</v>
      </c>
      <c r="I176" s="1897">
        <v>0</v>
      </c>
      <c r="J176" s="1897">
        <v>0</v>
      </c>
      <c r="K176" s="1897">
        <v>0</v>
      </c>
      <c r="L176" s="1897">
        <v>0</v>
      </c>
      <c r="M176" s="4098">
        <f t="shared" si="11"/>
        <v>0</v>
      </c>
      <c r="N176" s="1897">
        <v>0</v>
      </c>
      <c r="O176" s="1900">
        <f t="shared" si="12"/>
        <v>0</v>
      </c>
      <c r="P176" s="3290"/>
      <c r="Q176" s="3290"/>
      <c r="R176" s="1877"/>
    </row>
    <row r="177" spans="1:18">
      <c r="A177" s="1870" t="s">
        <v>1404</v>
      </c>
      <c r="B177" s="1879" t="s">
        <v>1405</v>
      </c>
      <c r="C177" s="1880" t="s">
        <v>1406</v>
      </c>
      <c r="D177" s="1897">
        <v>0</v>
      </c>
      <c r="E177" s="1897">
        <v>0</v>
      </c>
      <c r="F177" s="1897">
        <v>0</v>
      </c>
      <c r="G177" s="1897">
        <v>0</v>
      </c>
      <c r="H177" s="1897">
        <v>0</v>
      </c>
      <c r="I177" s="1897">
        <v>0</v>
      </c>
      <c r="J177" s="1897">
        <v>0</v>
      </c>
      <c r="K177" s="1897">
        <v>0</v>
      </c>
      <c r="L177" s="1897">
        <v>0</v>
      </c>
      <c r="M177" s="4098">
        <f t="shared" si="11"/>
        <v>0</v>
      </c>
      <c r="N177" s="1897">
        <v>0</v>
      </c>
      <c r="O177" s="1900">
        <f t="shared" si="12"/>
        <v>0</v>
      </c>
      <c r="P177" s="3290"/>
      <c r="Q177" s="3290"/>
      <c r="R177" s="1877"/>
    </row>
    <row r="178" spans="1:18">
      <c r="A178" s="1870" t="s">
        <v>1407</v>
      </c>
      <c r="B178" s="1879" t="s">
        <v>1408</v>
      </c>
      <c r="C178" s="1880" t="s">
        <v>1409</v>
      </c>
      <c r="D178" s="1897">
        <v>0</v>
      </c>
      <c r="E178" s="1897">
        <v>0</v>
      </c>
      <c r="F178" s="1897">
        <v>0</v>
      </c>
      <c r="G178" s="1897">
        <v>0</v>
      </c>
      <c r="H178" s="1897">
        <v>0</v>
      </c>
      <c r="I178" s="1897">
        <v>0</v>
      </c>
      <c r="J178" s="1897">
        <v>0</v>
      </c>
      <c r="K178" s="1897">
        <v>0</v>
      </c>
      <c r="L178" s="1897">
        <v>0</v>
      </c>
      <c r="M178" s="4098">
        <f t="shared" si="11"/>
        <v>0</v>
      </c>
      <c r="N178" s="1897">
        <v>0</v>
      </c>
      <c r="O178" s="1900">
        <f t="shared" si="12"/>
        <v>0</v>
      </c>
      <c r="P178" s="3290"/>
      <c r="Q178" s="3290"/>
      <c r="R178" s="1877"/>
    </row>
    <row r="179" spans="1:18">
      <c r="A179" s="1870" t="s">
        <v>1410</v>
      </c>
      <c r="B179" s="1879" t="s">
        <v>1411</v>
      </c>
      <c r="C179" s="1880" t="s">
        <v>1412</v>
      </c>
      <c r="D179" s="1897">
        <v>0</v>
      </c>
      <c r="E179" s="1897">
        <v>0</v>
      </c>
      <c r="F179" s="1897">
        <v>0</v>
      </c>
      <c r="G179" s="1897">
        <v>0</v>
      </c>
      <c r="H179" s="1897">
        <v>0</v>
      </c>
      <c r="I179" s="1897">
        <v>0</v>
      </c>
      <c r="J179" s="1897">
        <v>0</v>
      </c>
      <c r="K179" s="1897">
        <v>0</v>
      </c>
      <c r="L179" s="1897">
        <v>0</v>
      </c>
      <c r="M179" s="4098">
        <f>SUM(D179:L179)</f>
        <v>0</v>
      </c>
      <c r="N179" s="1897">
        <v>0</v>
      </c>
      <c r="O179" s="1900">
        <f>SUM(M179:N179)</f>
        <v>0</v>
      </c>
      <c r="P179" s="3290"/>
      <c r="Q179" s="3290"/>
      <c r="R179" s="1877"/>
    </row>
    <row r="180" spans="1:18">
      <c r="A180" s="1870"/>
      <c r="B180" s="508"/>
      <c r="C180" s="1880"/>
      <c r="D180" s="3726"/>
      <c r="E180" s="3726"/>
      <c r="F180" s="3726"/>
      <c r="G180" s="3726"/>
      <c r="H180" s="3726"/>
      <c r="I180" s="3726"/>
      <c r="J180" s="3726"/>
      <c r="K180" s="3726"/>
      <c r="L180" s="3726"/>
      <c r="M180" s="3726"/>
      <c r="N180" s="3726"/>
      <c r="O180" s="3726"/>
      <c r="P180" s="3290"/>
      <c r="Q180" s="3290"/>
      <c r="R180" s="1877"/>
    </row>
    <row r="181" spans="1:18">
      <c r="A181" s="1870"/>
      <c r="B181" s="510" t="s">
        <v>1413</v>
      </c>
      <c r="C181" s="1880"/>
      <c r="D181" s="1901">
        <f>SUM(D160:D179)</f>
        <v>0</v>
      </c>
      <c r="E181" s="1901">
        <f t="shared" ref="E181:N181" si="13">SUM(E160:E179)</f>
        <v>0</v>
      </c>
      <c r="F181" s="1901">
        <f t="shared" si="13"/>
        <v>0</v>
      </c>
      <c r="G181" s="1901">
        <f t="shared" si="13"/>
        <v>0</v>
      </c>
      <c r="H181" s="1901">
        <f t="shared" si="13"/>
        <v>0</v>
      </c>
      <c r="I181" s="1901">
        <f t="shared" si="13"/>
        <v>0</v>
      </c>
      <c r="J181" s="1901">
        <f t="shared" si="13"/>
        <v>0</v>
      </c>
      <c r="K181" s="1901">
        <f t="shared" si="13"/>
        <v>0</v>
      </c>
      <c r="L181" s="1901">
        <f t="shared" si="13"/>
        <v>0</v>
      </c>
      <c r="M181" s="1901">
        <f t="shared" si="13"/>
        <v>0</v>
      </c>
      <c r="N181" s="1901">
        <f t="shared" si="13"/>
        <v>0</v>
      </c>
      <c r="O181" s="1901">
        <f>SUM(M181:N181)</f>
        <v>0</v>
      </c>
      <c r="P181" s="3290"/>
      <c r="Q181" s="3290"/>
      <c r="R181" s="1877"/>
    </row>
    <row r="182" spans="1:18">
      <c r="A182" s="1870"/>
      <c r="B182" s="508"/>
      <c r="C182" s="1880"/>
      <c r="D182" s="3727"/>
      <c r="E182" s="3727"/>
      <c r="F182" s="3727"/>
      <c r="G182" s="3727"/>
      <c r="H182" s="3727"/>
      <c r="I182" s="3727"/>
      <c r="J182" s="3727"/>
      <c r="K182" s="3727"/>
      <c r="L182" s="3727"/>
      <c r="M182" s="3727"/>
      <c r="N182" s="3727"/>
      <c r="O182" s="3728"/>
      <c r="P182" s="3290"/>
      <c r="Q182" s="3290"/>
      <c r="R182" s="1877"/>
    </row>
    <row r="183" spans="1:18">
      <c r="A183" s="1870"/>
      <c r="B183" s="3729" t="s">
        <v>1414</v>
      </c>
      <c r="C183" s="3730"/>
      <c r="D183" s="1902"/>
      <c r="E183" s="1902"/>
      <c r="F183" s="1902"/>
      <c r="G183" s="1902"/>
      <c r="H183" s="1902"/>
      <c r="I183" s="1902"/>
      <c r="J183" s="1902"/>
      <c r="K183" s="1902"/>
      <c r="L183" s="1902"/>
      <c r="M183" s="1902"/>
      <c r="N183" s="1902"/>
      <c r="O183" s="1900"/>
      <c r="P183" s="3290"/>
      <c r="Q183" s="3290"/>
      <c r="R183" s="1877"/>
    </row>
    <row r="184" spans="1:18">
      <c r="A184" s="1870"/>
      <c r="B184" s="3731"/>
      <c r="C184" s="3725"/>
      <c r="D184" s="1902"/>
      <c r="E184" s="1902"/>
      <c r="F184" s="1902"/>
      <c r="G184" s="1902"/>
      <c r="H184" s="1902"/>
      <c r="I184" s="1902"/>
      <c r="J184" s="1902"/>
      <c r="K184" s="1902"/>
      <c r="L184" s="1902"/>
      <c r="M184" s="1902"/>
      <c r="N184" s="1902"/>
      <c r="O184" s="1900"/>
      <c r="P184" s="3290"/>
      <c r="Q184" s="3290"/>
      <c r="R184" s="1877"/>
    </row>
    <row r="185" spans="1:18">
      <c r="A185" s="1870" t="s">
        <v>1415</v>
      </c>
      <c r="B185" s="1879" t="s">
        <v>1416</v>
      </c>
      <c r="C185" s="1881" t="s">
        <v>1417</v>
      </c>
      <c r="D185" s="1897">
        <v>0</v>
      </c>
      <c r="E185" s="1897">
        <v>0</v>
      </c>
      <c r="F185" s="1897">
        <v>0</v>
      </c>
      <c r="G185" s="1897">
        <v>0</v>
      </c>
      <c r="H185" s="1897">
        <v>0</v>
      </c>
      <c r="I185" s="1897">
        <v>0</v>
      </c>
      <c r="J185" s="1897">
        <v>0</v>
      </c>
      <c r="K185" s="1897">
        <v>0</v>
      </c>
      <c r="L185" s="1897">
        <v>0</v>
      </c>
      <c r="M185" s="1899">
        <f>SUM(D185:L185)</f>
        <v>0</v>
      </c>
      <c r="N185" s="1897">
        <v>0</v>
      </c>
      <c r="O185" s="1900">
        <f>SUM(M185:N185)</f>
        <v>0</v>
      </c>
      <c r="P185" s="3290" t="s">
        <v>366</v>
      </c>
      <c r="Q185" s="3290"/>
      <c r="R185" s="1877"/>
    </row>
    <row r="186" spans="1:18">
      <c r="A186" s="1870" t="s">
        <v>1418</v>
      </c>
      <c r="B186" s="1879" t="s">
        <v>1419</v>
      </c>
      <c r="C186" s="1881" t="s">
        <v>1420</v>
      </c>
      <c r="D186" s="1897">
        <v>0</v>
      </c>
      <c r="E186" s="1897">
        <v>0</v>
      </c>
      <c r="F186" s="1897">
        <v>0</v>
      </c>
      <c r="G186" s="1897">
        <v>0</v>
      </c>
      <c r="H186" s="1897">
        <v>0</v>
      </c>
      <c r="I186" s="1897">
        <v>0</v>
      </c>
      <c r="J186" s="1897">
        <v>0</v>
      </c>
      <c r="K186" s="1897">
        <v>0</v>
      </c>
      <c r="L186" s="1897">
        <v>0</v>
      </c>
      <c r="M186" s="1899">
        <f t="shared" ref="M186:M200" si="14">SUM(D186:L186)</f>
        <v>0</v>
      </c>
      <c r="N186" s="4099">
        <f>-SRECNP!F11</f>
        <v>0</v>
      </c>
      <c r="O186" s="1900">
        <f t="shared" ref="O186:O199" si="15">SUM(M186:N186)</f>
        <v>0</v>
      </c>
      <c r="P186" s="3290" t="s">
        <v>366</v>
      </c>
      <c r="Q186" s="3290"/>
      <c r="R186" s="1877"/>
    </row>
    <row r="187" spans="1:18">
      <c r="A187" s="1870" t="s">
        <v>1421</v>
      </c>
      <c r="B187" s="1879" t="s">
        <v>1422</v>
      </c>
      <c r="C187" s="1881" t="s">
        <v>1423</v>
      </c>
      <c r="D187" s="1897">
        <v>0</v>
      </c>
      <c r="E187" s="1897">
        <v>0</v>
      </c>
      <c r="F187" s="1897">
        <v>0</v>
      </c>
      <c r="G187" s="1897">
        <v>0</v>
      </c>
      <c r="H187" s="1897">
        <v>0</v>
      </c>
      <c r="I187" s="1897">
        <v>0</v>
      </c>
      <c r="J187" s="1897">
        <v>0</v>
      </c>
      <c r="K187" s="1897">
        <v>0</v>
      </c>
      <c r="L187" s="1897">
        <v>0</v>
      </c>
      <c r="M187" s="1899">
        <f t="shared" si="14"/>
        <v>0</v>
      </c>
      <c r="N187" s="1897">
        <v>0</v>
      </c>
      <c r="O187" s="1900">
        <f t="shared" si="15"/>
        <v>0</v>
      </c>
      <c r="P187" s="3290" t="s">
        <v>366</v>
      </c>
      <c r="Q187" s="3290"/>
      <c r="R187" s="1877"/>
    </row>
    <row r="188" spans="1:18">
      <c r="A188" s="1870" t="s">
        <v>1424</v>
      </c>
      <c r="B188" s="1879" t="s">
        <v>1425</v>
      </c>
      <c r="C188" s="1881" t="s">
        <v>1426</v>
      </c>
      <c r="D188" s="1897">
        <v>0</v>
      </c>
      <c r="E188" s="1897">
        <v>0</v>
      </c>
      <c r="F188" s="1897">
        <v>0</v>
      </c>
      <c r="G188" s="1897">
        <v>0</v>
      </c>
      <c r="H188" s="1897">
        <v>0</v>
      </c>
      <c r="I188" s="1897">
        <v>0</v>
      </c>
      <c r="J188" s="1897">
        <v>0</v>
      </c>
      <c r="K188" s="1897">
        <v>0</v>
      </c>
      <c r="L188" s="1897">
        <v>0</v>
      </c>
      <c r="M188" s="1899">
        <f t="shared" si="14"/>
        <v>0</v>
      </c>
      <c r="N188" s="1897">
        <v>0</v>
      </c>
      <c r="O188" s="1900">
        <f t="shared" si="15"/>
        <v>0</v>
      </c>
      <c r="P188" s="3290" t="s">
        <v>366</v>
      </c>
      <c r="Q188" s="3290"/>
      <c r="R188" s="1877"/>
    </row>
    <row r="189" spans="1:18">
      <c r="A189" s="1870" t="s">
        <v>1427</v>
      </c>
      <c r="B189" s="1879" t="s">
        <v>1428</v>
      </c>
      <c r="C189" s="1881" t="s">
        <v>1429</v>
      </c>
      <c r="D189" s="1897">
        <v>0</v>
      </c>
      <c r="E189" s="1897">
        <v>0</v>
      </c>
      <c r="F189" s="1897">
        <v>0</v>
      </c>
      <c r="G189" s="1897">
        <v>0</v>
      </c>
      <c r="H189" s="1897">
        <v>0</v>
      </c>
      <c r="I189" s="1897">
        <v>0</v>
      </c>
      <c r="J189" s="1897">
        <v>0</v>
      </c>
      <c r="K189" s="1897">
        <v>0</v>
      </c>
      <c r="L189" s="1897">
        <v>0</v>
      </c>
      <c r="M189" s="1899">
        <f t="shared" si="14"/>
        <v>0</v>
      </c>
      <c r="N189" s="1897">
        <v>0</v>
      </c>
      <c r="O189" s="1900">
        <f t="shared" si="15"/>
        <v>0</v>
      </c>
      <c r="P189" s="3290" t="s">
        <v>366</v>
      </c>
      <c r="Q189" s="3290"/>
      <c r="R189" s="1877"/>
    </row>
    <row r="190" spans="1:18">
      <c r="A190" s="1870" t="s">
        <v>1430</v>
      </c>
      <c r="B190" s="1879" t="s">
        <v>1431</v>
      </c>
      <c r="C190" s="1881" t="s">
        <v>1432</v>
      </c>
      <c r="D190" s="1897">
        <v>0</v>
      </c>
      <c r="E190" s="1897">
        <v>0</v>
      </c>
      <c r="F190" s="1897">
        <v>0</v>
      </c>
      <c r="G190" s="1897">
        <v>0</v>
      </c>
      <c r="H190" s="1897">
        <v>0</v>
      </c>
      <c r="I190" s="1897">
        <v>0</v>
      </c>
      <c r="J190" s="1897">
        <v>0</v>
      </c>
      <c r="K190" s="1897">
        <v>0</v>
      </c>
      <c r="L190" s="1897">
        <v>0</v>
      </c>
      <c r="M190" s="1899">
        <f t="shared" si="14"/>
        <v>0</v>
      </c>
      <c r="N190" s="1897">
        <v>0</v>
      </c>
      <c r="O190" s="1900">
        <f t="shared" si="15"/>
        <v>0</v>
      </c>
      <c r="P190" s="3290" t="s">
        <v>366</v>
      </c>
      <c r="Q190" s="3290"/>
      <c r="R190" s="1877"/>
    </row>
    <row r="191" spans="1:18">
      <c r="A191" s="1870" t="s">
        <v>1433</v>
      </c>
      <c r="B191" s="1879" t="s">
        <v>1434</v>
      </c>
      <c r="C191" s="1881" t="s">
        <v>1435</v>
      </c>
      <c r="D191" s="1897">
        <v>0</v>
      </c>
      <c r="E191" s="1897">
        <v>0</v>
      </c>
      <c r="F191" s="1897">
        <v>0</v>
      </c>
      <c r="G191" s="1897">
        <v>0</v>
      </c>
      <c r="H191" s="1897">
        <v>0</v>
      </c>
      <c r="I191" s="1897">
        <v>0</v>
      </c>
      <c r="J191" s="1897">
        <v>0</v>
      </c>
      <c r="K191" s="1897">
        <v>0</v>
      </c>
      <c r="L191" s="1897">
        <v>0</v>
      </c>
      <c r="M191" s="1899">
        <f t="shared" si="14"/>
        <v>0</v>
      </c>
      <c r="N191" s="1897">
        <v>0</v>
      </c>
      <c r="O191" s="1900">
        <f t="shared" si="15"/>
        <v>0</v>
      </c>
      <c r="P191" s="3290" t="s">
        <v>366</v>
      </c>
      <c r="Q191" s="3290"/>
      <c r="R191" s="1877"/>
    </row>
    <row r="192" spans="1:18">
      <c r="A192" s="1870" t="s">
        <v>1436</v>
      </c>
      <c r="B192" s="1879" t="s">
        <v>1437</v>
      </c>
      <c r="C192" s="1881" t="s">
        <v>1438</v>
      </c>
      <c r="D192" s="1897">
        <v>0</v>
      </c>
      <c r="E192" s="1897">
        <v>0</v>
      </c>
      <c r="F192" s="1897">
        <v>0</v>
      </c>
      <c r="G192" s="1897">
        <v>0</v>
      </c>
      <c r="H192" s="1897">
        <v>0</v>
      </c>
      <c r="I192" s="1897">
        <v>0</v>
      </c>
      <c r="J192" s="1897">
        <v>0</v>
      </c>
      <c r="K192" s="1897">
        <v>0</v>
      </c>
      <c r="L192" s="1897">
        <v>0</v>
      </c>
      <c r="M192" s="1899">
        <f t="shared" si="14"/>
        <v>0</v>
      </c>
      <c r="N192" s="1897">
        <v>0</v>
      </c>
      <c r="O192" s="1900">
        <f t="shared" si="15"/>
        <v>0</v>
      </c>
      <c r="P192" s="3290" t="s">
        <v>366</v>
      </c>
      <c r="Q192" s="3290"/>
      <c r="R192" s="1877"/>
    </row>
    <row r="193" spans="1:18">
      <c r="A193" s="1870" t="s">
        <v>1439</v>
      </c>
      <c r="B193" s="1879" t="s">
        <v>1440</v>
      </c>
      <c r="C193" s="1881" t="s">
        <v>1441</v>
      </c>
      <c r="D193" s="1897">
        <v>0</v>
      </c>
      <c r="E193" s="1897">
        <v>0</v>
      </c>
      <c r="F193" s="1897">
        <v>0</v>
      </c>
      <c r="G193" s="1897">
        <v>0</v>
      </c>
      <c r="H193" s="1897">
        <v>0</v>
      </c>
      <c r="I193" s="1897">
        <v>0</v>
      </c>
      <c r="J193" s="1897">
        <v>0</v>
      </c>
      <c r="K193" s="1897">
        <v>0</v>
      </c>
      <c r="L193" s="1897">
        <v>0</v>
      </c>
      <c r="M193" s="1899">
        <f t="shared" si="14"/>
        <v>0</v>
      </c>
      <c r="N193" s="1897">
        <v>0</v>
      </c>
      <c r="O193" s="1900">
        <f t="shared" si="15"/>
        <v>0</v>
      </c>
      <c r="P193" s="3290" t="s">
        <v>366</v>
      </c>
      <c r="Q193" s="3290"/>
      <c r="R193" s="1877"/>
    </row>
    <row r="194" spans="1:18">
      <c r="A194" s="1870" t="s">
        <v>1442</v>
      </c>
      <c r="B194" s="1879" t="s">
        <v>1443</v>
      </c>
      <c r="C194" s="1880" t="s">
        <v>1444</v>
      </c>
      <c r="D194" s="1897">
        <v>0</v>
      </c>
      <c r="E194" s="1897">
        <v>0</v>
      </c>
      <c r="F194" s="1897">
        <v>0</v>
      </c>
      <c r="G194" s="1897">
        <v>0</v>
      </c>
      <c r="H194" s="1897">
        <v>0</v>
      </c>
      <c r="I194" s="1897">
        <v>0</v>
      </c>
      <c r="J194" s="1897">
        <v>0</v>
      </c>
      <c r="K194" s="1897">
        <v>0</v>
      </c>
      <c r="L194" s="1897">
        <v>0</v>
      </c>
      <c r="M194" s="1899">
        <f t="shared" si="14"/>
        <v>0</v>
      </c>
      <c r="N194" s="1897">
        <v>0</v>
      </c>
      <c r="O194" s="1900">
        <f t="shared" si="15"/>
        <v>0</v>
      </c>
      <c r="P194" s="3290" t="s">
        <v>366</v>
      </c>
      <c r="Q194" s="3290"/>
      <c r="R194" s="513"/>
    </row>
    <row r="195" spans="1:18">
      <c r="A195" s="1870" t="s">
        <v>1445</v>
      </c>
      <c r="B195" s="1879" t="s">
        <v>1446</v>
      </c>
      <c r="C195" s="1880" t="s">
        <v>1447</v>
      </c>
      <c r="D195" s="1897">
        <v>0</v>
      </c>
      <c r="E195" s="1897">
        <v>0</v>
      </c>
      <c r="F195" s="1897">
        <v>0</v>
      </c>
      <c r="G195" s="1897">
        <v>0</v>
      </c>
      <c r="H195" s="1897">
        <v>0</v>
      </c>
      <c r="I195" s="1897">
        <v>0</v>
      </c>
      <c r="J195" s="1897">
        <v>0</v>
      </c>
      <c r="K195" s="1897">
        <v>0</v>
      </c>
      <c r="L195" s="1897">
        <v>0</v>
      </c>
      <c r="M195" s="1899">
        <f t="shared" si="14"/>
        <v>0</v>
      </c>
      <c r="N195" s="1897">
        <v>0</v>
      </c>
      <c r="O195" s="1900">
        <f t="shared" si="15"/>
        <v>0</v>
      </c>
      <c r="P195" s="3290" t="s">
        <v>366</v>
      </c>
      <c r="Q195" s="3290"/>
      <c r="R195" s="513"/>
    </row>
    <row r="196" spans="1:18">
      <c r="A196" s="1870" t="s">
        <v>1448</v>
      </c>
      <c r="B196" s="1879" t="s">
        <v>1449</v>
      </c>
      <c r="C196" s="1880" t="s">
        <v>1450</v>
      </c>
      <c r="D196" s="1897">
        <v>0</v>
      </c>
      <c r="E196" s="1897">
        <v>0</v>
      </c>
      <c r="F196" s="1897">
        <v>0</v>
      </c>
      <c r="G196" s="1897">
        <v>0</v>
      </c>
      <c r="H196" s="1897">
        <v>0</v>
      </c>
      <c r="I196" s="1897">
        <v>0</v>
      </c>
      <c r="J196" s="1897">
        <v>0</v>
      </c>
      <c r="K196" s="1897">
        <v>0</v>
      </c>
      <c r="L196" s="1897">
        <v>0</v>
      </c>
      <c r="M196" s="1899">
        <f t="shared" si="14"/>
        <v>0</v>
      </c>
      <c r="N196" s="1897">
        <v>0</v>
      </c>
      <c r="O196" s="1900">
        <f t="shared" si="15"/>
        <v>0</v>
      </c>
      <c r="P196" s="3290" t="s">
        <v>366</v>
      </c>
      <c r="Q196" s="3290"/>
      <c r="R196" s="1877"/>
    </row>
    <row r="197" spans="1:18">
      <c r="A197" s="1870" t="s">
        <v>1451</v>
      </c>
      <c r="B197" s="1879" t="s">
        <v>1452</v>
      </c>
      <c r="C197" s="1880" t="s">
        <v>1453</v>
      </c>
      <c r="D197" s="1897">
        <v>0</v>
      </c>
      <c r="E197" s="1897">
        <v>0</v>
      </c>
      <c r="F197" s="1897">
        <v>0</v>
      </c>
      <c r="G197" s="1897">
        <v>0</v>
      </c>
      <c r="H197" s="1897">
        <v>0</v>
      </c>
      <c r="I197" s="1897">
        <v>0</v>
      </c>
      <c r="J197" s="1897">
        <v>0</v>
      </c>
      <c r="K197" s="1897">
        <v>0</v>
      </c>
      <c r="L197" s="1897">
        <v>0</v>
      </c>
      <c r="M197" s="1899">
        <f t="shared" si="14"/>
        <v>0</v>
      </c>
      <c r="N197" s="1897">
        <v>0</v>
      </c>
      <c r="O197" s="1900">
        <f t="shared" si="15"/>
        <v>0</v>
      </c>
      <c r="P197" s="3290" t="s">
        <v>366</v>
      </c>
      <c r="Q197" s="3290"/>
      <c r="R197" s="1877"/>
    </row>
    <row r="198" spans="1:18">
      <c r="A198" s="1870" t="s">
        <v>1454</v>
      </c>
      <c r="B198" s="1879" t="s">
        <v>1455</v>
      </c>
      <c r="C198" s="1881" t="s">
        <v>1456</v>
      </c>
      <c r="D198" s="1897">
        <v>0</v>
      </c>
      <c r="E198" s="1897">
        <v>0</v>
      </c>
      <c r="F198" s="1897">
        <v>0</v>
      </c>
      <c r="G198" s="1897">
        <v>0</v>
      </c>
      <c r="H198" s="1897">
        <v>0</v>
      </c>
      <c r="I198" s="1897">
        <v>0</v>
      </c>
      <c r="J198" s="1897">
        <v>0</v>
      </c>
      <c r="K198" s="1897">
        <v>0</v>
      </c>
      <c r="L198" s="1897">
        <v>0</v>
      </c>
      <c r="M198" s="1899">
        <f t="shared" si="14"/>
        <v>0</v>
      </c>
      <c r="N198" s="1897">
        <v>0</v>
      </c>
      <c r="O198" s="1900">
        <f t="shared" si="15"/>
        <v>0</v>
      </c>
      <c r="P198" s="3290" t="s">
        <v>366</v>
      </c>
      <c r="Q198" s="3290"/>
      <c r="R198" s="1877"/>
    </row>
    <row r="199" spans="1:18">
      <c r="A199" s="1870" t="s">
        <v>1457</v>
      </c>
      <c r="B199" s="1879" t="s">
        <v>1458</v>
      </c>
      <c r="C199" s="1880" t="s">
        <v>1459</v>
      </c>
      <c r="D199" s="1897">
        <v>0</v>
      </c>
      <c r="E199" s="1897">
        <v>0</v>
      </c>
      <c r="F199" s="1897">
        <v>0</v>
      </c>
      <c r="G199" s="1897">
        <v>0</v>
      </c>
      <c r="H199" s="1897">
        <v>0</v>
      </c>
      <c r="I199" s="1897">
        <v>0</v>
      </c>
      <c r="J199" s="1897">
        <v>0</v>
      </c>
      <c r="K199" s="1897">
        <v>0</v>
      </c>
      <c r="L199" s="1897">
        <v>0</v>
      </c>
      <c r="M199" s="1899">
        <f t="shared" si="14"/>
        <v>0</v>
      </c>
      <c r="N199" s="1897">
        <v>0</v>
      </c>
      <c r="O199" s="1900">
        <f t="shared" si="15"/>
        <v>0</v>
      </c>
      <c r="P199" s="3290" t="s">
        <v>366</v>
      </c>
      <c r="Q199" s="3290"/>
      <c r="R199" s="1877"/>
    </row>
    <row r="200" spans="1:18">
      <c r="A200" s="1870" t="s">
        <v>1460</v>
      </c>
      <c r="B200" s="1879" t="s">
        <v>1461</v>
      </c>
      <c r="C200" s="1880" t="s">
        <v>1462</v>
      </c>
      <c r="D200" s="1897">
        <v>0</v>
      </c>
      <c r="E200" s="1897">
        <v>0</v>
      </c>
      <c r="F200" s="1897">
        <v>0</v>
      </c>
      <c r="G200" s="1897">
        <v>0</v>
      </c>
      <c r="H200" s="1897">
        <v>0</v>
      </c>
      <c r="I200" s="1897">
        <v>0</v>
      </c>
      <c r="J200" s="1897">
        <v>0</v>
      </c>
      <c r="K200" s="1897">
        <v>0</v>
      </c>
      <c r="L200" s="1897">
        <v>0</v>
      </c>
      <c r="M200" s="1899">
        <f t="shared" si="14"/>
        <v>0</v>
      </c>
      <c r="N200" s="1897">
        <v>0</v>
      </c>
      <c r="O200" s="1900">
        <f>SUM(M200:N200)</f>
        <v>0</v>
      </c>
      <c r="P200" s="3290" t="s">
        <v>366</v>
      </c>
      <c r="Q200" s="3290"/>
      <c r="R200" s="1877"/>
    </row>
    <row r="201" spans="1:18">
      <c r="A201" s="1870"/>
      <c r="B201" s="514"/>
      <c r="C201" s="1880"/>
      <c r="D201" s="4100"/>
      <c r="E201" s="4100"/>
      <c r="F201" s="4100"/>
      <c r="G201" s="4100"/>
      <c r="H201" s="4100"/>
      <c r="I201" s="4100"/>
      <c r="J201" s="4100"/>
      <c r="K201" s="4100"/>
      <c r="L201" s="4100"/>
      <c r="M201" s="3726"/>
      <c r="N201" s="3726"/>
      <c r="O201" s="3726"/>
      <c r="P201" s="3290"/>
      <c r="Q201" s="3290"/>
      <c r="R201" s="1877"/>
    </row>
    <row r="202" spans="1:18">
      <c r="A202" s="1870"/>
      <c r="B202" s="510" t="s">
        <v>1463</v>
      </c>
      <c r="C202" s="1880"/>
      <c r="D202" s="1901">
        <f t="shared" ref="D202:N202" si="16">SUM(D185:D200)</f>
        <v>0</v>
      </c>
      <c r="E202" s="1901">
        <f t="shared" si="16"/>
        <v>0</v>
      </c>
      <c r="F202" s="1901">
        <f t="shared" si="16"/>
        <v>0</v>
      </c>
      <c r="G202" s="1901">
        <f t="shared" si="16"/>
        <v>0</v>
      </c>
      <c r="H202" s="1901">
        <f t="shared" si="16"/>
        <v>0</v>
      </c>
      <c r="I202" s="1901">
        <f t="shared" si="16"/>
        <v>0</v>
      </c>
      <c r="J202" s="1901">
        <f t="shared" si="16"/>
        <v>0</v>
      </c>
      <c r="K202" s="1901">
        <f t="shared" si="16"/>
        <v>0</v>
      </c>
      <c r="L202" s="1901">
        <f t="shared" si="16"/>
        <v>0</v>
      </c>
      <c r="M202" s="1901">
        <f t="shared" si="16"/>
        <v>0</v>
      </c>
      <c r="N202" s="1901">
        <f t="shared" si="16"/>
        <v>0</v>
      </c>
      <c r="O202" s="1901">
        <f>SUM(M202:N202)</f>
        <v>0</v>
      </c>
      <c r="P202" s="3290"/>
      <c r="Q202" s="3290"/>
      <c r="R202" s="1877"/>
    </row>
    <row r="203" spans="1:18">
      <c r="A203" s="1870"/>
      <c r="B203" s="514"/>
      <c r="C203" s="1880"/>
      <c r="D203" s="3727"/>
      <c r="E203" s="3727"/>
      <c r="F203" s="3727"/>
      <c r="G203" s="3727"/>
      <c r="H203" s="3727"/>
      <c r="I203" s="3727"/>
      <c r="J203" s="3727"/>
      <c r="K203" s="3727"/>
      <c r="L203" s="3727"/>
      <c r="M203" s="3727"/>
      <c r="N203" s="3727"/>
      <c r="O203" s="3728"/>
      <c r="P203" s="3290"/>
      <c r="Q203" s="3290"/>
      <c r="R203" s="1877"/>
    </row>
    <row r="204" spans="1:18" s="1871" customFormat="1">
      <c r="A204" s="1870" t="s">
        <v>1464</v>
      </c>
      <c r="B204" s="2037" t="s">
        <v>1465</v>
      </c>
      <c r="C204" s="2038" t="s">
        <v>1466</v>
      </c>
      <c r="D204" s="1897"/>
      <c r="E204" s="1897"/>
      <c r="F204" s="1897"/>
      <c r="G204" s="1897"/>
      <c r="H204" s="1897"/>
      <c r="I204" s="1897"/>
      <c r="J204" s="1897"/>
      <c r="K204" s="1897"/>
      <c r="L204" s="1897"/>
      <c r="M204" s="1899">
        <f>SUM(D204:L204)</f>
        <v>0</v>
      </c>
      <c r="N204" s="1897">
        <v>0</v>
      </c>
      <c r="O204" s="1900">
        <f>SUM(M204:N204)</f>
        <v>0</v>
      </c>
      <c r="P204" s="3290" t="s">
        <v>366</v>
      </c>
      <c r="Q204" s="3290"/>
      <c r="R204" s="1877"/>
    </row>
    <row r="205" spans="1:18">
      <c r="A205" s="1870" t="s">
        <v>1464</v>
      </c>
      <c r="B205" s="1876" t="s">
        <v>1467</v>
      </c>
      <c r="C205" s="1881" t="s">
        <v>1468</v>
      </c>
      <c r="D205" s="1897">
        <v>0</v>
      </c>
      <c r="E205" s="1897">
        <v>0</v>
      </c>
      <c r="F205" s="1897">
        <v>0</v>
      </c>
      <c r="G205" s="1897">
        <v>0</v>
      </c>
      <c r="H205" s="1897">
        <v>0</v>
      </c>
      <c r="I205" s="1897">
        <v>0</v>
      </c>
      <c r="J205" s="1897">
        <v>0</v>
      </c>
      <c r="K205" s="1897">
        <v>0</v>
      </c>
      <c r="L205" s="1897">
        <v>0</v>
      </c>
      <c r="M205" s="1899">
        <f>SUM(D205:L205)</f>
        <v>0</v>
      </c>
      <c r="N205" s="1897">
        <v>0</v>
      </c>
      <c r="O205" s="1900">
        <f>SUM(M205:N205)</f>
        <v>0</v>
      </c>
      <c r="P205" s="3290" t="s">
        <v>366</v>
      </c>
      <c r="Q205" s="3290"/>
      <c r="R205" s="1877"/>
    </row>
    <row r="206" spans="1:18">
      <c r="A206" s="1870" t="s">
        <v>1469</v>
      </c>
      <c r="B206" s="1460" t="s">
        <v>1470</v>
      </c>
      <c r="C206" s="1881" t="s">
        <v>1471</v>
      </c>
      <c r="D206" s="1897">
        <v>0</v>
      </c>
      <c r="E206" s="1897">
        <v>0</v>
      </c>
      <c r="F206" s="1897">
        <v>0</v>
      </c>
      <c r="G206" s="1897">
        <v>0</v>
      </c>
      <c r="H206" s="1897">
        <v>0</v>
      </c>
      <c r="I206" s="1897">
        <v>0</v>
      </c>
      <c r="J206" s="1897">
        <v>0</v>
      </c>
      <c r="K206" s="1897">
        <v>0</v>
      </c>
      <c r="L206" s="1897">
        <v>0</v>
      </c>
      <c r="M206" s="1899">
        <f t="shared" ref="M206:M238" si="17">SUM(D206:L206)</f>
        <v>0</v>
      </c>
      <c r="N206" s="1897">
        <v>0</v>
      </c>
      <c r="O206" s="1900">
        <f t="shared" ref="O206:O238" si="18">SUM(M206:N206)</f>
        <v>0</v>
      </c>
      <c r="P206" s="3290" t="s">
        <v>366</v>
      </c>
      <c r="Q206" s="3290"/>
      <c r="R206" s="1877"/>
    </row>
    <row r="207" spans="1:18">
      <c r="A207" s="1870" t="s">
        <v>1469</v>
      </c>
      <c r="B207" s="1460" t="s">
        <v>1472</v>
      </c>
      <c r="C207" s="1881" t="s">
        <v>1473</v>
      </c>
      <c r="D207" s="1897">
        <v>0</v>
      </c>
      <c r="E207" s="1897">
        <v>0</v>
      </c>
      <c r="F207" s="1897">
        <v>0</v>
      </c>
      <c r="G207" s="1897">
        <v>0</v>
      </c>
      <c r="H207" s="1897">
        <v>0</v>
      </c>
      <c r="I207" s="1897">
        <v>0</v>
      </c>
      <c r="J207" s="1897">
        <v>0</v>
      </c>
      <c r="K207" s="1897">
        <v>0</v>
      </c>
      <c r="L207" s="1897">
        <v>0</v>
      </c>
      <c r="M207" s="1899">
        <f t="shared" si="17"/>
        <v>0</v>
      </c>
      <c r="N207" s="1897">
        <v>0</v>
      </c>
      <c r="O207" s="1900">
        <f t="shared" si="18"/>
        <v>0</v>
      </c>
      <c r="P207" s="3290" t="s">
        <v>366</v>
      </c>
      <c r="Q207" s="3290"/>
      <c r="R207" s="1877"/>
    </row>
    <row r="208" spans="1:18">
      <c r="A208" s="1870" t="s">
        <v>1469</v>
      </c>
      <c r="B208" s="1876" t="s">
        <v>1474</v>
      </c>
      <c r="C208" s="1881" t="s">
        <v>1475</v>
      </c>
      <c r="D208" s="1897">
        <v>0</v>
      </c>
      <c r="E208" s="1897">
        <v>0</v>
      </c>
      <c r="F208" s="1897">
        <v>0</v>
      </c>
      <c r="G208" s="1897">
        <v>0</v>
      </c>
      <c r="H208" s="1897">
        <v>0</v>
      </c>
      <c r="I208" s="1897">
        <v>0</v>
      </c>
      <c r="J208" s="1897">
        <v>0</v>
      </c>
      <c r="K208" s="1897">
        <v>0</v>
      </c>
      <c r="L208" s="1897">
        <v>0</v>
      </c>
      <c r="M208" s="1899">
        <f t="shared" si="17"/>
        <v>0</v>
      </c>
      <c r="N208" s="1897">
        <v>0</v>
      </c>
      <c r="O208" s="1900">
        <f t="shared" si="18"/>
        <v>0</v>
      </c>
      <c r="P208" s="3290" t="s">
        <v>366</v>
      </c>
      <c r="Q208" s="3290"/>
      <c r="R208" s="1877"/>
    </row>
    <row r="209" spans="1:18">
      <c r="A209" s="1870" t="s">
        <v>1476</v>
      </c>
      <c r="B209" s="1460" t="s">
        <v>1477</v>
      </c>
      <c r="C209" s="1881" t="s">
        <v>1478</v>
      </c>
      <c r="D209" s="1897">
        <v>0</v>
      </c>
      <c r="E209" s="1897">
        <v>0</v>
      </c>
      <c r="F209" s="1897">
        <v>0</v>
      </c>
      <c r="G209" s="1897">
        <v>0</v>
      </c>
      <c r="H209" s="1897">
        <v>0</v>
      </c>
      <c r="I209" s="1897">
        <v>0</v>
      </c>
      <c r="J209" s="1897">
        <v>0</v>
      </c>
      <c r="K209" s="1897">
        <v>0</v>
      </c>
      <c r="L209" s="1897">
        <v>0</v>
      </c>
      <c r="M209" s="1899">
        <f t="shared" si="17"/>
        <v>0</v>
      </c>
      <c r="N209" s="1897">
        <v>0</v>
      </c>
      <c r="O209" s="1900">
        <f t="shared" si="18"/>
        <v>0</v>
      </c>
      <c r="P209" s="3290" t="s">
        <v>366</v>
      </c>
      <c r="Q209" s="3290"/>
      <c r="R209" s="1877"/>
    </row>
    <row r="210" spans="1:18">
      <c r="A210" s="1870" t="s">
        <v>1479</v>
      </c>
      <c r="B210" s="1460" t="s">
        <v>1480</v>
      </c>
      <c r="C210" s="1881" t="s">
        <v>1481</v>
      </c>
      <c r="D210" s="1897">
        <v>0</v>
      </c>
      <c r="E210" s="1897">
        <v>0</v>
      </c>
      <c r="F210" s="1897">
        <v>0</v>
      </c>
      <c r="G210" s="1897">
        <v>0</v>
      </c>
      <c r="H210" s="1897">
        <v>0</v>
      </c>
      <c r="I210" s="1897">
        <v>0</v>
      </c>
      <c r="J210" s="1897">
        <v>0</v>
      </c>
      <c r="K210" s="1897">
        <v>0</v>
      </c>
      <c r="L210" s="1897">
        <v>0</v>
      </c>
      <c r="M210" s="1899">
        <f t="shared" si="17"/>
        <v>0</v>
      </c>
      <c r="N210" s="1897">
        <v>0</v>
      </c>
      <c r="O210" s="1900">
        <f t="shared" si="18"/>
        <v>0</v>
      </c>
      <c r="P210" s="3290" t="s">
        <v>366</v>
      </c>
      <c r="Q210" s="3290"/>
      <c r="R210" s="1877"/>
    </row>
    <row r="211" spans="1:18">
      <c r="A211" s="1870" t="s">
        <v>1482</v>
      </c>
      <c r="B211" s="1460" t="s">
        <v>1483</v>
      </c>
      <c r="C211" s="1881" t="s">
        <v>1484</v>
      </c>
      <c r="D211" s="1897">
        <v>0</v>
      </c>
      <c r="E211" s="1897">
        <v>0</v>
      </c>
      <c r="F211" s="1897">
        <v>0</v>
      </c>
      <c r="G211" s="1897">
        <v>0</v>
      </c>
      <c r="H211" s="1897">
        <v>0</v>
      </c>
      <c r="I211" s="1897">
        <v>0</v>
      </c>
      <c r="J211" s="1897">
        <v>0</v>
      </c>
      <c r="K211" s="1897">
        <v>0</v>
      </c>
      <c r="L211" s="1897">
        <v>0</v>
      </c>
      <c r="M211" s="1899">
        <f t="shared" si="17"/>
        <v>0</v>
      </c>
      <c r="N211" s="1897">
        <v>0</v>
      </c>
      <c r="O211" s="1900">
        <f t="shared" si="18"/>
        <v>0</v>
      </c>
      <c r="P211" s="3290" t="s">
        <v>366</v>
      </c>
      <c r="Q211" s="3290"/>
      <c r="R211" s="1877"/>
    </row>
    <row r="212" spans="1:18">
      <c r="A212" s="1870"/>
      <c r="B212" s="1734" t="s">
        <v>1485</v>
      </c>
      <c r="C212" s="1881" t="s">
        <v>1486</v>
      </c>
      <c r="D212" s="1897">
        <v>0</v>
      </c>
      <c r="E212" s="1897">
        <v>0</v>
      </c>
      <c r="F212" s="1897">
        <v>0</v>
      </c>
      <c r="G212" s="1897">
        <v>0</v>
      </c>
      <c r="H212" s="1897">
        <v>0</v>
      </c>
      <c r="I212" s="1897">
        <v>0</v>
      </c>
      <c r="J212" s="1897">
        <v>0</v>
      </c>
      <c r="K212" s="1897">
        <v>0</v>
      </c>
      <c r="L212" s="1897">
        <v>0</v>
      </c>
      <c r="M212" s="1899">
        <f t="shared" si="17"/>
        <v>0</v>
      </c>
      <c r="N212" s="1897">
        <v>0</v>
      </c>
      <c r="O212" s="1900">
        <f t="shared" si="18"/>
        <v>0</v>
      </c>
      <c r="P212" s="3290" t="s">
        <v>366</v>
      </c>
      <c r="Q212" s="3290"/>
      <c r="R212" s="1877"/>
    </row>
    <row r="213" spans="1:18">
      <c r="A213" s="1870"/>
      <c r="B213" s="1460" t="s">
        <v>1487</v>
      </c>
      <c r="C213" s="1881" t="s">
        <v>1488</v>
      </c>
      <c r="D213" s="1897">
        <v>0</v>
      </c>
      <c r="E213" s="1897">
        <v>0</v>
      </c>
      <c r="F213" s="1897">
        <v>0</v>
      </c>
      <c r="G213" s="1897">
        <v>0</v>
      </c>
      <c r="H213" s="1897">
        <v>0</v>
      </c>
      <c r="I213" s="1897">
        <v>0</v>
      </c>
      <c r="J213" s="1897">
        <v>0</v>
      </c>
      <c r="K213" s="1897">
        <v>0</v>
      </c>
      <c r="L213" s="1897">
        <v>0</v>
      </c>
      <c r="M213" s="1899">
        <f t="shared" si="17"/>
        <v>0</v>
      </c>
      <c r="N213" s="1897">
        <v>0</v>
      </c>
      <c r="O213" s="1900">
        <f t="shared" si="18"/>
        <v>0</v>
      </c>
      <c r="P213" s="3290" t="s">
        <v>366</v>
      </c>
      <c r="Q213" s="3290"/>
      <c r="R213" s="1877"/>
    </row>
    <row r="214" spans="1:18">
      <c r="A214" s="1870" t="s">
        <v>1489</v>
      </c>
      <c r="B214" s="1460" t="s">
        <v>1490</v>
      </c>
      <c r="C214" s="1881" t="s">
        <v>1491</v>
      </c>
      <c r="D214" s="1897">
        <v>0</v>
      </c>
      <c r="E214" s="1897">
        <v>0</v>
      </c>
      <c r="F214" s="1897">
        <v>0</v>
      </c>
      <c r="G214" s="1897">
        <v>0</v>
      </c>
      <c r="H214" s="1897">
        <v>0</v>
      </c>
      <c r="I214" s="1897">
        <v>0</v>
      </c>
      <c r="J214" s="1897">
        <v>0</v>
      </c>
      <c r="K214" s="1897">
        <v>0</v>
      </c>
      <c r="L214" s="1897">
        <v>0</v>
      </c>
      <c r="M214" s="1899">
        <f t="shared" si="17"/>
        <v>0</v>
      </c>
      <c r="N214" s="1897">
        <v>0</v>
      </c>
      <c r="O214" s="1900">
        <f t="shared" si="18"/>
        <v>0</v>
      </c>
      <c r="P214" s="3290" t="s">
        <v>366</v>
      </c>
      <c r="Q214" s="3290"/>
      <c r="R214" s="1877"/>
    </row>
    <row r="215" spans="1:18">
      <c r="A215" s="1870"/>
      <c r="B215" s="1460" t="s">
        <v>1492</v>
      </c>
      <c r="C215" s="1881" t="s">
        <v>1493</v>
      </c>
      <c r="D215" s="1897">
        <v>0</v>
      </c>
      <c r="E215" s="1897">
        <v>0</v>
      </c>
      <c r="F215" s="1897">
        <v>0</v>
      </c>
      <c r="G215" s="1897">
        <v>0</v>
      </c>
      <c r="H215" s="1897">
        <v>0</v>
      </c>
      <c r="I215" s="1897">
        <v>0</v>
      </c>
      <c r="J215" s="1897">
        <v>0</v>
      </c>
      <c r="K215" s="1897">
        <v>0</v>
      </c>
      <c r="L215" s="1897">
        <v>0</v>
      </c>
      <c r="M215" s="1899">
        <f t="shared" si="17"/>
        <v>0</v>
      </c>
      <c r="N215" s="1897">
        <v>0</v>
      </c>
      <c r="O215" s="1900">
        <f t="shared" si="18"/>
        <v>0</v>
      </c>
      <c r="P215" s="3290" t="s">
        <v>366</v>
      </c>
      <c r="Q215" s="3290"/>
      <c r="R215" s="1877"/>
    </row>
    <row r="216" spans="1:18">
      <c r="A216" s="1870" t="s">
        <v>1489</v>
      </c>
      <c r="B216" s="1460" t="s">
        <v>1494</v>
      </c>
      <c r="C216" s="1881" t="s">
        <v>1495</v>
      </c>
      <c r="D216" s="1897">
        <v>0</v>
      </c>
      <c r="E216" s="1897">
        <v>0</v>
      </c>
      <c r="F216" s="1897">
        <v>0</v>
      </c>
      <c r="G216" s="1897">
        <v>0</v>
      </c>
      <c r="H216" s="1897">
        <v>0</v>
      </c>
      <c r="I216" s="1897">
        <v>0</v>
      </c>
      <c r="J216" s="1897">
        <v>0</v>
      </c>
      <c r="K216" s="1897">
        <v>0</v>
      </c>
      <c r="L216" s="1897">
        <v>0</v>
      </c>
      <c r="M216" s="1899">
        <f t="shared" si="17"/>
        <v>0</v>
      </c>
      <c r="N216" s="1897">
        <v>0</v>
      </c>
      <c r="O216" s="1900">
        <f t="shared" si="18"/>
        <v>0</v>
      </c>
      <c r="P216" s="3290" t="s">
        <v>366</v>
      </c>
      <c r="Q216" s="3290"/>
      <c r="R216" s="1877"/>
    </row>
    <row r="217" spans="1:18">
      <c r="A217" s="1870" t="s">
        <v>1476</v>
      </c>
      <c r="B217" s="1876" t="s">
        <v>1496</v>
      </c>
      <c r="C217" s="1881" t="s">
        <v>1497</v>
      </c>
      <c r="D217" s="1897">
        <v>0</v>
      </c>
      <c r="E217" s="1897">
        <v>0</v>
      </c>
      <c r="F217" s="1897">
        <v>0</v>
      </c>
      <c r="G217" s="1897">
        <v>0</v>
      </c>
      <c r="H217" s="1897">
        <v>0</v>
      </c>
      <c r="I217" s="1897">
        <v>0</v>
      </c>
      <c r="J217" s="1897">
        <v>0</v>
      </c>
      <c r="K217" s="1897">
        <v>0</v>
      </c>
      <c r="L217" s="1897">
        <v>0</v>
      </c>
      <c r="M217" s="1899">
        <f t="shared" si="17"/>
        <v>0</v>
      </c>
      <c r="N217" s="1897">
        <v>0</v>
      </c>
      <c r="O217" s="1900">
        <f t="shared" si="18"/>
        <v>0</v>
      </c>
      <c r="P217" s="3290" t="s">
        <v>366</v>
      </c>
      <c r="Q217" s="3290"/>
      <c r="R217" s="1877"/>
    </row>
    <row r="218" spans="1:18">
      <c r="A218" s="1870" t="s">
        <v>1479</v>
      </c>
      <c r="B218" s="1876" t="s">
        <v>1498</v>
      </c>
      <c r="C218" s="1881" t="s">
        <v>1499</v>
      </c>
      <c r="D218" s="1897">
        <v>0</v>
      </c>
      <c r="E218" s="1897">
        <v>0</v>
      </c>
      <c r="F218" s="1897">
        <v>0</v>
      </c>
      <c r="G218" s="1897">
        <v>0</v>
      </c>
      <c r="H218" s="1897">
        <v>0</v>
      </c>
      <c r="I218" s="1897">
        <v>0</v>
      </c>
      <c r="J218" s="1897">
        <v>0</v>
      </c>
      <c r="K218" s="1897">
        <v>0</v>
      </c>
      <c r="L218" s="1897">
        <v>0</v>
      </c>
      <c r="M218" s="1899">
        <f t="shared" si="17"/>
        <v>0</v>
      </c>
      <c r="N218" s="1897">
        <v>0</v>
      </c>
      <c r="O218" s="1900">
        <f t="shared" si="18"/>
        <v>0</v>
      </c>
      <c r="P218" s="3290" t="s">
        <v>366</v>
      </c>
      <c r="Q218" s="3290"/>
      <c r="R218" s="1877"/>
    </row>
    <row r="219" spans="1:18">
      <c r="A219" s="1870" t="s">
        <v>1482</v>
      </c>
      <c r="B219" s="1876" t="s">
        <v>1500</v>
      </c>
      <c r="C219" s="1881" t="s">
        <v>1501</v>
      </c>
      <c r="D219" s="1897">
        <v>0</v>
      </c>
      <c r="E219" s="1897">
        <v>0</v>
      </c>
      <c r="F219" s="1897">
        <v>0</v>
      </c>
      <c r="G219" s="1897">
        <v>0</v>
      </c>
      <c r="H219" s="1897">
        <v>0</v>
      </c>
      <c r="I219" s="1897">
        <v>0</v>
      </c>
      <c r="J219" s="1897">
        <v>0</v>
      </c>
      <c r="K219" s="1897">
        <v>0</v>
      </c>
      <c r="L219" s="1897">
        <v>0</v>
      </c>
      <c r="M219" s="1899">
        <f t="shared" si="17"/>
        <v>0</v>
      </c>
      <c r="N219" s="1897">
        <v>0</v>
      </c>
      <c r="O219" s="1900">
        <f t="shared" si="18"/>
        <v>0</v>
      </c>
      <c r="P219" s="3290" t="s">
        <v>366</v>
      </c>
      <c r="Q219" s="3290"/>
      <c r="R219" s="1877"/>
    </row>
    <row r="220" spans="1:18">
      <c r="A220" s="1870" t="s">
        <v>1489</v>
      </c>
      <c r="B220" s="1876" t="s">
        <v>1502</v>
      </c>
      <c r="C220" s="1881" t="s">
        <v>1503</v>
      </c>
      <c r="D220" s="1897">
        <v>0</v>
      </c>
      <c r="E220" s="1897">
        <v>0</v>
      </c>
      <c r="F220" s="1897">
        <v>0</v>
      </c>
      <c r="G220" s="1897">
        <v>0</v>
      </c>
      <c r="H220" s="1897">
        <v>0</v>
      </c>
      <c r="I220" s="1897">
        <v>0</v>
      </c>
      <c r="J220" s="1897">
        <v>0</v>
      </c>
      <c r="K220" s="1897">
        <v>0</v>
      </c>
      <c r="L220" s="1897">
        <v>0</v>
      </c>
      <c r="M220" s="1899">
        <f t="shared" si="17"/>
        <v>0</v>
      </c>
      <c r="N220" s="1897">
        <v>0</v>
      </c>
      <c r="O220" s="1900">
        <f t="shared" si="18"/>
        <v>0</v>
      </c>
      <c r="P220" s="3290" t="s">
        <v>366</v>
      </c>
      <c r="Q220" s="3290"/>
      <c r="R220" s="1877"/>
    </row>
    <row r="221" spans="1:18">
      <c r="A221" s="1870" t="s">
        <v>1504</v>
      </c>
      <c r="B221" s="1876" t="s">
        <v>1505</v>
      </c>
      <c r="C221" s="1881" t="s">
        <v>1506</v>
      </c>
      <c r="D221" s="1897">
        <v>0</v>
      </c>
      <c r="E221" s="1897">
        <v>0</v>
      </c>
      <c r="F221" s="1897">
        <v>0</v>
      </c>
      <c r="G221" s="1897">
        <v>0</v>
      </c>
      <c r="H221" s="1897">
        <v>0</v>
      </c>
      <c r="I221" s="1897">
        <v>0</v>
      </c>
      <c r="J221" s="1897">
        <v>0</v>
      </c>
      <c r="K221" s="1897">
        <v>0</v>
      </c>
      <c r="L221" s="1897">
        <v>0</v>
      </c>
      <c r="M221" s="1899">
        <f t="shared" si="17"/>
        <v>0</v>
      </c>
      <c r="N221" s="1897">
        <v>0</v>
      </c>
      <c r="O221" s="1900">
        <f t="shared" si="18"/>
        <v>0</v>
      </c>
      <c r="P221" s="3290" t="s">
        <v>366</v>
      </c>
      <c r="Q221" s="3290"/>
      <c r="R221" s="1877"/>
    </row>
    <row r="222" spans="1:18">
      <c r="A222" s="1870" t="s">
        <v>1507</v>
      </c>
      <c r="B222" s="1876" t="s">
        <v>1508</v>
      </c>
      <c r="C222" s="1881" t="s">
        <v>1509</v>
      </c>
      <c r="D222" s="1897">
        <v>0</v>
      </c>
      <c r="E222" s="1897">
        <v>0</v>
      </c>
      <c r="F222" s="1897">
        <v>0</v>
      </c>
      <c r="G222" s="1897">
        <v>0</v>
      </c>
      <c r="H222" s="1897">
        <v>0</v>
      </c>
      <c r="I222" s="1897">
        <v>0</v>
      </c>
      <c r="J222" s="1897">
        <v>0</v>
      </c>
      <c r="K222" s="1897">
        <v>0</v>
      </c>
      <c r="L222" s="1897">
        <v>0</v>
      </c>
      <c r="M222" s="1899">
        <f t="shared" si="17"/>
        <v>0</v>
      </c>
      <c r="N222" s="1897">
        <v>0</v>
      </c>
      <c r="O222" s="1900">
        <f t="shared" si="18"/>
        <v>0</v>
      </c>
      <c r="P222" s="3290" t="s">
        <v>366</v>
      </c>
      <c r="Q222" s="3290"/>
      <c r="R222" s="1877"/>
    </row>
    <row r="223" spans="1:18">
      <c r="A223" s="1870" t="s">
        <v>1510</v>
      </c>
      <c r="B223" s="1876" t="s">
        <v>1511</v>
      </c>
      <c r="C223" s="1881" t="s">
        <v>1512</v>
      </c>
      <c r="D223" s="1897">
        <v>0</v>
      </c>
      <c r="E223" s="1897">
        <v>0</v>
      </c>
      <c r="F223" s="1897">
        <v>0</v>
      </c>
      <c r="G223" s="1897">
        <v>0</v>
      </c>
      <c r="H223" s="1897">
        <v>0</v>
      </c>
      <c r="I223" s="1897">
        <v>0</v>
      </c>
      <c r="J223" s="1897">
        <v>0</v>
      </c>
      <c r="K223" s="1897">
        <v>0</v>
      </c>
      <c r="L223" s="1897">
        <v>0</v>
      </c>
      <c r="M223" s="1899">
        <f t="shared" si="17"/>
        <v>0</v>
      </c>
      <c r="N223" s="1897">
        <v>0</v>
      </c>
      <c r="O223" s="1900">
        <f t="shared" si="18"/>
        <v>0</v>
      </c>
      <c r="P223" s="3290" t="s">
        <v>366</v>
      </c>
      <c r="Q223" s="3290"/>
      <c r="R223" s="1877"/>
    </row>
    <row r="224" spans="1:18">
      <c r="A224" s="1870" t="s">
        <v>1513</v>
      </c>
      <c r="B224" s="1876" t="s">
        <v>1514</v>
      </c>
      <c r="C224" s="1881" t="s">
        <v>1515</v>
      </c>
      <c r="D224" s="1897">
        <v>0</v>
      </c>
      <c r="E224" s="1897">
        <v>0</v>
      </c>
      <c r="F224" s="1897">
        <v>0</v>
      </c>
      <c r="G224" s="1897">
        <v>0</v>
      </c>
      <c r="H224" s="1897">
        <v>0</v>
      </c>
      <c r="I224" s="1897">
        <v>0</v>
      </c>
      <c r="J224" s="1897">
        <v>0</v>
      </c>
      <c r="K224" s="1897">
        <v>0</v>
      </c>
      <c r="L224" s="1897">
        <v>0</v>
      </c>
      <c r="M224" s="1899">
        <f t="shared" si="17"/>
        <v>0</v>
      </c>
      <c r="N224" s="1897">
        <v>0</v>
      </c>
      <c r="O224" s="1900">
        <f t="shared" si="18"/>
        <v>0</v>
      </c>
      <c r="P224" s="3290" t="s">
        <v>366</v>
      </c>
      <c r="Q224" s="3290"/>
      <c r="R224" s="1877"/>
    </row>
    <row r="225" spans="1:18">
      <c r="A225" s="1870"/>
      <c r="B225" s="1876" t="s">
        <v>1516</v>
      </c>
      <c r="C225" s="1881" t="s">
        <v>1517</v>
      </c>
      <c r="D225" s="1897">
        <v>0</v>
      </c>
      <c r="E225" s="1897">
        <v>0</v>
      </c>
      <c r="F225" s="1897">
        <v>0</v>
      </c>
      <c r="G225" s="1897">
        <v>0</v>
      </c>
      <c r="H225" s="1897">
        <v>0</v>
      </c>
      <c r="I225" s="1897">
        <v>0</v>
      </c>
      <c r="J225" s="1897">
        <v>0</v>
      </c>
      <c r="K225" s="1897">
        <v>0</v>
      </c>
      <c r="L225" s="1897">
        <v>0</v>
      </c>
      <c r="M225" s="1899">
        <f t="shared" si="17"/>
        <v>0</v>
      </c>
      <c r="N225" s="1897">
        <v>0</v>
      </c>
      <c r="O225" s="1900">
        <f t="shared" si="18"/>
        <v>0</v>
      </c>
      <c r="P225" s="3290" t="s">
        <v>366</v>
      </c>
      <c r="Q225" s="3290"/>
      <c r="R225" s="1877"/>
    </row>
    <row r="226" spans="1:18">
      <c r="A226" s="1870" t="s">
        <v>1518</v>
      </c>
      <c r="B226" s="1879" t="s">
        <v>894</v>
      </c>
      <c r="C226" s="1880" t="s">
        <v>1519</v>
      </c>
      <c r="D226" s="1897">
        <v>0</v>
      </c>
      <c r="E226" s="1897">
        <v>0</v>
      </c>
      <c r="F226" s="1897">
        <v>0</v>
      </c>
      <c r="G226" s="1897">
        <v>0</v>
      </c>
      <c r="H226" s="1897">
        <v>0</v>
      </c>
      <c r="I226" s="1897">
        <v>0</v>
      </c>
      <c r="J226" s="1897">
        <v>0</v>
      </c>
      <c r="K226" s="1897">
        <v>0</v>
      </c>
      <c r="L226" s="1897">
        <v>0</v>
      </c>
      <c r="M226" s="1899">
        <f t="shared" si="17"/>
        <v>0</v>
      </c>
      <c r="N226" s="1897">
        <v>0</v>
      </c>
      <c r="O226" s="1900">
        <f t="shared" si="18"/>
        <v>0</v>
      </c>
      <c r="P226" s="3290" t="s">
        <v>1520</v>
      </c>
      <c r="Q226" s="3290"/>
      <c r="R226" s="1877"/>
    </row>
    <row r="227" spans="1:18">
      <c r="A227" s="1870" t="s">
        <v>1521</v>
      </c>
      <c r="B227" s="1879" t="s">
        <v>895</v>
      </c>
      <c r="C227" s="1880" t="s">
        <v>1522</v>
      </c>
      <c r="D227" s="1897">
        <v>0</v>
      </c>
      <c r="E227" s="1897">
        <v>0</v>
      </c>
      <c r="F227" s="1897">
        <v>0</v>
      </c>
      <c r="G227" s="1897">
        <v>0</v>
      </c>
      <c r="H227" s="1897">
        <v>0</v>
      </c>
      <c r="I227" s="1897">
        <v>0</v>
      </c>
      <c r="J227" s="1897">
        <v>0</v>
      </c>
      <c r="K227" s="1897">
        <v>0</v>
      </c>
      <c r="L227" s="1897">
        <v>0</v>
      </c>
      <c r="M227" s="1899">
        <f t="shared" si="17"/>
        <v>0</v>
      </c>
      <c r="N227" s="1897">
        <v>0</v>
      </c>
      <c r="O227" s="1900">
        <f t="shared" si="18"/>
        <v>0</v>
      </c>
      <c r="P227" s="3290" t="s">
        <v>1520</v>
      </c>
      <c r="Q227" s="3290"/>
      <c r="R227" s="1877"/>
    </row>
    <row r="228" spans="1:18">
      <c r="A228" s="1870"/>
      <c r="B228" s="1879" t="s">
        <v>896</v>
      </c>
      <c r="C228" s="1880" t="s">
        <v>1523</v>
      </c>
      <c r="D228" s="1897">
        <v>0</v>
      </c>
      <c r="E228" s="1897">
        <v>0</v>
      </c>
      <c r="F228" s="1897">
        <v>0</v>
      </c>
      <c r="G228" s="1897">
        <v>0</v>
      </c>
      <c r="H228" s="1897">
        <v>0</v>
      </c>
      <c r="I228" s="1897">
        <v>0</v>
      </c>
      <c r="J228" s="1897">
        <v>0</v>
      </c>
      <c r="K228" s="1897">
        <v>0</v>
      </c>
      <c r="L228" s="1897">
        <v>0</v>
      </c>
      <c r="M228" s="1899">
        <f t="shared" si="17"/>
        <v>0</v>
      </c>
      <c r="N228" s="1897">
        <v>0</v>
      </c>
      <c r="O228" s="1900">
        <f t="shared" si="18"/>
        <v>0</v>
      </c>
      <c r="P228" s="3290" t="s">
        <v>1520</v>
      </c>
      <c r="Q228" s="3290"/>
      <c r="R228" s="1877"/>
    </row>
    <row r="229" spans="1:18">
      <c r="A229" s="1870" t="s">
        <v>1524</v>
      </c>
      <c r="B229" s="1879" t="s">
        <v>1525</v>
      </c>
      <c r="C229" s="1880" t="s">
        <v>1526</v>
      </c>
      <c r="D229" s="1897">
        <v>0</v>
      </c>
      <c r="E229" s="1897">
        <v>0</v>
      </c>
      <c r="F229" s="1897">
        <v>0</v>
      </c>
      <c r="G229" s="1897">
        <v>0</v>
      </c>
      <c r="H229" s="1897">
        <v>0</v>
      </c>
      <c r="I229" s="1897">
        <v>0</v>
      </c>
      <c r="J229" s="1897">
        <v>0</v>
      </c>
      <c r="K229" s="1897">
        <v>0</v>
      </c>
      <c r="L229" s="1897">
        <v>0</v>
      </c>
      <c r="M229" s="1899">
        <f t="shared" si="17"/>
        <v>0</v>
      </c>
      <c r="N229" s="1897">
        <v>0</v>
      </c>
      <c r="O229" s="1900">
        <f t="shared" si="18"/>
        <v>0</v>
      </c>
      <c r="P229" s="3290" t="s">
        <v>366</v>
      </c>
      <c r="Q229" s="3290"/>
      <c r="R229" s="1877"/>
    </row>
    <row r="230" spans="1:18">
      <c r="A230" s="1870" t="s">
        <v>1527</v>
      </c>
      <c r="B230" s="1879" t="s">
        <v>1528</v>
      </c>
      <c r="C230" s="1880" t="s">
        <v>1529</v>
      </c>
      <c r="D230" s="1897">
        <v>0</v>
      </c>
      <c r="E230" s="1897">
        <v>0</v>
      </c>
      <c r="F230" s="1897">
        <v>0</v>
      </c>
      <c r="G230" s="1897">
        <v>0</v>
      </c>
      <c r="H230" s="1897">
        <v>0</v>
      </c>
      <c r="I230" s="1897">
        <v>0</v>
      </c>
      <c r="J230" s="1897">
        <v>0</v>
      </c>
      <c r="K230" s="1897">
        <v>0</v>
      </c>
      <c r="L230" s="1897">
        <v>0</v>
      </c>
      <c r="M230" s="1899">
        <f t="shared" si="17"/>
        <v>0</v>
      </c>
      <c r="N230" s="1897">
        <v>0</v>
      </c>
      <c r="O230" s="1900">
        <f t="shared" si="18"/>
        <v>0</v>
      </c>
      <c r="P230" s="3290" t="s">
        <v>366</v>
      </c>
      <c r="Q230" s="3290"/>
      <c r="R230" s="1877"/>
    </row>
    <row r="231" spans="1:18">
      <c r="A231" s="1870" t="s">
        <v>1530</v>
      </c>
      <c r="B231" s="1879" t="s">
        <v>1531</v>
      </c>
      <c r="C231" s="1880" t="s">
        <v>1532</v>
      </c>
      <c r="D231" s="1897">
        <v>0</v>
      </c>
      <c r="E231" s="1897">
        <v>0</v>
      </c>
      <c r="F231" s="1897">
        <v>0</v>
      </c>
      <c r="G231" s="1897">
        <v>0</v>
      </c>
      <c r="H231" s="1897">
        <v>0</v>
      </c>
      <c r="I231" s="1897">
        <v>0</v>
      </c>
      <c r="J231" s="1897">
        <v>0</v>
      </c>
      <c r="K231" s="1897">
        <v>0</v>
      </c>
      <c r="L231" s="1897">
        <v>0</v>
      </c>
      <c r="M231" s="1899">
        <f t="shared" si="17"/>
        <v>0</v>
      </c>
      <c r="N231" s="1897">
        <v>0</v>
      </c>
      <c r="O231" s="1900">
        <f t="shared" si="18"/>
        <v>0</v>
      </c>
      <c r="P231" s="3290" t="s">
        <v>366</v>
      </c>
      <c r="Q231" s="3290"/>
      <c r="R231" s="1877"/>
    </row>
    <row r="232" spans="1:18">
      <c r="A232" s="1870" t="s">
        <v>1533</v>
      </c>
      <c r="B232" s="1879" t="s">
        <v>1534</v>
      </c>
      <c r="C232" s="1880" t="s">
        <v>1535</v>
      </c>
      <c r="D232" s="1897">
        <v>0</v>
      </c>
      <c r="E232" s="1897">
        <v>0</v>
      </c>
      <c r="F232" s="1897">
        <v>0</v>
      </c>
      <c r="G232" s="1897">
        <v>0</v>
      </c>
      <c r="H232" s="1897">
        <v>0</v>
      </c>
      <c r="I232" s="1897">
        <v>0</v>
      </c>
      <c r="J232" s="1897">
        <v>0</v>
      </c>
      <c r="K232" s="1897">
        <v>0</v>
      </c>
      <c r="L232" s="1897">
        <v>0</v>
      </c>
      <c r="M232" s="1899">
        <f t="shared" si="17"/>
        <v>0</v>
      </c>
      <c r="N232" s="1897">
        <v>0</v>
      </c>
      <c r="O232" s="1900">
        <f t="shared" si="18"/>
        <v>0</v>
      </c>
      <c r="P232" s="3290" t="s">
        <v>366</v>
      </c>
      <c r="Q232" s="3290"/>
      <c r="R232" s="1877"/>
    </row>
    <row r="233" spans="1:18">
      <c r="A233" s="1870" t="s">
        <v>1536</v>
      </c>
      <c r="B233" s="1879" t="s">
        <v>1537</v>
      </c>
      <c r="C233" s="1880" t="s">
        <v>1538</v>
      </c>
      <c r="D233" s="1897">
        <v>0</v>
      </c>
      <c r="E233" s="1897">
        <v>0</v>
      </c>
      <c r="F233" s="1897">
        <v>0</v>
      </c>
      <c r="G233" s="1897">
        <v>0</v>
      </c>
      <c r="H233" s="1897">
        <v>0</v>
      </c>
      <c r="I233" s="1897">
        <v>0</v>
      </c>
      <c r="J233" s="1897">
        <v>0</v>
      </c>
      <c r="K233" s="1897">
        <v>0</v>
      </c>
      <c r="L233" s="1897">
        <v>0</v>
      </c>
      <c r="M233" s="1899">
        <f t="shared" si="17"/>
        <v>0</v>
      </c>
      <c r="N233" s="1897">
        <v>0</v>
      </c>
      <c r="O233" s="1900">
        <f t="shared" si="18"/>
        <v>0</v>
      </c>
      <c r="P233" s="3290" t="s">
        <v>366</v>
      </c>
      <c r="Q233" s="3290"/>
      <c r="R233" s="1877"/>
    </row>
    <row r="234" spans="1:18">
      <c r="A234" s="1870" t="s">
        <v>1539</v>
      </c>
      <c r="B234" s="1879" t="s">
        <v>1540</v>
      </c>
      <c r="C234" s="1880" t="s">
        <v>1541</v>
      </c>
      <c r="D234" s="1897">
        <v>0</v>
      </c>
      <c r="E234" s="1897">
        <v>0</v>
      </c>
      <c r="F234" s="1897">
        <v>0</v>
      </c>
      <c r="G234" s="1897">
        <v>0</v>
      </c>
      <c r="H234" s="1897">
        <v>0</v>
      </c>
      <c r="I234" s="1897">
        <v>0</v>
      </c>
      <c r="J234" s="1897">
        <v>0</v>
      </c>
      <c r="K234" s="1897">
        <v>0</v>
      </c>
      <c r="L234" s="1897">
        <v>0</v>
      </c>
      <c r="M234" s="1899">
        <f t="shared" si="17"/>
        <v>0</v>
      </c>
      <c r="N234" s="1897">
        <v>0</v>
      </c>
      <c r="O234" s="1900">
        <f t="shared" si="18"/>
        <v>0</v>
      </c>
      <c r="P234" s="3290" t="s">
        <v>366</v>
      </c>
      <c r="Q234" s="3290"/>
      <c r="R234" s="1877"/>
    </row>
    <row r="235" spans="1:18">
      <c r="A235" s="1870" t="s">
        <v>1542</v>
      </c>
      <c r="B235" s="1879" t="s">
        <v>1543</v>
      </c>
      <c r="C235" s="1880" t="s">
        <v>1544</v>
      </c>
      <c r="D235" s="1897">
        <v>0</v>
      </c>
      <c r="E235" s="1897">
        <v>0</v>
      </c>
      <c r="F235" s="1897">
        <v>0</v>
      </c>
      <c r="G235" s="1897">
        <v>0</v>
      </c>
      <c r="H235" s="1897">
        <v>0</v>
      </c>
      <c r="I235" s="1897">
        <v>0</v>
      </c>
      <c r="J235" s="1897">
        <v>0</v>
      </c>
      <c r="K235" s="1897">
        <v>0</v>
      </c>
      <c r="L235" s="1897">
        <v>0</v>
      </c>
      <c r="M235" s="1899">
        <f t="shared" si="17"/>
        <v>0</v>
      </c>
      <c r="N235" s="1897">
        <v>0</v>
      </c>
      <c r="O235" s="1900">
        <f t="shared" si="18"/>
        <v>0</v>
      </c>
      <c r="P235" s="3290" t="s">
        <v>366</v>
      </c>
      <c r="Q235" s="3290"/>
      <c r="R235" s="1877"/>
    </row>
    <row r="236" spans="1:18">
      <c r="A236" s="1870" t="s">
        <v>1545</v>
      </c>
      <c r="B236" s="1879" t="s">
        <v>1546</v>
      </c>
      <c r="C236" s="1880" t="s">
        <v>1547</v>
      </c>
      <c r="D236" s="1897">
        <v>0</v>
      </c>
      <c r="E236" s="1897">
        <v>0</v>
      </c>
      <c r="F236" s="1897">
        <v>0</v>
      </c>
      <c r="G236" s="1897">
        <v>0</v>
      </c>
      <c r="H236" s="1897">
        <v>0</v>
      </c>
      <c r="I236" s="1897">
        <v>0</v>
      </c>
      <c r="J236" s="1897">
        <v>0</v>
      </c>
      <c r="K236" s="1897">
        <v>0</v>
      </c>
      <c r="L236" s="1897">
        <v>0</v>
      </c>
      <c r="M236" s="1899">
        <f t="shared" si="17"/>
        <v>0</v>
      </c>
      <c r="N236" s="1897">
        <v>0</v>
      </c>
      <c r="O236" s="1900">
        <f t="shared" si="18"/>
        <v>0</v>
      </c>
      <c r="P236" s="3290" t="s">
        <v>366</v>
      </c>
      <c r="Q236" s="3290"/>
      <c r="R236" s="1877"/>
    </row>
    <row r="237" spans="1:18">
      <c r="A237" s="1870" t="s">
        <v>1548</v>
      </c>
      <c r="B237" s="1879" t="s">
        <v>1549</v>
      </c>
      <c r="C237" s="1880" t="s">
        <v>1550</v>
      </c>
      <c r="D237" s="1897">
        <v>0</v>
      </c>
      <c r="E237" s="1897">
        <v>0</v>
      </c>
      <c r="F237" s="1897">
        <v>0</v>
      </c>
      <c r="G237" s="1897">
        <v>0</v>
      </c>
      <c r="H237" s="1897">
        <v>0</v>
      </c>
      <c r="I237" s="1897">
        <v>0</v>
      </c>
      <c r="J237" s="1897">
        <v>0</v>
      </c>
      <c r="K237" s="1897">
        <v>0</v>
      </c>
      <c r="L237" s="1897">
        <v>0</v>
      </c>
      <c r="M237" s="1899">
        <f t="shared" si="17"/>
        <v>0</v>
      </c>
      <c r="N237" s="1897">
        <v>0</v>
      </c>
      <c r="O237" s="1900">
        <f t="shared" si="18"/>
        <v>0</v>
      </c>
      <c r="P237" s="3290" t="s">
        <v>366</v>
      </c>
      <c r="Q237" s="3290"/>
      <c r="R237" s="1877"/>
    </row>
    <row r="238" spans="1:18">
      <c r="A238" s="1870" t="s">
        <v>1551</v>
      </c>
      <c r="B238" s="1879" t="s">
        <v>1552</v>
      </c>
      <c r="C238" s="1880" t="s">
        <v>1553</v>
      </c>
      <c r="D238" s="1897">
        <v>0</v>
      </c>
      <c r="E238" s="1897">
        <v>0</v>
      </c>
      <c r="F238" s="1897">
        <v>0</v>
      </c>
      <c r="G238" s="1897">
        <v>0</v>
      </c>
      <c r="H238" s="1897">
        <v>0</v>
      </c>
      <c r="I238" s="1897">
        <v>0</v>
      </c>
      <c r="J238" s="1897">
        <v>0</v>
      </c>
      <c r="K238" s="1897">
        <v>0</v>
      </c>
      <c r="L238" s="1897">
        <v>0</v>
      </c>
      <c r="M238" s="1899">
        <f t="shared" si="17"/>
        <v>0</v>
      </c>
      <c r="N238" s="1897">
        <v>0</v>
      </c>
      <c r="O238" s="1900">
        <f t="shared" si="18"/>
        <v>0</v>
      </c>
      <c r="P238" s="3290" t="s">
        <v>366</v>
      </c>
      <c r="Q238" s="3290"/>
      <c r="R238" s="1877"/>
    </row>
    <row r="239" spans="1:18">
      <c r="A239" s="1870" t="s">
        <v>1554</v>
      </c>
      <c r="B239" s="1879" t="s">
        <v>1555</v>
      </c>
      <c r="C239" s="1880" t="s">
        <v>1556</v>
      </c>
      <c r="D239" s="1897">
        <v>0</v>
      </c>
      <c r="E239" s="1897">
        <v>0</v>
      </c>
      <c r="F239" s="1897">
        <v>0</v>
      </c>
      <c r="G239" s="1897">
        <v>0</v>
      </c>
      <c r="H239" s="1897">
        <v>0</v>
      </c>
      <c r="I239" s="1897">
        <v>0</v>
      </c>
      <c r="J239" s="1897">
        <v>0</v>
      </c>
      <c r="K239" s="1897">
        <v>0</v>
      </c>
      <c r="L239" s="1897">
        <v>0</v>
      </c>
      <c r="M239" s="1899">
        <f>SUM(D239:L239)</f>
        <v>0</v>
      </c>
      <c r="N239" s="1897">
        <v>0</v>
      </c>
      <c r="O239" s="1900">
        <f>SUM(M239:N239)</f>
        <v>0</v>
      </c>
      <c r="P239" s="3290" t="s">
        <v>366</v>
      </c>
      <c r="Q239" s="3290"/>
      <c r="R239" s="1877"/>
    </row>
    <row r="240" spans="1:18">
      <c r="A240" s="1870"/>
      <c r="B240" s="514"/>
      <c r="C240" s="1880"/>
      <c r="D240" s="3726"/>
      <c r="E240" s="3726"/>
      <c r="F240" s="3726"/>
      <c r="G240" s="3726"/>
      <c r="H240" s="3726"/>
      <c r="I240" s="3726"/>
      <c r="J240" s="3726"/>
      <c r="K240" s="3726"/>
      <c r="L240" s="3726"/>
      <c r="M240" s="3726"/>
      <c r="N240" s="3726"/>
      <c r="O240" s="3726"/>
      <c r="P240" s="3290"/>
      <c r="Q240" s="3290"/>
      <c r="R240" s="1877"/>
    </row>
    <row r="241" spans="1:248">
      <c r="A241" s="1870"/>
      <c r="B241" s="515" t="s">
        <v>1557</v>
      </c>
      <c r="C241" s="1880"/>
      <c r="D241" s="1901">
        <f>SUM(D205:D239)</f>
        <v>0</v>
      </c>
      <c r="E241" s="1901">
        <f t="shared" ref="E241:N241" si="19">SUM(E205:E239)</f>
        <v>0</v>
      </c>
      <c r="F241" s="1901">
        <f t="shared" si="19"/>
        <v>0</v>
      </c>
      <c r="G241" s="1901">
        <f t="shared" si="19"/>
        <v>0</v>
      </c>
      <c r="H241" s="1901">
        <f t="shared" si="19"/>
        <v>0</v>
      </c>
      <c r="I241" s="1901">
        <f t="shared" si="19"/>
        <v>0</v>
      </c>
      <c r="J241" s="1901">
        <f t="shared" si="19"/>
        <v>0</v>
      </c>
      <c r="K241" s="1901">
        <f t="shared" si="19"/>
        <v>0</v>
      </c>
      <c r="L241" s="1901">
        <f t="shared" si="19"/>
        <v>0</v>
      </c>
      <c r="M241" s="1901">
        <f t="shared" si="19"/>
        <v>0</v>
      </c>
      <c r="N241" s="1901">
        <f t="shared" si="19"/>
        <v>0</v>
      </c>
      <c r="O241" s="1901">
        <f>SUM(M241:N241)</f>
        <v>0</v>
      </c>
      <c r="P241" s="3290"/>
      <c r="Q241" s="3290"/>
      <c r="R241" s="1877"/>
      <c r="S241" s="1871"/>
      <c r="T241" s="1871"/>
      <c r="U241" s="1871"/>
      <c r="V241" s="1871"/>
      <c r="W241" s="1871"/>
      <c r="X241" s="1871"/>
      <c r="Y241" s="1871"/>
      <c r="Z241" s="1871"/>
      <c r="AA241" s="1871"/>
      <c r="AB241" s="1871"/>
      <c r="AC241" s="1871"/>
      <c r="AD241" s="1871"/>
      <c r="AE241" s="1871"/>
      <c r="AF241" s="1871"/>
      <c r="AG241" s="1871"/>
      <c r="AH241" s="1871"/>
      <c r="AI241" s="1871"/>
      <c r="AJ241" s="1871"/>
      <c r="AK241" s="1871"/>
      <c r="AL241" s="1871"/>
      <c r="AM241" s="1871"/>
      <c r="AN241" s="1871"/>
      <c r="AO241" s="1871"/>
      <c r="AP241" s="1871"/>
      <c r="AQ241" s="1871"/>
      <c r="AR241" s="1871"/>
      <c r="AS241" s="1871"/>
      <c r="AT241" s="1871"/>
      <c r="AU241" s="1871"/>
      <c r="AV241" s="1871"/>
      <c r="AW241" s="1871"/>
      <c r="AX241" s="1871"/>
      <c r="AY241" s="1871"/>
      <c r="AZ241" s="1871"/>
      <c r="BA241" s="1871"/>
      <c r="BB241" s="1871"/>
      <c r="BC241" s="1871"/>
      <c r="BD241" s="1871"/>
      <c r="BE241" s="1871"/>
      <c r="BF241" s="1871"/>
      <c r="BG241" s="1871"/>
      <c r="BH241" s="1871"/>
      <c r="BI241" s="1871"/>
      <c r="BJ241" s="1871"/>
      <c r="BK241" s="1871"/>
      <c r="BL241" s="1871"/>
      <c r="BM241" s="1871"/>
      <c r="BN241" s="1871"/>
      <c r="BO241" s="1871"/>
      <c r="BP241" s="1871"/>
      <c r="BQ241" s="1871"/>
      <c r="BR241" s="1871"/>
      <c r="BS241" s="1871"/>
      <c r="BT241" s="1871"/>
      <c r="BU241" s="1871"/>
      <c r="BV241" s="1871"/>
      <c r="BW241" s="1871"/>
      <c r="BX241" s="1871"/>
      <c r="BY241" s="1871"/>
      <c r="BZ241" s="1871"/>
      <c r="CA241" s="1871"/>
      <c r="CB241" s="1871"/>
      <c r="CC241" s="1871"/>
      <c r="CD241" s="1871"/>
      <c r="CE241" s="1871"/>
      <c r="CF241" s="1871"/>
      <c r="CG241" s="1871"/>
      <c r="CH241" s="1871"/>
      <c r="CI241" s="1871"/>
      <c r="CJ241" s="1871"/>
      <c r="CK241" s="1871"/>
      <c r="CL241" s="1871"/>
      <c r="CM241" s="1871"/>
      <c r="CN241" s="1871"/>
      <c r="CO241" s="1871"/>
      <c r="CP241" s="1871"/>
      <c r="CQ241" s="1871"/>
      <c r="CR241" s="1871"/>
      <c r="CS241" s="1871"/>
      <c r="CT241" s="1871"/>
      <c r="CU241" s="1871"/>
      <c r="CV241" s="1871"/>
      <c r="CW241" s="1871"/>
      <c r="CX241" s="1871"/>
      <c r="CY241" s="1871"/>
      <c r="CZ241" s="1871"/>
      <c r="DA241" s="1871"/>
      <c r="DB241" s="1871"/>
      <c r="DC241" s="1871"/>
      <c r="DD241" s="1871"/>
      <c r="DE241" s="1871"/>
      <c r="DF241" s="1871"/>
      <c r="DG241" s="1871"/>
      <c r="DH241" s="1871"/>
      <c r="DI241" s="1871"/>
      <c r="DJ241" s="1871"/>
      <c r="DK241" s="1871"/>
      <c r="DL241" s="1871"/>
      <c r="DM241" s="1871"/>
      <c r="DN241" s="1871"/>
      <c r="DO241" s="1871"/>
      <c r="DP241" s="1871"/>
      <c r="DQ241" s="1871"/>
      <c r="DR241" s="1871"/>
      <c r="DS241" s="1871"/>
      <c r="DT241" s="1871"/>
      <c r="DU241" s="1871"/>
      <c r="DV241" s="1871"/>
      <c r="DW241" s="1871"/>
      <c r="DX241" s="1871"/>
      <c r="DY241" s="1871"/>
      <c r="DZ241" s="1871"/>
      <c r="EA241" s="1871"/>
      <c r="EB241" s="1871"/>
      <c r="EC241" s="1871"/>
      <c r="ED241" s="1871"/>
      <c r="EE241" s="1871"/>
      <c r="EF241" s="1871"/>
      <c r="EG241" s="1871"/>
      <c r="EH241" s="1871"/>
      <c r="EI241" s="1871"/>
      <c r="EJ241" s="1871"/>
      <c r="EK241" s="1871"/>
      <c r="EL241" s="1871"/>
      <c r="EM241" s="1871"/>
      <c r="EN241" s="1871"/>
      <c r="EO241" s="1871"/>
      <c r="EP241" s="1871"/>
      <c r="EQ241" s="1871"/>
      <c r="ER241" s="1871"/>
      <c r="ES241" s="1871"/>
      <c r="ET241" s="1871"/>
      <c r="EU241" s="1871"/>
      <c r="EV241" s="1871"/>
      <c r="EW241" s="1871"/>
      <c r="EX241" s="1871"/>
      <c r="EY241" s="1871"/>
      <c r="EZ241" s="1871"/>
      <c r="FA241" s="1871"/>
      <c r="FB241" s="1871"/>
      <c r="FC241" s="1871"/>
      <c r="FD241" s="1871"/>
      <c r="FE241" s="1871"/>
      <c r="FF241" s="1871"/>
      <c r="FG241" s="1871"/>
      <c r="FH241" s="1871"/>
      <c r="FI241" s="1871"/>
      <c r="FJ241" s="1871"/>
      <c r="FK241" s="1871"/>
      <c r="FL241" s="1871"/>
      <c r="FM241" s="1871"/>
      <c r="FN241" s="1871"/>
      <c r="FO241" s="1871"/>
      <c r="FP241" s="1871"/>
      <c r="FQ241" s="1871"/>
      <c r="FR241" s="1871"/>
      <c r="FS241" s="1871"/>
      <c r="FT241" s="1871"/>
      <c r="FU241" s="1871"/>
      <c r="FV241" s="1871"/>
      <c r="FW241" s="1871"/>
      <c r="FX241" s="1871"/>
      <c r="FY241" s="1871"/>
      <c r="FZ241" s="1871"/>
      <c r="GA241" s="1871"/>
      <c r="GB241" s="1871"/>
      <c r="GC241" s="1871"/>
      <c r="GD241" s="1871"/>
      <c r="GE241" s="1871"/>
      <c r="GF241" s="1871"/>
      <c r="GG241" s="1871"/>
      <c r="GH241" s="1871"/>
      <c r="GI241" s="1871"/>
      <c r="GJ241" s="1871"/>
      <c r="GK241" s="1871"/>
      <c r="GL241" s="1871"/>
      <c r="GM241" s="1871"/>
      <c r="GN241" s="1871"/>
      <c r="GO241" s="1871"/>
      <c r="GP241" s="1871"/>
      <c r="GQ241" s="1871"/>
      <c r="GR241" s="1871"/>
      <c r="GS241" s="1871"/>
      <c r="GT241" s="1871"/>
      <c r="GU241" s="1871"/>
      <c r="GV241" s="1871"/>
      <c r="GW241" s="1871"/>
      <c r="GX241" s="1871"/>
      <c r="GY241" s="1871"/>
      <c r="GZ241" s="1871"/>
      <c r="HA241" s="1871"/>
      <c r="HB241" s="1871"/>
      <c r="HC241" s="1871"/>
      <c r="HD241" s="1871"/>
      <c r="HE241" s="1871"/>
      <c r="HF241" s="1871"/>
      <c r="HG241" s="1871"/>
      <c r="HH241" s="1871"/>
      <c r="HI241" s="1871"/>
      <c r="HJ241" s="1871"/>
      <c r="HK241" s="1871"/>
      <c r="HL241" s="1871"/>
      <c r="HM241" s="1871"/>
      <c r="HN241" s="1871"/>
      <c r="HO241" s="1871"/>
      <c r="HP241" s="1871"/>
      <c r="HQ241" s="1871"/>
      <c r="HR241" s="1871"/>
      <c r="HS241" s="1871"/>
      <c r="HT241" s="1871"/>
      <c r="HU241" s="1871"/>
      <c r="HV241" s="1871"/>
      <c r="HW241" s="1871"/>
      <c r="HX241" s="1871"/>
      <c r="HY241" s="1871"/>
      <c r="HZ241" s="1871"/>
      <c r="IA241" s="1871"/>
      <c r="IB241" s="1871"/>
      <c r="IC241" s="1871"/>
      <c r="ID241" s="1871"/>
      <c r="IE241" s="1871"/>
      <c r="IF241" s="1871"/>
      <c r="IG241" s="1871"/>
      <c r="IH241" s="1871"/>
      <c r="II241" s="1871"/>
      <c r="IJ241" s="1871"/>
      <c r="IK241" s="1871"/>
      <c r="IL241" s="1871"/>
      <c r="IM241" s="1871"/>
      <c r="IN241" s="1871"/>
    </row>
    <row r="242" spans="1:248">
      <c r="A242" s="1870"/>
      <c r="B242" s="515"/>
      <c r="C242" s="1880"/>
      <c r="D242" s="3560"/>
      <c r="E242" s="3560"/>
      <c r="F242" s="3560"/>
      <c r="G242" s="3560"/>
      <c r="H242" s="3560"/>
      <c r="I242" s="3560"/>
      <c r="J242" s="3560"/>
      <c r="K242" s="3560"/>
      <c r="L242" s="3560"/>
      <c r="M242" s="3560"/>
      <c r="N242" s="3560"/>
      <c r="O242" s="3560"/>
      <c r="P242" s="3290"/>
      <c r="Q242" s="3290"/>
      <c r="R242" s="1877"/>
      <c r="S242" s="1871"/>
      <c r="T242" s="1871"/>
      <c r="U242" s="1871"/>
      <c r="V242" s="1871"/>
      <c r="W242" s="1871"/>
      <c r="X242" s="1871"/>
      <c r="Y242" s="1871"/>
      <c r="Z242" s="1871"/>
      <c r="AA242" s="1871"/>
      <c r="AB242" s="1871"/>
      <c r="AC242" s="1871"/>
      <c r="AD242" s="1871"/>
      <c r="AE242" s="1871"/>
      <c r="AF242" s="1871"/>
      <c r="AG242" s="1871"/>
      <c r="AH242" s="1871"/>
      <c r="AI242" s="1871"/>
      <c r="AJ242" s="1871"/>
      <c r="AK242" s="1871"/>
      <c r="AL242" s="1871"/>
      <c r="AM242" s="1871"/>
      <c r="AN242" s="1871"/>
      <c r="AO242" s="1871"/>
      <c r="AP242" s="1871"/>
      <c r="AQ242" s="1871"/>
      <c r="AR242" s="1871"/>
      <c r="AS242" s="1871"/>
      <c r="AT242" s="1871"/>
      <c r="AU242" s="1871"/>
      <c r="AV242" s="1871"/>
      <c r="AW242" s="1871"/>
      <c r="AX242" s="1871"/>
      <c r="AY242" s="1871"/>
      <c r="AZ242" s="1871"/>
      <c r="BA242" s="1871"/>
      <c r="BB242" s="1871"/>
      <c r="BC242" s="1871"/>
      <c r="BD242" s="1871"/>
      <c r="BE242" s="1871"/>
      <c r="BF242" s="1871"/>
      <c r="BG242" s="1871"/>
      <c r="BH242" s="1871"/>
      <c r="BI242" s="1871"/>
      <c r="BJ242" s="1871"/>
      <c r="BK242" s="1871"/>
      <c r="BL242" s="1871"/>
      <c r="BM242" s="1871"/>
      <c r="BN242" s="1871"/>
      <c r="BO242" s="1871"/>
      <c r="BP242" s="1871"/>
      <c r="BQ242" s="1871"/>
      <c r="BR242" s="1871"/>
      <c r="BS242" s="1871"/>
      <c r="BT242" s="1871"/>
      <c r="BU242" s="1871"/>
      <c r="BV242" s="1871"/>
      <c r="BW242" s="1871"/>
      <c r="BX242" s="1871"/>
      <c r="BY242" s="1871"/>
      <c r="BZ242" s="1871"/>
      <c r="CA242" s="1871"/>
      <c r="CB242" s="1871"/>
      <c r="CC242" s="1871"/>
      <c r="CD242" s="1871"/>
      <c r="CE242" s="1871"/>
      <c r="CF242" s="1871"/>
      <c r="CG242" s="1871"/>
      <c r="CH242" s="1871"/>
      <c r="CI242" s="1871"/>
      <c r="CJ242" s="1871"/>
      <c r="CK242" s="1871"/>
      <c r="CL242" s="1871"/>
      <c r="CM242" s="1871"/>
      <c r="CN242" s="1871"/>
      <c r="CO242" s="1871"/>
      <c r="CP242" s="1871"/>
      <c r="CQ242" s="1871"/>
      <c r="CR242" s="1871"/>
      <c r="CS242" s="1871"/>
      <c r="CT242" s="1871"/>
      <c r="CU242" s="1871"/>
      <c r="CV242" s="1871"/>
      <c r="CW242" s="1871"/>
      <c r="CX242" s="1871"/>
      <c r="CY242" s="1871"/>
      <c r="CZ242" s="1871"/>
      <c r="DA242" s="1871"/>
      <c r="DB242" s="1871"/>
      <c r="DC242" s="1871"/>
      <c r="DD242" s="1871"/>
      <c r="DE242" s="1871"/>
      <c r="DF242" s="1871"/>
      <c r="DG242" s="1871"/>
      <c r="DH242" s="1871"/>
      <c r="DI242" s="1871"/>
      <c r="DJ242" s="1871"/>
      <c r="DK242" s="1871"/>
      <c r="DL242" s="1871"/>
      <c r="DM242" s="1871"/>
      <c r="DN242" s="1871"/>
      <c r="DO242" s="1871"/>
      <c r="DP242" s="1871"/>
      <c r="DQ242" s="1871"/>
      <c r="DR242" s="1871"/>
      <c r="DS242" s="1871"/>
      <c r="DT242" s="1871"/>
      <c r="DU242" s="1871"/>
      <c r="DV242" s="1871"/>
      <c r="DW242" s="1871"/>
      <c r="DX242" s="1871"/>
      <c r="DY242" s="1871"/>
      <c r="DZ242" s="1871"/>
      <c r="EA242" s="1871"/>
      <c r="EB242" s="1871"/>
      <c r="EC242" s="1871"/>
      <c r="ED242" s="1871"/>
      <c r="EE242" s="1871"/>
      <c r="EF242" s="1871"/>
      <c r="EG242" s="1871"/>
      <c r="EH242" s="1871"/>
      <c r="EI242" s="1871"/>
      <c r="EJ242" s="1871"/>
      <c r="EK242" s="1871"/>
      <c r="EL242" s="1871"/>
      <c r="EM242" s="1871"/>
      <c r="EN242" s="1871"/>
      <c r="EO242" s="1871"/>
      <c r="EP242" s="1871"/>
      <c r="EQ242" s="1871"/>
      <c r="ER242" s="1871"/>
      <c r="ES242" s="1871"/>
      <c r="ET242" s="1871"/>
      <c r="EU242" s="1871"/>
      <c r="EV242" s="1871"/>
      <c r="EW242" s="1871"/>
      <c r="EX242" s="1871"/>
      <c r="EY242" s="1871"/>
      <c r="EZ242" s="1871"/>
      <c r="FA242" s="1871"/>
      <c r="FB242" s="1871"/>
      <c r="FC242" s="1871"/>
      <c r="FD242" s="1871"/>
      <c r="FE242" s="1871"/>
      <c r="FF242" s="1871"/>
      <c r="FG242" s="1871"/>
      <c r="FH242" s="1871"/>
      <c r="FI242" s="1871"/>
      <c r="FJ242" s="1871"/>
      <c r="FK242" s="1871"/>
      <c r="FL242" s="1871"/>
      <c r="FM242" s="1871"/>
      <c r="FN242" s="1871"/>
      <c r="FO242" s="1871"/>
      <c r="FP242" s="1871"/>
      <c r="FQ242" s="1871"/>
      <c r="FR242" s="1871"/>
      <c r="FS242" s="1871"/>
      <c r="FT242" s="1871"/>
      <c r="FU242" s="1871"/>
      <c r="FV242" s="1871"/>
      <c r="FW242" s="1871"/>
      <c r="FX242" s="1871"/>
      <c r="FY242" s="1871"/>
      <c r="FZ242" s="1871"/>
      <c r="GA242" s="1871"/>
      <c r="GB242" s="1871"/>
      <c r="GC242" s="1871"/>
      <c r="GD242" s="1871"/>
      <c r="GE242" s="1871"/>
      <c r="GF242" s="1871"/>
      <c r="GG242" s="1871"/>
      <c r="GH242" s="1871"/>
      <c r="GI242" s="1871"/>
      <c r="GJ242" s="1871"/>
      <c r="GK242" s="1871"/>
      <c r="GL242" s="1871"/>
      <c r="GM242" s="1871"/>
      <c r="GN242" s="1871"/>
      <c r="GO242" s="1871"/>
      <c r="GP242" s="1871"/>
      <c r="GQ242" s="1871"/>
      <c r="GR242" s="1871"/>
      <c r="GS242" s="1871"/>
      <c r="GT242" s="1871"/>
      <c r="GU242" s="1871"/>
      <c r="GV242" s="1871"/>
      <c r="GW242" s="1871"/>
      <c r="GX242" s="1871"/>
      <c r="GY242" s="1871"/>
      <c r="GZ242" s="1871"/>
      <c r="HA242" s="1871"/>
      <c r="HB242" s="1871"/>
      <c r="HC242" s="1871"/>
      <c r="HD242" s="1871"/>
      <c r="HE242" s="1871"/>
      <c r="HF242" s="1871"/>
      <c r="HG242" s="1871"/>
      <c r="HH242" s="1871"/>
      <c r="HI242" s="1871"/>
      <c r="HJ242" s="1871"/>
      <c r="HK242" s="1871"/>
      <c r="HL242" s="1871"/>
      <c r="HM242" s="1871"/>
      <c r="HN242" s="1871"/>
      <c r="HO242" s="1871"/>
      <c r="HP242" s="1871"/>
      <c r="HQ242" s="1871"/>
      <c r="HR242" s="1871"/>
      <c r="HS242" s="1871"/>
      <c r="HT242" s="1871"/>
      <c r="HU242" s="1871"/>
      <c r="HV242" s="1871"/>
      <c r="HW242" s="1871"/>
      <c r="HX242" s="1871"/>
      <c r="HY242" s="1871"/>
      <c r="HZ242" s="1871"/>
      <c r="IA242" s="1871"/>
      <c r="IB242" s="1871"/>
      <c r="IC242" s="1871"/>
      <c r="ID242" s="1871"/>
      <c r="IE242" s="1871"/>
      <c r="IF242" s="1871"/>
      <c r="IG242" s="1871"/>
      <c r="IH242" s="1871"/>
      <c r="II242" s="1871"/>
      <c r="IJ242" s="1871"/>
      <c r="IK242" s="1871"/>
      <c r="IL242" s="1871"/>
      <c r="IM242" s="1871"/>
      <c r="IN242" s="1871"/>
    </row>
    <row r="243" spans="1:248">
      <c r="A243" s="1870"/>
      <c r="B243" s="515" t="s">
        <v>1558</v>
      </c>
      <c r="C243" s="1880"/>
      <c r="D243" s="1903">
        <f t="shared" ref="D243:N243" si="20">D202+D241</f>
        <v>0</v>
      </c>
      <c r="E243" s="1903">
        <f t="shared" si="20"/>
        <v>0</v>
      </c>
      <c r="F243" s="1903">
        <f t="shared" si="20"/>
        <v>0</v>
      </c>
      <c r="G243" s="1903">
        <f t="shared" si="20"/>
        <v>0</v>
      </c>
      <c r="H243" s="1903">
        <f t="shared" si="20"/>
        <v>0</v>
      </c>
      <c r="I243" s="1903">
        <f t="shared" si="20"/>
        <v>0</v>
      </c>
      <c r="J243" s="1903">
        <f t="shared" si="20"/>
        <v>0</v>
      </c>
      <c r="K243" s="1903">
        <f t="shared" si="20"/>
        <v>0</v>
      </c>
      <c r="L243" s="1903">
        <f t="shared" si="20"/>
        <v>0</v>
      </c>
      <c r="M243" s="1903">
        <f t="shared" si="20"/>
        <v>0</v>
      </c>
      <c r="N243" s="1903">
        <f t="shared" si="20"/>
        <v>0</v>
      </c>
      <c r="O243" s="1903">
        <f>SUM(M243:N243)</f>
        <v>0</v>
      </c>
      <c r="P243" s="3290"/>
      <c r="Q243" s="3290"/>
      <c r="R243" s="1877"/>
      <c r="S243" s="1871"/>
      <c r="T243" s="1871"/>
      <c r="U243" s="1871"/>
      <c r="V243" s="1871"/>
      <c r="W243" s="1871"/>
      <c r="X243" s="1871"/>
      <c r="Y243" s="1871"/>
      <c r="Z243" s="1871"/>
      <c r="AA243" s="1871"/>
      <c r="AB243" s="1871"/>
      <c r="AC243" s="1871"/>
      <c r="AD243" s="1871"/>
      <c r="AE243" s="1871"/>
      <c r="AF243" s="1871"/>
      <c r="AG243" s="1871"/>
      <c r="AH243" s="1871"/>
      <c r="AI243" s="1871"/>
      <c r="AJ243" s="1871"/>
      <c r="AK243" s="1871"/>
      <c r="AL243" s="1871"/>
      <c r="AM243" s="1871"/>
      <c r="AN243" s="1871"/>
      <c r="AO243" s="1871"/>
      <c r="AP243" s="1871"/>
      <c r="AQ243" s="1871"/>
      <c r="AR243" s="1871"/>
      <c r="AS243" s="1871"/>
      <c r="AT243" s="1871"/>
      <c r="AU243" s="1871"/>
      <c r="AV243" s="1871"/>
      <c r="AW243" s="1871"/>
      <c r="AX243" s="1871"/>
      <c r="AY243" s="1871"/>
      <c r="AZ243" s="1871"/>
      <c r="BA243" s="1871"/>
      <c r="BB243" s="1871"/>
      <c r="BC243" s="1871"/>
      <c r="BD243" s="1871"/>
      <c r="BE243" s="1871"/>
      <c r="BF243" s="1871"/>
      <c r="BG243" s="1871"/>
      <c r="BH243" s="1871"/>
      <c r="BI243" s="1871"/>
      <c r="BJ243" s="1871"/>
      <c r="BK243" s="1871"/>
      <c r="BL243" s="1871"/>
      <c r="BM243" s="1871"/>
      <c r="BN243" s="1871"/>
      <c r="BO243" s="1871"/>
      <c r="BP243" s="1871"/>
      <c r="BQ243" s="1871"/>
      <c r="BR243" s="1871"/>
      <c r="BS243" s="1871"/>
      <c r="BT243" s="1871"/>
      <c r="BU243" s="1871"/>
      <c r="BV243" s="1871"/>
      <c r="BW243" s="1871"/>
      <c r="BX243" s="1871"/>
      <c r="BY243" s="1871"/>
      <c r="BZ243" s="1871"/>
      <c r="CA243" s="1871"/>
      <c r="CB243" s="1871"/>
      <c r="CC243" s="1871"/>
      <c r="CD243" s="1871"/>
      <c r="CE243" s="1871"/>
      <c r="CF243" s="1871"/>
      <c r="CG243" s="1871"/>
      <c r="CH243" s="1871"/>
      <c r="CI243" s="1871"/>
      <c r="CJ243" s="1871"/>
      <c r="CK243" s="1871"/>
      <c r="CL243" s="1871"/>
      <c r="CM243" s="1871"/>
      <c r="CN243" s="1871"/>
      <c r="CO243" s="1871"/>
      <c r="CP243" s="1871"/>
      <c r="CQ243" s="1871"/>
      <c r="CR243" s="1871"/>
      <c r="CS243" s="1871"/>
      <c r="CT243" s="1871"/>
      <c r="CU243" s="1871"/>
      <c r="CV243" s="1871"/>
      <c r="CW243" s="1871"/>
      <c r="CX243" s="1871"/>
      <c r="CY243" s="1871"/>
      <c r="CZ243" s="1871"/>
      <c r="DA243" s="1871"/>
      <c r="DB243" s="1871"/>
      <c r="DC243" s="1871"/>
      <c r="DD243" s="1871"/>
      <c r="DE243" s="1871"/>
      <c r="DF243" s="1871"/>
      <c r="DG243" s="1871"/>
      <c r="DH243" s="1871"/>
      <c r="DI243" s="1871"/>
      <c r="DJ243" s="1871"/>
      <c r="DK243" s="1871"/>
      <c r="DL243" s="1871"/>
      <c r="DM243" s="1871"/>
      <c r="DN243" s="1871"/>
      <c r="DO243" s="1871"/>
      <c r="DP243" s="1871"/>
      <c r="DQ243" s="1871"/>
      <c r="DR243" s="1871"/>
      <c r="DS243" s="1871"/>
      <c r="DT243" s="1871"/>
      <c r="DU243" s="1871"/>
      <c r="DV243" s="1871"/>
      <c r="DW243" s="1871"/>
      <c r="DX243" s="1871"/>
      <c r="DY243" s="1871"/>
      <c r="DZ243" s="1871"/>
      <c r="EA243" s="1871"/>
      <c r="EB243" s="1871"/>
      <c r="EC243" s="1871"/>
      <c r="ED243" s="1871"/>
      <c r="EE243" s="1871"/>
      <c r="EF243" s="1871"/>
      <c r="EG243" s="1871"/>
      <c r="EH243" s="1871"/>
      <c r="EI243" s="1871"/>
      <c r="EJ243" s="1871"/>
      <c r="EK243" s="1871"/>
      <c r="EL243" s="1871"/>
      <c r="EM243" s="1871"/>
      <c r="EN243" s="1871"/>
      <c r="EO243" s="1871"/>
      <c r="EP243" s="1871"/>
      <c r="EQ243" s="1871"/>
      <c r="ER243" s="1871"/>
      <c r="ES243" s="1871"/>
      <c r="ET243" s="1871"/>
      <c r="EU243" s="1871"/>
      <c r="EV243" s="1871"/>
      <c r="EW243" s="1871"/>
      <c r="EX243" s="1871"/>
      <c r="EY243" s="1871"/>
      <c r="EZ243" s="1871"/>
      <c r="FA243" s="1871"/>
      <c r="FB243" s="1871"/>
      <c r="FC243" s="1871"/>
      <c r="FD243" s="1871"/>
      <c r="FE243" s="1871"/>
      <c r="FF243" s="1871"/>
      <c r="FG243" s="1871"/>
      <c r="FH243" s="1871"/>
      <c r="FI243" s="1871"/>
      <c r="FJ243" s="1871"/>
      <c r="FK243" s="1871"/>
      <c r="FL243" s="1871"/>
      <c r="FM243" s="1871"/>
      <c r="FN243" s="1871"/>
      <c r="FO243" s="1871"/>
      <c r="FP243" s="1871"/>
      <c r="FQ243" s="1871"/>
      <c r="FR243" s="1871"/>
      <c r="FS243" s="1871"/>
      <c r="FT243" s="1871"/>
      <c r="FU243" s="1871"/>
      <c r="FV243" s="1871"/>
      <c r="FW243" s="1871"/>
      <c r="FX243" s="1871"/>
      <c r="FY243" s="1871"/>
      <c r="FZ243" s="1871"/>
      <c r="GA243" s="1871"/>
      <c r="GB243" s="1871"/>
      <c r="GC243" s="1871"/>
      <c r="GD243" s="1871"/>
      <c r="GE243" s="1871"/>
      <c r="GF243" s="1871"/>
      <c r="GG243" s="1871"/>
      <c r="GH243" s="1871"/>
      <c r="GI243" s="1871"/>
      <c r="GJ243" s="1871"/>
      <c r="GK243" s="1871"/>
      <c r="GL243" s="1871"/>
      <c r="GM243" s="1871"/>
      <c r="GN243" s="1871"/>
      <c r="GO243" s="1871"/>
      <c r="GP243" s="1871"/>
      <c r="GQ243" s="1871"/>
      <c r="GR243" s="1871"/>
      <c r="GS243" s="1871"/>
      <c r="GT243" s="1871"/>
      <c r="GU243" s="1871"/>
      <c r="GV243" s="1871"/>
      <c r="GW243" s="1871"/>
      <c r="GX243" s="1871"/>
      <c r="GY243" s="1871"/>
      <c r="GZ243" s="1871"/>
      <c r="HA243" s="1871"/>
      <c r="HB243" s="1871"/>
      <c r="HC243" s="1871"/>
      <c r="HD243" s="1871"/>
      <c r="HE243" s="1871"/>
      <c r="HF243" s="1871"/>
      <c r="HG243" s="1871"/>
      <c r="HH243" s="1871"/>
      <c r="HI243" s="1871"/>
      <c r="HJ243" s="1871"/>
      <c r="HK243" s="1871"/>
      <c r="HL243" s="1871"/>
      <c r="HM243" s="1871"/>
      <c r="HN243" s="1871"/>
      <c r="HO243" s="1871"/>
      <c r="HP243" s="1871"/>
      <c r="HQ243" s="1871"/>
      <c r="HR243" s="1871"/>
      <c r="HS243" s="1871"/>
      <c r="HT243" s="1871"/>
      <c r="HU243" s="1871"/>
      <c r="HV243" s="1871"/>
      <c r="HW243" s="1871"/>
      <c r="HX243" s="1871"/>
      <c r="HY243" s="1871"/>
      <c r="HZ243" s="1871"/>
      <c r="IA243" s="1871"/>
      <c r="IB243" s="1871"/>
      <c r="IC243" s="1871"/>
      <c r="ID243" s="1871"/>
      <c r="IE243" s="1871"/>
      <c r="IF243" s="1871"/>
      <c r="IG243" s="1871"/>
      <c r="IH243" s="1871"/>
      <c r="II243" s="1871"/>
      <c r="IJ243" s="1871"/>
      <c r="IK243" s="1871"/>
      <c r="IL243" s="1871"/>
      <c r="IM243" s="1871"/>
      <c r="IN243" s="1871"/>
    </row>
    <row r="244" spans="1:248">
      <c r="A244" s="1870"/>
      <c r="B244" s="514"/>
      <c r="C244" s="1880"/>
      <c r="D244" s="1902"/>
      <c r="E244" s="1902"/>
      <c r="F244" s="1902"/>
      <c r="G244" s="1902"/>
      <c r="H244" s="1902"/>
      <c r="I244" s="1902"/>
      <c r="J244" s="1902"/>
      <c r="K244" s="1902"/>
      <c r="L244" s="1902"/>
      <c r="M244" s="1902"/>
      <c r="N244" s="1902"/>
      <c r="O244" s="1900"/>
      <c r="P244" s="3290"/>
      <c r="Q244" s="3290"/>
      <c r="R244" s="1877"/>
      <c r="S244" s="1871"/>
      <c r="T244" s="1871"/>
      <c r="U244" s="1871"/>
      <c r="V244" s="1871"/>
      <c r="W244" s="1871"/>
      <c r="X244" s="1871"/>
      <c r="Y244" s="1871"/>
      <c r="Z244" s="1871"/>
      <c r="AA244" s="1871"/>
      <c r="AB244" s="1871"/>
      <c r="AC244" s="1871"/>
      <c r="AD244" s="1871"/>
      <c r="AE244" s="1871"/>
      <c r="AF244" s="1871"/>
      <c r="AG244" s="1871"/>
      <c r="AH244" s="1871"/>
      <c r="AI244" s="1871"/>
      <c r="AJ244" s="1871"/>
      <c r="AK244" s="1871"/>
      <c r="AL244" s="1871"/>
      <c r="AM244" s="1871"/>
      <c r="AN244" s="1871"/>
      <c r="AO244" s="1871"/>
      <c r="AP244" s="1871"/>
      <c r="AQ244" s="1871"/>
      <c r="AR244" s="1871"/>
      <c r="AS244" s="1871"/>
      <c r="AT244" s="1871"/>
      <c r="AU244" s="1871"/>
      <c r="AV244" s="1871"/>
      <c r="AW244" s="1871"/>
      <c r="AX244" s="1871"/>
      <c r="AY244" s="1871"/>
      <c r="AZ244" s="1871"/>
      <c r="BA244" s="1871"/>
      <c r="BB244" s="1871"/>
      <c r="BC244" s="1871"/>
      <c r="BD244" s="1871"/>
      <c r="BE244" s="1871"/>
      <c r="BF244" s="1871"/>
      <c r="BG244" s="1871"/>
      <c r="BH244" s="1871"/>
      <c r="BI244" s="1871"/>
      <c r="BJ244" s="1871"/>
      <c r="BK244" s="1871"/>
      <c r="BL244" s="1871"/>
      <c r="BM244" s="1871"/>
      <c r="BN244" s="1871"/>
      <c r="BO244" s="1871"/>
      <c r="BP244" s="1871"/>
      <c r="BQ244" s="1871"/>
      <c r="BR244" s="1871"/>
      <c r="BS244" s="1871"/>
      <c r="BT244" s="1871"/>
      <c r="BU244" s="1871"/>
      <c r="BV244" s="1871"/>
      <c r="BW244" s="1871"/>
      <c r="BX244" s="1871"/>
      <c r="BY244" s="1871"/>
      <c r="BZ244" s="1871"/>
      <c r="CA244" s="1871"/>
      <c r="CB244" s="1871"/>
      <c r="CC244" s="1871"/>
      <c r="CD244" s="1871"/>
      <c r="CE244" s="1871"/>
      <c r="CF244" s="1871"/>
      <c r="CG244" s="1871"/>
      <c r="CH244" s="1871"/>
      <c r="CI244" s="1871"/>
      <c r="CJ244" s="1871"/>
      <c r="CK244" s="1871"/>
      <c r="CL244" s="1871"/>
      <c r="CM244" s="1871"/>
      <c r="CN244" s="1871"/>
      <c r="CO244" s="1871"/>
      <c r="CP244" s="1871"/>
      <c r="CQ244" s="1871"/>
      <c r="CR244" s="1871"/>
      <c r="CS244" s="1871"/>
      <c r="CT244" s="1871"/>
      <c r="CU244" s="1871"/>
      <c r="CV244" s="1871"/>
      <c r="CW244" s="1871"/>
      <c r="CX244" s="1871"/>
      <c r="CY244" s="1871"/>
      <c r="CZ244" s="1871"/>
      <c r="DA244" s="1871"/>
      <c r="DB244" s="1871"/>
      <c r="DC244" s="1871"/>
      <c r="DD244" s="1871"/>
      <c r="DE244" s="1871"/>
      <c r="DF244" s="1871"/>
      <c r="DG244" s="1871"/>
      <c r="DH244" s="1871"/>
      <c r="DI244" s="1871"/>
      <c r="DJ244" s="1871"/>
      <c r="DK244" s="1871"/>
      <c r="DL244" s="1871"/>
      <c r="DM244" s="1871"/>
      <c r="DN244" s="1871"/>
      <c r="DO244" s="1871"/>
      <c r="DP244" s="1871"/>
      <c r="DQ244" s="1871"/>
      <c r="DR244" s="1871"/>
      <c r="DS244" s="1871"/>
      <c r="DT244" s="1871"/>
      <c r="DU244" s="1871"/>
      <c r="DV244" s="1871"/>
      <c r="DW244" s="1871"/>
      <c r="DX244" s="1871"/>
      <c r="DY244" s="1871"/>
      <c r="DZ244" s="1871"/>
      <c r="EA244" s="1871"/>
      <c r="EB244" s="1871"/>
      <c r="EC244" s="1871"/>
      <c r="ED244" s="1871"/>
      <c r="EE244" s="1871"/>
      <c r="EF244" s="1871"/>
      <c r="EG244" s="1871"/>
      <c r="EH244" s="1871"/>
      <c r="EI244" s="1871"/>
      <c r="EJ244" s="1871"/>
      <c r="EK244" s="1871"/>
      <c r="EL244" s="1871"/>
      <c r="EM244" s="1871"/>
      <c r="EN244" s="1871"/>
      <c r="EO244" s="1871"/>
      <c r="EP244" s="1871"/>
      <c r="EQ244" s="1871"/>
      <c r="ER244" s="1871"/>
      <c r="ES244" s="1871"/>
      <c r="ET244" s="1871"/>
      <c r="EU244" s="1871"/>
      <c r="EV244" s="1871"/>
      <c r="EW244" s="1871"/>
      <c r="EX244" s="1871"/>
      <c r="EY244" s="1871"/>
      <c r="EZ244" s="1871"/>
      <c r="FA244" s="1871"/>
      <c r="FB244" s="1871"/>
      <c r="FC244" s="1871"/>
      <c r="FD244" s="1871"/>
      <c r="FE244" s="1871"/>
      <c r="FF244" s="1871"/>
      <c r="FG244" s="1871"/>
      <c r="FH244" s="1871"/>
      <c r="FI244" s="1871"/>
      <c r="FJ244" s="1871"/>
      <c r="FK244" s="1871"/>
      <c r="FL244" s="1871"/>
      <c r="FM244" s="1871"/>
      <c r="FN244" s="1871"/>
      <c r="FO244" s="1871"/>
      <c r="FP244" s="1871"/>
      <c r="FQ244" s="1871"/>
      <c r="FR244" s="1871"/>
      <c r="FS244" s="1871"/>
      <c r="FT244" s="1871"/>
      <c r="FU244" s="1871"/>
      <c r="FV244" s="1871"/>
      <c r="FW244" s="1871"/>
      <c r="FX244" s="1871"/>
      <c r="FY244" s="1871"/>
      <c r="FZ244" s="1871"/>
      <c r="GA244" s="1871"/>
      <c r="GB244" s="1871"/>
      <c r="GC244" s="1871"/>
      <c r="GD244" s="1871"/>
      <c r="GE244" s="1871"/>
      <c r="GF244" s="1871"/>
      <c r="GG244" s="1871"/>
      <c r="GH244" s="1871"/>
      <c r="GI244" s="1871"/>
      <c r="GJ244" s="1871"/>
      <c r="GK244" s="1871"/>
      <c r="GL244" s="1871"/>
      <c r="GM244" s="1871"/>
      <c r="GN244" s="1871"/>
      <c r="GO244" s="1871"/>
      <c r="GP244" s="1871"/>
      <c r="GQ244" s="1871"/>
      <c r="GR244" s="1871"/>
      <c r="GS244" s="1871"/>
      <c r="GT244" s="1871"/>
      <c r="GU244" s="1871"/>
      <c r="GV244" s="1871"/>
      <c r="GW244" s="1871"/>
      <c r="GX244" s="1871"/>
      <c r="GY244" s="1871"/>
      <c r="GZ244" s="1871"/>
      <c r="HA244" s="1871"/>
      <c r="HB244" s="1871"/>
      <c r="HC244" s="1871"/>
      <c r="HD244" s="1871"/>
      <c r="HE244" s="1871"/>
      <c r="HF244" s="1871"/>
      <c r="HG244" s="1871"/>
      <c r="HH244" s="1871"/>
      <c r="HI244" s="1871"/>
      <c r="HJ244" s="1871"/>
      <c r="HK244" s="1871"/>
      <c r="HL244" s="1871"/>
      <c r="HM244" s="1871"/>
      <c r="HN244" s="1871"/>
      <c r="HO244" s="1871"/>
      <c r="HP244" s="1871"/>
      <c r="HQ244" s="1871"/>
      <c r="HR244" s="1871"/>
      <c r="HS244" s="1871"/>
      <c r="HT244" s="1871"/>
      <c r="HU244" s="1871"/>
      <c r="HV244" s="1871"/>
      <c r="HW244" s="1871"/>
      <c r="HX244" s="1871"/>
      <c r="HY244" s="1871"/>
      <c r="HZ244" s="1871"/>
      <c r="IA244" s="1871"/>
      <c r="IB244" s="1871"/>
      <c r="IC244" s="1871"/>
      <c r="ID244" s="1871"/>
      <c r="IE244" s="1871"/>
      <c r="IF244" s="1871"/>
      <c r="IG244" s="1871"/>
      <c r="IH244" s="1871"/>
      <c r="II244" s="1871"/>
      <c r="IJ244" s="1871"/>
      <c r="IK244" s="1871"/>
      <c r="IL244" s="1871"/>
      <c r="IM244" s="1871"/>
      <c r="IN244" s="1871"/>
    </row>
    <row r="245" spans="1:248">
      <c r="A245" s="1870"/>
      <c r="B245" s="3732" t="s">
        <v>1559</v>
      </c>
      <c r="C245" s="3730"/>
      <c r="D245" s="1902"/>
      <c r="E245" s="1902"/>
      <c r="F245" s="1902"/>
      <c r="G245" s="1902"/>
      <c r="H245" s="1902"/>
      <c r="I245" s="1902"/>
      <c r="J245" s="1902"/>
      <c r="K245" s="1902"/>
      <c r="L245" s="1902"/>
      <c r="M245" s="1902"/>
      <c r="N245" s="1902"/>
      <c r="O245" s="1900"/>
      <c r="P245" s="3290"/>
      <c r="Q245" s="3290"/>
      <c r="R245" s="1877"/>
      <c r="S245" s="1871"/>
      <c r="T245" s="1871"/>
      <c r="U245" s="1871"/>
      <c r="V245" s="1871"/>
      <c r="W245" s="1871"/>
      <c r="X245" s="1871"/>
      <c r="Y245" s="1871"/>
      <c r="Z245" s="1871"/>
      <c r="AA245" s="1871"/>
      <c r="AB245" s="1871"/>
      <c r="AC245" s="1871"/>
      <c r="AD245" s="1871"/>
      <c r="AE245" s="1871"/>
      <c r="AF245" s="1871"/>
      <c r="AG245" s="1871"/>
      <c r="AH245" s="1871"/>
      <c r="AI245" s="1871"/>
      <c r="AJ245" s="1871"/>
      <c r="AK245" s="1871"/>
      <c r="AL245" s="1871"/>
      <c r="AM245" s="1871"/>
      <c r="AN245" s="1871"/>
      <c r="AO245" s="1871"/>
      <c r="AP245" s="1871"/>
      <c r="AQ245" s="1871"/>
      <c r="AR245" s="1871"/>
      <c r="AS245" s="1871"/>
      <c r="AT245" s="1871"/>
      <c r="AU245" s="1871"/>
      <c r="AV245" s="1871"/>
      <c r="AW245" s="1871"/>
      <c r="AX245" s="1871"/>
      <c r="AY245" s="1871"/>
      <c r="AZ245" s="1871"/>
      <c r="BA245" s="1871"/>
      <c r="BB245" s="1871"/>
      <c r="BC245" s="1871"/>
      <c r="BD245" s="1871"/>
      <c r="BE245" s="1871"/>
      <c r="BF245" s="1871"/>
      <c r="BG245" s="1871"/>
      <c r="BH245" s="1871"/>
      <c r="BI245" s="1871"/>
      <c r="BJ245" s="1871"/>
      <c r="BK245" s="1871"/>
      <c r="BL245" s="1871"/>
      <c r="BM245" s="1871"/>
      <c r="BN245" s="1871"/>
      <c r="BO245" s="1871"/>
      <c r="BP245" s="1871"/>
      <c r="BQ245" s="1871"/>
      <c r="BR245" s="1871"/>
      <c r="BS245" s="1871"/>
      <c r="BT245" s="1871"/>
      <c r="BU245" s="1871"/>
      <c r="BV245" s="1871"/>
      <c r="BW245" s="1871"/>
      <c r="BX245" s="1871"/>
      <c r="BY245" s="1871"/>
      <c r="BZ245" s="1871"/>
      <c r="CA245" s="1871"/>
      <c r="CB245" s="1871"/>
      <c r="CC245" s="1871"/>
      <c r="CD245" s="1871"/>
      <c r="CE245" s="1871"/>
      <c r="CF245" s="1871"/>
      <c r="CG245" s="1871"/>
      <c r="CH245" s="1871"/>
      <c r="CI245" s="1871"/>
      <c r="CJ245" s="1871"/>
      <c r="CK245" s="1871"/>
      <c r="CL245" s="1871"/>
      <c r="CM245" s="1871"/>
      <c r="CN245" s="1871"/>
      <c r="CO245" s="1871"/>
      <c r="CP245" s="1871"/>
      <c r="CQ245" s="1871"/>
      <c r="CR245" s="1871"/>
      <c r="CS245" s="1871"/>
      <c r="CT245" s="1871"/>
      <c r="CU245" s="1871"/>
      <c r="CV245" s="1871"/>
      <c r="CW245" s="1871"/>
      <c r="CX245" s="1871"/>
      <c r="CY245" s="1871"/>
      <c r="CZ245" s="1871"/>
      <c r="DA245" s="1871"/>
      <c r="DB245" s="1871"/>
      <c r="DC245" s="1871"/>
      <c r="DD245" s="1871"/>
      <c r="DE245" s="1871"/>
      <c r="DF245" s="1871"/>
      <c r="DG245" s="1871"/>
      <c r="DH245" s="1871"/>
      <c r="DI245" s="1871"/>
      <c r="DJ245" s="1871"/>
      <c r="DK245" s="1871"/>
      <c r="DL245" s="1871"/>
      <c r="DM245" s="1871"/>
      <c r="DN245" s="1871"/>
      <c r="DO245" s="1871"/>
      <c r="DP245" s="1871"/>
      <c r="DQ245" s="1871"/>
      <c r="DR245" s="1871"/>
      <c r="DS245" s="1871"/>
      <c r="DT245" s="1871"/>
      <c r="DU245" s="1871"/>
      <c r="DV245" s="1871"/>
      <c r="DW245" s="1871"/>
      <c r="DX245" s="1871"/>
      <c r="DY245" s="1871"/>
      <c r="DZ245" s="1871"/>
      <c r="EA245" s="1871"/>
      <c r="EB245" s="1871"/>
      <c r="EC245" s="1871"/>
      <c r="ED245" s="1871"/>
      <c r="EE245" s="1871"/>
      <c r="EF245" s="1871"/>
      <c r="EG245" s="1871"/>
      <c r="EH245" s="1871"/>
      <c r="EI245" s="1871"/>
      <c r="EJ245" s="1871"/>
      <c r="EK245" s="1871"/>
      <c r="EL245" s="1871"/>
      <c r="EM245" s="1871"/>
      <c r="EN245" s="1871"/>
      <c r="EO245" s="1871"/>
      <c r="EP245" s="1871"/>
      <c r="EQ245" s="1871"/>
      <c r="ER245" s="1871"/>
      <c r="ES245" s="1871"/>
      <c r="ET245" s="1871"/>
      <c r="EU245" s="1871"/>
      <c r="EV245" s="1871"/>
      <c r="EW245" s="1871"/>
      <c r="EX245" s="1871"/>
      <c r="EY245" s="1871"/>
      <c r="EZ245" s="1871"/>
      <c r="FA245" s="1871"/>
      <c r="FB245" s="1871"/>
      <c r="FC245" s="1871"/>
      <c r="FD245" s="1871"/>
      <c r="FE245" s="1871"/>
      <c r="FF245" s="1871"/>
      <c r="FG245" s="1871"/>
      <c r="FH245" s="1871"/>
      <c r="FI245" s="1871"/>
      <c r="FJ245" s="1871"/>
      <c r="FK245" s="1871"/>
      <c r="FL245" s="1871"/>
      <c r="FM245" s="1871"/>
      <c r="FN245" s="1871"/>
      <c r="FO245" s="1871"/>
      <c r="FP245" s="1871"/>
      <c r="FQ245" s="1871"/>
      <c r="FR245" s="1871"/>
      <c r="FS245" s="1871"/>
      <c r="FT245" s="1871"/>
      <c r="FU245" s="1871"/>
      <c r="FV245" s="1871"/>
      <c r="FW245" s="1871"/>
      <c r="FX245" s="1871"/>
      <c r="FY245" s="1871"/>
      <c r="FZ245" s="1871"/>
      <c r="GA245" s="1871"/>
      <c r="GB245" s="1871"/>
      <c r="GC245" s="1871"/>
      <c r="GD245" s="1871"/>
      <c r="GE245" s="1871"/>
      <c r="GF245" s="1871"/>
      <c r="GG245" s="1871"/>
      <c r="GH245" s="1871"/>
      <c r="GI245" s="1871"/>
      <c r="GJ245" s="1871"/>
      <c r="GK245" s="1871"/>
      <c r="GL245" s="1871"/>
      <c r="GM245" s="1871"/>
      <c r="GN245" s="1871"/>
      <c r="GO245" s="1871"/>
      <c r="GP245" s="1871"/>
      <c r="GQ245" s="1871"/>
      <c r="GR245" s="1871"/>
      <c r="GS245" s="1871"/>
      <c r="GT245" s="1871"/>
      <c r="GU245" s="1871"/>
      <c r="GV245" s="1871"/>
      <c r="GW245" s="1871"/>
      <c r="GX245" s="1871"/>
      <c r="GY245" s="1871"/>
      <c r="GZ245" s="1871"/>
      <c r="HA245" s="1871"/>
      <c r="HB245" s="1871"/>
      <c r="HC245" s="1871"/>
      <c r="HD245" s="1871"/>
      <c r="HE245" s="1871"/>
      <c r="HF245" s="1871"/>
      <c r="HG245" s="1871"/>
      <c r="HH245" s="1871"/>
      <c r="HI245" s="1871"/>
      <c r="HJ245" s="1871"/>
      <c r="HK245" s="1871"/>
      <c r="HL245" s="1871"/>
      <c r="HM245" s="1871"/>
      <c r="HN245" s="1871"/>
      <c r="HO245" s="1871"/>
      <c r="HP245" s="1871"/>
      <c r="HQ245" s="1871"/>
      <c r="HR245" s="1871"/>
      <c r="HS245" s="1871"/>
      <c r="HT245" s="1871"/>
      <c r="HU245" s="1871"/>
      <c r="HV245" s="1871"/>
      <c r="HW245" s="1871"/>
      <c r="HX245" s="1871"/>
      <c r="HY245" s="1871"/>
      <c r="HZ245" s="1871"/>
      <c r="IA245" s="1871"/>
      <c r="IB245" s="1871"/>
      <c r="IC245" s="1871"/>
      <c r="ID245" s="1871"/>
      <c r="IE245" s="1871"/>
      <c r="IF245" s="1871"/>
      <c r="IG245" s="1871"/>
      <c r="IH245" s="1871"/>
      <c r="II245" s="1871"/>
      <c r="IJ245" s="1871"/>
      <c r="IK245" s="1871"/>
      <c r="IL245" s="1871"/>
      <c r="IM245" s="1871"/>
      <c r="IN245" s="1871"/>
    </row>
    <row r="246" spans="1:248">
      <c r="A246" s="1870"/>
      <c r="B246" s="3733"/>
      <c r="C246" s="3725"/>
      <c r="D246" s="1902"/>
      <c r="E246" s="1902"/>
      <c r="F246" s="1902"/>
      <c r="G246" s="1902"/>
      <c r="H246" s="1902"/>
      <c r="I246" s="1902"/>
      <c r="J246" s="1902"/>
      <c r="K246" s="1902"/>
      <c r="L246" s="1902"/>
      <c r="M246" s="1902"/>
      <c r="N246" s="1902"/>
      <c r="O246" s="1900"/>
      <c r="P246" s="3290"/>
      <c r="Q246" s="3290"/>
      <c r="R246" s="1877"/>
      <c r="S246" s="1871"/>
      <c r="T246" s="1871"/>
      <c r="U246" s="1871"/>
      <c r="V246" s="1871"/>
      <c r="W246" s="1871"/>
      <c r="X246" s="1871"/>
      <c r="Y246" s="1871"/>
      <c r="Z246" s="1871"/>
      <c r="AA246" s="1871"/>
      <c r="AB246" s="1871"/>
      <c r="AC246" s="1871"/>
      <c r="AD246" s="1871"/>
      <c r="AE246" s="1871"/>
      <c r="AF246" s="1871"/>
      <c r="AG246" s="1871"/>
      <c r="AH246" s="1871"/>
      <c r="AI246" s="1871"/>
      <c r="AJ246" s="1871"/>
      <c r="AK246" s="1871"/>
      <c r="AL246" s="1871"/>
      <c r="AM246" s="1871"/>
      <c r="AN246" s="1871"/>
      <c r="AO246" s="1871"/>
      <c r="AP246" s="1871"/>
      <c r="AQ246" s="1871"/>
      <c r="AR246" s="1871"/>
      <c r="AS246" s="1871"/>
      <c r="AT246" s="1871"/>
      <c r="AU246" s="1871"/>
      <c r="AV246" s="1871"/>
      <c r="AW246" s="1871"/>
      <c r="AX246" s="1871"/>
      <c r="AY246" s="1871"/>
      <c r="AZ246" s="1871"/>
      <c r="BA246" s="1871"/>
      <c r="BB246" s="1871"/>
      <c r="BC246" s="1871"/>
      <c r="BD246" s="1871"/>
      <c r="BE246" s="1871"/>
      <c r="BF246" s="1871"/>
      <c r="BG246" s="1871"/>
      <c r="BH246" s="1871"/>
      <c r="BI246" s="1871"/>
      <c r="BJ246" s="1871"/>
      <c r="BK246" s="1871"/>
      <c r="BL246" s="1871"/>
      <c r="BM246" s="1871"/>
      <c r="BN246" s="1871"/>
      <c r="BO246" s="1871"/>
      <c r="BP246" s="1871"/>
      <c r="BQ246" s="1871"/>
      <c r="BR246" s="1871"/>
      <c r="BS246" s="1871"/>
      <c r="BT246" s="1871"/>
      <c r="BU246" s="1871"/>
      <c r="BV246" s="1871"/>
      <c r="BW246" s="1871"/>
      <c r="BX246" s="1871"/>
      <c r="BY246" s="1871"/>
      <c r="BZ246" s="1871"/>
      <c r="CA246" s="1871"/>
      <c r="CB246" s="1871"/>
      <c r="CC246" s="1871"/>
      <c r="CD246" s="1871"/>
      <c r="CE246" s="1871"/>
      <c r="CF246" s="1871"/>
      <c r="CG246" s="1871"/>
      <c r="CH246" s="1871"/>
      <c r="CI246" s="1871"/>
      <c r="CJ246" s="1871"/>
      <c r="CK246" s="1871"/>
      <c r="CL246" s="1871"/>
      <c r="CM246" s="1871"/>
      <c r="CN246" s="1871"/>
      <c r="CO246" s="1871"/>
      <c r="CP246" s="1871"/>
      <c r="CQ246" s="1871"/>
      <c r="CR246" s="1871"/>
      <c r="CS246" s="1871"/>
      <c r="CT246" s="1871"/>
      <c r="CU246" s="1871"/>
      <c r="CV246" s="1871"/>
      <c r="CW246" s="1871"/>
      <c r="CX246" s="1871"/>
      <c r="CY246" s="1871"/>
      <c r="CZ246" s="1871"/>
      <c r="DA246" s="1871"/>
      <c r="DB246" s="1871"/>
      <c r="DC246" s="1871"/>
      <c r="DD246" s="1871"/>
      <c r="DE246" s="1871"/>
      <c r="DF246" s="1871"/>
      <c r="DG246" s="1871"/>
      <c r="DH246" s="1871"/>
      <c r="DI246" s="1871"/>
      <c r="DJ246" s="1871"/>
      <c r="DK246" s="1871"/>
      <c r="DL246" s="1871"/>
      <c r="DM246" s="1871"/>
      <c r="DN246" s="1871"/>
      <c r="DO246" s="1871"/>
      <c r="DP246" s="1871"/>
      <c r="DQ246" s="1871"/>
      <c r="DR246" s="1871"/>
      <c r="DS246" s="1871"/>
      <c r="DT246" s="1871"/>
      <c r="DU246" s="1871"/>
      <c r="DV246" s="1871"/>
      <c r="DW246" s="1871"/>
      <c r="DX246" s="1871"/>
      <c r="DY246" s="1871"/>
      <c r="DZ246" s="1871"/>
      <c r="EA246" s="1871"/>
      <c r="EB246" s="1871"/>
      <c r="EC246" s="1871"/>
      <c r="ED246" s="1871"/>
      <c r="EE246" s="1871"/>
      <c r="EF246" s="1871"/>
      <c r="EG246" s="1871"/>
      <c r="EH246" s="1871"/>
      <c r="EI246" s="1871"/>
      <c r="EJ246" s="1871"/>
      <c r="EK246" s="1871"/>
      <c r="EL246" s="1871"/>
      <c r="EM246" s="1871"/>
      <c r="EN246" s="1871"/>
      <c r="EO246" s="1871"/>
      <c r="EP246" s="1871"/>
      <c r="EQ246" s="1871"/>
      <c r="ER246" s="1871"/>
      <c r="ES246" s="1871"/>
      <c r="ET246" s="1871"/>
      <c r="EU246" s="1871"/>
      <c r="EV246" s="1871"/>
      <c r="EW246" s="1871"/>
      <c r="EX246" s="1871"/>
      <c r="EY246" s="1871"/>
      <c r="EZ246" s="1871"/>
      <c r="FA246" s="1871"/>
      <c r="FB246" s="1871"/>
      <c r="FC246" s="1871"/>
      <c r="FD246" s="1871"/>
      <c r="FE246" s="1871"/>
      <c r="FF246" s="1871"/>
      <c r="FG246" s="1871"/>
      <c r="FH246" s="1871"/>
      <c r="FI246" s="1871"/>
      <c r="FJ246" s="1871"/>
      <c r="FK246" s="1871"/>
      <c r="FL246" s="1871"/>
      <c r="FM246" s="1871"/>
      <c r="FN246" s="1871"/>
      <c r="FO246" s="1871"/>
      <c r="FP246" s="1871"/>
      <c r="FQ246" s="1871"/>
      <c r="FR246" s="1871"/>
      <c r="FS246" s="1871"/>
      <c r="FT246" s="1871"/>
      <c r="FU246" s="1871"/>
      <c r="FV246" s="1871"/>
      <c r="FW246" s="1871"/>
      <c r="FX246" s="1871"/>
      <c r="FY246" s="1871"/>
      <c r="FZ246" s="1871"/>
      <c r="GA246" s="1871"/>
      <c r="GB246" s="1871"/>
      <c r="GC246" s="1871"/>
      <c r="GD246" s="1871"/>
      <c r="GE246" s="1871"/>
      <c r="GF246" s="1871"/>
      <c r="GG246" s="1871"/>
      <c r="GH246" s="1871"/>
      <c r="GI246" s="1871"/>
      <c r="GJ246" s="1871"/>
      <c r="GK246" s="1871"/>
      <c r="GL246" s="1871"/>
      <c r="GM246" s="1871"/>
      <c r="GN246" s="1871"/>
      <c r="GO246" s="1871"/>
      <c r="GP246" s="1871"/>
      <c r="GQ246" s="1871"/>
      <c r="GR246" s="1871"/>
      <c r="GS246" s="1871"/>
      <c r="GT246" s="1871"/>
      <c r="GU246" s="1871"/>
      <c r="GV246" s="1871"/>
      <c r="GW246" s="1871"/>
      <c r="GX246" s="1871"/>
      <c r="GY246" s="1871"/>
      <c r="GZ246" s="1871"/>
      <c r="HA246" s="1871"/>
      <c r="HB246" s="1871"/>
      <c r="HC246" s="1871"/>
      <c r="HD246" s="1871"/>
      <c r="HE246" s="1871"/>
      <c r="HF246" s="1871"/>
      <c r="HG246" s="1871"/>
      <c r="HH246" s="1871"/>
      <c r="HI246" s="1871"/>
      <c r="HJ246" s="1871"/>
      <c r="HK246" s="1871"/>
      <c r="HL246" s="1871"/>
      <c r="HM246" s="1871"/>
      <c r="HN246" s="1871"/>
      <c r="HO246" s="1871"/>
      <c r="HP246" s="1871"/>
      <c r="HQ246" s="1871"/>
      <c r="HR246" s="1871"/>
      <c r="HS246" s="1871"/>
      <c r="HT246" s="1871"/>
      <c r="HU246" s="1871"/>
      <c r="HV246" s="1871"/>
      <c r="HW246" s="1871"/>
      <c r="HX246" s="1871"/>
      <c r="HY246" s="1871"/>
      <c r="HZ246" s="1871"/>
      <c r="IA246" s="1871"/>
      <c r="IB246" s="1871"/>
      <c r="IC246" s="1871"/>
      <c r="ID246" s="1871"/>
      <c r="IE246" s="1871"/>
      <c r="IF246" s="1871"/>
      <c r="IG246" s="1871"/>
      <c r="IH246" s="1871"/>
      <c r="II246" s="1871"/>
      <c r="IJ246" s="1871"/>
      <c r="IK246" s="1871"/>
      <c r="IL246" s="1871"/>
      <c r="IM246" s="1871"/>
      <c r="IN246" s="1871"/>
    </row>
    <row r="247" spans="1:248">
      <c r="A247" s="1870" t="s">
        <v>1560</v>
      </c>
      <c r="B247" s="1879" t="s">
        <v>1561</v>
      </c>
      <c r="C247" s="1881" t="s">
        <v>1562</v>
      </c>
      <c r="D247" s="1897">
        <v>0</v>
      </c>
      <c r="E247" s="1897">
        <v>0</v>
      </c>
      <c r="F247" s="1897">
        <v>0</v>
      </c>
      <c r="G247" s="1897">
        <v>0</v>
      </c>
      <c r="H247" s="1897">
        <v>0</v>
      </c>
      <c r="I247" s="1897">
        <v>0</v>
      </c>
      <c r="J247" s="1897">
        <v>0</v>
      </c>
      <c r="K247" s="1897">
        <v>0</v>
      </c>
      <c r="L247" s="1897">
        <v>0</v>
      </c>
      <c r="M247" s="1899">
        <f>SUM(D247:L247)</f>
        <v>0</v>
      </c>
      <c r="N247" s="1897">
        <v>0</v>
      </c>
      <c r="O247" s="1900">
        <f>SUM(M247:N247)</f>
        <v>0</v>
      </c>
      <c r="P247" s="3290" t="s">
        <v>1563</v>
      </c>
      <c r="Q247" s="3290"/>
      <c r="R247" s="1877"/>
      <c r="S247" s="516"/>
      <c r="T247" s="516"/>
      <c r="U247" s="516"/>
      <c r="V247" s="516"/>
      <c r="W247" s="516"/>
      <c r="X247" s="516"/>
      <c r="Y247" s="516"/>
      <c r="Z247" s="516"/>
      <c r="AA247" s="516"/>
      <c r="AB247" s="516"/>
      <c r="AC247" s="516"/>
      <c r="AD247" s="516"/>
      <c r="AE247" s="516"/>
      <c r="AF247" s="516"/>
      <c r="AG247" s="516"/>
      <c r="AH247" s="516"/>
      <c r="AI247" s="516"/>
      <c r="AJ247" s="516"/>
      <c r="AK247" s="516"/>
      <c r="AL247" s="516"/>
      <c r="AM247" s="516"/>
      <c r="AN247" s="516"/>
      <c r="AO247" s="516"/>
      <c r="AP247" s="516"/>
      <c r="AQ247" s="516"/>
      <c r="AR247" s="516"/>
      <c r="AS247" s="516"/>
      <c r="AT247" s="516"/>
      <c r="AU247" s="516"/>
      <c r="AV247" s="516"/>
      <c r="AW247" s="516"/>
      <c r="AX247" s="516"/>
      <c r="AY247" s="516"/>
      <c r="AZ247" s="516"/>
      <c r="BA247" s="516"/>
      <c r="BB247" s="516"/>
      <c r="BC247" s="516"/>
      <c r="BD247" s="516"/>
      <c r="BE247" s="516"/>
      <c r="BF247" s="516"/>
      <c r="BG247" s="516"/>
      <c r="BH247" s="516"/>
      <c r="BI247" s="516"/>
      <c r="BJ247" s="516"/>
      <c r="BK247" s="516"/>
      <c r="BL247" s="516"/>
      <c r="BM247" s="516"/>
      <c r="BN247" s="516"/>
      <c r="BO247" s="516"/>
      <c r="BP247" s="516"/>
      <c r="BQ247" s="516"/>
      <c r="BR247" s="516"/>
      <c r="BS247" s="516"/>
      <c r="BT247" s="516"/>
      <c r="BU247" s="516"/>
      <c r="BV247" s="516"/>
      <c r="BW247" s="516"/>
      <c r="BX247" s="516"/>
      <c r="BY247" s="516"/>
      <c r="BZ247" s="516"/>
      <c r="CA247" s="516"/>
      <c r="CB247" s="516"/>
      <c r="CC247" s="516"/>
      <c r="CD247" s="516"/>
      <c r="CE247" s="516"/>
      <c r="CF247" s="516"/>
      <c r="CG247" s="516"/>
      <c r="CH247" s="516"/>
      <c r="CI247" s="516"/>
      <c r="CJ247" s="516"/>
      <c r="CK247" s="516"/>
      <c r="CL247" s="516"/>
      <c r="CM247" s="516"/>
      <c r="CN247" s="516"/>
      <c r="CO247" s="516"/>
      <c r="CP247" s="516"/>
      <c r="CQ247" s="516"/>
      <c r="CR247" s="516"/>
      <c r="CS247" s="516"/>
      <c r="CT247" s="516"/>
      <c r="CU247" s="516"/>
      <c r="CV247" s="516"/>
      <c r="CW247" s="516"/>
      <c r="CX247" s="516"/>
      <c r="CY247" s="516"/>
      <c r="CZ247" s="516"/>
      <c r="DA247" s="516"/>
      <c r="DB247" s="516"/>
      <c r="DC247" s="516"/>
      <c r="DD247" s="516"/>
      <c r="DE247" s="516"/>
      <c r="DF247" s="516"/>
      <c r="DG247" s="516"/>
      <c r="DH247" s="516"/>
      <c r="DI247" s="516"/>
      <c r="DJ247" s="516"/>
      <c r="DK247" s="516"/>
      <c r="DL247" s="516"/>
      <c r="DM247" s="516"/>
      <c r="DN247" s="516"/>
      <c r="DO247" s="516"/>
      <c r="DP247" s="516"/>
      <c r="DQ247" s="516"/>
      <c r="DR247" s="516"/>
      <c r="DS247" s="516"/>
      <c r="DT247" s="516"/>
      <c r="DU247" s="516"/>
      <c r="DV247" s="516"/>
      <c r="DW247" s="516"/>
      <c r="DX247" s="516"/>
      <c r="DY247" s="516"/>
      <c r="DZ247" s="516"/>
      <c r="EA247" s="516"/>
      <c r="EB247" s="516"/>
      <c r="EC247" s="516"/>
      <c r="ED247" s="516"/>
      <c r="EE247" s="516"/>
      <c r="EF247" s="516"/>
      <c r="EG247" s="516"/>
      <c r="EH247" s="516"/>
      <c r="EI247" s="516"/>
      <c r="EJ247" s="516"/>
      <c r="EK247" s="516"/>
      <c r="EL247" s="516"/>
      <c r="EM247" s="516"/>
      <c r="EN247" s="516"/>
      <c r="EO247" s="516"/>
      <c r="EP247" s="516"/>
      <c r="EQ247" s="516"/>
      <c r="ER247" s="516"/>
      <c r="ES247" s="516"/>
      <c r="ET247" s="516"/>
      <c r="EU247" s="516"/>
      <c r="EV247" s="516"/>
      <c r="EW247" s="516"/>
      <c r="EX247" s="516"/>
      <c r="EY247" s="516"/>
      <c r="EZ247" s="516"/>
      <c r="FA247" s="516"/>
      <c r="FB247" s="516"/>
      <c r="FC247" s="516"/>
      <c r="FD247" s="516"/>
      <c r="FE247" s="516"/>
      <c r="FF247" s="516"/>
      <c r="FG247" s="516"/>
      <c r="FH247" s="516"/>
      <c r="FI247" s="516"/>
      <c r="FJ247" s="516"/>
      <c r="FK247" s="516"/>
      <c r="FL247" s="516"/>
      <c r="FM247" s="516"/>
      <c r="FN247" s="516"/>
      <c r="FO247" s="516"/>
      <c r="FP247" s="516"/>
      <c r="FQ247" s="516"/>
      <c r="FR247" s="516"/>
      <c r="FS247" s="516"/>
      <c r="FT247" s="516"/>
      <c r="FU247" s="516"/>
      <c r="FV247" s="516"/>
      <c r="FW247" s="516"/>
      <c r="FX247" s="516"/>
      <c r="FY247" s="516"/>
      <c r="FZ247" s="516"/>
      <c r="GA247" s="516"/>
      <c r="GB247" s="516"/>
      <c r="GC247" s="516"/>
      <c r="GD247" s="516"/>
      <c r="GE247" s="516"/>
      <c r="GF247" s="516"/>
      <c r="GG247" s="516"/>
      <c r="GH247" s="516"/>
      <c r="GI247" s="516"/>
      <c r="GJ247" s="516"/>
      <c r="GK247" s="516"/>
      <c r="GL247" s="516"/>
      <c r="GM247" s="516"/>
      <c r="GN247" s="516"/>
      <c r="GO247" s="516"/>
      <c r="GP247" s="516"/>
      <c r="GQ247" s="516"/>
      <c r="GR247" s="516"/>
      <c r="GS247" s="516"/>
      <c r="GT247" s="516"/>
      <c r="GU247" s="516"/>
      <c r="GV247" s="516"/>
      <c r="GW247" s="516"/>
      <c r="GX247" s="516"/>
      <c r="GY247" s="516"/>
      <c r="GZ247" s="516"/>
      <c r="HA247" s="516"/>
      <c r="HB247" s="516"/>
      <c r="HC247" s="516"/>
      <c r="HD247" s="516"/>
      <c r="HE247" s="516"/>
      <c r="HF247" s="516"/>
      <c r="HG247" s="516"/>
      <c r="HH247" s="516"/>
      <c r="HI247" s="516"/>
      <c r="HJ247" s="516"/>
      <c r="HK247" s="516"/>
      <c r="HL247" s="516"/>
      <c r="HM247" s="516"/>
      <c r="HN247" s="516"/>
      <c r="HO247" s="516"/>
      <c r="HP247" s="516"/>
      <c r="HQ247" s="516"/>
      <c r="HR247" s="516"/>
      <c r="HS247" s="516"/>
      <c r="HT247" s="516"/>
      <c r="HU247" s="516"/>
      <c r="HV247" s="516"/>
      <c r="HW247" s="516"/>
      <c r="HX247" s="516"/>
      <c r="HY247" s="516"/>
      <c r="HZ247" s="516"/>
      <c r="IA247" s="516"/>
      <c r="IB247" s="516"/>
      <c r="IC247" s="516"/>
      <c r="ID247" s="516"/>
      <c r="IE247" s="516"/>
      <c r="IF247" s="516"/>
      <c r="IG247" s="516"/>
      <c r="IH247" s="516"/>
      <c r="II247" s="516"/>
      <c r="IJ247" s="516"/>
      <c r="IK247" s="516"/>
      <c r="IL247" s="516"/>
      <c r="IM247" s="516"/>
      <c r="IN247" s="516"/>
    </row>
    <row r="248" spans="1:248">
      <c r="A248" s="1870" t="s">
        <v>1564</v>
      </c>
      <c r="B248" s="1879" t="s">
        <v>1565</v>
      </c>
      <c r="C248" s="1881" t="s">
        <v>1566</v>
      </c>
      <c r="D248" s="1897">
        <v>0</v>
      </c>
      <c r="E248" s="1897">
        <v>0</v>
      </c>
      <c r="F248" s="1897">
        <v>0</v>
      </c>
      <c r="G248" s="1897">
        <v>0</v>
      </c>
      <c r="H248" s="1897">
        <v>0</v>
      </c>
      <c r="I248" s="1897">
        <v>0</v>
      </c>
      <c r="J248" s="1897">
        <v>0</v>
      </c>
      <c r="K248" s="1897">
        <v>0</v>
      </c>
      <c r="L248" s="1897">
        <v>0</v>
      </c>
      <c r="M248" s="1899">
        <f t="shared" ref="M248:M257" si="21">SUM(D248:L248)</f>
        <v>0</v>
      </c>
      <c r="N248" s="1897">
        <v>0</v>
      </c>
      <c r="O248" s="1900">
        <f t="shared" ref="O248:O257" si="22">SUM(M248:N248)</f>
        <v>0</v>
      </c>
      <c r="P248" s="3290" t="s">
        <v>1567</v>
      </c>
      <c r="Q248" s="3290"/>
      <c r="R248" s="1877"/>
      <c r="S248" s="516"/>
      <c r="T248" s="516"/>
      <c r="U248" s="516"/>
      <c r="V248" s="516"/>
      <c r="W248" s="516"/>
      <c r="X248" s="516"/>
      <c r="Y248" s="516"/>
      <c r="Z248" s="516"/>
      <c r="AA248" s="516"/>
      <c r="AB248" s="516"/>
      <c r="AC248" s="516"/>
      <c r="AD248" s="516"/>
      <c r="AE248" s="516"/>
      <c r="AF248" s="516"/>
      <c r="AG248" s="516"/>
      <c r="AH248" s="516"/>
      <c r="AI248" s="516"/>
      <c r="AJ248" s="516"/>
      <c r="AK248" s="516"/>
      <c r="AL248" s="516"/>
      <c r="AM248" s="516"/>
      <c r="AN248" s="516"/>
      <c r="AO248" s="516"/>
      <c r="AP248" s="516"/>
      <c r="AQ248" s="516"/>
      <c r="AR248" s="516"/>
      <c r="AS248" s="516"/>
      <c r="AT248" s="516"/>
      <c r="AU248" s="516"/>
      <c r="AV248" s="516"/>
      <c r="AW248" s="516"/>
      <c r="AX248" s="516"/>
      <c r="AY248" s="516"/>
      <c r="AZ248" s="516"/>
      <c r="BA248" s="516"/>
      <c r="BB248" s="516"/>
      <c r="BC248" s="516"/>
      <c r="BD248" s="516"/>
      <c r="BE248" s="516"/>
      <c r="BF248" s="516"/>
      <c r="BG248" s="516"/>
      <c r="BH248" s="516"/>
      <c r="BI248" s="516"/>
      <c r="BJ248" s="516"/>
      <c r="BK248" s="516"/>
      <c r="BL248" s="516"/>
      <c r="BM248" s="516"/>
      <c r="BN248" s="516"/>
      <c r="BO248" s="516"/>
      <c r="BP248" s="516"/>
      <c r="BQ248" s="516"/>
      <c r="BR248" s="516"/>
      <c r="BS248" s="516"/>
      <c r="BT248" s="516"/>
      <c r="BU248" s="516"/>
      <c r="BV248" s="516"/>
      <c r="BW248" s="516"/>
      <c r="BX248" s="516"/>
      <c r="BY248" s="516"/>
      <c r="BZ248" s="516"/>
      <c r="CA248" s="516"/>
      <c r="CB248" s="516"/>
      <c r="CC248" s="516"/>
      <c r="CD248" s="516"/>
      <c r="CE248" s="516"/>
      <c r="CF248" s="516"/>
      <c r="CG248" s="516"/>
      <c r="CH248" s="516"/>
      <c r="CI248" s="516"/>
      <c r="CJ248" s="516"/>
      <c r="CK248" s="516"/>
      <c r="CL248" s="516"/>
      <c r="CM248" s="516"/>
      <c r="CN248" s="516"/>
      <c r="CO248" s="516"/>
      <c r="CP248" s="516"/>
      <c r="CQ248" s="516"/>
      <c r="CR248" s="516"/>
      <c r="CS248" s="516"/>
      <c r="CT248" s="516"/>
      <c r="CU248" s="516"/>
      <c r="CV248" s="516"/>
      <c r="CW248" s="516"/>
      <c r="CX248" s="516"/>
      <c r="CY248" s="516"/>
      <c r="CZ248" s="516"/>
      <c r="DA248" s="516"/>
      <c r="DB248" s="516"/>
      <c r="DC248" s="516"/>
      <c r="DD248" s="516"/>
      <c r="DE248" s="516"/>
      <c r="DF248" s="516"/>
      <c r="DG248" s="516"/>
      <c r="DH248" s="516"/>
      <c r="DI248" s="516"/>
      <c r="DJ248" s="516"/>
      <c r="DK248" s="516"/>
      <c r="DL248" s="516"/>
      <c r="DM248" s="516"/>
      <c r="DN248" s="516"/>
      <c r="DO248" s="516"/>
      <c r="DP248" s="516"/>
      <c r="DQ248" s="516"/>
      <c r="DR248" s="516"/>
      <c r="DS248" s="516"/>
      <c r="DT248" s="516"/>
      <c r="DU248" s="516"/>
      <c r="DV248" s="516"/>
      <c r="DW248" s="516"/>
      <c r="DX248" s="516"/>
      <c r="DY248" s="516"/>
      <c r="DZ248" s="516"/>
      <c r="EA248" s="516"/>
      <c r="EB248" s="516"/>
      <c r="EC248" s="516"/>
      <c r="ED248" s="516"/>
      <c r="EE248" s="516"/>
      <c r="EF248" s="516"/>
      <c r="EG248" s="516"/>
      <c r="EH248" s="516"/>
      <c r="EI248" s="516"/>
      <c r="EJ248" s="516"/>
      <c r="EK248" s="516"/>
      <c r="EL248" s="516"/>
      <c r="EM248" s="516"/>
      <c r="EN248" s="516"/>
      <c r="EO248" s="516"/>
      <c r="EP248" s="516"/>
      <c r="EQ248" s="516"/>
      <c r="ER248" s="516"/>
      <c r="ES248" s="516"/>
      <c r="ET248" s="516"/>
      <c r="EU248" s="516"/>
      <c r="EV248" s="516"/>
      <c r="EW248" s="516"/>
      <c r="EX248" s="516"/>
      <c r="EY248" s="516"/>
      <c r="EZ248" s="516"/>
      <c r="FA248" s="516"/>
      <c r="FB248" s="516"/>
      <c r="FC248" s="516"/>
      <c r="FD248" s="516"/>
      <c r="FE248" s="516"/>
      <c r="FF248" s="516"/>
      <c r="FG248" s="516"/>
      <c r="FH248" s="516"/>
      <c r="FI248" s="516"/>
      <c r="FJ248" s="516"/>
      <c r="FK248" s="516"/>
      <c r="FL248" s="516"/>
      <c r="FM248" s="516"/>
      <c r="FN248" s="516"/>
      <c r="FO248" s="516"/>
      <c r="FP248" s="516"/>
      <c r="FQ248" s="516"/>
      <c r="FR248" s="516"/>
      <c r="FS248" s="516"/>
      <c r="FT248" s="516"/>
      <c r="FU248" s="516"/>
      <c r="FV248" s="516"/>
      <c r="FW248" s="516"/>
      <c r="FX248" s="516"/>
      <c r="FY248" s="516"/>
      <c r="FZ248" s="516"/>
      <c r="GA248" s="516"/>
      <c r="GB248" s="516"/>
      <c r="GC248" s="516"/>
      <c r="GD248" s="516"/>
      <c r="GE248" s="516"/>
      <c r="GF248" s="516"/>
      <c r="GG248" s="516"/>
      <c r="GH248" s="516"/>
      <c r="GI248" s="516"/>
      <c r="GJ248" s="516"/>
      <c r="GK248" s="516"/>
      <c r="GL248" s="516"/>
      <c r="GM248" s="516"/>
      <c r="GN248" s="516"/>
      <c r="GO248" s="516"/>
      <c r="GP248" s="516"/>
      <c r="GQ248" s="516"/>
      <c r="GR248" s="516"/>
      <c r="GS248" s="516"/>
      <c r="GT248" s="516"/>
      <c r="GU248" s="516"/>
      <c r="GV248" s="516"/>
      <c r="GW248" s="516"/>
      <c r="GX248" s="516"/>
      <c r="GY248" s="516"/>
      <c r="GZ248" s="516"/>
      <c r="HA248" s="516"/>
      <c r="HB248" s="516"/>
      <c r="HC248" s="516"/>
      <c r="HD248" s="516"/>
      <c r="HE248" s="516"/>
      <c r="HF248" s="516"/>
      <c r="HG248" s="516"/>
      <c r="HH248" s="516"/>
      <c r="HI248" s="516"/>
      <c r="HJ248" s="516"/>
      <c r="HK248" s="516"/>
      <c r="HL248" s="516"/>
      <c r="HM248" s="516"/>
      <c r="HN248" s="516"/>
      <c r="HO248" s="516"/>
      <c r="HP248" s="516"/>
      <c r="HQ248" s="516"/>
      <c r="HR248" s="516"/>
      <c r="HS248" s="516"/>
      <c r="HT248" s="516"/>
      <c r="HU248" s="516"/>
      <c r="HV248" s="516"/>
      <c r="HW248" s="516"/>
      <c r="HX248" s="516"/>
      <c r="HY248" s="516"/>
      <c r="HZ248" s="516"/>
      <c r="IA248" s="516"/>
      <c r="IB248" s="516"/>
      <c r="IC248" s="516"/>
      <c r="ID248" s="516"/>
      <c r="IE248" s="516"/>
      <c r="IF248" s="516"/>
      <c r="IG248" s="516"/>
      <c r="IH248" s="516"/>
      <c r="II248" s="516"/>
      <c r="IJ248" s="516"/>
      <c r="IK248" s="516"/>
      <c r="IL248" s="516"/>
      <c r="IM248" s="516"/>
      <c r="IN248" s="516"/>
    </row>
    <row r="249" spans="1:248">
      <c r="A249" s="1870" t="s">
        <v>1568</v>
      </c>
      <c r="B249" s="1879" t="s">
        <v>1569</v>
      </c>
      <c r="C249" s="1881" t="s">
        <v>1570</v>
      </c>
      <c r="D249" s="1897">
        <v>0</v>
      </c>
      <c r="E249" s="1897">
        <v>0</v>
      </c>
      <c r="F249" s="1897">
        <v>0</v>
      </c>
      <c r="G249" s="1897">
        <v>0</v>
      </c>
      <c r="H249" s="1897">
        <v>0</v>
      </c>
      <c r="I249" s="1897">
        <v>0</v>
      </c>
      <c r="J249" s="1897">
        <v>0</v>
      </c>
      <c r="K249" s="1897">
        <v>0</v>
      </c>
      <c r="L249" s="1897">
        <v>0</v>
      </c>
      <c r="M249" s="1899">
        <f t="shared" si="21"/>
        <v>0</v>
      </c>
      <c r="N249" s="1897">
        <v>0</v>
      </c>
      <c r="O249" s="1900">
        <f t="shared" si="22"/>
        <v>0</v>
      </c>
      <c r="P249" s="3290" t="s">
        <v>1520</v>
      </c>
      <c r="Q249" s="3290"/>
      <c r="R249" s="1877"/>
      <c r="S249" s="516"/>
      <c r="T249" s="516"/>
      <c r="U249" s="516"/>
      <c r="V249" s="516"/>
      <c r="W249" s="516"/>
      <c r="X249" s="516"/>
      <c r="Y249" s="516"/>
      <c r="Z249" s="516"/>
      <c r="AA249" s="516"/>
      <c r="AB249" s="516"/>
      <c r="AC249" s="516"/>
      <c r="AD249" s="516"/>
      <c r="AE249" s="516"/>
      <c r="AF249" s="516"/>
      <c r="AG249" s="516"/>
      <c r="AH249" s="516"/>
      <c r="AI249" s="516"/>
      <c r="AJ249" s="516"/>
      <c r="AK249" s="516"/>
      <c r="AL249" s="516"/>
      <c r="AM249" s="516"/>
      <c r="AN249" s="516"/>
      <c r="AO249" s="516"/>
      <c r="AP249" s="516"/>
      <c r="AQ249" s="516"/>
      <c r="AR249" s="516"/>
      <c r="AS249" s="516"/>
      <c r="AT249" s="516"/>
      <c r="AU249" s="516"/>
      <c r="AV249" s="516"/>
      <c r="AW249" s="516"/>
      <c r="AX249" s="516"/>
      <c r="AY249" s="516"/>
      <c r="AZ249" s="516"/>
      <c r="BA249" s="516"/>
      <c r="BB249" s="516"/>
      <c r="BC249" s="516"/>
      <c r="BD249" s="516"/>
      <c r="BE249" s="516"/>
      <c r="BF249" s="516"/>
      <c r="BG249" s="516"/>
      <c r="BH249" s="516"/>
      <c r="BI249" s="516"/>
      <c r="BJ249" s="516"/>
      <c r="BK249" s="516"/>
      <c r="BL249" s="516"/>
      <c r="BM249" s="516"/>
      <c r="BN249" s="516"/>
      <c r="BO249" s="516"/>
      <c r="BP249" s="516"/>
      <c r="BQ249" s="516"/>
      <c r="BR249" s="516"/>
      <c r="BS249" s="516"/>
      <c r="BT249" s="516"/>
      <c r="BU249" s="516"/>
      <c r="BV249" s="516"/>
      <c r="BW249" s="516"/>
      <c r="BX249" s="516"/>
      <c r="BY249" s="516"/>
      <c r="BZ249" s="516"/>
      <c r="CA249" s="516"/>
      <c r="CB249" s="516"/>
      <c r="CC249" s="516"/>
      <c r="CD249" s="516"/>
      <c r="CE249" s="516"/>
      <c r="CF249" s="516"/>
      <c r="CG249" s="516"/>
      <c r="CH249" s="516"/>
      <c r="CI249" s="516"/>
      <c r="CJ249" s="516"/>
      <c r="CK249" s="516"/>
      <c r="CL249" s="516"/>
      <c r="CM249" s="516"/>
      <c r="CN249" s="516"/>
      <c r="CO249" s="516"/>
      <c r="CP249" s="516"/>
      <c r="CQ249" s="516"/>
      <c r="CR249" s="516"/>
      <c r="CS249" s="516"/>
      <c r="CT249" s="516"/>
      <c r="CU249" s="516"/>
      <c r="CV249" s="516"/>
      <c r="CW249" s="516"/>
      <c r="CX249" s="516"/>
      <c r="CY249" s="516"/>
      <c r="CZ249" s="516"/>
      <c r="DA249" s="516"/>
      <c r="DB249" s="516"/>
      <c r="DC249" s="516"/>
      <c r="DD249" s="516"/>
      <c r="DE249" s="516"/>
      <c r="DF249" s="516"/>
      <c r="DG249" s="516"/>
      <c r="DH249" s="516"/>
      <c r="DI249" s="516"/>
      <c r="DJ249" s="516"/>
      <c r="DK249" s="516"/>
      <c r="DL249" s="516"/>
      <c r="DM249" s="516"/>
      <c r="DN249" s="516"/>
      <c r="DO249" s="516"/>
      <c r="DP249" s="516"/>
      <c r="DQ249" s="516"/>
      <c r="DR249" s="516"/>
      <c r="DS249" s="516"/>
      <c r="DT249" s="516"/>
      <c r="DU249" s="516"/>
      <c r="DV249" s="516"/>
      <c r="DW249" s="516"/>
      <c r="DX249" s="516"/>
      <c r="DY249" s="516"/>
      <c r="DZ249" s="516"/>
      <c r="EA249" s="516"/>
      <c r="EB249" s="516"/>
      <c r="EC249" s="516"/>
      <c r="ED249" s="516"/>
      <c r="EE249" s="516"/>
      <c r="EF249" s="516"/>
      <c r="EG249" s="516"/>
      <c r="EH249" s="516"/>
      <c r="EI249" s="516"/>
      <c r="EJ249" s="516"/>
      <c r="EK249" s="516"/>
      <c r="EL249" s="516"/>
      <c r="EM249" s="516"/>
      <c r="EN249" s="516"/>
      <c r="EO249" s="516"/>
      <c r="EP249" s="516"/>
      <c r="EQ249" s="516"/>
      <c r="ER249" s="516"/>
      <c r="ES249" s="516"/>
      <c r="ET249" s="516"/>
      <c r="EU249" s="516"/>
      <c r="EV249" s="516"/>
      <c r="EW249" s="516"/>
      <c r="EX249" s="516"/>
      <c r="EY249" s="516"/>
      <c r="EZ249" s="516"/>
      <c r="FA249" s="516"/>
      <c r="FB249" s="516"/>
      <c r="FC249" s="516"/>
      <c r="FD249" s="516"/>
      <c r="FE249" s="516"/>
      <c r="FF249" s="516"/>
      <c r="FG249" s="516"/>
      <c r="FH249" s="516"/>
      <c r="FI249" s="516"/>
      <c r="FJ249" s="516"/>
      <c r="FK249" s="516"/>
      <c r="FL249" s="516"/>
      <c r="FM249" s="516"/>
      <c r="FN249" s="516"/>
      <c r="FO249" s="516"/>
      <c r="FP249" s="516"/>
      <c r="FQ249" s="516"/>
      <c r="FR249" s="516"/>
      <c r="FS249" s="516"/>
      <c r="FT249" s="516"/>
      <c r="FU249" s="516"/>
      <c r="FV249" s="516"/>
      <c r="FW249" s="516"/>
      <c r="FX249" s="516"/>
      <c r="FY249" s="516"/>
      <c r="FZ249" s="516"/>
      <c r="GA249" s="516"/>
      <c r="GB249" s="516"/>
      <c r="GC249" s="516"/>
      <c r="GD249" s="516"/>
      <c r="GE249" s="516"/>
      <c r="GF249" s="516"/>
      <c r="GG249" s="516"/>
      <c r="GH249" s="516"/>
      <c r="GI249" s="516"/>
      <c r="GJ249" s="516"/>
      <c r="GK249" s="516"/>
      <c r="GL249" s="516"/>
      <c r="GM249" s="516"/>
      <c r="GN249" s="516"/>
      <c r="GO249" s="516"/>
      <c r="GP249" s="516"/>
      <c r="GQ249" s="516"/>
      <c r="GR249" s="516"/>
      <c r="GS249" s="516"/>
      <c r="GT249" s="516"/>
      <c r="GU249" s="516"/>
      <c r="GV249" s="516"/>
      <c r="GW249" s="516"/>
      <c r="GX249" s="516"/>
      <c r="GY249" s="516"/>
      <c r="GZ249" s="516"/>
      <c r="HA249" s="516"/>
      <c r="HB249" s="516"/>
      <c r="HC249" s="516"/>
      <c r="HD249" s="516"/>
      <c r="HE249" s="516"/>
      <c r="HF249" s="516"/>
      <c r="HG249" s="516"/>
      <c r="HH249" s="516"/>
      <c r="HI249" s="516"/>
      <c r="HJ249" s="516"/>
      <c r="HK249" s="516"/>
      <c r="HL249" s="516"/>
      <c r="HM249" s="516"/>
      <c r="HN249" s="516"/>
      <c r="HO249" s="516"/>
      <c r="HP249" s="516"/>
      <c r="HQ249" s="516"/>
      <c r="HR249" s="516"/>
      <c r="HS249" s="516"/>
      <c r="HT249" s="516"/>
      <c r="HU249" s="516"/>
      <c r="HV249" s="516"/>
      <c r="HW249" s="516"/>
      <c r="HX249" s="516"/>
      <c r="HY249" s="516"/>
      <c r="HZ249" s="516"/>
      <c r="IA249" s="516"/>
      <c r="IB249" s="516"/>
      <c r="IC249" s="516"/>
      <c r="ID249" s="516"/>
      <c r="IE249" s="516"/>
      <c r="IF249" s="516"/>
      <c r="IG249" s="516"/>
      <c r="IH249" s="516"/>
      <c r="II249" s="516"/>
      <c r="IJ249" s="516"/>
      <c r="IK249" s="516"/>
      <c r="IL249" s="516"/>
      <c r="IM249" s="516"/>
      <c r="IN249" s="516"/>
    </row>
    <row r="250" spans="1:248">
      <c r="A250" s="1870" t="s">
        <v>1571</v>
      </c>
      <c r="B250" s="1879" t="s">
        <v>1572</v>
      </c>
      <c r="C250" s="1881" t="s">
        <v>1573</v>
      </c>
      <c r="D250" s="1897">
        <v>0</v>
      </c>
      <c r="E250" s="1897">
        <v>0</v>
      </c>
      <c r="F250" s="1897">
        <v>0</v>
      </c>
      <c r="G250" s="1897">
        <v>0</v>
      </c>
      <c r="H250" s="1897">
        <v>0</v>
      </c>
      <c r="I250" s="1897">
        <v>0</v>
      </c>
      <c r="J250" s="1897">
        <v>0</v>
      </c>
      <c r="K250" s="1897">
        <v>0</v>
      </c>
      <c r="L250" s="1897">
        <v>0</v>
      </c>
      <c r="M250" s="1899">
        <f t="shared" si="21"/>
        <v>0</v>
      </c>
      <c r="N250" s="1897">
        <v>0</v>
      </c>
      <c r="O250" s="1900">
        <f t="shared" si="22"/>
        <v>0</v>
      </c>
      <c r="P250" s="3290" t="s">
        <v>1563</v>
      </c>
      <c r="Q250" s="3290"/>
      <c r="R250" s="1877"/>
      <c r="S250" s="1871"/>
      <c r="T250" s="1871"/>
      <c r="U250" s="1871"/>
      <c r="V250" s="1871"/>
      <c r="W250" s="1871"/>
      <c r="X250" s="1871"/>
      <c r="Y250" s="1871"/>
      <c r="Z250" s="1871"/>
      <c r="AA250" s="1871"/>
      <c r="AB250" s="1871"/>
      <c r="AC250" s="1871"/>
      <c r="AD250" s="1871"/>
      <c r="AE250" s="1871"/>
      <c r="AF250" s="1871"/>
      <c r="AG250" s="1871"/>
      <c r="AH250" s="1871"/>
      <c r="AI250" s="1871"/>
      <c r="AJ250" s="1871"/>
      <c r="AK250" s="1871"/>
      <c r="AL250" s="1871"/>
      <c r="AM250" s="1871"/>
      <c r="AN250" s="1871"/>
      <c r="AO250" s="1871"/>
      <c r="AP250" s="1871"/>
      <c r="AQ250" s="1871"/>
      <c r="AR250" s="1871"/>
      <c r="AS250" s="1871"/>
      <c r="AT250" s="1871"/>
      <c r="AU250" s="1871"/>
      <c r="AV250" s="1871"/>
      <c r="AW250" s="1871"/>
      <c r="AX250" s="1871"/>
      <c r="AY250" s="1871"/>
      <c r="AZ250" s="1871"/>
      <c r="BA250" s="1871"/>
      <c r="BB250" s="1871"/>
      <c r="BC250" s="1871"/>
      <c r="BD250" s="1871"/>
      <c r="BE250" s="1871"/>
      <c r="BF250" s="1871"/>
      <c r="BG250" s="1871"/>
      <c r="BH250" s="1871"/>
      <c r="BI250" s="1871"/>
      <c r="BJ250" s="1871"/>
      <c r="BK250" s="1871"/>
      <c r="BL250" s="1871"/>
      <c r="BM250" s="1871"/>
      <c r="BN250" s="1871"/>
      <c r="BO250" s="1871"/>
      <c r="BP250" s="1871"/>
      <c r="BQ250" s="1871"/>
      <c r="BR250" s="1871"/>
      <c r="BS250" s="1871"/>
      <c r="BT250" s="1871"/>
      <c r="BU250" s="1871"/>
      <c r="BV250" s="1871"/>
      <c r="BW250" s="1871"/>
      <c r="BX250" s="1871"/>
      <c r="BY250" s="1871"/>
      <c r="BZ250" s="1871"/>
      <c r="CA250" s="1871"/>
      <c r="CB250" s="1871"/>
      <c r="CC250" s="1871"/>
      <c r="CD250" s="1871"/>
      <c r="CE250" s="1871"/>
      <c r="CF250" s="1871"/>
      <c r="CG250" s="1871"/>
      <c r="CH250" s="1871"/>
      <c r="CI250" s="1871"/>
      <c r="CJ250" s="1871"/>
      <c r="CK250" s="1871"/>
      <c r="CL250" s="1871"/>
      <c r="CM250" s="1871"/>
      <c r="CN250" s="1871"/>
      <c r="CO250" s="1871"/>
      <c r="CP250" s="1871"/>
      <c r="CQ250" s="1871"/>
      <c r="CR250" s="1871"/>
      <c r="CS250" s="1871"/>
      <c r="CT250" s="1871"/>
      <c r="CU250" s="1871"/>
      <c r="CV250" s="1871"/>
      <c r="CW250" s="1871"/>
      <c r="CX250" s="1871"/>
      <c r="CY250" s="1871"/>
      <c r="CZ250" s="1871"/>
      <c r="DA250" s="1871"/>
      <c r="DB250" s="1871"/>
      <c r="DC250" s="1871"/>
      <c r="DD250" s="1871"/>
      <c r="DE250" s="1871"/>
      <c r="DF250" s="1871"/>
      <c r="DG250" s="1871"/>
      <c r="DH250" s="1871"/>
      <c r="DI250" s="1871"/>
      <c r="DJ250" s="1871"/>
      <c r="DK250" s="1871"/>
      <c r="DL250" s="1871"/>
      <c r="DM250" s="1871"/>
      <c r="DN250" s="1871"/>
      <c r="DO250" s="1871"/>
      <c r="DP250" s="1871"/>
      <c r="DQ250" s="1871"/>
      <c r="DR250" s="1871"/>
      <c r="DS250" s="1871"/>
      <c r="DT250" s="1871"/>
      <c r="DU250" s="1871"/>
      <c r="DV250" s="1871"/>
      <c r="DW250" s="1871"/>
      <c r="DX250" s="1871"/>
      <c r="DY250" s="1871"/>
      <c r="DZ250" s="1871"/>
      <c r="EA250" s="1871"/>
      <c r="EB250" s="1871"/>
      <c r="EC250" s="1871"/>
      <c r="ED250" s="1871"/>
      <c r="EE250" s="1871"/>
      <c r="EF250" s="1871"/>
      <c r="EG250" s="1871"/>
      <c r="EH250" s="1871"/>
      <c r="EI250" s="1871"/>
      <c r="EJ250" s="1871"/>
      <c r="EK250" s="1871"/>
      <c r="EL250" s="1871"/>
      <c r="EM250" s="1871"/>
      <c r="EN250" s="1871"/>
      <c r="EO250" s="1871"/>
      <c r="EP250" s="1871"/>
      <c r="EQ250" s="1871"/>
      <c r="ER250" s="1871"/>
      <c r="ES250" s="1871"/>
      <c r="ET250" s="1871"/>
      <c r="EU250" s="1871"/>
      <c r="EV250" s="1871"/>
      <c r="EW250" s="1871"/>
      <c r="EX250" s="1871"/>
      <c r="EY250" s="1871"/>
      <c r="EZ250" s="1871"/>
      <c r="FA250" s="1871"/>
      <c r="FB250" s="1871"/>
      <c r="FC250" s="1871"/>
      <c r="FD250" s="1871"/>
      <c r="FE250" s="1871"/>
      <c r="FF250" s="1871"/>
      <c r="FG250" s="1871"/>
      <c r="FH250" s="1871"/>
      <c r="FI250" s="1871"/>
      <c r="FJ250" s="1871"/>
      <c r="FK250" s="1871"/>
      <c r="FL250" s="1871"/>
      <c r="FM250" s="1871"/>
      <c r="FN250" s="1871"/>
      <c r="FO250" s="1871"/>
      <c r="FP250" s="1871"/>
      <c r="FQ250" s="1871"/>
      <c r="FR250" s="1871"/>
      <c r="FS250" s="1871"/>
      <c r="FT250" s="1871"/>
      <c r="FU250" s="1871"/>
      <c r="FV250" s="1871"/>
      <c r="FW250" s="1871"/>
      <c r="FX250" s="1871"/>
      <c r="FY250" s="1871"/>
      <c r="FZ250" s="1871"/>
      <c r="GA250" s="1871"/>
      <c r="GB250" s="1871"/>
      <c r="GC250" s="1871"/>
      <c r="GD250" s="1871"/>
      <c r="GE250" s="1871"/>
      <c r="GF250" s="1871"/>
      <c r="GG250" s="1871"/>
      <c r="GH250" s="1871"/>
      <c r="GI250" s="1871"/>
      <c r="GJ250" s="1871"/>
      <c r="GK250" s="1871"/>
      <c r="GL250" s="1871"/>
      <c r="GM250" s="1871"/>
      <c r="GN250" s="1871"/>
      <c r="GO250" s="1871"/>
      <c r="GP250" s="1871"/>
      <c r="GQ250" s="1871"/>
      <c r="GR250" s="1871"/>
      <c r="GS250" s="1871"/>
      <c r="GT250" s="1871"/>
      <c r="GU250" s="1871"/>
      <c r="GV250" s="1871"/>
      <c r="GW250" s="1871"/>
      <c r="GX250" s="1871"/>
      <c r="GY250" s="1871"/>
      <c r="GZ250" s="1871"/>
      <c r="HA250" s="1871"/>
      <c r="HB250" s="1871"/>
      <c r="HC250" s="1871"/>
      <c r="HD250" s="1871"/>
      <c r="HE250" s="1871"/>
      <c r="HF250" s="1871"/>
      <c r="HG250" s="1871"/>
      <c r="HH250" s="1871"/>
      <c r="HI250" s="1871"/>
      <c r="HJ250" s="1871"/>
      <c r="HK250" s="1871"/>
      <c r="HL250" s="1871"/>
      <c r="HM250" s="1871"/>
      <c r="HN250" s="1871"/>
      <c r="HO250" s="1871"/>
      <c r="HP250" s="1871"/>
      <c r="HQ250" s="1871"/>
      <c r="HR250" s="1871"/>
      <c r="HS250" s="1871"/>
      <c r="HT250" s="1871"/>
      <c r="HU250" s="1871"/>
      <c r="HV250" s="1871"/>
      <c r="HW250" s="1871"/>
      <c r="HX250" s="1871"/>
      <c r="HY250" s="1871"/>
      <c r="HZ250" s="1871"/>
      <c r="IA250" s="1871"/>
      <c r="IB250" s="1871"/>
      <c r="IC250" s="1871"/>
      <c r="ID250" s="1871"/>
      <c r="IE250" s="1871"/>
      <c r="IF250" s="1871"/>
      <c r="IG250" s="1871"/>
      <c r="IH250" s="1871"/>
      <c r="II250" s="1871"/>
      <c r="IJ250" s="1871"/>
      <c r="IK250" s="1871"/>
      <c r="IL250" s="1871"/>
      <c r="IM250" s="1871"/>
      <c r="IN250" s="1871"/>
    </row>
    <row r="251" spans="1:248">
      <c r="A251" s="1870" t="s">
        <v>1574</v>
      </c>
      <c r="B251" s="1879" t="s">
        <v>1575</v>
      </c>
      <c r="C251" s="1881" t="s">
        <v>1576</v>
      </c>
      <c r="D251" s="1897">
        <v>0</v>
      </c>
      <c r="E251" s="1897">
        <v>0</v>
      </c>
      <c r="F251" s="1897">
        <v>0</v>
      </c>
      <c r="G251" s="1897">
        <v>0</v>
      </c>
      <c r="H251" s="1897">
        <v>0</v>
      </c>
      <c r="I251" s="1897">
        <v>0</v>
      </c>
      <c r="J251" s="1897">
        <v>0</v>
      </c>
      <c r="K251" s="1897">
        <v>0</v>
      </c>
      <c r="L251" s="1897">
        <v>0</v>
      </c>
      <c r="M251" s="1899">
        <f t="shared" si="21"/>
        <v>0</v>
      </c>
      <c r="N251" s="1897">
        <v>0</v>
      </c>
      <c r="O251" s="1900">
        <f t="shared" si="22"/>
        <v>0</v>
      </c>
      <c r="P251" s="3290" t="s">
        <v>1567</v>
      </c>
      <c r="Q251" s="3290"/>
      <c r="R251" s="1877"/>
      <c r="S251" s="1871"/>
      <c r="T251" s="1871"/>
      <c r="U251" s="1871"/>
      <c r="V251" s="1871"/>
      <c r="W251" s="1871"/>
      <c r="X251" s="1871"/>
      <c r="Y251" s="1871"/>
      <c r="Z251" s="1871"/>
      <c r="AA251" s="1871"/>
      <c r="AB251" s="1871"/>
      <c r="AC251" s="1871"/>
      <c r="AD251" s="1871"/>
      <c r="AE251" s="1871"/>
      <c r="AF251" s="1871"/>
      <c r="AG251" s="1871"/>
      <c r="AH251" s="1871"/>
      <c r="AI251" s="1871"/>
      <c r="AJ251" s="1871"/>
      <c r="AK251" s="1871"/>
      <c r="AL251" s="1871"/>
      <c r="AM251" s="1871"/>
      <c r="AN251" s="1871"/>
      <c r="AO251" s="1871"/>
      <c r="AP251" s="1871"/>
      <c r="AQ251" s="1871"/>
      <c r="AR251" s="1871"/>
      <c r="AS251" s="1871"/>
      <c r="AT251" s="1871"/>
      <c r="AU251" s="1871"/>
      <c r="AV251" s="1871"/>
      <c r="AW251" s="1871"/>
      <c r="AX251" s="1871"/>
      <c r="AY251" s="1871"/>
      <c r="AZ251" s="1871"/>
      <c r="BA251" s="1871"/>
      <c r="BB251" s="1871"/>
      <c r="BC251" s="1871"/>
      <c r="BD251" s="1871"/>
      <c r="BE251" s="1871"/>
      <c r="BF251" s="1871"/>
      <c r="BG251" s="1871"/>
      <c r="BH251" s="1871"/>
      <c r="BI251" s="1871"/>
      <c r="BJ251" s="1871"/>
      <c r="BK251" s="1871"/>
      <c r="BL251" s="1871"/>
      <c r="BM251" s="1871"/>
      <c r="BN251" s="1871"/>
      <c r="BO251" s="1871"/>
      <c r="BP251" s="1871"/>
      <c r="BQ251" s="1871"/>
      <c r="BR251" s="1871"/>
      <c r="BS251" s="1871"/>
      <c r="BT251" s="1871"/>
      <c r="BU251" s="1871"/>
      <c r="BV251" s="1871"/>
      <c r="BW251" s="1871"/>
      <c r="BX251" s="1871"/>
      <c r="BY251" s="1871"/>
      <c r="BZ251" s="1871"/>
      <c r="CA251" s="1871"/>
      <c r="CB251" s="1871"/>
      <c r="CC251" s="1871"/>
      <c r="CD251" s="1871"/>
      <c r="CE251" s="1871"/>
      <c r="CF251" s="1871"/>
      <c r="CG251" s="1871"/>
      <c r="CH251" s="1871"/>
      <c r="CI251" s="1871"/>
      <c r="CJ251" s="1871"/>
      <c r="CK251" s="1871"/>
      <c r="CL251" s="1871"/>
      <c r="CM251" s="1871"/>
      <c r="CN251" s="1871"/>
      <c r="CO251" s="1871"/>
      <c r="CP251" s="1871"/>
      <c r="CQ251" s="1871"/>
      <c r="CR251" s="1871"/>
      <c r="CS251" s="1871"/>
      <c r="CT251" s="1871"/>
      <c r="CU251" s="1871"/>
      <c r="CV251" s="1871"/>
      <c r="CW251" s="1871"/>
      <c r="CX251" s="1871"/>
      <c r="CY251" s="1871"/>
      <c r="CZ251" s="1871"/>
      <c r="DA251" s="1871"/>
      <c r="DB251" s="1871"/>
      <c r="DC251" s="1871"/>
      <c r="DD251" s="1871"/>
      <c r="DE251" s="1871"/>
      <c r="DF251" s="1871"/>
      <c r="DG251" s="1871"/>
      <c r="DH251" s="1871"/>
      <c r="DI251" s="1871"/>
      <c r="DJ251" s="1871"/>
      <c r="DK251" s="1871"/>
      <c r="DL251" s="1871"/>
      <c r="DM251" s="1871"/>
      <c r="DN251" s="1871"/>
      <c r="DO251" s="1871"/>
      <c r="DP251" s="1871"/>
      <c r="DQ251" s="1871"/>
      <c r="DR251" s="1871"/>
      <c r="DS251" s="1871"/>
      <c r="DT251" s="1871"/>
      <c r="DU251" s="1871"/>
      <c r="DV251" s="1871"/>
      <c r="DW251" s="1871"/>
      <c r="DX251" s="1871"/>
      <c r="DY251" s="1871"/>
      <c r="DZ251" s="1871"/>
      <c r="EA251" s="1871"/>
      <c r="EB251" s="1871"/>
      <c r="EC251" s="1871"/>
      <c r="ED251" s="1871"/>
      <c r="EE251" s="1871"/>
      <c r="EF251" s="1871"/>
      <c r="EG251" s="1871"/>
      <c r="EH251" s="1871"/>
      <c r="EI251" s="1871"/>
      <c r="EJ251" s="1871"/>
      <c r="EK251" s="1871"/>
      <c r="EL251" s="1871"/>
      <c r="EM251" s="1871"/>
      <c r="EN251" s="1871"/>
      <c r="EO251" s="1871"/>
      <c r="EP251" s="1871"/>
      <c r="EQ251" s="1871"/>
      <c r="ER251" s="1871"/>
      <c r="ES251" s="1871"/>
      <c r="ET251" s="1871"/>
      <c r="EU251" s="1871"/>
      <c r="EV251" s="1871"/>
      <c r="EW251" s="1871"/>
      <c r="EX251" s="1871"/>
      <c r="EY251" s="1871"/>
      <c r="EZ251" s="1871"/>
      <c r="FA251" s="1871"/>
      <c r="FB251" s="1871"/>
      <c r="FC251" s="1871"/>
      <c r="FD251" s="1871"/>
      <c r="FE251" s="1871"/>
      <c r="FF251" s="1871"/>
      <c r="FG251" s="1871"/>
      <c r="FH251" s="1871"/>
      <c r="FI251" s="1871"/>
      <c r="FJ251" s="1871"/>
      <c r="FK251" s="1871"/>
      <c r="FL251" s="1871"/>
      <c r="FM251" s="1871"/>
      <c r="FN251" s="1871"/>
      <c r="FO251" s="1871"/>
      <c r="FP251" s="1871"/>
      <c r="FQ251" s="1871"/>
      <c r="FR251" s="1871"/>
      <c r="FS251" s="1871"/>
      <c r="FT251" s="1871"/>
      <c r="FU251" s="1871"/>
      <c r="FV251" s="1871"/>
      <c r="FW251" s="1871"/>
      <c r="FX251" s="1871"/>
      <c r="FY251" s="1871"/>
      <c r="FZ251" s="1871"/>
      <c r="GA251" s="1871"/>
      <c r="GB251" s="1871"/>
      <c r="GC251" s="1871"/>
      <c r="GD251" s="1871"/>
      <c r="GE251" s="1871"/>
      <c r="GF251" s="1871"/>
      <c r="GG251" s="1871"/>
      <c r="GH251" s="1871"/>
      <c r="GI251" s="1871"/>
      <c r="GJ251" s="1871"/>
      <c r="GK251" s="1871"/>
      <c r="GL251" s="1871"/>
      <c r="GM251" s="1871"/>
      <c r="GN251" s="1871"/>
      <c r="GO251" s="1871"/>
      <c r="GP251" s="1871"/>
      <c r="GQ251" s="1871"/>
      <c r="GR251" s="1871"/>
      <c r="GS251" s="1871"/>
      <c r="GT251" s="1871"/>
      <c r="GU251" s="1871"/>
      <c r="GV251" s="1871"/>
      <c r="GW251" s="1871"/>
      <c r="GX251" s="1871"/>
      <c r="GY251" s="1871"/>
      <c r="GZ251" s="1871"/>
      <c r="HA251" s="1871"/>
      <c r="HB251" s="1871"/>
      <c r="HC251" s="1871"/>
      <c r="HD251" s="1871"/>
      <c r="HE251" s="1871"/>
      <c r="HF251" s="1871"/>
      <c r="HG251" s="1871"/>
      <c r="HH251" s="1871"/>
      <c r="HI251" s="1871"/>
      <c r="HJ251" s="1871"/>
      <c r="HK251" s="1871"/>
      <c r="HL251" s="1871"/>
      <c r="HM251" s="1871"/>
      <c r="HN251" s="1871"/>
      <c r="HO251" s="1871"/>
      <c r="HP251" s="1871"/>
      <c r="HQ251" s="1871"/>
      <c r="HR251" s="1871"/>
      <c r="HS251" s="1871"/>
      <c r="HT251" s="1871"/>
      <c r="HU251" s="1871"/>
      <c r="HV251" s="1871"/>
      <c r="HW251" s="1871"/>
      <c r="HX251" s="1871"/>
      <c r="HY251" s="1871"/>
      <c r="HZ251" s="1871"/>
      <c r="IA251" s="1871"/>
      <c r="IB251" s="1871"/>
      <c r="IC251" s="1871"/>
      <c r="ID251" s="1871"/>
      <c r="IE251" s="1871"/>
      <c r="IF251" s="1871"/>
      <c r="IG251" s="1871"/>
      <c r="IH251" s="1871"/>
      <c r="II251" s="1871"/>
      <c r="IJ251" s="1871"/>
      <c r="IK251" s="1871"/>
      <c r="IL251" s="1871"/>
      <c r="IM251" s="1871"/>
      <c r="IN251" s="1871"/>
    </row>
    <row r="252" spans="1:248">
      <c r="A252" s="1870" t="s">
        <v>1577</v>
      </c>
      <c r="B252" s="1879" t="s">
        <v>1578</v>
      </c>
      <c r="C252" s="1881" t="s">
        <v>1579</v>
      </c>
      <c r="D252" s="1897">
        <v>0</v>
      </c>
      <c r="E252" s="1897">
        <v>0</v>
      </c>
      <c r="F252" s="1897">
        <v>0</v>
      </c>
      <c r="G252" s="1897">
        <v>0</v>
      </c>
      <c r="H252" s="1897">
        <v>0</v>
      </c>
      <c r="I252" s="1897">
        <v>0</v>
      </c>
      <c r="J252" s="1897">
        <v>0</v>
      </c>
      <c r="K252" s="1897">
        <v>0</v>
      </c>
      <c r="L252" s="1897">
        <v>0</v>
      </c>
      <c r="M252" s="1899">
        <f t="shared" si="21"/>
        <v>0</v>
      </c>
      <c r="N252" s="1897">
        <v>0</v>
      </c>
      <c r="O252" s="1900">
        <f t="shared" si="22"/>
        <v>0</v>
      </c>
      <c r="P252" s="3290" t="s">
        <v>1520</v>
      </c>
      <c r="Q252" s="3290"/>
      <c r="R252" s="1877"/>
      <c r="S252" s="1871"/>
      <c r="T252" s="1871"/>
      <c r="U252" s="1871"/>
      <c r="V252" s="1871"/>
      <c r="W252" s="1871"/>
      <c r="X252" s="1871"/>
      <c r="Y252" s="1871"/>
      <c r="Z252" s="1871"/>
      <c r="AA252" s="1871"/>
      <c r="AB252" s="1871"/>
      <c r="AC252" s="1871"/>
      <c r="AD252" s="1871"/>
      <c r="AE252" s="1871"/>
      <c r="AF252" s="1871"/>
      <c r="AG252" s="1871"/>
      <c r="AH252" s="1871"/>
      <c r="AI252" s="1871"/>
      <c r="AJ252" s="1871"/>
      <c r="AK252" s="1871"/>
      <c r="AL252" s="1871"/>
      <c r="AM252" s="1871"/>
      <c r="AN252" s="1871"/>
      <c r="AO252" s="1871"/>
      <c r="AP252" s="1871"/>
      <c r="AQ252" s="1871"/>
      <c r="AR252" s="1871"/>
      <c r="AS252" s="1871"/>
      <c r="AT252" s="1871"/>
      <c r="AU252" s="1871"/>
      <c r="AV252" s="1871"/>
      <c r="AW252" s="1871"/>
      <c r="AX252" s="1871"/>
      <c r="AY252" s="1871"/>
      <c r="AZ252" s="1871"/>
      <c r="BA252" s="1871"/>
      <c r="BB252" s="1871"/>
      <c r="BC252" s="1871"/>
      <c r="BD252" s="1871"/>
      <c r="BE252" s="1871"/>
      <c r="BF252" s="1871"/>
      <c r="BG252" s="1871"/>
      <c r="BH252" s="1871"/>
      <c r="BI252" s="1871"/>
      <c r="BJ252" s="1871"/>
      <c r="BK252" s="1871"/>
      <c r="BL252" s="1871"/>
      <c r="BM252" s="1871"/>
      <c r="BN252" s="1871"/>
      <c r="BO252" s="1871"/>
      <c r="BP252" s="1871"/>
      <c r="BQ252" s="1871"/>
      <c r="BR252" s="1871"/>
      <c r="BS252" s="1871"/>
      <c r="BT252" s="1871"/>
      <c r="BU252" s="1871"/>
      <c r="BV252" s="1871"/>
      <c r="BW252" s="1871"/>
      <c r="BX252" s="1871"/>
      <c r="BY252" s="1871"/>
      <c r="BZ252" s="1871"/>
      <c r="CA252" s="1871"/>
      <c r="CB252" s="1871"/>
      <c r="CC252" s="1871"/>
      <c r="CD252" s="1871"/>
      <c r="CE252" s="1871"/>
      <c r="CF252" s="1871"/>
      <c r="CG252" s="1871"/>
      <c r="CH252" s="1871"/>
      <c r="CI252" s="1871"/>
      <c r="CJ252" s="1871"/>
      <c r="CK252" s="1871"/>
      <c r="CL252" s="1871"/>
      <c r="CM252" s="1871"/>
      <c r="CN252" s="1871"/>
      <c r="CO252" s="1871"/>
      <c r="CP252" s="1871"/>
      <c r="CQ252" s="1871"/>
      <c r="CR252" s="1871"/>
      <c r="CS252" s="1871"/>
      <c r="CT252" s="1871"/>
      <c r="CU252" s="1871"/>
      <c r="CV252" s="1871"/>
      <c r="CW252" s="1871"/>
      <c r="CX252" s="1871"/>
      <c r="CY252" s="1871"/>
      <c r="CZ252" s="1871"/>
      <c r="DA252" s="1871"/>
      <c r="DB252" s="1871"/>
      <c r="DC252" s="1871"/>
      <c r="DD252" s="1871"/>
      <c r="DE252" s="1871"/>
      <c r="DF252" s="1871"/>
      <c r="DG252" s="1871"/>
      <c r="DH252" s="1871"/>
      <c r="DI252" s="1871"/>
      <c r="DJ252" s="1871"/>
      <c r="DK252" s="1871"/>
      <c r="DL252" s="1871"/>
      <c r="DM252" s="1871"/>
      <c r="DN252" s="1871"/>
      <c r="DO252" s="1871"/>
      <c r="DP252" s="1871"/>
      <c r="DQ252" s="1871"/>
      <c r="DR252" s="1871"/>
      <c r="DS252" s="1871"/>
      <c r="DT252" s="1871"/>
      <c r="DU252" s="1871"/>
      <c r="DV252" s="1871"/>
      <c r="DW252" s="1871"/>
      <c r="DX252" s="1871"/>
      <c r="DY252" s="1871"/>
      <c r="DZ252" s="1871"/>
      <c r="EA252" s="1871"/>
      <c r="EB252" s="1871"/>
      <c r="EC252" s="1871"/>
      <c r="ED252" s="1871"/>
      <c r="EE252" s="1871"/>
      <c r="EF252" s="1871"/>
      <c r="EG252" s="1871"/>
      <c r="EH252" s="1871"/>
      <c r="EI252" s="1871"/>
      <c r="EJ252" s="1871"/>
      <c r="EK252" s="1871"/>
      <c r="EL252" s="1871"/>
      <c r="EM252" s="1871"/>
      <c r="EN252" s="1871"/>
      <c r="EO252" s="1871"/>
      <c r="EP252" s="1871"/>
      <c r="EQ252" s="1871"/>
      <c r="ER252" s="1871"/>
      <c r="ES252" s="1871"/>
      <c r="ET252" s="1871"/>
      <c r="EU252" s="1871"/>
      <c r="EV252" s="1871"/>
      <c r="EW252" s="1871"/>
      <c r="EX252" s="1871"/>
      <c r="EY252" s="1871"/>
      <c r="EZ252" s="1871"/>
      <c r="FA252" s="1871"/>
      <c r="FB252" s="1871"/>
      <c r="FC252" s="1871"/>
      <c r="FD252" s="1871"/>
      <c r="FE252" s="1871"/>
      <c r="FF252" s="1871"/>
      <c r="FG252" s="1871"/>
      <c r="FH252" s="1871"/>
      <c r="FI252" s="1871"/>
      <c r="FJ252" s="1871"/>
      <c r="FK252" s="1871"/>
      <c r="FL252" s="1871"/>
      <c r="FM252" s="1871"/>
      <c r="FN252" s="1871"/>
      <c r="FO252" s="1871"/>
      <c r="FP252" s="1871"/>
      <c r="FQ252" s="1871"/>
      <c r="FR252" s="1871"/>
      <c r="FS252" s="1871"/>
      <c r="FT252" s="1871"/>
      <c r="FU252" s="1871"/>
      <c r="FV252" s="1871"/>
      <c r="FW252" s="1871"/>
      <c r="FX252" s="1871"/>
      <c r="FY252" s="1871"/>
      <c r="FZ252" s="1871"/>
      <c r="GA252" s="1871"/>
      <c r="GB252" s="1871"/>
      <c r="GC252" s="1871"/>
      <c r="GD252" s="1871"/>
      <c r="GE252" s="1871"/>
      <c r="GF252" s="1871"/>
      <c r="GG252" s="1871"/>
      <c r="GH252" s="1871"/>
      <c r="GI252" s="1871"/>
      <c r="GJ252" s="1871"/>
      <c r="GK252" s="1871"/>
      <c r="GL252" s="1871"/>
      <c r="GM252" s="1871"/>
      <c r="GN252" s="1871"/>
      <c r="GO252" s="1871"/>
      <c r="GP252" s="1871"/>
      <c r="GQ252" s="1871"/>
      <c r="GR252" s="1871"/>
      <c r="GS252" s="1871"/>
      <c r="GT252" s="1871"/>
      <c r="GU252" s="1871"/>
      <c r="GV252" s="1871"/>
      <c r="GW252" s="1871"/>
      <c r="GX252" s="1871"/>
      <c r="GY252" s="1871"/>
      <c r="GZ252" s="1871"/>
      <c r="HA252" s="1871"/>
      <c r="HB252" s="1871"/>
      <c r="HC252" s="1871"/>
      <c r="HD252" s="1871"/>
      <c r="HE252" s="1871"/>
      <c r="HF252" s="1871"/>
      <c r="HG252" s="1871"/>
      <c r="HH252" s="1871"/>
      <c r="HI252" s="1871"/>
      <c r="HJ252" s="1871"/>
      <c r="HK252" s="1871"/>
      <c r="HL252" s="1871"/>
      <c r="HM252" s="1871"/>
      <c r="HN252" s="1871"/>
      <c r="HO252" s="1871"/>
      <c r="HP252" s="1871"/>
      <c r="HQ252" s="1871"/>
      <c r="HR252" s="1871"/>
      <c r="HS252" s="1871"/>
      <c r="HT252" s="1871"/>
      <c r="HU252" s="1871"/>
      <c r="HV252" s="1871"/>
      <c r="HW252" s="1871"/>
      <c r="HX252" s="1871"/>
      <c r="HY252" s="1871"/>
      <c r="HZ252" s="1871"/>
      <c r="IA252" s="1871"/>
      <c r="IB252" s="1871"/>
      <c r="IC252" s="1871"/>
      <c r="ID252" s="1871"/>
      <c r="IE252" s="1871"/>
      <c r="IF252" s="1871"/>
      <c r="IG252" s="1871"/>
      <c r="IH252" s="1871"/>
      <c r="II252" s="1871"/>
      <c r="IJ252" s="1871"/>
      <c r="IK252" s="1871"/>
      <c r="IL252" s="1871"/>
      <c r="IM252" s="1871"/>
      <c r="IN252" s="1871"/>
    </row>
    <row r="253" spans="1:248">
      <c r="A253" s="1870" t="s">
        <v>1580</v>
      </c>
      <c r="B253" s="1879" t="s">
        <v>1581</v>
      </c>
      <c r="C253" s="1881" t="s">
        <v>1582</v>
      </c>
      <c r="D253" s="1897">
        <v>0</v>
      </c>
      <c r="E253" s="1897">
        <v>0</v>
      </c>
      <c r="F253" s="1897">
        <v>0</v>
      </c>
      <c r="G253" s="1897">
        <v>0</v>
      </c>
      <c r="H253" s="1897">
        <v>0</v>
      </c>
      <c r="I253" s="1897">
        <v>0</v>
      </c>
      <c r="J253" s="1897">
        <v>0</v>
      </c>
      <c r="K253" s="1897">
        <v>0</v>
      </c>
      <c r="L253" s="1897">
        <v>0</v>
      </c>
      <c r="M253" s="1899">
        <f t="shared" si="21"/>
        <v>0</v>
      </c>
      <c r="N253" s="1897">
        <v>0</v>
      </c>
      <c r="O253" s="1900">
        <f t="shared" si="22"/>
        <v>0</v>
      </c>
      <c r="P253" s="3290" t="s">
        <v>1567</v>
      </c>
      <c r="Q253" s="3290"/>
      <c r="R253" s="1877"/>
      <c r="S253" s="1871"/>
      <c r="T253" s="1871"/>
      <c r="U253" s="1871"/>
      <c r="V253" s="1871"/>
      <c r="W253" s="1871"/>
      <c r="X253" s="1871"/>
      <c r="Y253" s="1871"/>
      <c r="Z253" s="1871"/>
      <c r="AA253" s="1871"/>
      <c r="AB253" s="1871"/>
      <c r="AC253" s="1871"/>
      <c r="AD253" s="1871"/>
      <c r="AE253" s="1871"/>
      <c r="AF253" s="1871"/>
      <c r="AG253" s="1871"/>
      <c r="AH253" s="1871"/>
      <c r="AI253" s="1871"/>
      <c r="AJ253" s="1871"/>
      <c r="AK253" s="1871"/>
      <c r="AL253" s="1871"/>
      <c r="AM253" s="1871"/>
      <c r="AN253" s="1871"/>
      <c r="AO253" s="1871"/>
      <c r="AP253" s="1871"/>
      <c r="AQ253" s="1871"/>
      <c r="AR253" s="1871"/>
      <c r="AS253" s="1871"/>
      <c r="AT253" s="1871"/>
      <c r="AU253" s="1871"/>
      <c r="AV253" s="1871"/>
      <c r="AW253" s="1871"/>
      <c r="AX253" s="1871"/>
      <c r="AY253" s="1871"/>
      <c r="AZ253" s="1871"/>
      <c r="BA253" s="1871"/>
      <c r="BB253" s="1871"/>
      <c r="BC253" s="1871"/>
      <c r="BD253" s="1871"/>
      <c r="BE253" s="1871"/>
      <c r="BF253" s="1871"/>
      <c r="BG253" s="1871"/>
      <c r="BH253" s="1871"/>
      <c r="BI253" s="1871"/>
      <c r="BJ253" s="1871"/>
      <c r="BK253" s="1871"/>
      <c r="BL253" s="1871"/>
      <c r="BM253" s="1871"/>
      <c r="BN253" s="1871"/>
      <c r="BO253" s="1871"/>
      <c r="BP253" s="1871"/>
      <c r="BQ253" s="1871"/>
      <c r="BR253" s="1871"/>
      <c r="BS253" s="1871"/>
      <c r="BT253" s="1871"/>
      <c r="BU253" s="1871"/>
      <c r="BV253" s="1871"/>
      <c r="BW253" s="1871"/>
      <c r="BX253" s="1871"/>
      <c r="BY253" s="1871"/>
      <c r="BZ253" s="1871"/>
      <c r="CA253" s="1871"/>
      <c r="CB253" s="1871"/>
      <c r="CC253" s="1871"/>
      <c r="CD253" s="1871"/>
      <c r="CE253" s="1871"/>
      <c r="CF253" s="1871"/>
      <c r="CG253" s="1871"/>
      <c r="CH253" s="1871"/>
      <c r="CI253" s="1871"/>
      <c r="CJ253" s="1871"/>
      <c r="CK253" s="1871"/>
      <c r="CL253" s="1871"/>
      <c r="CM253" s="1871"/>
      <c r="CN253" s="1871"/>
      <c r="CO253" s="1871"/>
      <c r="CP253" s="1871"/>
      <c r="CQ253" s="1871"/>
      <c r="CR253" s="1871"/>
      <c r="CS253" s="1871"/>
      <c r="CT253" s="1871"/>
      <c r="CU253" s="1871"/>
      <c r="CV253" s="1871"/>
      <c r="CW253" s="1871"/>
      <c r="CX253" s="1871"/>
      <c r="CY253" s="1871"/>
      <c r="CZ253" s="1871"/>
      <c r="DA253" s="1871"/>
      <c r="DB253" s="1871"/>
      <c r="DC253" s="1871"/>
      <c r="DD253" s="1871"/>
      <c r="DE253" s="1871"/>
      <c r="DF253" s="1871"/>
      <c r="DG253" s="1871"/>
      <c r="DH253" s="1871"/>
      <c r="DI253" s="1871"/>
      <c r="DJ253" s="1871"/>
      <c r="DK253" s="1871"/>
      <c r="DL253" s="1871"/>
      <c r="DM253" s="1871"/>
      <c r="DN253" s="1871"/>
      <c r="DO253" s="1871"/>
      <c r="DP253" s="1871"/>
      <c r="DQ253" s="1871"/>
      <c r="DR253" s="1871"/>
      <c r="DS253" s="1871"/>
      <c r="DT253" s="1871"/>
      <c r="DU253" s="1871"/>
      <c r="DV253" s="1871"/>
      <c r="DW253" s="1871"/>
      <c r="DX253" s="1871"/>
      <c r="DY253" s="1871"/>
      <c r="DZ253" s="1871"/>
      <c r="EA253" s="1871"/>
      <c r="EB253" s="1871"/>
      <c r="EC253" s="1871"/>
      <c r="ED253" s="1871"/>
      <c r="EE253" s="1871"/>
      <c r="EF253" s="1871"/>
      <c r="EG253" s="1871"/>
      <c r="EH253" s="1871"/>
      <c r="EI253" s="1871"/>
      <c r="EJ253" s="1871"/>
      <c r="EK253" s="1871"/>
      <c r="EL253" s="1871"/>
      <c r="EM253" s="1871"/>
      <c r="EN253" s="1871"/>
      <c r="EO253" s="1871"/>
      <c r="EP253" s="1871"/>
      <c r="EQ253" s="1871"/>
      <c r="ER253" s="1871"/>
      <c r="ES253" s="1871"/>
      <c r="ET253" s="1871"/>
      <c r="EU253" s="1871"/>
      <c r="EV253" s="1871"/>
      <c r="EW253" s="1871"/>
      <c r="EX253" s="1871"/>
      <c r="EY253" s="1871"/>
      <c r="EZ253" s="1871"/>
      <c r="FA253" s="1871"/>
      <c r="FB253" s="1871"/>
      <c r="FC253" s="1871"/>
      <c r="FD253" s="1871"/>
      <c r="FE253" s="1871"/>
      <c r="FF253" s="1871"/>
      <c r="FG253" s="1871"/>
      <c r="FH253" s="1871"/>
      <c r="FI253" s="1871"/>
      <c r="FJ253" s="1871"/>
      <c r="FK253" s="1871"/>
      <c r="FL253" s="1871"/>
      <c r="FM253" s="1871"/>
      <c r="FN253" s="1871"/>
      <c r="FO253" s="1871"/>
      <c r="FP253" s="1871"/>
      <c r="FQ253" s="1871"/>
      <c r="FR253" s="1871"/>
      <c r="FS253" s="1871"/>
      <c r="FT253" s="1871"/>
      <c r="FU253" s="1871"/>
      <c r="FV253" s="1871"/>
      <c r="FW253" s="1871"/>
      <c r="FX253" s="1871"/>
      <c r="FY253" s="1871"/>
      <c r="FZ253" s="1871"/>
      <c r="GA253" s="1871"/>
      <c r="GB253" s="1871"/>
      <c r="GC253" s="1871"/>
      <c r="GD253" s="1871"/>
      <c r="GE253" s="1871"/>
      <c r="GF253" s="1871"/>
      <c r="GG253" s="1871"/>
      <c r="GH253" s="1871"/>
      <c r="GI253" s="1871"/>
      <c r="GJ253" s="1871"/>
      <c r="GK253" s="1871"/>
      <c r="GL253" s="1871"/>
      <c r="GM253" s="1871"/>
      <c r="GN253" s="1871"/>
      <c r="GO253" s="1871"/>
      <c r="GP253" s="1871"/>
      <c r="GQ253" s="1871"/>
      <c r="GR253" s="1871"/>
      <c r="GS253" s="1871"/>
      <c r="GT253" s="1871"/>
      <c r="GU253" s="1871"/>
      <c r="GV253" s="1871"/>
      <c r="GW253" s="1871"/>
      <c r="GX253" s="1871"/>
      <c r="GY253" s="1871"/>
      <c r="GZ253" s="1871"/>
      <c r="HA253" s="1871"/>
      <c r="HB253" s="1871"/>
      <c r="HC253" s="1871"/>
      <c r="HD253" s="1871"/>
      <c r="HE253" s="1871"/>
      <c r="HF253" s="1871"/>
      <c r="HG253" s="1871"/>
      <c r="HH253" s="1871"/>
      <c r="HI253" s="1871"/>
      <c r="HJ253" s="1871"/>
      <c r="HK253" s="1871"/>
      <c r="HL253" s="1871"/>
      <c r="HM253" s="1871"/>
      <c r="HN253" s="1871"/>
      <c r="HO253" s="1871"/>
      <c r="HP253" s="1871"/>
      <c r="HQ253" s="1871"/>
      <c r="HR253" s="1871"/>
      <c r="HS253" s="1871"/>
      <c r="HT253" s="1871"/>
      <c r="HU253" s="1871"/>
      <c r="HV253" s="1871"/>
      <c r="HW253" s="1871"/>
      <c r="HX253" s="1871"/>
      <c r="HY253" s="1871"/>
      <c r="HZ253" s="1871"/>
      <c r="IA253" s="1871"/>
      <c r="IB253" s="1871"/>
      <c r="IC253" s="1871"/>
      <c r="ID253" s="1871"/>
      <c r="IE253" s="1871"/>
      <c r="IF253" s="1871"/>
      <c r="IG253" s="1871"/>
      <c r="IH253" s="1871"/>
      <c r="II253" s="1871"/>
      <c r="IJ253" s="1871"/>
      <c r="IK253" s="1871"/>
      <c r="IL253" s="1871"/>
      <c r="IM253" s="1871"/>
      <c r="IN253" s="1871"/>
    </row>
    <row r="254" spans="1:248">
      <c r="A254" s="1870" t="s">
        <v>1583</v>
      </c>
      <c r="B254" s="1879" t="s">
        <v>1584</v>
      </c>
      <c r="C254" s="1881" t="s">
        <v>1585</v>
      </c>
      <c r="D254" s="1897">
        <v>0</v>
      </c>
      <c r="E254" s="1897">
        <v>0</v>
      </c>
      <c r="F254" s="1897">
        <v>0</v>
      </c>
      <c r="G254" s="1897">
        <v>0</v>
      </c>
      <c r="H254" s="1897">
        <v>0</v>
      </c>
      <c r="I254" s="1897">
        <v>0</v>
      </c>
      <c r="J254" s="1897">
        <v>0</v>
      </c>
      <c r="K254" s="1897">
        <v>0</v>
      </c>
      <c r="L254" s="1897">
        <v>0</v>
      </c>
      <c r="M254" s="1899">
        <f t="shared" si="21"/>
        <v>0</v>
      </c>
      <c r="N254" s="1897">
        <v>0</v>
      </c>
      <c r="O254" s="1900">
        <f t="shared" si="22"/>
        <v>0</v>
      </c>
      <c r="P254" s="3290" t="s">
        <v>1520</v>
      </c>
      <c r="Q254" s="3290"/>
      <c r="R254" s="1877"/>
      <c r="S254" s="1871"/>
      <c r="T254" s="1871"/>
      <c r="U254" s="1871"/>
      <c r="V254" s="1871"/>
      <c r="W254" s="1871"/>
      <c r="X254" s="1871"/>
      <c r="Y254" s="1871"/>
      <c r="Z254" s="1871"/>
      <c r="AA254" s="1871"/>
      <c r="AB254" s="1871"/>
      <c r="AC254" s="1871"/>
      <c r="AD254" s="1871"/>
      <c r="AE254" s="1871"/>
      <c r="AF254" s="1871"/>
      <c r="AG254" s="1871"/>
      <c r="AH254" s="1871"/>
      <c r="AI254" s="1871"/>
      <c r="AJ254" s="1871"/>
      <c r="AK254" s="1871"/>
      <c r="AL254" s="1871"/>
      <c r="AM254" s="1871"/>
      <c r="AN254" s="1871"/>
      <c r="AO254" s="1871"/>
      <c r="AP254" s="1871"/>
      <c r="AQ254" s="1871"/>
      <c r="AR254" s="1871"/>
      <c r="AS254" s="1871"/>
      <c r="AT254" s="1871"/>
      <c r="AU254" s="1871"/>
      <c r="AV254" s="1871"/>
      <c r="AW254" s="1871"/>
      <c r="AX254" s="1871"/>
      <c r="AY254" s="1871"/>
      <c r="AZ254" s="1871"/>
      <c r="BA254" s="1871"/>
      <c r="BB254" s="1871"/>
      <c r="BC254" s="1871"/>
      <c r="BD254" s="1871"/>
      <c r="BE254" s="1871"/>
      <c r="BF254" s="1871"/>
      <c r="BG254" s="1871"/>
      <c r="BH254" s="1871"/>
      <c r="BI254" s="1871"/>
      <c r="BJ254" s="1871"/>
      <c r="BK254" s="1871"/>
      <c r="BL254" s="1871"/>
      <c r="BM254" s="1871"/>
      <c r="BN254" s="1871"/>
      <c r="BO254" s="1871"/>
      <c r="BP254" s="1871"/>
      <c r="BQ254" s="1871"/>
      <c r="BR254" s="1871"/>
      <c r="BS254" s="1871"/>
      <c r="BT254" s="1871"/>
      <c r="BU254" s="1871"/>
      <c r="BV254" s="1871"/>
      <c r="BW254" s="1871"/>
      <c r="BX254" s="1871"/>
      <c r="BY254" s="1871"/>
      <c r="BZ254" s="1871"/>
      <c r="CA254" s="1871"/>
      <c r="CB254" s="1871"/>
      <c r="CC254" s="1871"/>
      <c r="CD254" s="1871"/>
      <c r="CE254" s="1871"/>
      <c r="CF254" s="1871"/>
      <c r="CG254" s="1871"/>
      <c r="CH254" s="1871"/>
      <c r="CI254" s="1871"/>
      <c r="CJ254" s="1871"/>
      <c r="CK254" s="1871"/>
      <c r="CL254" s="1871"/>
      <c r="CM254" s="1871"/>
      <c r="CN254" s="1871"/>
      <c r="CO254" s="1871"/>
      <c r="CP254" s="1871"/>
      <c r="CQ254" s="1871"/>
      <c r="CR254" s="1871"/>
      <c r="CS254" s="1871"/>
      <c r="CT254" s="1871"/>
      <c r="CU254" s="1871"/>
      <c r="CV254" s="1871"/>
      <c r="CW254" s="1871"/>
      <c r="CX254" s="1871"/>
      <c r="CY254" s="1871"/>
      <c r="CZ254" s="1871"/>
      <c r="DA254" s="1871"/>
      <c r="DB254" s="1871"/>
      <c r="DC254" s="1871"/>
      <c r="DD254" s="1871"/>
      <c r="DE254" s="1871"/>
      <c r="DF254" s="1871"/>
      <c r="DG254" s="1871"/>
      <c r="DH254" s="1871"/>
      <c r="DI254" s="1871"/>
      <c r="DJ254" s="1871"/>
      <c r="DK254" s="1871"/>
      <c r="DL254" s="1871"/>
      <c r="DM254" s="1871"/>
      <c r="DN254" s="1871"/>
      <c r="DO254" s="1871"/>
      <c r="DP254" s="1871"/>
      <c r="DQ254" s="1871"/>
      <c r="DR254" s="1871"/>
      <c r="DS254" s="1871"/>
      <c r="DT254" s="1871"/>
      <c r="DU254" s="1871"/>
      <c r="DV254" s="1871"/>
      <c r="DW254" s="1871"/>
      <c r="DX254" s="1871"/>
      <c r="DY254" s="1871"/>
      <c r="DZ254" s="1871"/>
      <c r="EA254" s="1871"/>
      <c r="EB254" s="1871"/>
      <c r="EC254" s="1871"/>
      <c r="ED254" s="1871"/>
      <c r="EE254" s="1871"/>
      <c r="EF254" s="1871"/>
      <c r="EG254" s="1871"/>
      <c r="EH254" s="1871"/>
      <c r="EI254" s="1871"/>
      <c r="EJ254" s="1871"/>
      <c r="EK254" s="1871"/>
      <c r="EL254" s="1871"/>
      <c r="EM254" s="1871"/>
      <c r="EN254" s="1871"/>
      <c r="EO254" s="1871"/>
      <c r="EP254" s="1871"/>
      <c r="EQ254" s="1871"/>
      <c r="ER254" s="1871"/>
      <c r="ES254" s="1871"/>
      <c r="ET254" s="1871"/>
      <c r="EU254" s="1871"/>
      <c r="EV254" s="1871"/>
      <c r="EW254" s="1871"/>
      <c r="EX254" s="1871"/>
      <c r="EY254" s="1871"/>
      <c r="EZ254" s="1871"/>
      <c r="FA254" s="1871"/>
      <c r="FB254" s="1871"/>
      <c r="FC254" s="1871"/>
      <c r="FD254" s="1871"/>
      <c r="FE254" s="1871"/>
      <c r="FF254" s="1871"/>
      <c r="FG254" s="1871"/>
      <c r="FH254" s="1871"/>
      <c r="FI254" s="1871"/>
      <c r="FJ254" s="1871"/>
      <c r="FK254" s="1871"/>
      <c r="FL254" s="1871"/>
      <c r="FM254" s="1871"/>
      <c r="FN254" s="1871"/>
      <c r="FO254" s="1871"/>
      <c r="FP254" s="1871"/>
      <c r="FQ254" s="1871"/>
      <c r="FR254" s="1871"/>
      <c r="FS254" s="1871"/>
      <c r="FT254" s="1871"/>
      <c r="FU254" s="1871"/>
      <c r="FV254" s="1871"/>
      <c r="FW254" s="1871"/>
      <c r="FX254" s="1871"/>
      <c r="FY254" s="1871"/>
      <c r="FZ254" s="1871"/>
      <c r="GA254" s="1871"/>
      <c r="GB254" s="1871"/>
      <c r="GC254" s="1871"/>
      <c r="GD254" s="1871"/>
      <c r="GE254" s="1871"/>
      <c r="GF254" s="1871"/>
      <c r="GG254" s="1871"/>
      <c r="GH254" s="1871"/>
      <c r="GI254" s="1871"/>
      <c r="GJ254" s="1871"/>
      <c r="GK254" s="1871"/>
      <c r="GL254" s="1871"/>
      <c r="GM254" s="1871"/>
      <c r="GN254" s="1871"/>
      <c r="GO254" s="1871"/>
      <c r="GP254" s="1871"/>
      <c r="GQ254" s="1871"/>
      <c r="GR254" s="1871"/>
      <c r="GS254" s="1871"/>
      <c r="GT254" s="1871"/>
      <c r="GU254" s="1871"/>
      <c r="GV254" s="1871"/>
      <c r="GW254" s="1871"/>
      <c r="GX254" s="1871"/>
      <c r="GY254" s="1871"/>
      <c r="GZ254" s="1871"/>
      <c r="HA254" s="1871"/>
      <c r="HB254" s="1871"/>
      <c r="HC254" s="1871"/>
      <c r="HD254" s="1871"/>
      <c r="HE254" s="1871"/>
      <c r="HF254" s="1871"/>
      <c r="HG254" s="1871"/>
      <c r="HH254" s="1871"/>
      <c r="HI254" s="1871"/>
      <c r="HJ254" s="1871"/>
      <c r="HK254" s="1871"/>
      <c r="HL254" s="1871"/>
      <c r="HM254" s="1871"/>
      <c r="HN254" s="1871"/>
      <c r="HO254" s="1871"/>
      <c r="HP254" s="1871"/>
      <c r="HQ254" s="1871"/>
      <c r="HR254" s="1871"/>
      <c r="HS254" s="1871"/>
      <c r="HT254" s="1871"/>
      <c r="HU254" s="1871"/>
      <c r="HV254" s="1871"/>
      <c r="HW254" s="1871"/>
      <c r="HX254" s="1871"/>
      <c r="HY254" s="1871"/>
      <c r="HZ254" s="1871"/>
      <c r="IA254" s="1871"/>
      <c r="IB254" s="1871"/>
      <c r="IC254" s="1871"/>
      <c r="ID254" s="1871"/>
      <c r="IE254" s="1871"/>
      <c r="IF254" s="1871"/>
      <c r="IG254" s="1871"/>
      <c r="IH254" s="1871"/>
      <c r="II254" s="1871"/>
      <c r="IJ254" s="1871"/>
      <c r="IK254" s="1871"/>
      <c r="IL254" s="1871"/>
      <c r="IM254" s="1871"/>
      <c r="IN254" s="1871"/>
    </row>
    <row r="255" spans="1:248">
      <c r="A255" s="1870" t="s">
        <v>1586</v>
      </c>
      <c r="B255" s="1879" t="s">
        <v>1587</v>
      </c>
      <c r="C255" s="1881" t="s">
        <v>1588</v>
      </c>
      <c r="D255" s="1897">
        <v>0</v>
      </c>
      <c r="E255" s="1897">
        <v>0</v>
      </c>
      <c r="F255" s="1897">
        <v>0</v>
      </c>
      <c r="G255" s="1897">
        <v>0</v>
      </c>
      <c r="H255" s="1897">
        <v>0</v>
      </c>
      <c r="I255" s="1897">
        <v>0</v>
      </c>
      <c r="J255" s="1897">
        <v>0</v>
      </c>
      <c r="K255" s="1897">
        <v>0</v>
      </c>
      <c r="L255" s="1897">
        <v>0</v>
      </c>
      <c r="M255" s="1899">
        <f t="shared" si="21"/>
        <v>0</v>
      </c>
      <c r="N255" s="1897">
        <f>-M255</f>
        <v>0</v>
      </c>
      <c r="O255" s="2029">
        <f t="shared" si="22"/>
        <v>0</v>
      </c>
      <c r="P255" s="3292" t="s">
        <v>1035</v>
      </c>
      <c r="Q255" s="3290"/>
      <c r="R255" s="1877"/>
      <c r="S255" s="1871"/>
      <c r="T255" s="1871"/>
      <c r="U255" s="1871"/>
      <c r="V255" s="1871"/>
      <c r="W255" s="1871"/>
      <c r="X255" s="1871"/>
      <c r="Y255" s="1871"/>
      <c r="Z255" s="1871"/>
      <c r="AA255" s="1871"/>
      <c r="AB255" s="1871"/>
      <c r="AC255" s="1871"/>
      <c r="AD255" s="1871"/>
      <c r="AE255" s="1871"/>
      <c r="AF255" s="1871"/>
      <c r="AG255" s="1871"/>
      <c r="AH255" s="1871"/>
      <c r="AI255" s="1871"/>
      <c r="AJ255" s="1871"/>
      <c r="AK255" s="1871"/>
      <c r="AL255" s="1871"/>
      <c r="AM255" s="1871"/>
      <c r="AN255" s="1871"/>
      <c r="AO255" s="1871"/>
      <c r="AP255" s="1871"/>
      <c r="AQ255" s="1871"/>
      <c r="AR255" s="1871"/>
      <c r="AS255" s="1871"/>
      <c r="AT255" s="1871"/>
      <c r="AU255" s="1871"/>
      <c r="AV255" s="1871"/>
      <c r="AW255" s="1871"/>
      <c r="AX255" s="1871"/>
      <c r="AY255" s="1871"/>
      <c r="AZ255" s="1871"/>
      <c r="BA255" s="1871"/>
      <c r="BB255" s="1871"/>
      <c r="BC255" s="1871"/>
      <c r="BD255" s="1871"/>
      <c r="BE255" s="1871"/>
      <c r="BF255" s="1871"/>
      <c r="BG255" s="1871"/>
      <c r="BH255" s="1871"/>
      <c r="BI255" s="1871"/>
      <c r="BJ255" s="1871"/>
      <c r="BK255" s="1871"/>
      <c r="BL255" s="1871"/>
      <c r="BM255" s="1871"/>
      <c r="BN255" s="1871"/>
      <c r="BO255" s="1871"/>
      <c r="BP255" s="1871"/>
      <c r="BQ255" s="1871"/>
      <c r="BR255" s="1871"/>
      <c r="BS255" s="1871"/>
      <c r="BT255" s="1871"/>
      <c r="BU255" s="1871"/>
      <c r="BV255" s="1871"/>
      <c r="BW255" s="1871"/>
      <c r="BX255" s="1871"/>
      <c r="BY255" s="1871"/>
      <c r="BZ255" s="1871"/>
      <c r="CA255" s="1871"/>
      <c r="CB255" s="1871"/>
      <c r="CC255" s="1871"/>
      <c r="CD255" s="1871"/>
      <c r="CE255" s="1871"/>
      <c r="CF255" s="1871"/>
      <c r="CG255" s="1871"/>
      <c r="CH255" s="1871"/>
      <c r="CI255" s="1871"/>
      <c r="CJ255" s="1871"/>
      <c r="CK255" s="1871"/>
      <c r="CL255" s="1871"/>
      <c r="CM255" s="1871"/>
      <c r="CN255" s="1871"/>
      <c r="CO255" s="1871"/>
      <c r="CP255" s="1871"/>
      <c r="CQ255" s="1871"/>
      <c r="CR255" s="1871"/>
      <c r="CS255" s="1871"/>
      <c r="CT255" s="1871"/>
      <c r="CU255" s="1871"/>
      <c r="CV255" s="1871"/>
      <c r="CW255" s="1871"/>
      <c r="CX255" s="1871"/>
      <c r="CY255" s="1871"/>
      <c r="CZ255" s="1871"/>
      <c r="DA255" s="1871"/>
      <c r="DB255" s="1871"/>
      <c r="DC255" s="1871"/>
      <c r="DD255" s="1871"/>
      <c r="DE255" s="1871"/>
      <c r="DF255" s="1871"/>
      <c r="DG255" s="1871"/>
      <c r="DH255" s="1871"/>
      <c r="DI255" s="1871"/>
      <c r="DJ255" s="1871"/>
      <c r="DK255" s="1871"/>
      <c r="DL255" s="1871"/>
      <c r="DM255" s="1871"/>
      <c r="DN255" s="1871"/>
      <c r="DO255" s="1871"/>
      <c r="DP255" s="1871"/>
      <c r="DQ255" s="1871"/>
      <c r="DR255" s="1871"/>
      <c r="DS255" s="1871"/>
      <c r="DT255" s="1871"/>
      <c r="DU255" s="1871"/>
      <c r="DV255" s="1871"/>
      <c r="DW255" s="1871"/>
      <c r="DX255" s="1871"/>
      <c r="DY255" s="1871"/>
      <c r="DZ255" s="1871"/>
      <c r="EA255" s="1871"/>
      <c r="EB255" s="1871"/>
      <c r="EC255" s="1871"/>
      <c r="ED255" s="1871"/>
      <c r="EE255" s="1871"/>
      <c r="EF255" s="1871"/>
      <c r="EG255" s="1871"/>
      <c r="EH255" s="1871"/>
      <c r="EI255" s="1871"/>
      <c r="EJ255" s="1871"/>
      <c r="EK255" s="1871"/>
      <c r="EL255" s="1871"/>
      <c r="EM255" s="1871"/>
      <c r="EN255" s="1871"/>
      <c r="EO255" s="1871"/>
      <c r="EP255" s="1871"/>
      <c r="EQ255" s="1871"/>
      <c r="ER255" s="1871"/>
      <c r="ES255" s="1871"/>
      <c r="ET255" s="1871"/>
      <c r="EU255" s="1871"/>
      <c r="EV255" s="1871"/>
      <c r="EW255" s="1871"/>
      <c r="EX255" s="1871"/>
      <c r="EY255" s="1871"/>
      <c r="EZ255" s="1871"/>
      <c r="FA255" s="1871"/>
      <c r="FB255" s="1871"/>
      <c r="FC255" s="1871"/>
      <c r="FD255" s="1871"/>
      <c r="FE255" s="1871"/>
      <c r="FF255" s="1871"/>
      <c r="FG255" s="1871"/>
      <c r="FH255" s="1871"/>
      <c r="FI255" s="1871"/>
      <c r="FJ255" s="1871"/>
      <c r="FK255" s="1871"/>
      <c r="FL255" s="1871"/>
      <c r="FM255" s="1871"/>
      <c r="FN255" s="1871"/>
      <c r="FO255" s="1871"/>
      <c r="FP255" s="1871"/>
      <c r="FQ255" s="1871"/>
      <c r="FR255" s="1871"/>
      <c r="FS255" s="1871"/>
      <c r="FT255" s="1871"/>
      <c r="FU255" s="1871"/>
      <c r="FV255" s="1871"/>
      <c r="FW255" s="1871"/>
      <c r="FX255" s="1871"/>
      <c r="FY255" s="1871"/>
      <c r="FZ255" s="1871"/>
      <c r="GA255" s="1871"/>
      <c r="GB255" s="1871"/>
      <c r="GC255" s="1871"/>
      <c r="GD255" s="1871"/>
      <c r="GE255" s="1871"/>
      <c r="GF255" s="1871"/>
      <c r="GG255" s="1871"/>
      <c r="GH255" s="1871"/>
      <c r="GI255" s="1871"/>
      <c r="GJ255" s="1871"/>
      <c r="GK255" s="1871"/>
      <c r="GL255" s="1871"/>
      <c r="GM255" s="1871"/>
      <c r="GN255" s="1871"/>
      <c r="GO255" s="1871"/>
      <c r="GP255" s="1871"/>
      <c r="GQ255" s="1871"/>
      <c r="GR255" s="1871"/>
      <c r="GS255" s="1871"/>
      <c r="GT255" s="1871"/>
      <c r="GU255" s="1871"/>
      <c r="GV255" s="1871"/>
      <c r="GW255" s="1871"/>
      <c r="GX255" s="1871"/>
      <c r="GY255" s="1871"/>
      <c r="GZ255" s="1871"/>
      <c r="HA255" s="1871"/>
      <c r="HB255" s="1871"/>
      <c r="HC255" s="1871"/>
      <c r="HD255" s="1871"/>
      <c r="HE255" s="1871"/>
      <c r="HF255" s="1871"/>
      <c r="HG255" s="1871"/>
      <c r="HH255" s="1871"/>
      <c r="HI255" s="1871"/>
      <c r="HJ255" s="1871"/>
      <c r="HK255" s="1871"/>
      <c r="HL255" s="1871"/>
      <c r="HM255" s="1871"/>
      <c r="HN255" s="1871"/>
      <c r="HO255" s="1871"/>
      <c r="HP255" s="1871"/>
      <c r="HQ255" s="1871"/>
      <c r="HR255" s="1871"/>
      <c r="HS255" s="1871"/>
      <c r="HT255" s="1871"/>
      <c r="HU255" s="1871"/>
      <c r="HV255" s="1871"/>
      <c r="HW255" s="1871"/>
      <c r="HX255" s="1871"/>
      <c r="HY255" s="1871"/>
      <c r="HZ255" s="1871"/>
      <c r="IA255" s="1871"/>
      <c r="IB255" s="1871"/>
      <c r="IC255" s="1871"/>
      <c r="ID255" s="1871"/>
      <c r="IE255" s="1871"/>
      <c r="IF255" s="1871"/>
      <c r="IG255" s="1871"/>
      <c r="IH255" s="1871"/>
      <c r="II255" s="1871"/>
      <c r="IJ255" s="1871"/>
      <c r="IK255" s="1871"/>
      <c r="IL255" s="1871"/>
      <c r="IM255" s="1871"/>
      <c r="IN255" s="1871"/>
    </row>
    <row r="256" spans="1:248">
      <c r="A256" s="1870" t="s">
        <v>1589</v>
      </c>
      <c r="B256" s="1879" t="s">
        <v>1590</v>
      </c>
      <c r="C256" s="1881" t="s">
        <v>1591</v>
      </c>
      <c r="D256" s="1897">
        <v>0</v>
      </c>
      <c r="E256" s="1897">
        <v>0</v>
      </c>
      <c r="F256" s="1897">
        <v>0</v>
      </c>
      <c r="G256" s="1897">
        <v>0</v>
      </c>
      <c r="H256" s="1897">
        <v>0</v>
      </c>
      <c r="I256" s="1897">
        <v>0</v>
      </c>
      <c r="J256" s="1897">
        <v>0</v>
      </c>
      <c r="K256" s="1897">
        <v>0</v>
      </c>
      <c r="L256" s="1897">
        <v>0</v>
      </c>
      <c r="M256" s="1899">
        <f t="shared" si="21"/>
        <v>0</v>
      </c>
      <c r="N256" s="1897">
        <v>0</v>
      </c>
      <c r="O256" s="1900">
        <f t="shared" si="22"/>
        <v>0</v>
      </c>
      <c r="P256" s="3290" t="s">
        <v>1563</v>
      </c>
      <c r="Q256" s="3290"/>
      <c r="R256" s="1877"/>
      <c r="S256" s="1871"/>
      <c r="T256" s="1871"/>
      <c r="U256" s="1871"/>
      <c r="V256" s="1871"/>
      <c r="W256" s="1871"/>
      <c r="X256" s="1871"/>
      <c r="Y256" s="1871"/>
      <c r="Z256" s="1871"/>
      <c r="AA256" s="1871"/>
      <c r="AB256" s="1871"/>
      <c r="AC256" s="1871"/>
      <c r="AD256" s="1871"/>
      <c r="AE256" s="1871"/>
      <c r="AF256" s="1871"/>
      <c r="AG256" s="1871"/>
      <c r="AH256" s="1871"/>
      <c r="AI256" s="1871"/>
      <c r="AJ256" s="1871"/>
      <c r="AK256" s="1871"/>
      <c r="AL256" s="1871"/>
      <c r="AM256" s="1871"/>
      <c r="AN256" s="1871"/>
      <c r="AO256" s="1871"/>
      <c r="AP256" s="1871"/>
      <c r="AQ256" s="1871"/>
      <c r="AR256" s="1871"/>
      <c r="AS256" s="1871"/>
      <c r="AT256" s="1871"/>
      <c r="AU256" s="1871"/>
      <c r="AV256" s="1871"/>
      <c r="AW256" s="1871"/>
      <c r="AX256" s="1871"/>
      <c r="AY256" s="1871"/>
      <c r="AZ256" s="1871"/>
      <c r="BA256" s="1871"/>
      <c r="BB256" s="1871"/>
      <c r="BC256" s="1871"/>
      <c r="BD256" s="1871"/>
      <c r="BE256" s="1871"/>
      <c r="BF256" s="1871"/>
      <c r="BG256" s="1871"/>
      <c r="BH256" s="1871"/>
      <c r="BI256" s="1871"/>
      <c r="BJ256" s="1871"/>
      <c r="BK256" s="1871"/>
      <c r="BL256" s="1871"/>
      <c r="BM256" s="1871"/>
      <c r="BN256" s="1871"/>
      <c r="BO256" s="1871"/>
      <c r="BP256" s="1871"/>
      <c r="BQ256" s="1871"/>
      <c r="BR256" s="1871"/>
      <c r="BS256" s="1871"/>
      <c r="BT256" s="1871"/>
      <c r="BU256" s="1871"/>
      <c r="BV256" s="1871"/>
      <c r="BW256" s="1871"/>
      <c r="BX256" s="1871"/>
      <c r="BY256" s="1871"/>
      <c r="BZ256" s="1871"/>
      <c r="CA256" s="1871"/>
      <c r="CB256" s="1871"/>
      <c r="CC256" s="1871"/>
      <c r="CD256" s="1871"/>
      <c r="CE256" s="1871"/>
      <c r="CF256" s="1871"/>
      <c r="CG256" s="1871"/>
      <c r="CH256" s="1871"/>
      <c r="CI256" s="1871"/>
      <c r="CJ256" s="1871"/>
      <c r="CK256" s="1871"/>
      <c r="CL256" s="1871"/>
      <c r="CM256" s="1871"/>
      <c r="CN256" s="1871"/>
      <c r="CO256" s="1871"/>
      <c r="CP256" s="1871"/>
      <c r="CQ256" s="1871"/>
      <c r="CR256" s="1871"/>
      <c r="CS256" s="1871"/>
      <c r="CT256" s="1871"/>
      <c r="CU256" s="1871"/>
      <c r="CV256" s="1871"/>
      <c r="CW256" s="1871"/>
      <c r="CX256" s="1871"/>
      <c r="CY256" s="1871"/>
      <c r="CZ256" s="1871"/>
      <c r="DA256" s="1871"/>
      <c r="DB256" s="1871"/>
      <c r="DC256" s="1871"/>
      <c r="DD256" s="1871"/>
      <c r="DE256" s="1871"/>
      <c r="DF256" s="1871"/>
      <c r="DG256" s="1871"/>
      <c r="DH256" s="1871"/>
      <c r="DI256" s="1871"/>
      <c r="DJ256" s="1871"/>
      <c r="DK256" s="1871"/>
      <c r="DL256" s="1871"/>
      <c r="DM256" s="1871"/>
      <c r="DN256" s="1871"/>
      <c r="DO256" s="1871"/>
      <c r="DP256" s="1871"/>
      <c r="DQ256" s="1871"/>
      <c r="DR256" s="1871"/>
      <c r="DS256" s="1871"/>
      <c r="DT256" s="1871"/>
      <c r="DU256" s="1871"/>
      <c r="DV256" s="1871"/>
      <c r="DW256" s="1871"/>
      <c r="DX256" s="1871"/>
      <c r="DY256" s="1871"/>
      <c r="DZ256" s="1871"/>
      <c r="EA256" s="1871"/>
      <c r="EB256" s="1871"/>
      <c r="EC256" s="1871"/>
      <c r="ED256" s="1871"/>
      <c r="EE256" s="1871"/>
      <c r="EF256" s="1871"/>
      <c r="EG256" s="1871"/>
      <c r="EH256" s="1871"/>
      <c r="EI256" s="1871"/>
      <c r="EJ256" s="1871"/>
      <c r="EK256" s="1871"/>
      <c r="EL256" s="1871"/>
      <c r="EM256" s="1871"/>
      <c r="EN256" s="1871"/>
      <c r="EO256" s="1871"/>
      <c r="EP256" s="1871"/>
      <c r="EQ256" s="1871"/>
      <c r="ER256" s="1871"/>
      <c r="ES256" s="1871"/>
      <c r="ET256" s="1871"/>
      <c r="EU256" s="1871"/>
      <c r="EV256" s="1871"/>
      <c r="EW256" s="1871"/>
      <c r="EX256" s="1871"/>
      <c r="EY256" s="1871"/>
      <c r="EZ256" s="1871"/>
      <c r="FA256" s="1871"/>
      <c r="FB256" s="1871"/>
      <c r="FC256" s="1871"/>
      <c r="FD256" s="1871"/>
      <c r="FE256" s="1871"/>
      <c r="FF256" s="1871"/>
      <c r="FG256" s="1871"/>
      <c r="FH256" s="1871"/>
      <c r="FI256" s="1871"/>
      <c r="FJ256" s="1871"/>
      <c r="FK256" s="1871"/>
      <c r="FL256" s="1871"/>
      <c r="FM256" s="1871"/>
      <c r="FN256" s="1871"/>
      <c r="FO256" s="1871"/>
      <c r="FP256" s="1871"/>
      <c r="FQ256" s="1871"/>
      <c r="FR256" s="1871"/>
      <c r="FS256" s="1871"/>
      <c r="FT256" s="1871"/>
      <c r="FU256" s="1871"/>
      <c r="FV256" s="1871"/>
      <c r="FW256" s="1871"/>
      <c r="FX256" s="1871"/>
      <c r="FY256" s="1871"/>
      <c r="FZ256" s="1871"/>
      <c r="GA256" s="1871"/>
      <c r="GB256" s="1871"/>
      <c r="GC256" s="1871"/>
      <c r="GD256" s="1871"/>
      <c r="GE256" s="1871"/>
      <c r="GF256" s="1871"/>
      <c r="GG256" s="1871"/>
      <c r="GH256" s="1871"/>
      <c r="GI256" s="1871"/>
      <c r="GJ256" s="1871"/>
      <c r="GK256" s="1871"/>
      <c r="GL256" s="1871"/>
      <c r="GM256" s="1871"/>
      <c r="GN256" s="1871"/>
      <c r="GO256" s="1871"/>
      <c r="GP256" s="1871"/>
      <c r="GQ256" s="1871"/>
      <c r="GR256" s="1871"/>
      <c r="GS256" s="1871"/>
      <c r="GT256" s="1871"/>
      <c r="GU256" s="1871"/>
      <c r="GV256" s="1871"/>
      <c r="GW256" s="1871"/>
      <c r="GX256" s="1871"/>
      <c r="GY256" s="1871"/>
      <c r="GZ256" s="1871"/>
      <c r="HA256" s="1871"/>
      <c r="HB256" s="1871"/>
      <c r="HC256" s="1871"/>
      <c r="HD256" s="1871"/>
      <c r="HE256" s="1871"/>
      <c r="HF256" s="1871"/>
      <c r="HG256" s="1871"/>
      <c r="HH256" s="1871"/>
      <c r="HI256" s="1871"/>
      <c r="HJ256" s="1871"/>
      <c r="HK256" s="1871"/>
      <c r="HL256" s="1871"/>
      <c r="HM256" s="1871"/>
      <c r="HN256" s="1871"/>
      <c r="HO256" s="1871"/>
      <c r="HP256" s="1871"/>
      <c r="HQ256" s="1871"/>
      <c r="HR256" s="1871"/>
      <c r="HS256" s="1871"/>
      <c r="HT256" s="1871"/>
      <c r="HU256" s="1871"/>
      <c r="HV256" s="1871"/>
      <c r="HW256" s="1871"/>
      <c r="HX256" s="1871"/>
      <c r="HY256" s="1871"/>
      <c r="HZ256" s="1871"/>
      <c r="IA256" s="1871"/>
      <c r="IB256" s="1871"/>
      <c r="IC256" s="1871"/>
      <c r="ID256" s="1871"/>
      <c r="IE256" s="1871"/>
      <c r="IF256" s="1871"/>
      <c r="IG256" s="1871"/>
      <c r="IH256" s="1871"/>
      <c r="II256" s="1871"/>
      <c r="IJ256" s="1871"/>
      <c r="IK256" s="1871"/>
      <c r="IL256" s="1871"/>
      <c r="IM256" s="1871"/>
      <c r="IN256" s="1871"/>
    </row>
    <row r="257" spans="1:18">
      <c r="A257" s="1870" t="s">
        <v>1592</v>
      </c>
      <c r="B257" s="1879" t="s">
        <v>1593</v>
      </c>
      <c r="C257" s="1881" t="s">
        <v>1594</v>
      </c>
      <c r="D257" s="1897">
        <v>0</v>
      </c>
      <c r="E257" s="1897">
        <v>0</v>
      </c>
      <c r="F257" s="1897">
        <v>0</v>
      </c>
      <c r="G257" s="1897">
        <v>0</v>
      </c>
      <c r="H257" s="1897">
        <v>0</v>
      </c>
      <c r="I257" s="1897">
        <v>0</v>
      </c>
      <c r="J257" s="1897">
        <v>0</v>
      </c>
      <c r="K257" s="1897">
        <v>0</v>
      </c>
      <c r="L257" s="1897">
        <v>0</v>
      </c>
      <c r="M257" s="1899">
        <f t="shared" si="21"/>
        <v>0</v>
      </c>
      <c r="N257" s="1897">
        <v>0</v>
      </c>
      <c r="O257" s="1900">
        <f t="shared" si="22"/>
        <v>0</v>
      </c>
      <c r="P257" s="3290" t="s">
        <v>1567</v>
      </c>
      <c r="Q257" s="3290"/>
      <c r="R257" s="1877"/>
    </row>
    <row r="258" spans="1:18">
      <c r="A258" s="1870" t="s">
        <v>1595</v>
      </c>
      <c r="B258" s="1879" t="s">
        <v>1596</v>
      </c>
      <c r="C258" s="1881" t="s">
        <v>1597</v>
      </c>
      <c r="D258" s="1897">
        <v>0</v>
      </c>
      <c r="E258" s="1897">
        <v>0</v>
      </c>
      <c r="F258" s="1897">
        <v>0</v>
      </c>
      <c r="G258" s="1897">
        <v>0</v>
      </c>
      <c r="H258" s="1897">
        <v>0</v>
      </c>
      <c r="I258" s="1897">
        <v>0</v>
      </c>
      <c r="J258" s="1897">
        <v>0</v>
      </c>
      <c r="K258" s="1897">
        <v>0</v>
      </c>
      <c r="L258" s="1897">
        <v>0</v>
      </c>
      <c r="M258" s="1899">
        <f>SUM(D258:L258)</f>
        <v>0</v>
      </c>
      <c r="N258" s="1897">
        <v>0</v>
      </c>
      <c r="O258" s="1900">
        <f>SUM(M258:N258)</f>
        <v>0</v>
      </c>
      <c r="P258" s="3290" t="s">
        <v>1520</v>
      </c>
      <c r="Q258" s="3290"/>
      <c r="R258" s="1877"/>
    </row>
    <row r="259" spans="1:18">
      <c r="A259" s="1870"/>
      <c r="B259" s="514"/>
      <c r="C259" s="1880"/>
      <c r="D259" s="3726"/>
      <c r="E259" s="3726"/>
      <c r="F259" s="3726"/>
      <c r="G259" s="3726"/>
      <c r="H259" s="3726"/>
      <c r="I259" s="3726"/>
      <c r="J259" s="3726"/>
      <c r="K259" s="3726"/>
      <c r="L259" s="3726"/>
      <c r="M259" s="3726"/>
      <c r="N259" s="3726"/>
      <c r="O259" s="3726"/>
      <c r="P259" s="3290"/>
      <c r="Q259" s="3290"/>
      <c r="R259" s="1877"/>
    </row>
    <row r="260" spans="1:18">
      <c r="A260" s="1870"/>
      <c r="B260" s="510" t="s">
        <v>1598</v>
      </c>
      <c r="C260" s="1880"/>
      <c r="D260" s="1901">
        <f t="shared" ref="D260:N260" si="23">SUM(D247:D258)</f>
        <v>0</v>
      </c>
      <c r="E260" s="1901">
        <f t="shared" si="23"/>
        <v>0</v>
      </c>
      <c r="F260" s="1901">
        <f t="shared" si="23"/>
        <v>0</v>
      </c>
      <c r="G260" s="1901">
        <f t="shared" si="23"/>
        <v>0</v>
      </c>
      <c r="H260" s="1901">
        <f t="shared" si="23"/>
        <v>0</v>
      </c>
      <c r="I260" s="1901">
        <f t="shared" si="23"/>
        <v>0</v>
      </c>
      <c r="J260" s="1901">
        <f t="shared" si="23"/>
        <v>0</v>
      </c>
      <c r="K260" s="1901">
        <f t="shared" si="23"/>
        <v>0</v>
      </c>
      <c r="L260" s="1901">
        <f t="shared" si="23"/>
        <v>0</v>
      </c>
      <c r="M260" s="1901">
        <f t="shared" si="23"/>
        <v>0</v>
      </c>
      <c r="N260" s="1901">
        <f t="shared" si="23"/>
        <v>0</v>
      </c>
      <c r="O260" s="1901">
        <f>SUM(M260:N260)</f>
        <v>0</v>
      </c>
      <c r="P260" s="3290"/>
      <c r="Q260" s="3290"/>
      <c r="R260" s="1877"/>
    </row>
    <row r="261" spans="1:18">
      <c r="A261" s="1870"/>
      <c r="B261" s="514"/>
      <c r="C261" s="1880"/>
      <c r="D261" s="3727"/>
      <c r="E261" s="3727"/>
      <c r="F261" s="3727"/>
      <c r="G261" s="3727"/>
      <c r="H261" s="3727"/>
      <c r="I261" s="3727"/>
      <c r="J261" s="3727"/>
      <c r="K261" s="3727"/>
      <c r="L261" s="3727"/>
      <c r="M261" s="3727"/>
      <c r="N261" s="3727"/>
      <c r="O261" s="3728"/>
      <c r="P261" s="3290"/>
      <c r="Q261" s="3290"/>
      <c r="R261" s="1877"/>
    </row>
    <row r="262" spans="1:18">
      <c r="A262" s="1870"/>
      <c r="B262" s="3732" t="s">
        <v>1599</v>
      </c>
      <c r="C262" s="3730"/>
      <c r="D262" s="1902"/>
      <c r="E262" s="1902"/>
      <c r="F262" s="1902"/>
      <c r="G262" s="1902"/>
      <c r="H262" s="1902"/>
      <c r="I262" s="1902"/>
      <c r="J262" s="1902"/>
      <c r="K262" s="1902"/>
      <c r="L262" s="1902"/>
      <c r="M262" s="1902"/>
      <c r="N262" s="1902"/>
      <c r="O262" s="1900"/>
      <c r="P262" s="3290"/>
      <c r="Q262" s="3290"/>
      <c r="R262" s="1877"/>
    </row>
    <row r="263" spans="1:18">
      <c r="A263" s="1870"/>
      <c r="B263" s="3733"/>
      <c r="C263" s="3725"/>
      <c r="D263" s="1902"/>
      <c r="E263" s="1902"/>
      <c r="F263" s="1902"/>
      <c r="G263" s="1902"/>
      <c r="H263" s="1902"/>
      <c r="I263" s="1902"/>
      <c r="J263" s="1902"/>
      <c r="K263" s="1902"/>
      <c r="L263" s="1902"/>
      <c r="M263" s="1902"/>
      <c r="N263" s="1902"/>
      <c r="O263" s="1900"/>
      <c r="P263" s="3290"/>
      <c r="Q263" s="3290"/>
      <c r="R263" s="1877"/>
    </row>
    <row r="264" spans="1:18">
      <c r="A264" s="1870" t="s">
        <v>1600</v>
      </c>
      <c r="B264" s="1879" t="s">
        <v>1601</v>
      </c>
      <c r="C264" s="1881" t="s">
        <v>1602</v>
      </c>
      <c r="D264" s="1897">
        <v>0</v>
      </c>
      <c r="E264" s="1897">
        <v>0</v>
      </c>
      <c r="F264" s="1897">
        <v>0</v>
      </c>
      <c r="G264" s="1897">
        <v>0</v>
      </c>
      <c r="H264" s="1897">
        <v>0</v>
      </c>
      <c r="I264" s="1897">
        <v>0</v>
      </c>
      <c r="J264" s="1897">
        <v>0</v>
      </c>
      <c r="K264" s="1897">
        <v>0</v>
      </c>
      <c r="L264" s="1897">
        <v>0</v>
      </c>
      <c r="M264" s="1899">
        <f>SUM(D264:L264)</f>
        <v>0</v>
      </c>
      <c r="N264" s="1897">
        <v>0</v>
      </c>
      <c r="O264" s="1900">
        <f>SUM(M264:N264)</f>
        <v>0</v>
      </c>
      <c r="P264" s="3290" t="s">
        <v>1603</v>
      </c>
      <c r="Q264" s="3290"/>
      <c r="R264" s="1877"/>
    </row>
    <row r="265" spans="1:18">
      <c r="A265" s="1870" t="s">
        <v>1604</v>
      </c>
      <c r="B265" s="1879" t="s">
        <v>1605</v>
      </c>
      <c r="C265" s="1880" t="s">
        <v>1606</v>
      </c>
      <c r="D265" s="1897">
        <v>0</v>
      </c>
      <c r="E265" s="1897">
        <v>0</v>
      </c>
      <c r="F265" s="1897">
        <v>0</v>
      </c>
      <c r="G265" s="1897">
        <v>0</v>
      </c>
      <c r="H265" s="1897">
        <v>0</v>
      </c>
      <c r="I265" s="1897">
        <v>0</v>
      </c>
      <c r="J265" s="1897">
        <v>0</v>
      </c>
      <c r="K265" s="1897">
        <v>0</v>
      </c>
      <c r="L265" s="1897">
        <v>0</v>
      </c>
      <c r="M265" s="1899">
        <f t="shared" ref="M265:M290" si="24">SUM(D265:L265)</f>
        <v>0</v>
      </c>
      <c r="N265" s="1897">
        <v>0</v>
      </c>
      <c r="O265" s="1900">
        <f t="shared" ref="O265:O290" si="25">SUM(M265:N265)</f>
        <v>0</v>
      </c>
      <c r="P265" s="3290" t="s">
        <v>1603</v>
      </c>
      <c r="Q265" s="3290"/>
      <c r="R265" s="1877"/>
    </row>
    <row r="266" spans="1:18">
      <c r="A266" s="1870" t="s">
        <v>1607</v>
      </c>
      <c r="B266" s="1879" t="s">
        <v>1608</v>
      </c>
      <c r="C266" s="1880" t="s">
        <v>1609</v>
      </c>
      <c r="D266" s="1897">
        <v>0</v>
      </c>
      <c r="E266" s="1897">
        <v>0</v>
      </c>
      <c r="F266" s="1897">
        <v>0</v>
      </c>
      <c r="G266" s="1897">
        <v>0</v>
      </c>
      <c r="H266" s="1897">
        <v>0</v>
      </c>
      <c r="I266" s="1897">
        <v>0</v>
      </c>
      <c r="J266" s="1897">
        <v>0</v>
      </c>
      <c r="K266" s="1897">
        <v>0</v>
      </c>
      <c r="L266" s="1897">
        <v>0</v>
      </c>
      <c r="M266" s="1899">
        <f t="shared" si="24"/>
        <v>0</v>
      </c>
      <c r="N266" s="1897">
        <v>0</v>
      </c>
      <c r="O266" s="1900">
        <f t="shared" si="25"/>
        <v>0</v>
      </c>
      <c r="P266" s="3290" t="s">
        <v>1603</v>
      </c>
      <c r="Q266" s="3290"/>
      <c r="R266" s="1877"/>
    </row>
    <row r="267" spans="1:18">
      <c r="A267" s="1870" t="s">
        <v>1610</v>
      </c>
      <c r="B267" s="1879" t="s">
        <v>1611</v>
      </c>
      <c r="C267" s="1880" t="s">
        <v>1612</v>
      </c>
      <c r="D267" s="1897">
        <v>0</v>
      </c>
      <c r="E267" s="1897">
        <v>0</v>
      </c>
      <c r="F267" s="1897">
        <v>0</v>
      </c>
      <c r="G267" s="1897">
        <v>0</v>
      </c>
      <c r="H267" s="1897">
        <v>0</v>
      </c>
      <c r="I267" s="1897">
        <v>0</v>
      </c>
      <c r="J267" s="1897">
        <v>0</v>
      </c>
      <c r="K267" s="1897">
        <v>0</v>
      </c>
      <c r="L267" s="1897">
        <v>0</v>
      </c>
      <c r="M267" s="1899">
        <f t="shared" si="24"/>
        <v>0</v>
      </c>
      <c r="N267" s="1897">
        <v>0</v>
      </c>
      <c r="O267" s="1900">
        <f t="shared" si="25"/>
        <v>0</v>
      </c>
      <c r="P267" s="3290" t="s">
        <v>1603</v>
      </c>
      <c r="Q267" s="3290"/>
      <c r="R267" s="1877"/>
    </row>
    <row r="268" spans="1:18">
      <c r="A268" s="1870" t="s">
        <v>1613</v>
      </c>
      <c r="B268" s="1879" t="s">
        <v>1614</v>
      </c>
      <c r="C268" s="1880" t="s">
        <v>1615</v>
      </c>
      <c r="D268" s="1897">
        <v>0</v>
      </c>
      <c r="E268" s="1897">
        <v>0</v>
      </c>
      <c r="F268" s="1897">
        <v>0</v>
      </c>
      <c r="G268" s="1897">
        <v>0</v>
      </c>
      <c r="H268" s="1897">
        <v>0</v>
      </c>
      <c r="I268" s="1897">
        <v>0</v>
      </c>
      <c r="J268" s="1897">
        <v>0</v>
      </c>
      <c r="K268" s="1897">
        <v>0</v>
      </c>
      <c r="L268" s="1897">
        <v>0</v>
      </c>
      <c r="M268" s="1899">
        <f t="shared" si="24"/>
        <v>0</v>
      </c>
      <c r="N268" s="1897">
        <v>0</v>
      </c>
      <c r="O268" s="1900">
        <f t="shared" si="25"/>
        <v>0</v>
      </c>
      <c r="P268" s="3290" t="s">
        <v>1603</v>
      </c>
      <c r="Q268" s="3290"/>
      <c r="R268" s="1877"/>
    </row>
    <row r="269" spans="1:18">
      <c r="A269" s="1870" t="s">
        <v>1616</v>
      </c>
      <c r="B269" s="1879" t="s">
        <v>1617</v>
      </c>
      <c r="C269" s="1880" t="s">
        <v>1618</v>
      </c>
      <c r="D269" s="1897">
        <v>0</v>
      </c>
      <c r="E269" s="1897">
        <v>0</v>
      </c>
      <c r="F269" s="1897">
        <v>0</v>
      </c>
      <c r="G269" s="1897">
        <v>0</v>
      </c>
      <c r="H269" s="1897">
        <v>0</v>
      </c>
      <c r="I269" s="1897">
        <v>0</v>
      </c>
      <c r="J269" s="1897">
        <v>0</v>
      </c>
      <c r="K269" s="1897">
        <v>0</v>
      </c>
      <c r="L269" s="1897">
        <v>0</v>
      </c>
      <c r="M269" s="1899">
        <f t="shared" si="24"/>
        <v>0</v>
      </c>
      <c r="N269" s="1897">
        <v>0</v>
      </c>
      <c r="O269" s="1900">
        <f t="shared" si="25"/>
        <v>0</v>
      </c>
      <c r="P269" s="3290" t="s">
        <v>425</v>
      </c>
      <c r="Q269" s="3290"/>
      <c r="R269" s="1877"/>
    </row>
    <row r="270" spans="1:18">
      <c r="A270" s="1870" t="s">
        <v>1619</v>
      </c>
      <c r="B270" s="1879" t="s">
        <v>1620</v>
      </c>
      <c r="C270" s="1880" t="s">
        <v>1621</v>
      </c>
      <c r="D270" s="1897">
        <v>0</v>
      </c>
      <c r="E270" s="1897">
        <v>0</v>
      </c>
      <c r="F270" s="1897">
        <v>0</v>
      </c>
      <c r="G270" s="1897">
        <v>0</v>
      </c>
      <c r="H270" s="1897">
        <v>0</v>
      </c>
      <c r="I270" s="1897">
        <v>0</v>
      </c>
      <c r="J270" s="1897">
        <v>0</v>
      </c>
      <c r="K270" s="1897">
        <v>0</v>
      </c>
      <c r="L270" s="1897">
        <v>0</v>
      </c>
      <c r="M270" s="1899">
        <f t="shared" si="24"/>
        <v>0</v>
      </c>
      <c r="N270" s="1897">
        <v>0</v>
      </c>
      <c r="O270" s="1900">
        <f t="shared" si="25"/>
        <v>0</v>
      </c>
      <c r="P270" s="3290" t="s">
        <v>1603</v>
      </c>
      <c r="Q270" s="3290"/>
      <c r="R270" s="1877"/>
    </row>
    <row r="271" spans="1:18">
      <c r="A271" s="1870" t="s">
        <v>1622</v>
      </c>
      <c r="B271" s="1879" t="s">
        <v>1623</v>
      </c>
      <c r="C271" s="1880" t="s">
        <v>1624</v>
      </c>
      <c r="D271" s="1897">
        <v>0</v>
      </c>
      <c r="E271" s="1897">
        <v>0</v>
      </c>
      <c r="F271" s="1897">
        <v>0</v>
      </c>
      <c r="G271" s="1897">
        <v>0</v>
      </c>
      <c r="H271" s="1897">
        <v>0</v>
      </c>
      <c r="I271" s="1897">
        <v>0</v>
      </c>
      <c r="J271" s="1897">
        <v>0</v>
      </c>
      <c r="K271" s="1897">
        <v>0</v>
      </c>
      <c r="L271" s="1897">
        <v>0</v>
      </c>
      <c r="M271" s="1899">
        <f t="shared" si="24"/>
        <v>0</v>
      </c>
      <c r="N271" s="1897">
        <v>0</v>
      </c>
      <c r="O271" s="1900">
        <f t="shared" si="25"/>
        <v>0</v>
      </c>
      <c r="P271" s="3290" t="s">
        <v>425</v>
      </c>
      <c r="Q271" s="3290"/>
      <c r="R271" s="1877"/>
    </row>
    <row r="272" spans="1:18">
      <c r="A272" s="1870" t="s">
        <v>1625</v>
      </c>
      <c r="B272" s="1879" t="s">
        <v>1626</v>
      </c>
      <c r="C272" s="1880" t="s">
        <v>1627</v>
      </c>
      <c r="D272" s="1897">
        <v>0</v>
      </c>
      <c r="E272" s="1897">
        <v>0</v>
      </c>
      <c r="F272" s="1897">
        <v>0</v>
      </c>
      <c r="G272" s="1897">
        <v>0</v>
      </c>
      <c r="H272" s="1897">
        <v>0</v>
      </c>
      <c r="I272" s="1897">
        <v>0</v>
      </c>
      <c r="J272" s="1897">
        <v>0</v>
      </c>
      <c r="K272" s="1897">
        <v>0</v>
      </c>
      <c r="L272" s="1897">
        <v>0</v>
      </c>
      <c r="M272" s="1899">
        <f t="shared" si="24"/>
        <v>0</v>
      </c>
      <c r="N272" s="1897">
        <v>0</v>
      </c>
      <c r="O272" s="1900">
        <f t="shared" si="25"/>
        <v>0</v>
      </c>
      <c r="P272" s="3290" t="s">
        <v>425</v>
      </c>
      <c r="Q272" s="3290"/>
      <c r="R272" s="1877"/>
    </row>
    <row r="273" spans="1:248" s="504" customFormat="1">
      <c r="A273" s="1870" t="s">
        <v>1628</v>
      </c>
      <c r="B273" s="1879" t="s">
        <v>1629</v>
      </c>
      <c r="C273" s="641" t="s">
        <v>1630</v>
      </c>
      <c r="D273" s="1897">
        <v>0</v>
      </c>
      <c r="E273" s="1897">
        <v>0</v>
      </c>
      <c r="F273" s="1897">
        <v>0</v>
      </c>
      <c r="G273" s="1897">
        <v>0</v>
      </c>
      <c r="H273" s="1897">
        <v>0</v>
      </c>
      <c r="I273" s="1897">
        <v>0</v>
      </c>
      <c r="J273" s="1897">
        <v>0</v>
      </c>
      <c r="K273" s="1897">
        <v>0</v>
      </c>
      <c r="L273" s="1897">
        <v>0</v>
      </c>
      <c r="M273" s="1899">
        <f t="shared" si="24"/>
        <v>0</v>
      </c>
      <c r="N273" s="1897">
        <v>0</v>
      </c>
      <c r="O273" s="1900">
        <f t="shared" si="25"/>
        <v>0</v>
      </c>
      <c r="P273" s="3290" t="s">
        <v>1603</v>
      </c>
      <c r="Q273" s="3290"/>
      <c r="R273" s="1877"/>
      <c r="S273" s="509"/>
      <c r="T273" s="509"/>
      <c r="U273" s="509"/>
      <c r="V273" s="509"/>
      <c r="W273" s="509"/>
      <c r="X273" s="509"/>
      <c r="Y273" s="509"/>
      <c r="Z273" s="509"/>
      <c r="AA273" s="509"/>
      <c r="AB273" s="509"/>
      <c r="AC273" s="509"/>
      <c r="AD273" s="509"/>
      <c r="AE273" s="509"/>
      <c r="AF273" s="509"/>
      <c r="AG273" s="509"/>
      <c r="AH273" s="509"/>
      <c r="AI273" s="509"/>
      <c r="AJ273" s="509"/>
      <c r="AK273" s="509"/>
      <c r="AL273" s="509"/>
      <c r="AM273" s="509"/>
      <c r="AN273" s="509"/>
      <c r="AO273" s="509"/>
      <c r="AP273" s="509"/>
      <c r="AQ273" s="509"/>
      <c r="AR273" s="509"/>
      <c r="AS273" s="509"/>
      <c r="AT273" s="509"/>
      <c r="AU273" s="509"/>
      <c r="AV273" s="509"/>
      <c r="AW273" s="509"/>
      <c r="AX273" s="509"/>
      <c r="AY273" s="509"/>
      <c r="AZ273" s="509"/>
      <c r="BA273" s="509"/>
      <c r="BB273" s="509"/>
      <c r="BC273" s="509"/>
      <c r="BD273" s="509"/>
      <c r="BE273" s="509"/>
      <c r="BF273" s="509"/>
      <c r="BG273" s="509"/>
      <c r="BH273" s="509"/>
      <c r="BI273" s="509"/>
      <c r="BJ273" s="509"/>
      <c r="BK273" s="509"/>
      <c r="BL273" s="509"/>
      <c r="BM273" s="509"/>
      <c r="BN273" s="509"/>
      <c r="BO273" s="509"/>
      <c r="BP273" s="509"/>
      <c r="BQ273" s="509"/>
      <c r="BR273" s="509"/>
      <c r="BS273" s="509"/>
      <c r="BT273" s="509"/>
      <c r="BU273" s="509"/>
      <c r="BV273" s="509"/>
      <c r="BW273" s="509"/>
      <c r="BX273" s="509"/>
      <c r="BY273" s="509"/>
      <c r="BZ273" s="509"/>
      <c r="CA273" s="509"/>
      <c r="CB273" s="509"/>
      <c r="CC273" s="509"/>
      <c r="CD273" s="509"/>
      <c r="CE273" s="509"/>
      <c r="CF273" s="509"/>
      <c r="CG273" s="509"/>
      <c r="CH273" s="509"/>
      <c r="CI273" s="509"/>
      <c r="CJ273" s="509"/>
      <c r="CK273" s="509"/>
      <c r="CL273" s="509"/>
      <c r="CM273" s="509"/>
      <c r="CN273" s="509"/>
      <c r="CO273" s="509"/>
      <c r="CP273" s="509"/>
      <c r="CQ273" s="509"/>
      <c r="CR273" s="509"/>
      <c r="CS273" s="509"/>
      <c r="CT273" s="509"/>
      <c r="CU273" s="509"/>
      <c r="CV273" s="509"/>
      <c r="CW273" s="509"/>
      <c r="CX273" s="509"/>
      <c r="CY273" s="509"/>
      <c r="CZ273" s="509"/>
      <c r="DA273" s="509"/>
      <c r="DB273" s="509"/>
      <c r="DC273" s="509"/>
      <c r="DD273" s="509"/>
      <c r="DE273" s="509"/>
      <c r="DF273" s="509"/>
      <c r="DG273" s="509"/>
      <c r="DH273" s="509"/>
      <c r="DI273" s="509"/>
      <c r="DJ273" s="509"/>
      <c r="DK273" s="509"/>
      <c r="DL273" s="509"/>
      <c r="DM273" s="509"/>
      <c r="DN273" s="509"/>
      <c r="DO273" s="509"/>
      <c r="DP273" s="509"/>
      <c r="DQ273" s="509"/>
      <c r="DR273" s="509"/>
      <c r="DS273" s="509"/>
      <c r="DT273" s="509"/>
      <c r="DU273" s="509"/>
      <c r="DV273" s="509"/>
      <c r="DW273" s="509"/>
      <c r="DX273" s="509"/>
      <c r="DY273" s="509"/>
      <c r="DZ273" s="509"/>
      <c r="EA273" s="509"/>
      <c r="EB273" s="509"/>
      <c r="EC273" s="509"/>
      <c r="ED273" s="509"/>
      <c r="EE273" s="509"/>
      <c r="EF273" s="509"/>
      <c r="EG273" s="509"/>
      <c r="EH273" s="509"/>
      <c r="EI273" s="509"/>
      <c r="EJ273" s="509"/>
      <c r="EK273" s="509"/>
      <c r="EL273" s="509"/>
      <c r="EM273" s="509"/>
      <c r="EN273" s="509"/>
      <c r="EO273" s="509"/>
      <c r="EP273" s="509"/>
      <c r="EQ273" s="509"/>
      <c r="ER273" s="509"/>
      <c r="ES273" s="509"/>
      <c r="ET273" s="509"/>
      <c r="EU273" s="509"/>
      <c r="EV273" s="509"/>
      <c r="EW273" s="509"/>
      <c r="EX273" s="509"/>
      <c r="EY273" s="509"/>
      <c r="EZ273" s="509"/>
      <c r="FA273" s="509"/>
      <c r="FB273" s="509"/>
      <c r="FC273" s="509"/>
      <c r="FD273" s="509"/>
      <c r="FE273" s="509"/>
      <c r="FF273" s="509"/>
      <c r="FG273" s="509"/>
      <c r="FH273" s="509"/>
      <c r="FI273" s="509"/>
      <c r="FJ273" s="509"/>
      <c r="FK273" s="509"/>
      <c r="FL273" s="509"/>
      <c r="FM273" s="509"/>
      <c r="FN273" s="509"/>
      <c r="FO273" s="509"/>
      <c r="FP273" s="509"/>
      <c r="FQ273" s="509"/>
      <c r="FR273" s="509"/>
      <c r="FS273" s="509"/>
      <c r="FT273" s="509"/>
      <c r="FU273" s="509"/>
      <c r="FV273" s="509"/>
      <c r="FW273" s="509"/>
      <c r="FX273" s="509"/>
      <c r="FY273" s="509"/>
      <c r="FZ273" s="509"/>
      <c r="GA273" s="509"/>
      <c r="GB273" s="509"/>
      <c r="GC273" s="509"/>
      <c r="GD273" s="509"/>
      <c r="GE273" s="509"/>
      <c r="GF273" s="509"/>
      <c r="GG273" s="509"/>
      <c r="GH273" s="509"/>
      <c r="GI273" s="509"/>
      <c r="GJ273" s="509"/>
      <c r="GK273" s="509"/>
      <c r="GL273" s="509"/>
      <c r="GM273" s="509"/>
      <c r="GN273" s="509"/>
      <c r="GO273" s="509"/>
      <c r="GP273" s="509"/>
      <c r="GQ273" s="509"/>
      <c r="GR273" s="509"/>
      <c r="GS273" s="509"/>
      <c r="GT273" s="509"/>
      <c r="GU273" s="509"/>
      <c r="GV273" s="509"/>
      <c r="GW273" s="509"/>
      <c r="GX273" s="509"/>
      <c r="GY273" s="509"/>
      <c r="GZ273" s="509"/>
      <c r="HA273" s="509"/>
      <c r="HB273" s="509"/>
      <c r="HC273" s="509"/>
      <c r="HD273" s="509"/>
      <c r="HE273" s="509"/>
      <c r="HF273" s="509"/>
      <c r="HG273" s="509"/>
      <c r="HH273" s="509"/>
      <c r="HI273" s="509"/>
      <c r="HJ273" s="509"/>
      <c r="HK273" s="509"/>
      <c r="HL273" s="509"/>
      <c r="HM273" s="509"/>
      <c r="HN273" s="509"/>
      <c r="HO273" s="509"/>
      <c r="HP273" s="509"/>
      <c r="HQ273" s="509"/>
      <c r="HR273" s="509"/>
      <c r="HS273" s="509"/>
      <c r="HT273" s="509"/>
      <c r="HU273" s="509"/>
      <c r="HV273" s="509"/>
      <c r="HW273" s="509"/>
      <c r="HX273" s="509"/>
      <c r="HY273" s="509"/>
      <c r="HZ273" s="509"/>
      <c r="IA273" s="509"/>
      <c r="IB273" s="509"/>
      <c r="IC273" s="509"/>
      <c r="ID273" s="509"/>
      <c r="IE273" s="509"/>
      <c r="IF273" s="509"/>
      <c r="IG273" s="509"/>
      <c r="IH273" s="509"/>
      <c r="II273" s="509"/>
      <c r="IJ273" s="509"/>
      <c r="IK273" s="509"/>
      <c r="IL273" s="509"/>
      <c r="IM273" s="509"/>
      <c r="IN273" s="509"/>
    </row>
    <row r="274" spans="1:248">
      <c r="A274" s="1870" t="s">
        <v>1631</v>
      </c>
      <c r="B274" s="1879" t="s">
        <v>1632</v>
      </c>
      <c r="C274" s="1880" t="s">
        <v>1633</v>
      </c>
      <c r="D274" s="1897">
        <v>0</v>
      </c>
      <c r="E274" s="1897">
        <v>0</v>
      </c>
      <c r="F274" s="1897">
        <v>0</v>
      </c>
      <c r="G274" s="1897">
        <v>0</v>
      </c>
      <c r="H274" s="1897">
        <v>0</v>
      </c>
      <c r="I274" s="1897">
        <v>0</v>
      </c>
      <c r="J274" s="1897">
        <v>0</v>
      </c>
      <c r="K274" s="1897">
        <v>0</v>
      </c>
      <c r="L274" s="1897">
        <v>0</v>
      </c>
      <c r="M274" s="1899">
        <f t="shared" si="24"/>
        <v>0</v>
      </c>
      <c r="N274" s="1897">
        <v>0</v>
      </c>
      <c r="O274" s="1900">
        <f t="shared" si="25"/>
        <v>0</v>
      </c>
      <c r="P274" s="3290" t="s">
        <v>1603</v>
      </c>
      <c r="Q274" s="3290"/>
      <c r="R274" s="1877"/>
      <c r="S274" s="1871"/>
      <c r="T274" s="1871"/>
      <c r="U274" s="1871"/>
      <c r="V274" s="1871"/>
      <c r="W274" s="1871"/>
      <c r="X274" s="1871"/>
      <c r="Y274" s="1871"/>
      <c r="Z274" s="1871"/>
      <c r="AA274" s="1871"/>
      <c r="AB274" s="1871"/>
      <c r="AC274" s="1871"/>
      <c r="AD274" s="1871"/>
      <c r="AE274" s="1871"/>
      <c r="AF274" s="1871"/>
      <c r="AG274" s="1871"/>
      <c r="AH274" s="1871"/>
      <c r="AI274" s="1871"/>
      <c r="AJ274" s="1871"/>
      <c r="AK274" s="1871"/>
      <c r="AL274" s="1871"/>
      <c r="AM274" s="1871"/>
      <c r="AN274" s="1871"/>
      <c r="AO274" s="1871"/>
      <c r="AP274" s="1871"/>
      <c r="AQ274" s="1871"/>
      <c r="AR274" s="1871"/>
      <c r="AS274" s="1871"/>
      <c r="AT274" s="1871"/>
      <c r="AU274" s="1871"/>
      <c r="AV274" s="1871"/>
      <c r="AW274" s="1871"/>
      <c r="AX274" s="1871"/>
      <c r="AY274" s="1871"/>
      <c r="AZ274" s="1871"/>
      <c r="BA274" s="1871"/>
      <c r="BB274" s="1871"/>
      <c r="BC274" s="1871"/>
      <c r="BD274" s="1871"/>
      <c r="BE274" s="1871"/>
      <c r="BF274" s="1871"/>
      <c r="BG274" s="1871"/>
      <c r="BH274" s="1871"/>
      <c r="BI274" s="1871"/>
      <c r="BJ274" s="1871"/>
      <c r="BK274" s="1871"/>
      <c r="BL274" s="1871"/>
      <c r="BM274" s="1871"/>
      <c r="BN274" s="1871"/>
      <c r="BO274" s="1871"/>
      <c r="BP274" s="1871"/>
      <c r="BQ274" s="1871"/>
      <c r="BR274" s="1871"/>
      <c r="BS274" s="1871"/>
      <c r="BT274" s="1871"/>
      <c r="BU274" s="1871"/>
      <c r="BV274" s="1871"/>
      <c r="BW274" s="1871"/>
      <c r="BX274" s="1871"/>
      <c r="BY274" s="1871"/>
      <c r="BZ274" s="1871"/>
      <c r="CA274" s="1871"/>
      <c r="CB274" s="1871"/>
      <c r="CC274" s="1871"/>
      <c r="CD274" s="1871"/>
      <c r="CE274" s="1871"/>
      <c r="CF274" s="1871"/>
      <c r="CG274" s="1871"/>
      <c r="CH274" s="1871"/>
      <c r="CI274" s="1871"/>
      <c r="CJ274" s="1871"/>
      <c r="CK274" s="1871"/>
      <c r="CL274" s="1871"/>
      <c r="CM274" s="1871"/>
      <c r="CN274" s="1871"/>
      <c r="CO274" s="1871"/>
      <c r="CP274" s="1871"/>
      <c r="CQ274" s="1871"/>
      <c r="CR274" s="1871"/>
      <c r="CS274" s="1871"/>
      <c r="CT274" s="1871"/>
      <c r="CU274" s="1871"/>
      <c r="CV274" s="1871"/>
      <c r="CW274" s="1871"/>
      <c r="CX274" s="1871"/>
      <c r="CY274" s="1871"/>
      <c r="CZ274" s="1871"/>
      <c r="DA274" s="1871"/>
      <c r="DB274" s="1871"/>
      <c r="DC274" s="1871"/>
      <c r="DD274" s="1871"/>
      <c r="DE274" s="1871"/>
      <c r="DF274" s="1871"/>
      <c r="DG274" s="1871"/>
      <c r="DH274" s="1871"/>
      <c r="DI274" s="1871"/>
      <c r="DJ274" s="1871"/>
      <c r="DK274" s="1871"/>
      <c r="DL274" s="1871"/>
      <c r="DM274" s="1871"/>
      <c r="DN274" s="1871"/>
      <c r="DO274" s="1871"/>
      <c r="DP274" s="1871"/>
      <c r="DQ274" s="1871"/>
      <c r="DR274" s="1871"/>
      <c r="DS274" s="1871"/>
      <c r="DT274" s="1871"/>
      <c r="DU274" s="1871"/>
      <c r="DV274" s="1871"/>
      <c r="DW274" s="1871"/>
      <c r="DX274" s="1871"/>
      <c r="DY274" s="1871"/>
      <c r="DZ274" s="1871"/>
      <c r="EA274" s="1871"/>
      <c r="EB274" s="1871"/>
      <c r="EC274" s="1871"/>
      <c r="ED274" s="1871"/>
      <c r="EE274" s="1871"/>
      <c r="EF274" s="1871"/>
      <c r="EG274" s="1871"/>
      <c r="EH274" s="1871"/>
      <c r="EI274" s="1871"/>
      <c r="EJ274" s="1871"/>
      <c r="EK274" s="1871"/>
      <c r="EL274" s="1871"/>
      <c r="EM274" s="1871"/>
      <c r="EN274" s="1871"/>
      <c r="EO274" s="1871"/>
      <c r="EP274" s="1871"/>
      <c r="EQ274" s="1871"/>
      <c r="ER274" s="1871"/>
      <c r="ES274" s="1871"/>
      <c r="ET274" s="1871"/>
      <c r="EU274" s="1871"/>
      <c r="EV274" s="1871"/>
      <c r="EW274" s="1871"/>
      <c r="EX274" s="1871"/>
      <c r="EY274" s="1871"/>
      <c r="EZ274" s="1871"/>
      <c r="FA274" s="1871"/>
      <c r="FB274" s="1871"/>
      <c r="FC274" s="1871"/>
      <c r="FD274" s="1871"/>
      <c r="FE274" s="1871"/>
      <c r="FF274" s="1871"/>
      <c r="FG274" s="1871"/>
      <c r="FH274" s="1871"/>
      <c r="FI274" s="1871"/>
      <c r="FJ274" s="1871"/>
      <c r="FK274" s="1871"/>
      <c r="FL274" s="1871"/>
      <c r="FM274" s="1871"/>
      <c r="FN274" s="1871"/>
      <c r="FO274" s="1871"/>
      <c r="FP274" s="1871"/>
      <c r="FQ274" s="1871"/>
      <c r="FR274" s="1871"/>
      <c r="FS274" s="1871"/>
      <c r="FT274" s="1871"/>
      <c r="FU274" s="1871"/>
      <c r="FV274" s="1871"/>
      <c r="FW274" s="1871"/>
      <c r="FX274" s="1871"/>
      <c r="FY274" s="1871"/>
      <c r="FZ274" s="1871"/>
      <c r="GA274" s="1871"/>
      <c r="GB274" s="1871"/>
      <c r="GC274" s="1871"/>
      <c r="GD274" s="1871"/>
      <c r="GE274" s="1871"/>
      <c r="GF274" s="1871"/>
      <c r="GG274" s="1871"/>
      <c r="GH274" s="1871"/>
      <c r="GI274" s="1871"/>
      <c r="GJ274" s="1871"/>
      <c r="GK274" s="1871"/>
      <c r="GL274" s="1871"/>
      <c r="GM274" s="1871"/>
      <c r="GN274" s="1871"/>
      <c r="GO274" s="1871"/>
      <c r="GP274" s="1871"/>
      <c r="GQ274" s="1871"/>
      <c r="GR274" s="1871"/>
      <c r="GS274" s="1871"/>
      <c r="GT274" s="1871"/>
      <c r="GU274" s="1871"/>
      <c r="GV274" s="1871"/>
      <c r="GW274" s="1871"/>
      <c r="GX274" s="1871"/>
      <c r="GY274" s="1871"/>
      <c r="GZ274" s="1871"/>
      <c r="HA274" s="1871"/>
      <c r="HB274" s="1871"/>
      <c r="HC274" s="1871"/>
      <c r="HD274" s="1871"/>
      <c r="HE274" s="1871"/>
      <c r="HF274" s="1871"/>
      <c r="HG274" s="1871"/>
      <c r="HH274" s="1871"/>
      <c r="HI274" s="1871"/>
      <c r="HJ274" s="1871"/>
      <c r="HK274" s="1871"/>
      <c r="HL274" s="1871"/>
      <c r="HM274" s="1871"/>
      <c r="HN274" s="1871"/>
      <c r="HO274" s="1871"/>
      <c r="HP274" s="1871"/>
      <c r="HQ274" s="1871"/>
      <c r="HR274" s="1871"/>
      <c r="HS274" s="1871"/>
      <c r="HT274" s="1871"/>
      <c r="HU274" s="1871"/>
      <c r="HV274" s="1871"/>
      <c r="HW274" s="1871"/>
      <c r="HX274" s="1871"/>
      <c r="HY274" s="1871"/>
      <c r="HZ274" s="1871"/>
      <c r="IA274" s="1871"/>
      <c r="IB274" s="1871"/>
      <c r="IC274" s="1871"/>
      <c r="ID274" s="1871"/>
      <c r="IE274" s="1871"/>
      <c r="IF274" s="1871"/>
      <c r="IG274" s="1871"/>
      <c r="IH274" s="1871"/>
      <c r="II274" s="1871"/>
      <c r="IJ274" s="1871"/>
      <c r="IK274" s="1871"/>
      <c r="IL274" s="1871"/>
      <c r="IM274" s="1871"/>
      <c r="IN274" s="1871"/>
    </row>
    <row r="275" spans="1:248">
      <c r="A275" s="1870" t="s">
        <v>1634</v>
      </c>
      <c r="B275" s="1879" t="s">
        <v>1635</v>
      </c>
      <c r="C275" s="1880" t="s">
        <v>1636</v>
      </c>
      <c r="D275" s="1897">
        <v>0</v>
      </c>
      <c r="E275" s="1897">
        <v>0</v>
      </c>
      <c r="F275" s="1897">
        <v>0</v>
      </c>
      <c r="G275" s="1897">
        <v>0</v>
      </c>
      <c r="H275" s="1897">
        <v>0</v>
      </c>
      <c r="I275" s="1897">
        <v>0</v>
      </c>
      <c r="J275" s="1897">
        <v>0</v>
      </c>
      <c r="K275" s="1897">
        <v>0</v>
      </c>
      <c r="L275" s="1897">
        <v>0</v>
      </c>
      <c r="M275" s="1899">
        <f t="shared" si="24"/>
        <v>0</v>
      </c>
      <c r="N275" s="1897">
        <v>0</v>
      </c>
      <c r="O275" s="1900">
        <f t="shared" si="25"/>
        <v>0</v>
      </c>
      <c r="P275" s="3290" t="s">
        <v>1603</v>
      </c>
      <c r="Q275" s="3290"/>
      <c r="R275" s="1877"/>
      <c r="S275" s="1871"/>
      <c r="T275" s="1871"/>
      <c r="U275" s="1871"/>
      <c r="V275" s="1871"/>
      <c r="W275" s="1871"/>
      <c r="X275" s="1871"/>
      <c r="Y275" s="1871"/>
      <c r="Z275" s="1871"/>
      <c r="AA275" s="1871"/>
      <c r="AB275" s="1871"/>
      <c r="AC275" s="1871"/>
      <c r="AD275" s="1871"/>
      <c r="AE275" s="1871"/>
      <c r="AF275" s="1871"/>
      <c r="AG275" s="1871"/>
      <c r="AH275" s="1871"/>
      <c r="AI275" s="1871"/>
      <c r="AJ275" s="1871"/>
      <c r="AK275" s="1871"/>
      <c r="AL275" s="1871"/>
      <c r="AM275" s="1871"/>
      <c r="AN275" s="1871"/>
      <c r="AO275" s="1871"/>
      <c r="AP275" s="1871"/>
      <c r="AQ275" s="1871"/>
      <c r="AR275" s="1871"/>
      <c r="AS275" s="1871"/>
      <c r="AT275" s="1871"/>
      <c r="AU275" s="1871"/>
      <c r="AV275" s="1871"/>
      <c r="AW275" s="1871"/>
      <c r="AX275" s="1871"/>
      <c r="AY275" s="1871"/>
      <c r="AZ275" s="1871"/>
      <c r="BA275" s="1871"/>
      <c r="BB275" s="1871"/>
      <c r="BC275" s="1871"/>
      <c r="BD275" s="1871"/>
      <c r="BE275" s="1871"/>
      <c r="BF275" s="1871"/>
      <c r="BG275" s="1871"/>
      <c r="BH275" s="1871"/>
      <c r="BI275" s="1871"/>
      <c r="BJ275" s="1871"/>
      <c r="BK275" s="1871"/>
      <c r="BL275" s="1871"/>
      <c r="BM275" s="1871"/>
      <c r="BN275" s="1871"/>
      <c r="BO275" s="1871"/>
      <c r="BP275" s="1871"/>
      <c r="BQ275" s="1871"/>
      <c r="BR275" s="1871"/>
      <c r="BS275" s="1871"/>
      <c r="BT275" s="1871"/>
      <c r="BU275" s="1871"/>
      <c r="BV275" s="1871"/>
      <c r="BW275" s="1871"/>
      <c r="BX275" s="1871"/>
      <c r="BY275" s="1871"/>
      <c r="BZ275" s="1871"/>
      <c r="CA275" s="1871"/>
      <c r="CB275" s="1871"/>
      <c r="CC275" s="1871"/>
      <c r="CD275" s="1871"/>
      <c r="CE275" s="1871"/>
      <c r="CF275" s="1871"/>
      <c r="CG275" s="1871"/>
      <c r="CH275" s="1871"/>
      <c r="CI275" s="1871"/>
      <c r="CJ275" s="1871"/>
      <c r="CK275" s="1871"/>
      <c r="CL275" s="1871"/>
      <c r="CM275" s="1871"/>
      <c r="CN275" s="1871"/>
      <c r="CO275" s="1871"/>
      <c r="CP275" s="1871"/>
      <c r="CQ275" s="1871"/>
      <c r="CR275" s="1871"/>
      <c r="CS275" s="1871"/>
      <c r="CT275" s="1871"/>
      <c r="CU275" s="1871"/>
      <c r="CV275" s="1871"/>
      <c r="CW275" s="1871"/>
      <c r="CX275" s="1871"/>
      <c r="CY275" s="1871"/>
      <c r="CZ275" s="1871"/>
      <c r="DA275" s="1871"/>
      <c r="DB275" s="1871"/>
      <c r="DC275" s="1871"/>
      <c r="DD275" s="1871"/>
      <c r="DE275" s="1871"/>
      <c r="DF275" s="1871"/>
      <c r="DG275" s="1871"/>
      <c r="DH275" s="1871"/>
      <c r="DI275" s="1871"/>
      <c r="DJ275" s="1871"/>
      <c r="DK275" s="1871"/>
      <c r="DL275" s="1871"/>
      <c r="DM275" s="1871"/>
      <c r="DN275" s="1871"/>
      <c r="DO275" s="1871"/>
      <c r="DP275" s="1871"/>
      <c r="DQ275" s="1871"/>
      <c r="DR275" s="1871"/>
      <c r="DS275" s="1871"/>
      <c r="DT275" s="1871"/>
      <c r="DU275" s="1871"/>
      <c r="DV275" s="1871"/>
      <c r="DW275" s="1871"/>
      <c r="DX275" s="1871"/>
      <c r="DY275" s="1871"/>
      <c r="DZ275" s="1871"/>
      <c r="EA275" s="1871"/>
      <c r="EB275" s="1871"/>
      <c r="EC275" s="1871"/>
      <c r="ED275" s="1871"/>
      <c r="EE275" s="1871"/>
      <c r="EF275" s="1871"/>
      <c r="EG275" s="1871"/>
      <c r="EH275" s="1871"/>
      <c r="EI275" s="1871"/>
      <c r="EJ275" s="1871"/>
      <c r="EK275" s="1871"/>
      <c r="EL275" s="1871"/>
      <c r="EM275" s="1871"/>
      <c r="EN275" s="1871"/>
      <c r="EO275" s="1871"/>
      <c r="EP275" s="1871"/>
      <c r="EQ275" s="1871"/>
      <c r="ER275" s="1871"/>
      <c r="ES275" s="1871"/>
      <c r="ET275" s="1871"/>
      <c r="EU275" s="1871"/>
      <c r="EV275" s="1871"/>
      <c r="EW275" s="1871"/>
      <c r="EX275" s="1871"/>
      <c r="EY275" s="1871"/>
      <c r="EZ275" s="1871"/>
      <c r="FA275" s="1871"/>
      <c r="FB275" s="1871"/>
      <c r="FC275" s="1871"/>
      <c r="FD275" s="1871"/>
      <c r="FE275" s="1871"/>
      <c r="FF275" s="1871"/>
      <c r="FG275" s="1871"/>
      <c r="FH275" s="1871"/>
      <c r="FI275" s="1871"/>
      <c r="FJ275" s="1871"/>
      <c r="FK275" s="1871"/>
      <c r="FL275" s="1871"/>
      <c r="FM275" s="1871"/>
      <c r="FN275" s="1871"/>
      <c r="FO275" s="1871"/>
      <c r="FP275" s="1871"/>
      <c r="FQ275" s="1871"/>
      <c r="FR275" s="1871"/>
      <c r="FS275" s="1871"/>
      <c r="FT275" s="1871"/>
      <c r="FU275" s="1871"/>
      <c r="FV275" s="1871"/>
      <c r="FW275" s="1871"/>
      <c r="FX275" s="1871"/>
      <c r="FY275" s="1871"/>
      <c r="FZ275" s="1871"/>
      <c r="GA275" s="1871"/>
      <c r="GB275" s="1871"/>
      <c r="GC275" s="1871"/>
      <c r="GD275" s="1871"/>
      <c r="GE275" s="1871"/>
      <c r="GF275" s="1871"/>
      <c r="GG275" s="1871"/>
      <c r="GH275" s="1871"/>
      <c r="GI275" s="1871"/>
      <c r="GJ275" s="1871"/>
      <c r="GK275" s="1871"/>
      <c r="GL275" s="1871"/>
      <c r="GM275" s="1871"/>
      <c r="GN275" s="1871"/>
      <c r="GO275" s="1871"/>
      <c r="GP275" s="1871"/>
      <c r="GQ275" s="1871"/>
      <c r="GR275" s="1871"/>
      <c r="GS275" s="1871"/>
      <c r="GT275" s="1871"/>
      <c r="GU275" s="1871"/>
      <c r="GV275" s="1871"/>
      <c r="GW275" s="1871"/>
      <c r="GX275" s="1871"/>
      <c r="GY275" s="1871"/>
      <c r="GZ275" s="1871"/>
      <c r="HA275" s="1871"/>
      <c r="HB275" s="1871"/>
      <c r="HC275" s="1871"/>
      <c r="HD275" s="1871"/>
      <c r="HE275" s="1871"/>
      <c r="HF275" s="1871"/>
      <c r="HG275" s="1871"/>
      <c r="HH275" s="1871"/>
      <c r="HI275" s="1871"/>
      <c r="HJ275" s="1871"/>
      <c r="HK275" s="1871"/>
      <c r="HL275" s="1871"/>
      <c r="HM275" s="1871"/>
      <c r="HN275" s="1871"/>
      <c r="HO275" s="1871"/>
      <c r="HP275" s="1871"/>
      <c r="HQ275" s="1871"/>
      <c r="HR275" s="1871"/>
      <c r="HS275" s="1871"/>
      <c r="HT275" s="1871"/>
      <c r="HU275" s="1871"/>
      <c r="HV275" s="1871"/>
      <c r="HW275" s="1871"/>
      <c r="HX275" s="1871"/>
      <c r="HY275" s="1871"/>
      <c r="HZ275" s="1871"/>
      <c r="IA275" s="1871"/>
      <c r="IB275" s="1871"/>
      <c r="IC275" s="1871"/>
      <c r="ID275" s="1871"/>
      <c r="IE275" s="1871"/>
      <c r="IF275" s="1871"/>
      <c r="IG275" s="1871"/>
      <c r="IH275" s="1871"/>
      <c r="II275" s="1871"/>
      <c r="IJ275" s="1871"/>
      <c r="IK275" s="1871"/>
      <c r="IL275" s="1871"/>
      <c r="IM275" s="1871"/>
      <c r="IN275" s="1871"/>
    </row>
    <row r="276" spans="1:248">
      <c r="A276" s="1870" t="s">
        <v>1637</v>
      </c>
      <c r="B276" s="1879" t="s">
        <v>1638</v>
      </c>
      <c r="C276" s="1881" t="s">
        <v>1639</v>
      </c>
      <c r="D276" s="1897">
        <v>0</v>
      </c>
      <c r="E276" s="1897">
        <v>0</v>
      </c>
      <c r="F276" s="1897">
        <v>0</v>
      </c>
      <c r="G276" s="1897">
        <v>0</v>
      </c>
      <c r="H276" s="1897">
        <v>0</v>
      </c>
      <c r="I276" s="1897">
        <v>0</v>
      </c>
      <c r="J276" s="1897">
        <v>0</v>
      </c>
      <c r="K276" s="1897">
        <v>0</v>
      </c>
      <c r="L276" s="1897">
        <v>0</v>
      </c>
      <c r="M276" s="1899">
        <f t="shared" si="24"/>
        <v>0</v>
      </c>
      <c r="N276" s="1897">
        <v>0</v>
      </c>
      <c r="O276" s="1900">
        <f t="shared" si="25"/>
        <v>0</v>
      </c>
      <c r="P276" s="3290" t="s">
        <v>425</v>
      </c>
      <c r="Q276" s="3290"/>
      <c r="R276" s="1877"/>
      <c r="S276" s="1871"/>
      <c r="T276" s="1871"/>
      <c r="U276" s="1871"/>
      <c r="V276" s="1871"/>
      <c r="W276" s="1871"/>
      <c r="X276" s="1871"/>
      <c r="Y276" s="1871"/>
      <c r="Z276" s="1871"/>
      <c r="AA276" s="1871"/>
      <c r="AB276" s="1871"/>
      <c r="AC276" s="1871"/>
      <c r="AD276" s="1871"/>
      <c r="AE276" s="1871"/>
      <c r="AF276" s="1871"/>
      <c r="AG276" s="1871"/>
      <c r="AH276" s="1871"/>
      <c r="AI276" s="1871"/>
      <c r="AJ276" s="1871"/>
      <c r="AK276" s="1871"/>
      <c r="AL276" s="1871"/>
      <c r="AM276" s="1871"/>
      <c r="AN276" s="1871"/>
      <c r="AO276" s="1871"/>
      <c r="AP276" s="1871"/>
      <c r="AQ276" s="1871"/>
      <c r="AR276" s="1871"/>
      <c r="AS276" s="1871"/>
      <c r="AT276" s="1871"/>
      <c r="AU276" s="1871"/>
      <c r="AV276" s="1871"/>
      <c r="AW276" s="1871"/>
      <c r="AX276" s="1871"/>
      <c r="AY276" s="1871"/>
      <c r="AZ276" s="1871"/>
      <c r="BA276" s="1871"/>
      <c r="BB276" s="1871"/>
      <c r="BC276" s="1871"/>
      <c r="BD276" s="1871"/>
      <c r="BE276" s="1871"/>
      <c r="BF276" s="1871"/>
      <c r="BG276" s="1871"/>
      <c r="BH276" s="1871"/>
      <c r="BI276" s="1871"/>
      <c r="BJ276" s="1871"/>
      <c r="BK276" s="1871"/>
      <c r="BL276" s="1871"/>
      <c r="BM276" s="1871"/>
      <c r="BN276" s="1871"/>
      <c r="BO276" s="1871"/>
      <c r="BP276" s="1871"/>
      <c r="BQ276" s="1871"/>
      <c r="BR276" s="1871"/>
      <c r="BS276" s="1871"/>
      <c r="BT276" s="1871"/>
      <c r="BU276" s="1871"/>
      <c r="BV276" s="1871"/>
      <c r="BW276" s="1871"/>
      <c r="BX276" s="1871"/>
      <c r="BY276" s="1871"/>
      <c r="BZ276" s="1871"/>
      <c r="CA276" s="1871"/>
      <c r="CB276" s="1871"/>
      <c r="CC276" s="1871"/>
      <c r="CD276" s="1871"/>
      <c r="CE276" s="1871"/>
      <c r="CF276" s="1871"/>
      <c r="CG276" s="1871"/>
      <c r="CH276" s="1871"/>
      <c r="CI276" s="1871"/>
      <c r="CJ276" s="1871"/>
      <c r="CK276" s="1871"/>
      <c r="CL276" s="1871"/>
      <c r="CM276" s="1871"/>
      <c r="CN276" s="1871"/>
      <c r="CO276" s="1871"/>
      <c r="CP276" s="1871"/>
      <c r="CQ276" s="1871"/>
      <c r="CR276" s="1871"/>
      <c r="CS276" s="1871"/>
      <c r="CT276" s="1871"/>
      <c r="CU276" s="1871"/>
      <c r="CV276" s="1871"/>
      <c r="CW276" s="1871"/>
      <c r="CX276" s="1871"/>
      <c r="CY276" s="1871"/>
      <c r="CZ276" s="1871"/>
      <c r="DA276" s="1871"/>
      <c r="DB276" s="1871"/>
      <c r="DC276" s="1871"/>
      <c r="DD276" s="1871"/>
      <c r="DE276" s="1871"/>
      <c r="DF276" s="1871"/>
      <c r="DG276" s="1871"/>
      <c r="DH276" s="1871"/>
      <c r="DI276" s="1871"/>
      <c r="DJ276" s="1871"/>
      <c r="DK276" s="1871"/>
      <c r="DL276" s="1871"/>
      <c r="DM276" s="1871"/>
      <c r="DN276" s="1871"/>
      <c r="DO276" s="1871"/>
      <c r="DP276" s="1871"/>
      <c r="DQ276" s="1871"/>
      <c r="DR276" s="1871"/>
      <c r="DS276" s="1871"/>
      <c r="DT276" s="1871"/>
      <c r="DU276" s="1871"/>
      <c r="DV276" s="1871"/>
      <c r="DW276" s="1871"/>
      <c r="DX276" s="1871"/>
      <c r="DY276" s="1871"/>
      <c r="DZ276" s="1871"/>
      <c r="EA276" s="1871"/>
      <c r="EB276" s="1871"/>
      <c r="EC276" s="1871"/>
      <c r="ED276" s="1871"/>
      <c r="EE276" s="1871"/>
      <c r="EF276" s="1871"/>
      <c r="EG276" s="1871"/>
      <c r="EH276" s="1871"/>
      <c r="EI276" s="1871"/>
      <c r="EJ276" s="1871"/>
      <c r="EK276" s="1871"/>
      <c r="EL276" s="1871"/>
      <c r="EM276" s="1871"/>
      <c r="EN276" s="1871"/>
      <c r="EO276" s="1871"/>
      <c r="EP276" s="1871"/>
      <c r="EQ276" s="1871"/>
      <c r="ER276" s="1871"/>
      <c r="ES276" s="1871"/>
      <c r="ET276" s="1871"/>
      <c r="EU276" s="1871"/>
      <c r="EV276" s="1871"/>
      <c r="EW276" s="1871"/>
      <c r="EX276" s="1871"/>
      <c r="EY276" s="1871"/>
      <c r="EZ276" s="1871"/>
      <c r="FA276" s="1871"/>
      <c r="FB276" s="1871"/>
      <c r="FC276" s="1871"/>
      <c r="FD276" s="1871"/>
      <c r="FE276" s="1871"/>
      <c r="FF276" s="1871"/>
      <c r="FG276" s="1871"/>
      <c r="FH276" s="1871"/>
      <c r="FI276" s="1871"/>
      <c r="FJ276" s="1871"/>
      <c r="FK276" s="1871"/>
      <c r="FL276" s="1871"/>
      <c r="FM276" s="1871"/>
      <c r="FN276" s="1871"/>
      <c r="FO276" s="1871"/>
      <c r="FP276" s="1871"/>
      <c r="FQ276" s="1871"/>
      <c r="FR276" s="1871"/>
      <c r="FS276" s="1871"/>
      <c r="FT276" s="1871"/>
      <c r="FU276" s="1871"/>
      <c r="FV276" s="1871"/>
      <c r="FW276" s="1871"/>
      <c r="FX276" s="1871"/>
      <c r="FY276" s="1871"/>
      <c r="FZ276" s="1871"/>
      <c r="GA276" s="1871"/>
      <c r="GB276" s="1871"/>
      <c r="GC276" s="1871"/>
      <c r="GD276" s="1871"/>
      <c r="GE276" s="1871"/>
      <c r="GF276" s="1871"/>
      <c r="GG276" s="1871"/>
      <c r="GH276" s="1871"/>
      <c r="GI276" s="1871"/>
      <c r="GJ276" s="1871"/>
      <c r="GK276" s="1871"/>
      <c r="GL276" s="1871"/>
      <c r="GM276" s="1871"/>
      <c r="GN276" s="1871"/>
      <c r="GO276" s="1871"/>
      <c r="GP276" s="1871"/>
      <c r="GQ276" s="1871"/>
      <c r="GR276" s="1871"/>
      <c r="GS276" s="1871"/>
      <c r="GT276" s="1871"/>
      <c r="GU276" s="1871"/>
      <c r="GV276" s="1871"/>
      <c r="GW276" s="1871"/>
      <c r="GX276" s="1871"/>
      <c r="GY276" s="1871"/>
      <c r="GZ276" s="1871"/>
      <c r="HA276" s="1871"/>
      <c r="HB276" s="1871"/>
      <c r="HC276" s="1871"/>
      <c r="HD276" s="1871"/>
      <c r="HE276" s="1871"/>
      <c r="HF276" s="1871"/>
      <c r="HG276" s="1871"/>
      <c r="HH276" s="1871"/>
      <c r="HI276" s="1871"/>
      <c r="HJ276" s="1871"/>
      <c r="HK276" s="1871"/>
      <c r="HL276" s="1871"/>
      <c r="HM276" s="1871"/>
      <c r="HN276" s="1871"/>
      <c r="HO276" s="1871"/>
      <c r="HP276" s="1871"/>
      <c r="HQ276" s="1871"/>
      <c r="HR276" s="1871"/>
      <c r="HS276" s="1871"/>
      <c r="HT276" s="1871"/>
      <c r="HU276" s="1871"/>
      <c r="HV276" s="1871"/>
      <c r="HW276" s="1871"/>
      <c r="HX276" s="1871"/>
      <c r="HY276" s="1871"/>
      <c r="HZ276" s="1871"/>
      <c r="IA276" s="1871"/>
      <c r="IB276" s="1871"/>
      <c r="IC276" s="1871"/>
      <c r="ID276" s="1871"/>
      <c r="IE276" s="1871"/>
      <c r="IF276" s="1871"/>
      <c r="IG276" s="1871"/>
      <c r="IH276" s="1871"/>
      <c r="II276" s="1871"/>
      <c r="IJ276" s="1871"/>
      <c r="IK276" s="1871"/>
      <c r="IL276" s="1871"/>
      <c r="IM276" s="1871"/>
      <c r="IN276" s="1871"/>
    </row>
    <row r="277" spans="1:248">
      <c r="A277" s="1870" t="s">
        <v>1640</v>
      </c>
      <c r="B277" s="1879" t="s">
        <v>1641</v>
      </c>
      <c r="C277" s="1880" t="s">
        <v>1642</v>
      </c>
      <c r="D277" s="1897">
        <v>0</v>
      </c>
      <c r="E277" s="1897">
        <v>0</v>
      </c>
      <c r="F277" s="1897">
        <v>0</v>
      </c>
      <c r="G277" s="1897">
        <v>0</v>
      </c>
      <c r="H277" s="1897">
        <v>0</v>
      </c>
      <c r="I277" s="1897">
        <v>0</v>
      </c>
      <c r="J277" s="1897">
        <v>0</v>
      </c>
      <c r="K277" s="1897">
        <v>0</v>
      </c>
      <c r="L277" s="1897">
        <v>0</v>
      </c>
      <c r="M277" s="1899">
        <f t="shared" si="24"/>
        <v>0</v>
      </c>
      <c r="N277" s="1897">
        <v>0</v>
      </c>
      <c r="O277" s="1900">
        <f t="shared" si="25"/>
        <v>0</v>
      </c>
      <c r="P277" s="3290" t="s">
        <v>1603</v>
      </c>
      <c r="Q277" s="3290"/>
      <c r="R277" s="1877"/>
      <c r="S277" s="1871"/>
      <c r="T277" s="1871"/>
      <c r="U277" s="1871"/>
      <c r="V277" s="1871"/>
      <c r="W277" s="1871"/>
      <c r="X277" s="1871"/>
      <c r="Y277" s="1871"/>
      <c r="Z277" s="1871"/>
      <c r="AA277" s="1871"/>
      <c r="AB277" s="1871"/>
      <c r="AC277" s="1871"/>
      <c r="AD277" s="1871"/>
      <c r="AE277" s="1871"/>
      <c r="AF277" s="1871"/>
      <c r="AG277" s="1871"/>
      <c r="AH277" s="1871"/>
      <c r="AI277" s="1871"/>
      <c r="AJ277" s="1871"/>
      <c r="AK277" s="1871"/>
      <c r="AL277" s="1871"/>
      <c r="AM277" s="1871"/>
      <c r="AN277" s="1871"/>
      <c r="AO277" s="1871"/>
      <c r="AP277" s="1871"/>
      <c r="AQ277" s="1871"/>
      <c r="AR277" s="1871"/>
      <c r="AS277" s="1871"/>
      <c r="AT277" s="1871"/>
      <c r="AU277" s="1871"/>
      <c r="AV277" s="1871"/>
      <c r="AW277" s="1871"/>
      <c r="AX277" s="1871"/>
      <c r="AY277" s="1871"/>
      <c r="AZ277" s="1871"/>
      <c r="BA277" s="1871"/>
      <c r="BB277" s="1871"/>
      <c r="BC277" s="1871"/>
      <c r="BD277" s="1871"/>
      <c r="BE277" s="1871"/>
      <c r="BF277" s="1871"/>
      <c r="BG277" s="1871"/>
      <c r="BH277" s="1871"/>
      <c r="BI277" s="1871"/>
      <c r="BJ277" s="1871"/>
      <c r="BK277" s="1871"/>
      <c r="BL277" s="1871"/>
      <c r="BM277" s="1871"/>
      <c r="BN277" s="1871"/>
      <c r="BO277" s="1871"/>
      <c r="BP277" s="1871"/>
      <c r="BQ277" s="1871"/>
      <c r="BR277" s="1871"/>
      <c r="BS277" s="1871"/>
      <c r="BT277" s="1871"/>
      <c r="BU277" s="1871"/>
      <c r="BV277" s="1871"/>
      <c r="BW277" s="1871"/>
      <c r="BX277" s="1871"/>
      <c r="BY277" s="1871"/>
      <c r="BZ277" s="1871"/>
      <c r="CA277" s="1871"/>
      <c r="CB277" s="1871"/>
      <c r="CC277" s="1871"/>
      <c r="CD277" s="1871"/>
      <c r="CE277" s="1871"/>
      <c r="CF277" s="1871"/>
      <c r="CG277" s="1871"/>
      <c r="CH277" s="1871"/>
      <c r="CI277" s="1871"/>
      <c r="CJ277" s="1871"/>
      <c r="CK277" s="1871"/>
      <c r="CL277" s="1871"/>
      <c r="CM277" s="1871"/>
      <c r="CN277" s="1871"/>
      <c r="CO277" s="1871"/>
      <c r="CP277" s="1871"/>
      <c r="CQ277" s="1871"/>
      <c r="CR277" s="1871"/>
      <c r="CS277" s="1871"/>
      <c r="CT277" s="1871"/>
      <c r="CU277" s="1871"/>
      <c r="CV277" s="1871"/>
      <c r="CW277" s="1871"/>
      <c r="CX277" s="1871"/>
      <c r="CY277" s="1871"/>
      <c r="CZ277" s="1871"/>
      <c r="DA277" s="1871"/>
      <c r="DB277" s="1871"/>
      <c r="DC277" s="1871"/>
      <c r="DD277" s="1871"/>
      <c r="DE277" s="1871"/>
      <c r="DF277" s="1871"/>
      <c r="DG277" s="1871"/>
      <c r="DH277" s="1871"/>
      <c r="DI277" s="1871"/>
      <c r="DJ277" s="1871"/>
      <c r="DK277" s="1871"/>
      <c r="DL277" s="1871"/>
      <c r="DM277" s="1871"/>
      <c r="DN277" s="1871"/>
      <c r="DO277" s="1871"/>
      <c r="DP277" s="1871"/>
      <c r="DQ277" s="1871"/>
      <c r="DR277" s="1871"/>
      <c r="DS277" s="1871"/>
      <c r="DT277" s="1871"/>
      <c r="DU277" s="1871"/>
      <c r="DV277" s="1871"/>
      <c r="DW277" s="1871"/>
      <c r="DX277" s="1871"/>
      <c r="DY277" s="1871"/>
      <c r="DZ277" s="1871"/>
      <c r="EA277" s="1871"/>
      <c r="EB277" s="1871"/>
      <c r="EC277" s="1871"/>
      <c r="ED277" s="1871"/>
      <c r="EE277" s="1871"/>
      <c r="EF277" s="1871"/>
      <c r="EG277" s="1871"/>
      <c r="EH277" s="1871"/>
      <c r="EI277" s="1871"/>
      <c r="EJ277" s="1871"/>
      <c r="EK277" s="1871"/>
      <c r="EL277" s="1871"/>
      <c r="EM277" s="1871"/>
      <c r="EN277" s="1871"/>
      <c r="EO277" s="1871"/>
      <c r="EP277" s="1871"/>
      <c r="EQ277" s="1871"/>
      <c r="ER277" s="1871"/>
      <c r="ES277" s="1871"/>
      <c r="ET277" s="1871"/>
      <c r="EU277" s="1871"/>
      <c r="EV277" s="1871"/>
      <c r="EW277" s="1871"/>
      <c r="EX277" s="1871"/>
      <c r="EY277" s="1871"/>
      <c r="EZ277" s="1871"/>
      <c r="FA277" s="1871"/>
      <c r="FB277" s="1871"/>
      <c r="FC277" s="1871"/>
      <c r="FD277" s="1871"/>
      <c r="FE277" s="1871"/>
      <c r="FF277" s="1871"/>
      <c r="FG277" s="1871"/>
      <c r="FH277" s="1871"/>
      <c r="FI277" s="1871"/>
      <c r="FJ277" s="1871"/>
      <c r="FK277" s="1871"/>
      <c r="FL277" s="1871"/>
      <c r="FM277" s="1871"/>
      <c r="FN277" s="1871"/>
      <c r="FO277" s="1871"/>
      <c r="FP277" s="1871"/>
      <c r="FQ277" s="1871"/>
      <c r="FR277" s="1871"/>
      <c r="FS277" s="1871"/>
      <c r="FT277" s="1871"/>
      <c r="FU277" s="1871"/>
      <c r="FV277" s="1871"/>
      <c r="FW277" s="1871"/>
      <c r="FX277" s="1871"/>
      <c r="FY277" s="1871"/>
      <c r="FZ277" s="1871"/>
      <c r="GA277" s="1871"/>
      <c r="GB277" s="1871"/>
      <c r="GC277" s="1871"/>
      <c r="GD277" s="1871"/>
      <c r="GE277" s="1871"/>
      <c r="GF277" s="1871"/>
      <c r="GG277" s="1871"/>
      <c r="GH277" s="1871"/>
      <c r="GI277" s="1871"/>
      <c r="GJ277" s="1871"/>
      <c r="GK277" s="1871"/>
      <c r="GL277" s="1871"/>
      <c r="GM277" s="1871"/>
      <c r="GN277" s="1871"/>
      <c r="GO277" s="1871"/>
      <c r="GP277" s="1871"/>
      <c r="GQ277" s="1871"/>
      <c r="GR277" s="1871"/>
      <c r="GS277" s="1871"/>
      <c r="GT277" s="1871"/>
      <c r="GU277" s="1871"/>
      <c r="GV277" s="1871"/>
      <c r="GW277" s="1871"/>
      <c r="GX277" s="1871"/>
      <c r="GY277" s="1871"/>
      <c r="GZ277" s="1871"/>
      <c r="HA277" s="1871"/>
      <c r="HB277" s="1871"/>
      <c r="HC277" s="1871"/>
      <c r="HD277" s="1871"/>
      <c r="HE277" s="1871"/>
      <c r="HF277" s="1871"/>
      <c r="HG277" s="1871"/>
      <c r="HH277" s="1871"/>
      <c r="HI277" s="1871"/>
      <c r="HJ277" s="1871"/>
      <c r="HK277" s="1871"/>
      <c r="HL277" s="1871"/>
      <c r="HM277" s="1871"/>
      <c r="HN277" s="1871"/>
      <c r="HO277" s="1871"/>
      <c r="HP277" s="1871"/>
      <c r="HQ277" s="1871"/>
      <c r="HR277" s="1871"/>
      <c r="HS277" s="1871"/>
      <c r="HT277" s="1871"/>
      <c r="HU277" s="1871"/>
      <c r="HV277" s="1871"/>
      <c r="HW277" s="1871"/>
      <c r="HX277" s="1871"/>
      <c r="HY277" s="1871"/>
      <c r="HZ277" s="1871"/>
      <c r="IA277" s="1871"/>
      <c r="IB277" s="1871"/>
      <c r="IC277" s="1871"/>
      <c r="ID277" s="1871"/>
      <c r="IE277" s="1871"/>
      <c r="IF277" s="1871"/>
      <c r="IG277" s="1871"/>
      <c r="IH277" s="1871"/>
      <c r="II277" s="1871"/>
      <c r="IJ277" s="1871"/>
      <c r="IK277" s="1871"/>
      <c r="IL277" s="1871"/>
      <c r="IM277" s="1871"/>
      <c r="IN277" s="1871"/>
    </row>
    <row r="278" spans="1:248">
      <c r="A278" s="1870" t="s">
        <v>1643</v>
      </c>
      <c r="B278" s="1879" t="s">
        <v>1644</v>
      </c>
      <c r="C278" s="1880" t="s">
        <v>1645</v>
      </c>
      <c r="D278" s="1897">
        <v>0</v>
      </c>
      <c r="E278" s="1897">
        <v>0</v>
      </c>
      <c r="F278" s="1897">
        <v>0</v>
      </c>
      <c r="G278" s="1897">
        <v>0</v>
      </c>
      <c r="H278" s="1897">
        <v>0</v>
      </c>
      <c r="I278" s="1897">
        <v>0</v>
      </c>
      <c r="J278" s="1897">
        <v>0</v>
      </c>
      <c r="K278" s="1897">
        <v>0</v>
      </c>
      <c r="L278" s="1897">
        <v>0</v>
      </c>
      <c r="M278" s="1899">
        <f t="shared" si="24"/>
        <v>0</v>
      </c>
      <c r="N278" s="1897">
        <v>0</v>
      </c>
      <c r="O278" s="1900">
        <f t="shared" si="25"/>
        <v>0</v>
      </c>
      <c r="P278" s="3290" t="s">
        <v>1603</v>
      </c>
      <c r="Q278" s="3290"/>
      <c r="R278" s="1877"/>
      <c r="S278" s="1871"/>
      <c r="T278" s="1871"/>
      <c r="U278" s="1871"/>
      <c r="V278" s="1871"/>
      <c r="W278" s="1871"/>
      <c r="X278" s="1871"/>
      <c r="Y278" s="1871"/>
      <c r="Z278" s="1871"/>
      <c r="AA278" s="1871"/>
      <c r="AB278" s="1871"/>
      <c r="AC278" s="1871"/>
      <c r="AD278" s="1871"/>
      <c r="AE278" s="1871"/>
      <c r="AF278" s="1871"/>
      <c r="AG278" s="1871"/>
      <c r="AH278" s="1871"/>
      <c r="AI278" s="1871"/>
      <c r="AJ278" s="1871"/>
      <c r="AK278" s="1871"/>
      <c r="AL278" s="1871"/>
      <c r="AM278" s="1871"/>
      <c r="AN278" s="1871"/>
      <c r="AO278" s="1871"/>
      <c r="AP278" s="1871"/>
      <c r="AQ278" s="1871"/>
      <c r="AR278" s="1871"/>
      <c r="AS278" s="1871"/>
      <c r="AT278" s="1871"/>
      <c r="AU278" s="1871"/>
      <c r="AV278" s="1871"/>
      <c r="AW278" s="1871"/>
      <c r="AX278" s="1871"/>
      <c r="AY278" s="1871"/>
      <c r="AZ278" s="1871"/>
      <c r="BA278" s="1871"/>
      <c r="BB278" s="1871"/>
      <c r="BC278" s="1871"/>
      <c r="BD278" s="1871"/>
      <c r="BE278" s="1871"/>
      <c r="BF278" s="1871"/>
      <c r="BG278" s="1871"/>
      <c r="BH278" s="1871"/>
      <c r="BI278" s="1871"/>
      <c r="BJ278" s="1871"/>
      <c r="BK278" s="1871"/>
      <c r="BL278" s="1871"/>
      <c r="BM278" s="1871"/>
      <c r="BN278" s="1871"/>
      <c r="BO278" s="1871"/>
      <c r="BP278" s="1871"/>
      <c r="BQ278" s="1871"/>
      <c r="BR278" s="1871"/>
      <c r="BS278" s="1871"/>
      <c r="BT278" s="1871"/>
      <c r="BU278" s="1871"/>
      <c r="BV278" s="1871"/>
      <c r="BW278" s="1871"/>
      <c r="BX278" s="1871"/>
      <c r="BY278" s="1871"/>
      <c r="BZ278" s="1871"/>
      <c r="CA278" s="1871"/>
      <c r="CB278" s="1871"/>
      <c r="CC278" s="1871"/>
      <c r="CD278" s="1871"/>
      <c r="CE278" s="1871"/>
      <c r="CF278" s="1871"/>
      <c r="CG278" s="1871"/>
      <c r="CH278" s="1871"/>
      <c r="CI278" s="1871"/>
      <c r="CJ278" s="1871"/>
      <c r="CK278" s="1871"/>
      <c r="CL278" s="1871"/>
      <c r="CM278" s="1871"/>
      <c r="CN278" s="1871"/>
      <c r="CO278" s="1871"/>
      <c r="CP278" s="1871"/>
      <c r="CQ278" s="1871"/>
      <c r="CR278" s="1871"/>
      <c r="CS278" s="1871"/>
      <c r="CT278" s="1871"/>
      <c r="CU278" s="1871"/>
      <c r="CV278" s="1871"/>
      <c r="CW278" s="1871"/>
      <c r="CX278" s="1871"/>
      <c r="CY278" s="1871"/>
      <c r="CZ278" s="1871"/>
      <c r="DA278" s="1871"/>
      <c r="DB278" s="1871"/>
      <c r="DC278" s="1871"/>
      <c r="DD278" s="1871"/>
      <c r="DE278" s="1871"/>
      <c r="DF278" s="1871"/>
      <c r="DG278" s="1871"/>
      <c r="DH278" s="1871"/>
      <c r="DI278" s="1871"/>
      <c r="DJ278" s="1871"/>
      <c r="DK278" s="1871"/>
      <c r="DL278" s="1871"/>
      <c r="DM278" s="1871"/>
      <c r="DN278" s="1871"/>
      <c r="DO278" s="1871"/>
      <c r="DP278" s="1871"/>
      <c r="DQ278" s="1871"/>
      <c r="DR278" s="1871"/>
      <c r="DS278" s="1871"/>
      <c r="DT278" s="1871"/>
      <c r="DU278" s="1871"/>
      <c r="DV278" s="1871"/>
      <c r="DW278" s="1871"/>
      <c r="DX278" s="1871"/>
      <c r="DY278" s="1871"/>
      <c r="DZ278" s="1871"/>
      <c r="EA278" s="1871"/>
      <c r="EB278" s="1871"/>
      <c r="EC278" s="1871"/>
      <c r="ED278" s="1871"/>
      <c r="EE278" s="1871"/>
      <c r="EF278" s="1871"/>
      <c r="EG278" s="1871"/>
      <c r="EH278" s="1871"/>
      <c r="EI278" s="1871"/>
      <c r="EJ278" s="1871"/>
      <c r="EK278" s="1871"/>
      <c r="EL278" s="1871"/>
      <c r="EM278" s="1871"/>
      <c r="EN278" s="1871"/>
      <c r="EO278" s="1871"/>
      <c r="EP278" s="1871"/>
      <c r="EQ278" s="1871"/>
      <c r="ER278" s="1871"/>
      <c r="ES278" s="1871"/>
      <c r="ET278" s="1871"/>
      <c r="EU278" s="1871"/>
      <c r="EV278" s="1871"/>
      <c r="EW278" s="1871"/>
      <c r="EX278" s="1871"/>
      <c r="EY278" s="1871"/>
      <c r="EZ278" s="1871"/>
      <c r="FA278" s="1871"/>
      <c r="FB278" s="1871"/>
      <c r="FC278" s="1871"/>
      <c r="FD278" s="1871"/>
      <c r="FE278" s="1871"/>
      <c r="FF278" s="1871"/>
      <c r="FG278" s="1871"/>
      <c r="FH278" s="1871"/>
      <c r="FI278" s="1871"/>
      <c r="FJ278" s="1871"/>
      <c r="FK278" s="1871"/>
      <c r="FL278" s="1871"/>
      <c r="FM278" s="1871"/>
      <c r="FN278" s="1871"/>
      <c r="FO278" s="1871"/>
      <c r="FP278" s="1871"/>
      <c r="FQ278" s="1871"/>
      <c r="FR278" s="1871"/>
      <c r="FS278" s="1871"/>
      <c r="FT278" s="1871"/>
      <c r="FU278" s="1871"/>
      <c r="FV278" s="1871"/>
      <c r="FW278" s="1871"/>
      <c r="FX278" s="1871"/>
      <c r="FY278" s="1871"/>
      <c r="FZ278" s="1871"/>
      <c r="GA278" s="1871"/>
      <c r="GB278" s="1871"/>
      <c r="GC278" s="1871"/>
      <c r="GD278" s="1871"/>
      <c r="GE278" s="1871"/>
      <c r="GF278" s="1871"/>
      <c r="GG278" s="1871"/>
      <c r="GH278" s="1871"/>
      <c r="GI278" s="1871"/>
      <c r="GJ278" s="1871"/>
      <c r="GK278" s="1871"/>
      <c r="GL278" s="1871"/>
      <c r="GM278" s="1871"/>
      <c r="GN278" s="1871"/>
      <c r="GO278" s="1871"/>
      <c r="GP278" s="1871"/>
      <c r="GQ278" s="1871"/>
      <c r="GR278" s="1871"/>
      <c r="GS278" s="1871"/>
      <c r="GT278" s="1871"/>
      <c r="GU278" s="1871"/>
      <c r="GV278" s="1871"/>
      <c r="GW278" s="1871"/>
      <c r="GX278" s="1871"/>
      <c r="GY278" s="1871"/>
      <c r="GZ278" s="1871"/>
      <c r="HA278" s="1871"/>
      <c r="HB278" s="1871"/>
      <c r="HC278" s="1871"/>
      <c r="HD278" s="1871"/>
      <c r="HE278" s="1871"/>
      <c r="HF278" s="1871"/>
      <c r="HG278" s="1871"/>
      <c r="HH278" s="1871"/>
      <c r="HI278" s="1871"/>
      <c r="HJ278" s="1871"/>
      <c r="HK278" s="1871"/>
      <c r="HL278" s="1871"/>
      <c r="HM278" s="1871"/>
      <c r="HN278" s="1871"/>
      <c r="HO278" s="1871"/>
      <c r="HP278" s="1871"/>
      <c r="HQ278" s="1871"/>
      <c r="HR278" s="1871"/>
      <c r="HS278" s="1871"/>
      <c r="HT278" s="1871"/>
      <c r="HU278" s="1871"/>
      <c r="HV278" s="1871"/>
      <c r="HW278" s="1871"/>
      <c r="HX278" s="1871"/>
      <c r="HY278" s="1871"/>
      <c r="HZ278" s="1871"/>
      <c r="IA278" s="1871"/>
      <c r="IB278" s="1871"/>
      <c r="IC278" s="1871"/>
      <c r="ID278" s="1871"/>
      <c r="IE278" s="1871"/>
      <c r="IF278" s="1871"/>
      <c r="IG278" s="1871"/>
      <c r="IH278" s="1871"/>
      <c r="II278" s="1871"/>
      <c r="IJ278" s="1871"/>
      <c r="IK278" s="1871"/>
      <c r="IL278" s="1871"/>
      <c r="IM278" s="1871"/>
      <c r="IN278" s="1871"/>
    </row>
    <row r="279" spans="1:248">
      <c r="A279" s="1870" t="s">
        <v>1646</v>
      </c>
      <c r="B279" s="1879" t="s">
        <v>1647</v>
      </c>
      <c r="C279" s="1881" t="s">
        <v>1648</v>
      </c>
      <c r="D279" s="1897">
        <v>0</v>
      </c>
      <c r="E279" s="1897">
        <v>0</v>
      </c>
      <c r="F279" s="1897">
        <v>0</v>
      </c>
      <c r="G279" s="1897">
        <v>0</v>
      </c>
      <c r="H279" s="1897">
        <v>0</v>
      </c>
      <c r="I279" s="1897">
        <v>0</v>
      </c>
      <c r="J279" s="1897">
        <v>0</v>
      </c>
      <c r="K279" s="1897">
        <v>0</v>
      </c>
      <c r="L279" s="1897">
        <v>0</v>
      </c>
      <c r="M279" s="1899">
        <f t="shared" si="24"/>
        <v>0</v>
      </c>
      <c r="N279" s="1897">
        <v>0</v>
      </c>
      <c r="O279" s="1900">
        <f t="shared" si="25"/>
        <v>0</v>
      </c>
      <c r="P279" s="3290" t="s">
        <v>1603</v>
      </c>
      <c r="Q279" s="3290"/>
      <c r="R279" s="1877"/>
      <c r="S279" s="1871"/>
      <c r="T279" s="1871"/>
      <c r="U279" s="1871"/>
      <c r="V279" s="1871"/>
      <c r="W279" s="1871"/>
      <c r="X279" s="1871"/>
      <c r="Y279" s="1871"/>
      <c r="Z279" s="1871"/>
      <c r="AA279" s="1871"/>
      <c r="AB279" s="1871"/>
      <c r="AC279" s="1871"/>
      <c r="AD279" s="1871"/>
      <c r="AE279" s="1871"/>
      <c r="AF279" s="1871"/>
      <c r="AG279" s="1871"/>
      <c r="AH279" s="1871"/>
      <c r="AI279" s="1871"/>
      <c r="AJ279" s="1871"/>
      <c r="AK279" s="1871"/>
      <c r="AL279" s="1871"/>
      <c r="AM279" s="1871"/>
      <c r="AN279" s="1871"/>
      <c r="AO279" s="1871"/>
      <c r="AP279" s="1871"/>
      <c r="AQ279" s="1871"/>
      <c r="AR279" s="1871"/>
      <c r="AS279" s="1871"/>
      <c r="AT279" s="1871"/>
      <c r="AU279" s="1871"/>
      <c r="AV279" s="1871"/>
      <c r="AW279" s="1871"/>
      <c r="AX279" s="1871"/>
      <c r="AY279" s="1871"/>
      <c r="AZ279" s="1871"/>
      <c r="BA279" s="1871"/>
      <c r="BB279" s="1871"/>
      <c r="BC279" s="1871"/>
      <c r="BD279" s="1871"/>
      <c r="BE279" s="1871"/>
      <c r="BF279" s="1871"/>
      <c r="BG279" s="1871"/>
      <c r="BH279" s="1871"/>
      <c r="BI279" s="1871"/>
      <c r="BJ279" s="1871"/>
      <c r="BK279" s="1871"/>
      <c r="BL279" s="1871"/>
      <c r="BM279" s="1871"/>
      <c r="BN279" s="1871"/>
      <c r="BO279" s="1871"/>
      <c r="BP279" s="1871"/>
      <c r="BQ279" s="1871"/>
      <c r="BR279" s="1871"/>
      <c r="BS279" s="1871"/>
      <c r="BT279" s="1871"/>
      <c r="BU279" s="1871"/>
      <c r="BV279" s="1871"/>
      <c r="BW279" s="1871"/>
      <c r="BX279" s="1871"/>
      <c r="BY279" s="1871"/>
      <c r="BZ279" s="1871"/>
      <c r="CA279" s="1871"/>
      <c r="CB279" s="1871"/>
      <c r="CC279" s="1871"/>
      <c r="CD279" s="1871"/>
      <c r="CE279" s="1871"/>
      <c r="CF279" s="1871"/>
      <c r="CG279" s="1871"/>
      <c r="CH279" s="1871"/>
      <c r="CI279" s="1871"/>
      <c r="CJ279" s="1871"/>
      <c r="CK279" s="1871"/>
      <c r="CL279" s="1871"/>
      <c r="CM279" s="1871"/>
      <c r="CN279" s="1871"/>
      <c r="CO279" s="1871"/>
      <c r="CP279" s="1871"/>
      <c r="CQ279" s="1871"/>
      <c r="CR279" s="1871"/>
      <c r="CS279" s="1871"/>
      <c r="CT279" s="1871"/>
      <c r="CU279" s="1871"/>
      <c r="CV279" s="1871"/>
      <c r="CW279" s="1871"/>
      <c r="CX279" s="1871"/>
      <c r="CY279" s="1871"/>
      <c r="CZ279" s="1871"/>
      <c r="DA279" s="1871"/>
      <c r="DB279" s="1871"/>
      <c r="DC279" s="1871"/>
      <c r="DD279" s="1871"/>
      <c r="DE279" s="1871"/>
      <c r="DF279" s="1871"/>
      <c r="DG279" s="1871"/>
      <c r="DH279" s="1871"/>
      <c r="DI279" s="1871"/>
      <c r="DJ279" s="1871"/>
      <c r="DK279" s="1871"/>
      <c r="DL279" s="1871"/>
      <c r="DM279" s="1871"/>
      <c r="DN279" s="1871"/>
      <c r="DO279" s="1871"/>
      <c r="DP279" s="1871"/>
      <c r="DQ279" s="1871"/>
      <c r="DR279" s="1871"/>
      <c r="DS279" s="1871"/>
      <c r="DT279" s="1871"/>
      <c r="DU279" s="1871"/>
      <c r="DV279" s="1871"/>
      <c r="DW279" s="1871"/>
      <c r="DX279" s="1871"/>
      <c r="DY279" s="1871"/>
      <c r="DZ279" s="1871"/>
      <c r="EA279" s="1871"/>
      <c r="EB279" s="1871"/>
      <c r="EC279" s="1871"/>
      <c r="ED279" s="1871"/>
      <c r="EE279" s="1871"/>
      <c r="EF279" s="1871"/>
      <c r="EG279" s="1871"/>
      <c r="EH279" s="1871"/>
      <c r="EI279" s="1871"/>
      <c r="EJ279" s="1871"/>
      <c r="EK279" s="1871"/>
      <c r="EL279" s="1871"/>
      <c r="EM279" s="1871"/>
      <c r="EN279" s="1871"/>
      <c r="EO279" s="1871"/>
      <c r="EP279" s="1871"/>
      <c r="EQ279" s="1871"/>
      <c r="ER279" s="1871"/>
      <c r="ES279" s="1871"/>
      <c r="ET279" s="1871"/>
      <c r="EU279" s="1871"/>
      <c r="EV279" s="1871"/>
      <c r="EW279" s="1871"/>
      <c r="EX279" s="1871"/>
      <c r="EY279" s="1871"/>
      <c r="EZ279" s="1871"/>
      <c r="FA279" s="1871"/>
      <c r="FB279" s="1871"/>
      <c r="FC279" s="1871"/>
      <c r="FD279" s="1871"/>
      <c r="FE279" s="1871"/>
      <c r="FF279" s="1871"/>
      <c r="FG279" s="1871"/>
      <c r="FH279" s="1871"/>
      <c r="FI279" s="1871"/>
      <c r="FJ279" s="1871"/>
      <c r="FK279" s="1871"/>
      <c r="FL279" s="1871"/>
      <c r="FM279" s="1871"/>
      <c r="FN279" s="1871"/>
      <c r="FO279" s="1871"/>
      <c r="FP279" s="1871"/>
      <c r="FQ279" s="1871"/>
      <c r="FR279" s="1871"/>
      <c r="FS279" s="1871"/>
      <c r="FT279" s="1871"/>
      <c r="FU279" s="1871"/>
      <c r="FV279" s="1871"/>
      <c r="FW279" s="1871"/>
      <c r="FX279" s="1871"/>
      <c r="FY279" s="1871"/>
      <c r="FZ279" s="1871"/>
      <c r="GA279" s="1871"/>
      <c r="GB279" s="1871"/>
      <c r="GC279" s="1871"/>
      <c r="GD279" s="1871"/>
      <c r="GE279" s="1871"/>
      <c r="GF279" s="1871"/>
      <c r="GG279" s="1871"/>
      <c r="GH279" s="1871"/>
      <c r="GI279" s="1871"/>
      <c r="GJ279" s="1871"/>
      <c r="GK279" s="1871"/>
      <c r="GL279" s="1871"/>
      <c r="GM279" s="1871"/>
      <c r="GN279" s="1871"/>
      <c r="GO279" s="1871"/>
      <c r="GP279" s="1871"/>
      <c r="GQ279" s="1871"/>
      <c r="GR279" s="1871"/>
      <c r="GS279" s="1871"/>
      <c r="GT279" s="1871"/>
      <c r="GU279" s="1871"/>
      <c r="GV279" s="1871"/>
      <c r="GW279" s="1871"/>
      <c r="GX279" s="1871"/>
      <c r="GY279" s="1871"/>
      <c r="GZ279" s="1871"/>
      <c r="HA279" s="1871"/>
      <c r="HB279" s="1871"/>
      <c r="HC279" s="1871"/>
      <c r="HD279" s="1871"/>
      <c r="HE279" s="1871"/>
      <c r="HF279" s="1871"/>
      <c r="HG279" s="1871"/>
      <c r="HH279" s="1871"/>
      <c r="HI279" s="1871"/>
      <c r="HJ279" s="1871"/>
      <c r="HK279" s="1871"/>
      <c r="HL279" s="1871"/>
      <c r="HM279" s="1871"/>
      <c r="HN279" s="1871"/>
      <c r="HO279" s="1871"/>
      <c r="HP279" s="1871"/>
      <c r="HQ279" s="1871"/>
      <c r="HR279" s="1871"/>
      <c r="HS279" s="1871"/>
      <c r="HT279" s="1871"/>
      <c r="HU279" s="1871"/>
      <c r="HV279" s="1871"/>
      <c r="HW279" s="1871"/>
      <c r="HX279" s="1871"/>
      <c r="HY279" s="1871"/>
      <c r="HZ279" s="1871"/>
      <c r="IA279" s="1871"/>
      <c r="IB279" s="1871"/>
      <c r="IC279" s="1871"/>
      <c r="ID279" s="1871"/>
      <c r="IE279" s="1871"/>
      <c r="IF279" s="1871"/>
      <c r="IG279" s="1871"/>
      <c r="IH279" s="1871"/>
      <c r="II279" s="1871"/>
      <c r="IJ279" s="1871"/>
      <c r="IK279" s="1871"/>
      <c r="IL279" s="1871"/>
      <c r="IM279" s="1871"/>
      <c r="IN279" s="1871"/>
    </row>
    <row r="280" spans="1:248">
      <c r="A280" s="1870" t="s">
        <v>1649</v>
      </c>
      <c r="B280" s="1879" t="s">
        <v>1650</v>
      </c>
      <c r="C280" s="1880" t="s">
        <v>1651</v>
      </c>
      <c r="D280" s="1897">
        <v>0</v>
      </c>
      <c r="E280" s="1897">
        <v>0</v>
      </c>
      <c r="F280" s="1897">
        <v>0</v>
      </c>
      <c r="G280" s="1897">
        <v>0</v>
      </c>
      <c r="H280" s="1897">
        <v>0</v>
      </c>
      <c r="I280" s="1897">
        <v>0</v>
      </c>
      <c r="J280" s="1897">
        <v>0</v>
      </c>
      <c r="K280" s="1897">
        <v>0</v>
      </c>
      <c r="L280" s="1897">
        <v>0</v>
      </c>
      <c r="M280" s="1899">
        <f t="shared" si="24"/>
        <v>0</v>
      </c>
      <c r="N280" s="1897">
        <v>0</v>
      </c>
      <c r="O280" s="1900">
        <f t="shared" si="25"/>
        <v>0</v>
      </c>
      <c r="P280" s="3290" t="s">
        <v>425</v>
      </c>
      <c r="Q280" s="3290"/>
      <c r="R280" s="1877"/>
      <c r="S280" s="1871"/>
      <c r="T280" s="1871"/>
      <c r="U280" s="1871"/>
      <c r="V280" s="1871"/>
      <c r="W280" s="1871"/>
      <c r="X280" s="1871"/>
      <c r="Y280" s="1871"/>
      <c r="Z280" s="1871"/>
      <c r="AA280" s="1871"/>
      <c r="AB280" s="1871"/>
      <c r="AC280" s="1871"/>
      <c r="AD280" s="1871"/>
      <c r="AE280" s="1871"/>
      <c r="AF280" s="1871"/>
      <c r="AG280" s="1871"/>
      <c r="AH280" s="1871"/>
      <c r="AI280" s="1871"/>
      <c r="AJ280" s="1871"/>
      <c r="AK280" s="1871"/>
      <c r="AL280" s="1871"/>
      <c r="AM280" s="1871"/>
      <c r="AN280" s="1871"/>
      <c r="AO280" s="1871"/>
      <c r="AP280" s="1871"/>
      <c r="AQ280" s="1871"/>
      <c r="AR280" s="1871"/>
      <c r="AS280" s="1871"/>
      <c r="AT280" s="1871"/>
      <c r="AU280" s="1871"/>
      <c r="AV280" s="1871"/>
      <c r="AW280" s="1871"/>
      <c r="AX280" s="1871"/>
      <c r="AY280" s="1871"/>
      <c r="AZ280" s="1871"/>
      <c r="BA280" s="1871"/>
      <c r="BB280" s="1871"/>
      <c r="BC280" s="1871"/>
      <c r="BD280" s="1871"/>
      <c r="BE280" s="1871"/>
      <c r="BF280" s="1871"/>
      <c r="BG280" s="1871"/>
      <c r="BH280" s="1871"/>
      <c r="BI280" s="1871"/>
      <c r="BJ280" s="1871"/>
      <c r="BK280" s="1871"/>
      <c r="BL280" s="1871"/>
      <c r="BM280" s="1871"/>
      <c r="BN280" s="1871"/>
      <c r="BO280" s="1871"/>
      <c r="BP280" s="1871"/>
      <c r="BQ280" s="1871"/>
      <c r="BR280" s="1871"/>
      <c r="BS280" s="1871"/>
      <c r="BT280" s="1871"/>
      <c r="BU280" s="1871"/>
      <c r="BV280" s="1871"/>
      <c r="BW280" s="1871"/>
      <c r="BX280" s="1871"/>
      <c r="BY280" s="1871"/>
      <c r="BZ280" s="1871"/>
      <c r="CA280" s="1871"/>
      <c r="CB280" s="1871"/>
      <c r="CC280" s="1871"/>
      <c r="CD280" s="1871"/>
      <c r="CE280" s="1871"/>
      <c r="CF280" s="1871"/>
      <c r="CG280" s="1871"/>
      <c r="CH280" s="1871"/>
      <c r="CI280" s="1871"/>
      <c r="CJ280" s="1871"/>
      <c r="CK280" s="1871"/>
      <c r="CL280" s="1871"/>
      <c r="CM280" s="1871"/>
      <c r="CN280" s="1871"/>
      <c r="CO280" s="1871"/>
      <c r="CP280" s="1871"/>
      <c r="CQ280" s="1871"/>
      <c r="CR280" s="1871"/>
      <c r="CS280" s="1871"/>
      <c r="CT280" s="1871"/>
      <c r="CU280" s="1871"/>
      <c r="CV280" s="1871"/>
      <c r="CW280" s="1871"/>
      <c r="CX280" s="1871"/>
      <c r="CY280" s="1871"/>
      <c r="CZ280" s="1871"/>
      <c r="DA280" s="1871"/>
      <c r="DB280" s="1871"/>
      <c r="DC280" s="1871"/>
      <c r="DD280" s="1871"/>
      <c r="DE280" s="1871"/>
      <c r="DF280" s="1871"/>
      <c r="DG280" s="1871"/>
      <c r="DH280" s="1871"/>
      <c r="DI280" s="1871"/>
      <c r="DJ280" s="1871"/>
      <c r="DK280" s="1871"/>
      <c r="DL280" s="1871"/>
      <c r="DM280" s="1871"/>
      <c r="DN280" s="1871"/>
      <c r="DO280" s="1871"/>
      <c r="DP280" s="1871"/>
      <c r="DQ280" s="1871"/>
      <c r="DR280" s="1871"/>
      <c r="DS280" s="1871"/>
      <c r="DT280" s="1871"/>
      <c r="DU280" s="1871"/>
      <c r="DV280" s="1871"/>
      <c r="DW280" s="1871"/>
      <c r="DX280" s="1871"/>
      <c r="DY280" s="1871"/>
      <c r="DZ280" s="1871"/>
      <c r="EA280" s="1871"/>
      <c r="EB280" s="1871"/>
      <c r="EC280" s="1871"/>
      <c r="ED280" s="1871"/>
      <c r="EE280" s="1871"/>
      <c r="EF280" s="1871"/>
      <c r="EG280" s="1871"/>
      <c r="EH280" s="1871"/>
      <c r="EI280" s="1871"/>
      <c r="EJ280" s="1871"/>
      <c r="EK280" s="1871"/>
      <c r="EL280" s="1871"/>
      <c r="EM280" s="1871"/>
      <c r="EN280" s="1871"/>
      <c r="EO280" s="1871"/>
      <c r="EP280" s="1871"/>
      <c r="EQ280" s="1871"/>
      <c r="ER280" s="1871"/>
      <c r="ES280" s="1871"/>
      <c r="ET280" s="1871"/>
      <c r="EU280" s="1871"/>
      <c r="EV280" s="1871"/>
      <c r="EW280" s="1871"/>
      <c r="EX280" s="1871"/>
      <c r="EY280" s="1871"/>
      <c r="EZ280" s="1871"/>
      <c r="FA280" s="1871"/>
      <c r="FB280" s="1871"/>
      <c r="FC280" s="1871"/>
      <c r="FD280" s="1871"/>
      <c r="FE280" s="1871"/>
      <c r="FF280" s="1871"/>
      <c r="FG280" s="1871"/>
      <c r="FH280" s="1871"/>
      <c r="FI280" s="1871"/>
      <c r="FJ280" s="1871"/>
      <c r="FK280" s="1871"/>
      <c r="FL280" s="1871"/>
      <c r="FM280" s="1871"/>
      <c r="FN280" s="1871"/>
      <c r="FO280" s="1871"/>
      <c r="FP280" s="1871"/>
      <c r="FQ280" s="1871"/>
      <c r="FR280" s="1871"/>
      <c r="FS280" s="1871"/>
      <c r="FT280" s="1871"/>
      <c r="FU280" s="1871"/>
      <c r="FV280" s="1871"/>
      <c r="FW280" s="1871"/>
      <c r="FX280" s="1871"/>
      <c r="FY280" s="1871"/>
      <c r="FZ280" s="1871"/>
      <c r="GA280" s="1871"/>
      <c r="GB280" s="1871"/>
      <c r="GC280" s="1871"/>
      <c r="GD280" s="1871"/>
      <c r="GE280" s="1871"/>
      <c r="GF280" s="1871"/>
      <c r="GG280" s="1871"/>
      <c r="GH280" s="1871"/>
      <c r="GI280" s="1871"/>
      <c r="GJ280" s="1871"/>
      <c r="GK280" s="1871"/>
      <c r="GL280" s="1871"/>
      <c r="GM280" s="1871"/>
      <c r="GN280" s="1871"/>
      <c r="GO280" s="1871"/>
      <c r="GP280" s="1871"/>
      <c r="GQ280" s="1871"/>
      <c r="GR280" s="1871"/>
      <c r="GS280" s="1871"/>
      <c r="GT280" s="1871"/>
      <c r="GU280" s="1871"/>
      <c r="GV280" s="1871"/>
      <c r="GW280" s="1871"/>
      <c r="GX280" s="1871"/>
      <c r="GY280" s="1871"/>
      <c r="GZ280" s="1871"/>
      <c r="HA280" s="1871"/>
      <c r="HB280" s="1871"/>
      <c r="HC280" s="1871"/>
      <c r="HD280" s="1871"/>
      <c r="HE280" s="1871"/>
      <c r="HF280" s="1871"/>
      <c r="HG280" s="1871"/>
      <c r="HH280" s="1871"/>
      <c r="HI280" s="1871"/>
      <c r="HJ280" s="1871"/>
      <c r="HK280" s="1871"/>
      <c r="HL280" s="1871"/>
      <c r="HM280" s="1871"/>
      <c r="HN280" s="1871"/>
      <c r="HO280" s="1871"/>
      <c r="HP280" s="1871"/>
      <c r="HQ280" s="1871"/>
      <c r="HR280" s="1871"/>
      <c r="HS280" s="1871"/>
      <c r="HT280" s="1871"/>
      <c r="HU280" s="1871"/>
      <c r="HV280" s="1871"/>
      <c r="HW280" s="1871"/>
      <c r="HX280" s="1871"/>
      <c r="HY280" s="1871"/>
      <c r="HZ280" s="1871"/>
      <c r="IA280" s="1871"/>
      <c r="IB280" s="1871"/>
      <c r="IC280" s="1871"/>
      <c r="ID280" s="1871"/>
      <c r="IE280" s="1871"/>
      <c r="IF280" s="1871"/>
      <c r="IG280" s="1871"/>
      <c r="IH280" s="1871"/>
      <c r="II280" s="1871"/>
      <c r="IJ280" s="1871"/>
      <c r="IK280" s="1871"/>
      <c r="IL280" s="1871"/>
      <c r="IM280" s="1871"/>
      <c r="IN280" s="1871"/>
    </row>
    <row r="281" spans="1:248">
      <c r="A281" s="1870" t="s">
        <v>1652</v>
      </c>
      <c r="B281" s="1879" t="s">
        <v>1653</v>
      </c>
      <c r="C281" s="1880" t="s">
        <v>1654</v>
      </c>
      <c r="D281" s="1897">
        <v>0</v>
      </c>
      <c r="E281" s="1897">
        <v>0</v>
      </c>
      <c r="F281" s="1897">
        <v>0</v>
      </c>
      <c r="G281" s="1897">
        <v>0</v>
      </c>
      <c r="H281" s="1897">
        <v>0</v>
      </c>
      <c r="I281" s="1897">
        <v>0</v>
      </c>
      <c r="J281" s="1897">
        <v>0</v>
      </c>
      <c r="K281" s="1897">
        <v>0</v>
      </c>
      <c r="L281" s="1897">
        <v>0</v>
      </c>
      <c r="M281" s="1899">
        <f t="shared" si="24"/>
        <v>0</v>
      </c>
      <c r="N281" s="1897">
        <v>0</v>
      </c>
      <c r="O281" s="1900">
        <f t="shared" si="25"/>
        <v>0</v>
      </c>
      <c r="P281" s="3290" t="s">
        <v>1603</v>
      </c>
      <c r="Q281" s="3290"/>
      <c r="R281" s="1877"/>
      <c r="S281" s="1871"/>
      <c r="T281" s="1871"/>
      <c r="U281" s="1871"/>
      <c r="V281" s="1871"/>
      <c r="W281" s="1871"/>
      <c r="X281" s="1871"/>
      <c r="Y281" s="1871"/>
      <c r="Z281" s="1871"/>
      <c r="AA281" s="1871"/>
      <c r="AB281" s="1871"/>
      <c r="AC281" s="1871"/>
      <c r="AD281" s="1871"/>
      <c r="AE281" s="1871"/>
      <c r="AF281" s="1871"/>
      <c r="AG281" s="1871"/>
      <c r="AH281" s="1871"/>
      <c r="AI281" s="1871"/>
      <c r="AJ281" s="1871"/>
      <c r="AK281" s="1871"/>
      <c r="AL281" s="1871"/>
      <c r="AM281" s="1871"/>
      <c r="AN281" s="1871"/>
      <c r="AO281" s="1871"/>
      <c r="AP281" s="1871"/>
      <c r="AQ281" s="1871"/>
      <c r="AR281" s="1871"/>
      <c r="AS281" s="1871"/>
      <c r="AT281" s="1871"/>
      <c r="AU281" s="1871"/>
      <c r="AV281" s="1871"/>
      <c r="AW281" s="1871"/>
      <c r="AX281" s="1871"/>
      <c r="AY281" s="1871"/>
      <c r="AZ281" s="1871"/>
      <c r="BA281" s="1871"/>
      <c r="BB281" s="1871"/>
      <c r="BC281" s="1871"/>
      <c r="BD281" s="1871"/>
      <c r="BE281" s="1871"/>
      <c r="BF281" s="1871"/>
      <c r="BG281" s="1871"/>
      <c r="BH281" s="1871"/>
      <c r="BI281" s="1871"/>
      <c r="BJ281" s="1871"/>
      <c r="BK281" s="1871"/>
      <c r="BL281" s="1871"/>
      <c r="BM281" s="1871"/>
      <c r="BN281" s="1871"/>
      <c r="BO281" s="1871"/>
      <c r="BP281" s="1871"/>
      <c r="BQ281" s="1871"/>
      <c r="BR281" s="1871"/>
      <c r="BS281" s="1871"/>
      <c r="BT281" s="1871"/>
      <c r="BU281" s="1871"/>
      <c r="BV281" s="1871"/>
      <c r="BW281" s="1871"/>
      <c r="BX281" s="1871"/>
      <c r="BY281" s="1871"/>
      <c r="BZ281" s="1871"/>
      <c r="CA281" s="1871"/>
      <c r="CB281" s="1871"/>
      <c r="CC281" s="1871"/>
      <c r="CD281" s="1871"/>
      <c r="CE281" s="1871"/>
      <c r="CF281" s="1871"/>
      <c r="CG281" s="1871"/>
      <c r="CH281" s="1871"/>
      <c r="CI281" s="1871"/>
      <c r="CJ281" s="1871"/>
      <c r="CK281" s="1871"/>
      <c r="CL281" s="1871"/>
      <c r="CM281" s="1871"/>
      <c r="CN281" s="1871"/>
      <c r="CO281" s="1871"/>
      <c r="CP281" s="1871"/>
      <c r="CQ281" s="1871"/>
      <c r="CR281" s="1871"/>
      <c r="CS281" s="1871"/>
      <c r="CT281" s="1871"/>
      <c r="CU281" s="1871"/>
      <c r="CV281" s="1871"/>
      <c r="CW281" s="1871"/>
      <c r="CX281" s="1871"/>
      <c r="CY281" s="1871"/>
      <c r="CZ281" s="1871"/>
      <c r="DA281" s="1871"/>
      <c r="DB281" s="1871"/>
      <c r="DC281" s="1871"/>
      <c r="DD281" s="1871"/>
      <c r="DE281" s="1871"/>
      <c r="DF281" s="1871"/>
      <c r="DG281" s="1871"/>
      <c r="DH281" s="1871"/>
      <c r="DI281" s="1871"/>
      <c r="DJ281" s="1871"/>
      <c r="DK281" s="1871"/>
      <c r="DL281" s="1871"/>
      <c r="DM281" s="1871"/>
      <c r="DN281" s="1871"/>
      <c r="DO281" s="1871"/>
      <c r="DP281" s="1871"/>
      <c r="DQ281" s="1871"/>
      <c r="DR281" s="1871"/>
      <c r="DS281" s="1871"/>
      <c r="DT281" s="1871"/>
      <c r="DU281" s="1871"/>
      <c r="DV281" s="1871"/>
      <c r="DW281" s="1871"/>
      <c r="DX281" s="1871"/>
      <c r="DY281" s="1871"/>
      <c r="DZ281" s="1871"/>
      <c r="EA281" s="1871"/>
      <c r="EB281" s="1871"/>
      <c r="EC281" s="1871"/>
      <c r="ED281" s="1871"/>
      <c r="EE281" s="1871"/>
      <c r="EF281" s="1871"/>
      <c r="EG281" s="1871"/>
      <c r="EH281" s="1871"/>
      <c r="EI281" s="1871"/>
      <c r="EJ281" s="1871"/>
      <c r="EK281" s="1871"/>
      <c r="EL281" s="1871"/>
      <c r="EM281" s="1871"/>
      <c r="EN281" s="1871"/>
      <c r="EO281" s="1871"/>
      <c r="EP281" s="1871"/>
      <c r="EQ281" s="1871"/>
      <c r="ER281" s="1871"/>
      <c r="ES281" s="1871"/>
      <c r="ET281" s="1871"/>
      <c r="EU281" s="1871"/>
      <c r="EV281" s="1871"/>
      <c r="EW281" s="1871"/>
      <c r="EX281" s="1871"/>
      <c r="EY281" s="1871"/>
      <c r="EZ281" s="1871"/>
      <c r="FA281" s="1871"/>
      <c r="FB281" s="1871"/>
      <c r="FC281" s="1871"/>
      <c r="FD281" s="1871"/>
      <c r="FE281" s="1871"/>
      <c r="FF281" s="1871"/>
      <c r="FG281" s="1871"/>
      <c r="FH281" s="1871"/>
      <c r="FI281" s="1871"/>
      <c r="FJ281" s="1871"/>
      <c r="FK281" s="1871"/>
      <c r="FL281" s="1871"/>
      <c r="FM281" s="1871"/>
      <c r="FN281" s="1871"/>
      <c r="FO281" s="1871"/>
      <c r="FP281" s="1871"/>
      <c r="FQ281" s="1871"/>
      <c r="FR281" s="1871"/>
      <c r="FS281" s="1871"/>
      <c r="FT281" s="1871"/>
      <c r="FU281" s="1871"/>
      <c r="FV281" s="1871"/>
      <c r="FW281" s="1871"/>
      <c r="FX281" s="1871"/>
      <c r="FY281" s="1871"/>
      <c r="FZ281" s="1871"/>
      <c r="GA281" s="1871"/>
      <c r="GB281" s="1871"/>
      <c r="GC281" s="1871"/>
      <c r="GD281" s="1871"/>
      <c r="GE281" s="1871"/>
      <c r="GF281" s="1871"/>
      <c r="GG281" s="1871"/>
      <c r="GH281" s="1871"/>
      <c r="GI281" s="1871"/>
      <c r="GJ281" s="1871"/>
      <c r="GK281" s="1871"/>
      <c r="GL281" s="1871"/>
      <c r="GM281" s="1871"/>
      <c r="GN281" s="1871"/>
      <c r="GO281" s="1871"/>
      <c r="GP281" s="1871"/>
      <c r="GQ281" s="1871"/>
      <c r="GR281" s="1871"/>
      <c r="GS281" s="1871"/>
      <c r="GT281" s="1871"/>
      <c r="GU281" s="1871"/>
      <c r="GV281" s="1871"/>
      <c r="GW281" s="1871"/>
      <c r="GX281" s="1871"/>
      <c r="GY281" s="1871"/>
      <c r="GZ281" s="1871"/>
      <c r="HA281" s="1871"/>
      <c r="HB281" s="1871"/>
      <c r="HC281" s="1871"/>
      <c r="HD281" s="1871"/>
      <c r="HE281" s="1871"/>
      <c r="HF281" s="1871"/>
      <c r="HG281" s="1871"/>
      <c r="HH281" s="1871"/>
      <c r="HI281" s="1871"/>
      <c r="HJ281" s="1871"/>
      <c r="HK281" s="1871"/>
      <c r="HL281" s="1871"/>
      <c r="HM281" s="1871"/>
      <c r="HN281" s="1871"/>
      <c r="HO281" s="1871"/>
      <c r="HP281" s="1871"/>
      <c r="HQ281" s="1871"/>
      <c r="HR281" s="1871"/>
      <c r="HS281" s="1871"/>
      <c r="HT281" s="1871"/>
      <c r="HU281" s="1871"/>
      <c r="HV281" s="1871"/>
      <c r="HW281" s="1871"/>
      <c r="HX281" s="1871"/>
      <c r="HY281" s="1871"/>
      <c r="HZ281" s="1871"/>
      <c r="IA281" s="1871"/>
      <c r="IB281" s="1871"/>
      <c r="IC281" s="1871"/>
      <c r="ID281" s="1871"/>
      <c r="IE281" s="1871"/>
      <c r="IF281" s="1871"/>
      <c r="IG281" s="1871"/>
      <c r="IH281" s="1871"/>
      <c r="II281" s="1871"/>
      <c r="IJ281" s="1871"/>
      <c r="IK281" s="1871"/>
      <c r="IL281" s="1871"/>
      <c r="IM281" s="1871"/>
      <c r="IN281" s="1871"/>
    </row>
    <row r="282" spans="1:248">
      <c r="A282" s="1870"/>
      <c r="B282" s="1879" t="s">
        <v>1655</v>
      </c>
      <c r="C282" s="1880" t="s">
        <v>1656</v>
      </c>
      <c r="D282" s="1897">
        <v>0</v>
      </c>
      <c r="E282" s="1897">
        <v>0</v>
      </c>
      <c r="F282" s="1897">
        <v>0</v>
      </c>
      <c r="G282" s="1897">
        <v>0</v>
      </c>
      <c r="H282" s="1897">
        <v>0</v>
      </c>
      <c r="I282" s="1897">
        <v>0</v>
      </c>
      <c r="J282" s="1897">
        <v>0</v>
      </c>
      <c r="K282" s="1897">
        <v>0</v>
      </c>
      <c r="L282" s="1897">
        <v>0</v>
      </c>
      <c r="M282" s="1899">
        <f t="shared" si="24"/>
        <v>0</v>
      </c>
      <c r="N282" s="1897">
        <v>0</v>
      </c>
      <c r="O282" s="1900">
        <f t="shared" si="25"/>
        <v>0</v>
      </c>
      <c r="P282" s="3290" t="s">
        <v>425</v>
      </c>
      <c r="Q282" s="3290"/>
      <c r="R282" s="1877"/>
      <c r="S282" s="1871"/>
      <c r="T282" s="1871"/>
      <c r="U282" s="1871"/>
      <c r="V282" s="1871"/>
      <c r="W282" s="1871"/>
      <c r="X282" s="1871"/>
      <c r="Y282" s="1871"/>
      <c r="Z282" s="1871"/>
      <c r="AA282" s="1871"/>
      <c r="AB282" s="1871"/>
      <c r="AC282" s="1871"/>
      <c r="AD282" s="1871"/>
      <c r="AE282" s="1871"/>
      <c r="AF282" s="1871"/>
      <c r="AG282" s="1871"/>
      <c r="AH282" s="1871"/>
      <c r="AI282" s="1871"/>
      <c r="AJ282" s="1871"/>
      <c r="AK282" s="1871"/>
      <c r="AL282" s="1871"/>
      <c r="AM282" s="1871"/>
      <c r="AN282" s="1871"/>
      <c r="AO282" s="1871"/>
      <c r="AP282" s="1871"/>
      <c r="AQ282" s="1871"/>
      <c r="AR282" s="1871"/>
      <c r="AS282" s="1871"/>
      <c r="AT282" s="1871"/>
      <c r="AU282" s="1871"/>
      <c r="AV282" s="1871"/>
      <c r="AW282" s="1871"/>
      <c r="AX282" s="1871"/>
      <c r="AY282" s="1871"/>
      <c r="AZ282" s="1871"/>
      <c r="BA282" s="1871"/>
      <c r="BB282" s="1871"/>
      <c r="BC282" s="1871"/>
      <c r="BD282" s="1871"/>
      <c r="BE282" s="1871"/>
      <c r="BF282" s="1871"/>
      <c r="BG282" s="1871"/>
      <c r="BH282" s="1871"/>
      <c r="BI282" s="1871"/>
      <c r="BJ282" s="1871"/>
      <c r="BK282" s="1871"/>
      <c r="BL282" s="1871"/>
      <c r="BM282" s="1871"/>
      <c r="BN282" s="1871"/>
      <c r="BO282" s="1871"/>
      <c r="BP282" s="1871"/>
      <c r="BQ282" s="1871"/>
      <c r="BR282" s="1871"/>
      <c r="BS282" s="1871"/>
      <c r="BT282" s="1871"/>
      <c r="BU282" s="1871"/>
      <c r="BV282" s="1871"/>
      <c r="BW282" s="1871"/>
      <c r="BX282" s="1871"/>
      <c r="BY282" s="1871"/>
      <c r="BZ282" s="1871"/>
      <c r="CA282" s="1871"/>
      <c r="CB282" s="1871"/>
      <c r="CC282" s="1871"/>
      <c r="CD282" s="1871"/>
      <c r="CE282" s="1871"/>
      <c r="CF282" s="1871"/>
      <c r="CG282" s="1871"/>
      <c r="CH282" s="1871"/>
      <c r="CI282" s="1871"/>
      <c r="CJ282" s="1871"/>
      <c r="CK282" s="1871"/>
      <c r="CL282" s="1871"/>
      <c r="CM282" s="1871"/>
      <c r="CN282" s="1871"/>
      <c r="CO282" s="1871"/>
      <c r="CP282" s="1871"/>
      <c r="CQ282" s="1871"/>
      <c r="CR282" s="1871"/>
      <c r="CS282" s="1871"/>
      <c r="CT282" s="1871"/>
      <c r="CU282" s="1871"/>
      <c r="CV282" s="1871"/>
      <c r="CW282" s="1871"/>
      <c r="CX282" s="1871"/>
      <c r="CY282" s="1871"/>
      <c r="CZ282" s="1871"/>
      <c r="DA282" s="1871"/>
      <c r="DB282" s="1871"/>
      <c r="DC282" s="1871"/>
      <c r="DD282" s="1871"/>
      <c r="DE282" s="1871"/>
      <c r="DF282" s="1871"/>
      <c r="DG282" s="1871"/>
      <c r="DH282" s="1871"/>
      <c r="DI282" s="1871"/>
      <c r="DJ282" s="1871"/>
      <c r="DK282" s="1871"/>
      <c r="DL282" s="1871"/>
      <c r="DM282" s="1871"/>
      <c r="DN282" s="1871"/>
      <c r="DO282" s="1871"/>
      <c r="DP282" s="1871"/>
      <c r="DQ282" s="1871"/>
      <c r="DR282" s="1871"/>
      <c r="DS282" s="1871"/>
      <c r="DT282" s="1871"/>
      <c r="DU282" s="1871"/>
      <c r="DV282" s="1871"/>
      <c r="DW282" s="1871"/>
      <c r="DX282" s="1871"/>
      <c r="DY282" s="1871"/>
      <c r="DZ282" s="1871"/>
      <c r="EA282" s="1871"/>
      <c r="EB282" s="1871"/>
      <c r="EC282" s="1871"/>
      <c r="ED282" s="1871"/>
      <c r="EE282" s="1871"/>
      <c r="EF282" s="1871"/>
      <c r="EG282" s="1871"/>
      <c r="EH282" s="1871"/>
      <c r="EI282" s="1871"/>
      <c r="EJ282" s="1871"/>
      <c r="EK282" s="1871"/>
      <c r="EL282" s="1871"/>
      <c r="EM282" s="1871"/>
      <c r="EN282" s="1871"/>
      <c r="EO282" s="1871"/>
      <c r="EP282" s="1871"/>
      <c r="EQ282" s="1871"/>
      <c r="ER282" s="1871"/>
      <c r="ES282" s="1871"/>
      <c r="ET282" s="1871"/>
      <c r="EU282" s="1871"/>
      <c r="EV282" s="1871"/>
      <c r="EW282" s="1871"/>
      <c r="EX282" s="1871"/>
      <c r="EY282" s="1871"/>
      <c r="EZ282" s="1871"/>
      <c r="FA282" s="1871"/>
      <c r="FB282" s="1871"/>
      <c r="FC282" s="1871"/>
      <c r="FD282" s="1871"/>
      <c r="FE282" s="1871"/>
      <c r="FF282" s="1871"/>
      <c r="FG282" s="1871"/>
      <c r="FH282" s="1871"/>
      <c r="FI282" s="1871"/>
      <c r="FJ282" s="1871"/>
      <c r="FK282" s="1871"/>
      <c r="FL282" s="1871"/>
      <c r="FM282" s="1871"/>
      <c r="FN282" s="1871"/>
      <c r="FO282" s="1871"/>
      <c r="FP282" s="1871"/>
      <c r="FQ282" s="1871"/>
      <c r="FR282" s="1871"/>
      <c r="FS282" s="1871"/>
      <c r="FT282" s="1871"/>
      <c r="FU282" s="1871"/>
      <c r="FV282" s="1871"/>
      <c r="FW282" s="1871"/>
      <c r="FX282" s="1871"/>
      <c r="FY282" s="1871"/>
      <c r="FZ282" s="1871"/>
      <c r="GA282" s="1871"/>
      <c r="GB282" s="1871"/>
      <c r="GC282" s="1871"/>
      <c r="GD282" s="1871"/>
      <c r="GE282" s="1871"/>
      <c r="GF282" s="1871"/>
      <c r="GG282" s="1871"/>
      <c r="GH282" s="1871"/>
      <c r="GI282" s="1871"/>
      <c r="GJ282" s="1871"/>
      <c r="GK282" s="1871"/>
      <c r="GL282" s="1871"/>
      <c r="GM282" s="1871"/>
      <c r="GN282" s="1871"/>
      <c r="GO282" s="1871"/>
      <c r="GP282" s="1871"/>
      <c r="GQ282" s="1871"/>
      <c r="GR282" s="1871"/>
      <c r="GS282" s="1871"/>
      <c r="GT282" s="1871"/>
      <c r="GU282" s="1871"/>
      <c r="GV282" s="1871"/>
      <c r="GW282" s="1871"/>
      <c r="GX282" s="1871"/>
      <c r="GY282" s="1871"/>
      <c r="GZ282" s="1871"/>
      <c r="HA282" s="1871"/>
      <c r="HB282" s="1871"/>
      <c r="HC282" s="1871"/>
      <c r="HD282" s="1871"/>
      <c r="HE282" s="1871"/>
      <c r="HF282" s="1871"/>
      <c r="HG282" s="1871"/>
      <c r="HH282" s="1871"/>
      <c r="HI282" s="1871"/>
      <c r="HJ282" s="1871"/>
      <c r="HK282" s="1871"/>
      <c r="HL282" s="1871"/>
      <c r="HM282" s="1871"/>
      <c r="HN282" s="1871"/>
      <c r="HO282" s="1871"/>
      <c r="HP282" s="1871"/>
      <c r="HQ282" s="1871"/>
      <c r="HR282" s="1871"/>
      <c r="HS282" s="1871"/>
      <c r="HT282" s="1871"/>
      <c r="HU282" s="1871"/>
      <c r="HV282" s="1871"/>
      <c r="HW282" s="1871"/>
      <c r="HX282" s="1871"/>
      <c r="HY282" s="1871"/>
      <c r="HZ282" s="1871"/>
      <c r="IA282" s="1871"/>
      <c r="IB282" s="1871"/>
      <c r="IC282" s="1871"/>
      <c r="ID282" s="1871"/>
      <c r="IE282" s="1871"/>
      <c r="IF282" s="1871"/>
      <c r="IG282" s="1871"/>
      <c r="IH282" s="1871"/>
      <c r="II282" s="1871"/>
      <c r="IJ282" s="1871"/>
      <c r="IK282" s="1871"/>
      <c r="IL282" s="1871"/>
      <c r="IM282" s="1871"/>
      <c r="IN282" s="1871"/>
    </row>
    <row r="283" spans="1:248">
      <c r="A283" s="1870" t="s">
        <v>1657</v>
      </c>
      <c r="B283" s="1879" t="s">
        <v>1658</v>
      </c>
      <c r="C283" s="1880" t="s">
        <v>1659</v>
      </c>
      <c r="D283" s="1897">
        <v>0</v>
      </c>
      <c r="E283" s="1897">
        <v>0</v>
      </c>
      <c r="F283" s="1897">
        <v>0</v>
      </c>
      <c r="G283" s="1897">
        <v>0</v>
      </c>
      <c r="H283" s="1897">
        <v>0</v>
      </c>
      <c r="I283" s="1897">
        <v>0</v>
      </c>
      <c r="J283" s="1897">
        <v>0</v>
      </c>
      <c r="K283" s="1897">
        <v>0</v>
      </c>
      <c r="L283" s="1897">
        <v>0</v>
      </c>
      <c r="M283" s="1899">
        <f t="shared" si="24"/>
        <v>0</v>
      </c>
      <c r="N283" s="1897">
        <v>0</v>
      </c>
      <c r="O283" s="1900">
        <f t="shared" si="25"/>
        <v>0</v>
      </c>
      <c r="P283" s="3290" t="s">
        <v>425</v>
      </c>
      <c r="Q283" s="3290"/>
      <c r="R283" s="1877"/>
      <c r="S283" s="1871"/>
      <c r="T283" s="1871"/>
      <c r="U283" s="1871"/>
      <c r="V283" s="1871"/>
      <c r="W283" s="1871"/>
      <c r="X283" s="1871"/>
      <c r="Y283" s="1871"/>
      <c r="Z283" s="1871"/>
      <c r="AA283" s="1871"/>
      <c r="AB283" s="1871"/>
      <c r="AC283" s="1871"/>
      <c r="AD283" s="1871"/>
      <c r="AE283" s="1871"/>
      <c r="AF283" s="1871"/>
      <c r="AG283" s="1871"/>
      <c r="AH283" s="1871"/>
      <c r="AI283" s="1871"/>
      <c r="AJ283" s="1871"/>
      <c r="AK283" s="1871"/>
      <c r="AL283" s="1871"/>
      <c r="AM283" s="1871"/>
      <c r="AN283" s="1871"/>
      <c r="AO283" s="1871"/>
      <c r="AP283" s="1871"/>
      <c r="AQ283" s="1871"/>
      <c r="AR283" s="1871"/>
      <c r="AS283" s="1871"/>
      <c r="AT283" s="1871"/>
      <c r="AU283" s="1871"/>
      <c r="AV283" s="1871"/>
      <c r="AW283" s="1871"/>
      <c r="AX283" s="1871"/>
      <c r="AY283" s="1871"/>
      <c r="AZ283" s="1871"/>
      <c r="BA283" s="1871"/>
      <c r="BB283" s="1871"/>
      <c r="BC283" s="1871"/>
      <c r="BD283" s="1871"/>
      <c r="BE283" s="1871"/>
      <c r="BF283" s="1871"/>
      <c r="BG283" s="1871"/>
      <c r="BH283" s="1871"/>
      <c r="BI283" s="1871"/>
      <c r="BJ283" s="1871"/>
      <c r="BK283" s="1871"/>
      <c r="BL283" s="1871"/>
      <c r="BM283" s="1871"/>
      <c r="BN283" s="1871"/>
      <c r="BO283" s="1871"/>
      <c r="BP283" s="1871"/>
      <c r="BQ283" s="1871"/>
      <c r="BR283" s="1871"/>
      <c r="BS283" s="1871"/>
      <c r="BT283" s="1871"/>
      <c r="BU283" s="1871"/>
      <c r="BV283" s="1871"/>
      <c r="BW283" s="1871"/>
      <c r="BX283" s="1871"/>
      <c r="BY283" s="1871"/>
      <c r="BZ283" s="1871"/>
      <c r="CA283" s="1871"/>
      <c r="CB283" s="1871"/>
      <c r="CC283" s="1871"/>
      <c r="CD283" s="1871"/>
      <c r="CE283" s="1871"/>
      <c r="CF283" s="1871"/>
      <c r="CG283" s="1871"/>
      <c r="CH283" s="1871"/>
      <c r="CI283" s="1871"/>
      <c r="CJ283" s="1871"/>
      <c r="CK283" s="1871"/>
      <c r="CL283" s="1871"/>
      <c r="CM283" s="1871"/>
      <c r="CN283" s="1871"/>
      <c r="CO283" s="1871"/>
      <c r="CP283" s="1871"/>
      <c r="CQ283" s="1871"/>
      <c r="CR283" s="1871"/>
      <c r="CS283" s="1871"/>
      <c r="CT283" s="1871"/>
      <c r="CU283" s="1871"/>
      <c r="CV283" s="1871"/>
      <c r="CW283" s="1871"/>
      <c r="CX283" s="1871"/>
      <c r="CY283" s="1871"/>
      <c r="CZ283" s="1871"/>
      <c r="DA283" s="1871"/>
      <c r="DB283" s="1871"/>
      <c r="DC283" s="1871"/>
      <c r="DD283" s="1871"/>
      <c r="DE283" s="1871"/>
      <c r="DF283" s="1871"/>
      <c r="DG283" s="1871"/>
      <c r="DH283" s="1871"/>
      <c r="DI283" s="1871"/>
      <c r="DJ283" s="1871"/>
      <c r="DK283" s="1871"/>
      <c r="DL283" s="1871"/>
      <c r="DM283" s="1871"/>
      <c r="DN283" s="1871"/>
      <c r="DO283" s="1871"/>
      <c r="DP283" s="1871"/>
      <c r="DQ283" s="1871"/>
      <c r="DR283" s="1871"/>
      <c r="DS283" s="1871"/>
      <c r="DT283" s="1871"/>
      <c r="DU283" s="1871"/>
      <c r="DV283" s="1871"/>
      <c r="DW283" s="1871"/>
      <c r="DX283" s="1871"/>
      <c r="DY283" s="1871"/>
      <c r="DZ283" s="1871"/>
      <c r="EA283" s="1871"/>
      <c r="EB283" s="1871"/>
      <c r="EC283" s="1871"/>
      <c r="ED283" s="1871"/>
      <c r="EE283" s="1871"/>
      <c r="EF283" s="1871"/>
      <c r="EG283" s="1871"/>
      <c r="EH283" s="1871"/>
      <c r="EI283" s="1871"/>
      <c r="EJ283" s="1871"/>
      <c r="EK283" s="1871"/>
      <c r="EL283" s="1871"/>
      <c r="EM283" s="1871"/>
      <c r="EN283" s="1871"/>
      <c r="EO283" s="1871"/>
      <c r="EP283" s="1871"/>
      <c r="EQ283" s="1871"/>
      <c r="ER283" s="1871"/>
      <c r="ES283" s="1871"/>
      <c r="ET283" s="1871"/>
      <c r="EU283" s="1871"/>
      <c r="EV283" s="1871"/>
      <c r="EW283" s="1871"/>
      <c r="EX283" s="1871"/>
      <c r="EY283" s="1871"/>
      <c r="EZ283" s="1871"/>
      <c r="FA283" s="1871"/>
      <c r="FB283" s="1871"/>
      <c r="FC283" s="1871"/>
      <c r="FD283" s="1871"/>
      <c r="FE283" s="1871"/>
      <c r="FF283" s="1871"/>
      <c r="FG283" s="1871"/>
      <c r="FH283" s="1871"/>
      <c r="FI283" s="1871"/>
      <c r="FJ283" s="1871"/>
      <c r="FK283" s="1871"/>
      <c r="FL283" s="1871"/>
      <c r="FM283" s="1871"/>
      <c r="FN283" s="1871"/>
      <c r="FO283" s="1871"/>
      <c r="FP283" s="1871"/>
      <c r="FQ283" s="1871"/>
      <c r="FR283" s="1871"/>
      <c r="FS283" s="1871"/>
      <c r="FT283" s="1871"/>
      <c r="FU283" s="1871"/>
      <c r="FV283" s="1871"/>
      <c r="FW283" s="1871"/>
      <c r="FX283" s="1871"/>
      <c r="FY283" s="1871"/>
      <c r="FZ283" s="1871"/>
      <c r="GA283" s="1871"/>
      <c r="GB283" s="1871"/>
      <c r="GC283" s="1871"/>
      <c r="GD283" s="1871"/>
      <c r="GE283" s="1871"/>
      <c r="GF283" s="1871"/>
      <c r="GG283" s="1871"/>
      <c r="GH283" s="1871"/>
      <c r="GI283" s="1871"/>
      <c r="GJ283" s="1871"/>
      <c r="GK283" s="1871"/>
      <c r="GL283" s="1871"/>
      <c r="GM283" s="1871"/>
      <c r="GN283" s="1871"/>
      <c r="GO283" s="1871"/>
      <c r="GP283" s="1871"/>
      <c r="GQ283" s="1871"/>
      <c r="GR283" s="1871"/>
      <c r="GS283" s="1871"/>
      <c r="GT283" s="1871"/>
      <c r="GU283" s="1871"/>
      <c r="GV283" s="1871"/>
      <c r="GW283" s="1871"/>
      <c r="GX283" s="1871"/>
      <c r="GY283" s="1871"/>
      <c r="GZ283" s="1871"/>
      <c r="HA283" s="1871"/>
      <c r="HB283" s="1871"/>
      <c r="HC283" s="1871"/>
      <c r="HD283" s="1871"/>
      <c r="HE283" s="1871"/>
      <c r="HF283" s="1871"/>
      <c r="HG283" s="1871"/>
      <c r="HH283" s="1871"/>
      <c r="HI283" s="1871"/>
      <c r="HJ283" s="1871"/>
      <c r="HK283" s="1871"/>
      <c r="HL283" s="1871"/>
      <c r="HM283" s="1871"/>
      <c r="HN283" s="1871"/>
      <c r="HO283" s="1871"/>
      <c r="HP283" s="1871"/>
      <c r="HQ283" s="1871"/>
      <c r="HR283" s="1871"/>
      <c r="HS283" s="1871"/>
      <c r="HT283" s="1871"/>
      <c r="HU283" s="1871"/>
      <c r="HV283" s="1871"/>
      <c r="HW283" s="1871"/>
      <c r="HX283" s="1871"/>
      <c r="HY283" s="1871"/>
      <c r="HZ283" s="1871"/>
      <c r="IA283" s="1871"/>
      <c r="IB283" s="1871"/>
      <c r="IC283" s="1871"/>
      <c r="ID283" s="1871"/>
      <c r="IE283" s="1871"/>
      <c r="IF283" s="1871"/>
      <c r="IG283" s="1871"/>
      <c r="IH283" s="1871"/>
      <c r="II283" s="1871"/>
      <c r="IJ283" s="1871"/>
      <c r="IK283" s="1871"/>
      <c r="IL283" s="1871"/>
      <c r="IM283" s="1871"/>
      <c r="IN283" s="1871"/>
    </row>
    <row r="284" spans="1:248">
      <c r="A284" s="1870" t="s">
        <v>1660</v>
      </c>
      <c r="B284" s="1879" t="s">
        <v>1661</v>
      </c>
      <c r="C284" s="1881" t="s">
        <v>1662</v>
      </c>
      <c r="D284" s="1897">
        <v>0</v>
      </c>
      <c r="E284" s="1897">
        <v>0</v>
      </c>
      <c r="F284" s="1897">
        <v>0</v>
      </c>
      <c r="G284" s="1897">
        <v>0</v>
      </c>
      <c r="H284" s="1897">
        <v>0</v>
      </c>
      <c r="I284" s="1897">
        <v>0</v>
      </c>
      <c r="J284" s="1897">
        <v>0</v>
      </c>
      <c r="K284" s="1897">
        <v>0</v>
      </c>
      <c r="L284" s="1897">
        <v>0</v>
      </c>
      <c r="M284" s="1899">
        <f t="shared" si="24"/>
        <v>0</v>
      </c>
      <c r="N284" s="1897">
        <v>0</v>
      </c>
      <c r="O284" s="1900">
        <f t="shared" si="25"/>
        <v>0</v>
      </c>
      <c r="P284" s="3290" t="s">
        <v>1663</v>
      </c>
      <c r="Q284" s="3290"/>
      <c r="R284" s="1877"/>
      <c r="S284" s="1871"/>
      <c r="T284" s="1871"/>
      <c r="U284" s="1871"/>
      <c r="V284" s="1871"/>
      <c r="W284" s="1871"/>
      <c r="X284" s="1871"/>
      <c r="Y284" s="1871"/>
      <c r="Z284" s="1871"/>
      <c r="AA284" s="1871"/>
      <c r="AB284" s="1871"/>
      <c r="AC284" s="1871"/>
      <c r="AD284" s="1871"/>
      <c r="AE284" s="1871"/>
      <c r="AF284" s="1871"/>
      <c r="AG284" s="1871"/>
      <c r="AH284" s="1871"/>
      <c r="AI284" s="1871"/>
      <c r="AJ284" s="1871"/>
      <c r="AK284" s="1871"/>
      <c r="AL284" s="1871"/>
      <c r="AM284" s="1871"/>
      <c r="AN284" s="1871"/>
      <c r="AO284" s="1871"/>
      <c r="AP284" s="1871"/>
      <c r="AQ284" s="1871"/>
      <c r="AR284" s="1871"/>
      <c r="AS284" s="1871"/>
      <c r="AT284" s="1871"/>
      <c r="AU284" s="1871"/>
      <c r="AV284" s="1871"/>
      <c r="AW284" s="1871"/>
      <c r="AX284" s="1871"/>
      <c r="AY284" s="1871"/>
      <c r="AZ284" s="1871"/>
      <c r="BA284" s="1871"/>
      <c r="BB284" s="1871"/>
      <c r="BC284" s="1871"/>
      <c r="BD284" s="1871"/>
      <c r="BE284" s="1871"/>
      <c r="BF284" s="1871"/>
      <c r="BG284" s="1871"/>
      <c r="BH284" s="1871"/>
      <c r="BI284" s="1871"/>
      <c r="BJ284" s="1871"/>
      <c r="BK284" s="1871"/>
      <c r="BL284" s="1871"/>
      <c r="BM284" s="1871"/>
      <c r="BN284" s="1871"/>
      <c r="BO284" s="1871"/>
      <c r="BP284" s="1871"/>
      <c r="BQ284" s="1871"/>
      <c r="BR284" s="1871"/>
      <c r="BS284" s="1871"/>
      <c r="BT284" s="1871"/>
      <c r="BU284" s="1871"/>
      <c r="BV284" s="1871"/>
      <c r="BW284" s="1871"/>
      <c r="BX284" s="1871"/>
      <c r="BY284" s="1871"/>
      <c r="BZ284" s="1871"/>
      <c r="CA284" s="1871"/>
      <c r="CB284" s="1871"/>
      <c r="CC284" s="1871"/>
      <c r="CD284" s="1871"/>
      <c r="CE284" s="1871"/>
      <c r="CF284" s="1871"/>
      <c r="CG284" s="1871"/>
      <c r="CH284" s="1871"/>
      <c r="CI284" s="1871"/>
      <c r="CJ284" s="1871"/>
      <c r="CK284" s="1871"/>
      <c r="CL284" s="1871"/>
      <c r="CM284" s="1871"/>
      <c r="CN284" s="1871"/>
      <c r="CO284" s="1871"/>
      <c r="CP284" s="1871"/>
      <c r="CQ284" s="1871"/>
      <c r="CR284" s="1871"/>
      <c r="CS284" s="1871"/>
      <c r="CT284" s="1871"/>
      <c r="CU284" s="1871"/>
      <c r="CV284" s="1871"/>
      <c r="CW284" s="1871"/>
      <c r="CX284" s="1871"/>
      <c r="CY284" s="1871"/>
      <c r="CZ284" s="1871"/>
      <c r="DA284" s="1871"/>
      <c r="DB284" s="1871"/>
      <c r="DC284" s="1871"/>
      <c r="DD284" s="1871"/>
      <c r="DE284" s="1871"/>
      <c r="DF284" s="1871"/>
      <c r="DG284" s="1871"/>
      <c r="DH284" s="1871"/>
      <c r="DI284" s="1871"/>
      <c r="DJ284" s="1871"/>
      <c r="DK284" s="1871"/>
      <c r="DL284" s="1871"/>
      <c r="DM284" s="1871"/>
      <c r="DN284" s="1871"/>
      <c r="DO284" s="1871"/>
      <c r="DP284" s="1871"/>
      <c r="DQ284" s="1871"/>
      <c r="DR284" s="1871"/>
      <c r="DS284" s="1871"/>
      <c r="DT284" s="1871"/>
      <c r="DU284" s="1871"/>
      <c r="DV284" s="1871"/>
      <c r="DW284" s="1871"/>
      <c r="DX284" s="1871"/>
      <c r="DY284" s="1871"/>
      <c r="DZ284" s="1871"/>
      <c r="EA284" s="1871"/>
      <c r="EB284" s="1871"/>
      <c r="EC284" s="1871"/>
      <c r="ED284" s="1871"/>
      <c r="EE284" s="1871"/>
      <c r="EF284" s="1871"/>
      <c r="EG284" s="1871"/>
      <c r="EH284" s="1871"/>
      <c r="EI284" s="1871"/>
      <c r="EJ284" s="1871"/>
      <c r="EK284" s="1871"/>
      <c r="EL284" s="1871"/>
      <c r="EM284" s="1871"/>
      <c r="EN284" s="1871"/>
      <c r="EO284" s="1871"/>
      <c r="EP284" s="1871"/>
      <c r="EQ284" s="1871"/>
      <c r="ER284" s="1871"/>
      <c r="ES284" s="1871"/>
      <c r="ET284" s="1871"/>
      <c r="EU284" s="1871"/>
      <c r="EV284" s="1871"/>
      <c r="EW284" s="1871"/>
      <c r="EX284" s="1871"/>
      <c r="EY284" s="1871"/>
      <c r="EZ284" s="1871"/>
      <c r="FA284" s="1871"/>
      <c r="FB284" s="1871"/>
      <c r="FC284" s="1871"/>
      <c r="FD284" s="1871"/>
      <c r="FE284" s="1871"/>
      <c r="FF284" s="1871"/>
      <c r="FG284" s="1871"/>
      <c r="FH284" s="1871"/>
      <c r="FI284" s="1871"/>
      <c r="FJ284" s="1871"/>
      <c r="FK284" s="1871"/>
      <c r="FL284" s="1871"/>
      <c r="FM284" s="1871"/>
      <c r="FN284" s="1871"/>
      <c r="FO284" s="1871"/>
      <c r="FP284" s="1871"/>
      <c r="FQ284" s="1871"/>
      <c r="FR284" s="1871"/>
      <c r="FS284" s="1871"/>
      <c r="FT284" s="1871"/>
      <c r="FU284" s="1871"/>
      <c r="FV284" s="1871"/>
      <c r="FW284" s="1871"/>
      <c r="FX284" s="1871"/>
      <c r="FY284" s="1871"/>
      <c r="FZ284" s="1871"/>
      <c r="GA284" s="1871"/>
      <c r="GB284" s="1871"/>
      <c r="GC284" s="1871"/>
      <c r="GD284" s="1871"/>
      <c r="GE284" s="1871"/>
      <c r="GF284" s="1871"/>
      <c r="GG284" s="1871"/>
      <c r="GH284" s="1871"/>
      <c r="GI284" s="1871"/>
      <c r="GJ284" s="1871"/>
      <c r="GK284" s="1871"/>
      <c r="GL284" s="1871"/>
      <c r="GM284" s="1871"/>
      <c r="GN284" s="1871"/>
      <c r="GO284" s="1871"/>
      <c r="GP284" s="1871"/>
      <c r="GQ284" s="1871"/>
      <c r="GR284" s="1871"/>
      <c r="GS284" s="1871"/>
      <c r="GT284" s="1871"/>
      <c r="GU284" s="1871"/>
      <c r="GV284" s="1871"/>
      <c r="GW284" s="1871"/>
      <c r="GX284" s="1871"/>
      <c r="GY284" s="1871"/>
      <c r="GZ284" s="1871"/>
      <c r="HA284" s="1871"/>
      <c r="HB284" s="1871"/>
      <c r="HC284" s="1871"/>
      <c r="HD284" s="1871"/>
      <c r="HE284" s="1871"/>
      <c r="HF284" s="1871"/>
      <c r="HG284" s="1871"/>
      <c r="HH284" s="1871"/>
      <c r="HI284" s="1871"/>
      <c r="HJ284" s="1871"/>
      <c r="HK284" s="1871"/>
      <c r="HL284" s="1871"/>
      <c r="HM284" s="1871"/>
      <c r="HN284" s="1871"/>
      <c r="HO284" s="1871"/>
      <c r="HP284" s="1871"/>
      <c r="HQ284" s="1871"/>
      <c r="HR284" s="1871"/>
      <c r="HS284" s="1871"/>
      <c r="HT284" s="1871"/>
      <c r="HU284" s="1871"/>
      <c r="HV284" s="1871"/>
      <c r="HW284" s="1871"/>
      <c r="HX284" s="1871"/>
      <c r="HY284" s="1871"/>
      <c r="HZ284" s="1871"/>
      <c r="IA284" s="1871"/>
      <c r="IB284" s="1871"/>
      <c r="IC284" s="1871"/>
      <c r="ID284" s="1871"/>
      <c r="IE284" s="1871"/>
      <c r="IF284" s="1871"/>
      <c r="IG284" s="1871"/>
      <c r="IH284" s="1871"/>
      <c r="II284" s="1871"/>
      <c r="IJ284" s="1871"/>
      <c r="IK284" s="1871"/>
      <c r="IL284" s="1871"/>
      <c r="IM284" s="1871"/>
      <c r="IN284" s="1871"/>
    </row>
    <row r="285" spans="1:248">
      <c r="A285" s="1870" t="s">
        <v>1664</v>
      </c>
      <c r="B285" s="1879" t="s">
        <v>1665</v>
      </c>
      <c r="C285" s="1881" t="s">
        <v>1666</v>
      </c>
      <c r="D285" s="1897">
        <v>0</v>
      </c>
      <c r="E285" s="1897">
        <v>0</v>
      </c>
      <c r="F285" s="1897">
        <v>0</v>
      </c>
      <c r="G285" s="1897">
        <v>0</v>
      </c>
      <c r="H285" s="1897">
        <v>0</v>
      </c>
      <c r="I285" s="1897">
        <v>0</v>
      </c>
      <c r="J285" s="1897">
        <v>0</v>
      </c>
      <c r="K285" s="1897">
        <v>0</v>
      </c>
      <c r="L285" s="1897">
        <v>0</v>
      </c>
      <c r="M285" s="1899">
        <f t="shared" si="24"/>
        <v>0</v>
      </c>
      <c r="N285" s="1897">
        <v>0</v>
      </c>
      <c r="O285" s="1900">
        <f t="shared" si="25"/>
        <v>0</v>
      </c>
      <c r="P285" s="3290" t="s">
        <v>1667</v>
      </c>
      <c r="Q285" s="3290"/>
      <c r="R285" s="1877"/>
      <c r="S285" s="1871"/>
      <c r="T285" s="1871"/>
      <c r="U285" s="1871"/>
      <c r="V285" s="1871"/>
      <c r="W285" s="1871"/>
      <c r="X285" s="1871"/>
      <c r="Y285" s="1871"/>
      <c r="Z285" s="1871"/>
      <c r="AA285" s="1871"/>
      <c r="AB285" s="1871"/>
      <c r="AC285" s="1871"/>
      <c r="AD285" s="1871"/>
      <c r="AE285" s="1871"/>
      <c r="AF285" s="1871"/>
      <c r="AG285" s="1871"/>
      <c r="AH285" s="1871"/>
      <c r="AI285" s="1871"/>
      <c r="AJ285" s="1871"/>
      <c r="AK285" s="1871"/>
      <c r="AL285" s="1871"/>
      <c r="AM285" s="1871"/>
      <c r="AN285" s="1871"/>
      <c r="AO285" s="1871"/>
      <c r="AP285" s="1871"/>
      <c r="AQ285" s="1871"/>
      <c r="AR285" s="1871"/>
      <c r="AS285" s="1871"/>
      <c r="AT285" s="1871"/>
      <c r="AU285" s="1871"/>
      <c r="AV285" s="1871"/>
      <c r="AW285" s="1871"/>
      <c r="AX285" s="1871"/>
      <c r="AY285" s="1871"/>
      <c r="AZ285" s="1871"/>
      <c r="BA285" s="1871"/>
      <c r="BB285" s="1871"/>
      <c r="BC285" s="1871"/>
      <c r="BD285" s="1871"/>
      <c r="BE285" s="1871"/>
      <c r="BF285" s="1871"/>
      <c r="BG285" s="1871"/>
      <c r="BH285" s="1871"/>
      <c r="BI285" s="1871"/>
      <c r="BJ285" s="1871"/>
      <c r="BK285" s="1871"/>
      <c r="BL285" s="1871"/>
      <c r="BM285" s="1871"/>
      <c r="BN285" s="1871"/>
      <c r="BO285" s="1871"/>
      <c r="BP285" s="1871"/>
      <c r="BQ285" s="1871"/>
      <c r="BR285" s="1871"/>
      <c r="BS285" s="1871"/>
      <c r="BT285" s="1871"/>
      <c r="BU285" s="1871"/>
      <c r="BV285" s="1871"/>
      <c r="BW285" s="1871"/>
      <c r="BX285" s="1871"/>
      <c r="BY285" s="1871"/>
      <c r="BZ285" s="1871"/>
      <c r="CA285" s="1871"/>
      <c r="CB285" s="1871"/>
      <c r="CC285" s="1871"/>
      <c r="CD285" s="1871"/>
      <c r="CE285" s="1871"/>
      <c r="CF285" s="1871"/>
      <c r="CG285" s="1871"/>
      <c r="CH285" s="1871"/>
      <c r="CI285" s="1871"/>
      <c r="CJ285" s="1871"/>
      <c r="CK285" s="1871"/>
      <c r="CL285" s="1871"/>
      <c r="CM285" s="1871"/>
      <c r="CN285" s="1871"/>
      <c r="CO285" s="1871"/>
      <c r="CP285" s="1871"/>
      <c r="CQ285" s="1871"/>
      <c r="CR285" s="1871"/>
      <c r="CS285" s="1871"/>
      <c r="CT285" s="1871"/>
      <c r="CU285" s="1871"/>
      <c r="CV285" s="1871"/>
      <c r="CW285" s="1871"/>
      <c r="CX285" s="1871"/>
      <c r="CY285" s="1871"/>
      <c r="CZ285" s="1871"/>
      <c r="DA285" s="1871"/>
      <c r="DB285" s="1871"/>
      <c r="DC285" s="1871"/>
      <c r="DD285" s="1871"/>
      <c r="DE285" s="1871"/>
      <c r="DF285" s="1871"/>
      <c r="DG285" s="1871"/>
      <c r="DH285" s="1871"/>
      <c r="DI285" s="1871"/>
      <c r="DJ285" s="1871"/>
      <c r="DK285" s="1871"/>
      <c r="DL285" s="1871"/>
      <c r="DM285" s="1871"/>
      <c r="DN285" s="1871"/>
      <c r="DO285" s="1871"/>
      <c r="DP285" s="1871"/>
      <c r="DQ285" s="1871"/>
      <c r="DR285" s="1871"/>
      <c r="DS285" s="1871"/>
      <c r="DT285" s="1871"/>
      <c r="DU285" s="1871"/>
      <c r="DV285" s="1871"/>
      <c r="DW285" s="1871"/>
      <c r="DX285" s="1871"/>
      <c r="DY285" s="1871"/>
      <c r="DZ285" s="1871"/>
      <c r="EA285" s="1871"/>
      <c r="EB285" s="1871"/>
      <c r="EC285" s="1871"/>
      <c r="ED285" s="1871"/>
      <c r="EE285" s="1871"/>
      <c r="EF285" s="1871"/>
      <c r="EG285" s="1871"/>
      <c r="EH285" s="1871"/>
      <c r="EI285" s="1871"/>
      <c r="EJ285" s="1871"/>
      <c r="EK285" s="1871"/>
      <c r="EL285" s="1871"/>
      <c r="EM285" s="1871"/>
      <c r="EN285" s="1871"/>
      <c r="EO285" s="1871"/>
      <c r="EP285" s="1871"/>
      <c r="EQ285" s="1871"/>
      <c r="ER285" s="1871"/>
      <c r="ES285" s="1871"/>
      <c r="ET285" s="1871"/>
      <c r="EU285" s="1871"/>
      <c r="EV285" s="1871"/>
      <c r="EW285" s="1871"/>
      <c r="EX285" s="1871"/>
      <c r="EY285" s="1871"/>
      <c r="EZ285" s="1871"/>
      <c r="FA285" s="1871"/>
      <c r="FB285" s="1871"/>
      <c r="FC285" s="1871"/>
      <c r="FD285" s="1871"/>
      <c r="FE285" s="1871"/>
      <c r="FF285" s="1871"/>
      <c r="FG285" s="1871"/>
      <c r="FH285" s="1871"/>
      <c r="FI285" s="1871"/>
      <c r="FJ285" s="1871"/>
      <c r="FK285" s="1871"/>
      <c r="FL285" s="1871"/>
      <c r="FM285" s="1871"/>
      <c r="FN285" s="1871"/>
      <c r="FO285" s="1871"/>
      <c r="FP285" s="1871"/>
      <c r="FQ285" s="1871"/>
      <c r="FR285" s="1871"/>
      <c r="FS285" s="1871"/>
      <c r="FT285" s="1871"/>
      <c r="FU285" s="1871"/>
      <c r="FV285" s="1871"/>
      <c r="FW285" s="1871"/>
      <c r="FX285" s="1871"/>
      <c r="FY285" s="1871"/>
      <c r="FZ285" s="1871"/>
      <c r="GA285" s="1871"/>
      <c r="GB285" s="1871"/>
      <c r="GC285" s="1871"/>
      <c r="GD285" s="1871"/>
      <c r="GE285" s="1871"/>
      <c r="GF285" s="1871"/>
      <c r="GG285" s="1871"/>
      <c r="GH285" s="1871"/>
      <c r="GI285" s="1871"/>
      <c r="GJ285" s="1871"/>
      <c r="GK285" s="1871"/>
      <c r="GL285" s="1871"/>
      <c r="GM285" s="1871"/>
      <c r="GN285" s="1871"/>
      <c r="GO285" s="1871"/>
      <c r="GP285" s="1871"/>
      <c r="GQ285" s="1871"/>
      <c r="GR285" s="1871"/>
      <c r="GS285" s="1871"/>
      <c r="GT285" s="1871"/>
      <c r="GU285" s="1871"/>
      <c r="GV285" s="1871"/>
      <c r="GW285" s="1871"/>
      <c r="GX285" s="1871"/>
      <c r="GY285" s="1871"/>
      <c r="GZ285" s="1871"/>
      <c r="HA285" s="1871"/>
      <c r="HB285" s="1871"/>
      <c r="HC285" s="1871"/>
      <c r="HD285" s="1871"/>
      <c r="HE285" s="1871"/>
      <c r="HF285" s="1871"/>
      <c r="HG285" s="1871"/>
      <c r="HH285" s="1871"/>
      <c r="HI285" s="1871"/>
      <c r="HJ285" s="1871"/>
      <c r="HK285" s="1871"/>
      <c r="HL285" s="1871"/>
      <c r="HM285" s="1871"/>
      <c r="HN285" s="1871"/>
      <c r="HO285" s="1871"/>
      <c r="HP285" s="1871"/>
      <c r="HQ285" s="1871"/>
      <c r="HR285" s="1871"/>
      <c r="HS285" s="1871"/>
      <c r="HT285" s="1871"/>
      <c r="HU285" s="1871"/>
      <c r="HV285" s="1871"/>
      <c r="HW285" s="1871"/>
      <c r="HX285" s="1871"/>
      <c r="HY285" s="1871"/>
      <c r="HZ285" s="1871"/>
      <c r="IA285" s="1871"/>
      <c r="IB285" s="1871"/>
      <c r="IC285" s="1871"/>
      <c r="ID285" s="1871"/>
      <c r="IE285" s="1871"/>
      <c r="IF285" s="1871"/>
      <c r="IG285" s="1871"/>
      <c r="IH285" s="1871"/>
      <c r="II285" s="1871"/>
      <c r="IJ285" s="1871"/>
      <c r="IK285" s="1871"/>
      <c r="IL285" s="1871"/>
      <c r="IM285" s="1871"/>
      <c r="IN285" s="1871"/>
    </row>
    <row r="286" spans="1:248">
      <c r="A286" s="1870" t="s">
        <v>1668</v>
      </c>
      <c r="B286" s="1879" t="s">
        <v>1669</v>
      </c>
      <c r="C286" s="1881" t="s">
        <v>1670</v>
      </c>
      <c r="D286" s="1897">
        <v>0</v>
      </c>
      <c r="E286" s="1897">
        <v>0</v>
      </c>
      <c r="F286" s="1897">
        <v>0</v>
      </c>
      <c r="G286" s="1897">
        <v>0</v>
      </c>
      <c r="H286" s="1897">
        <v>0</v>
      </c>
      <c r="I286" s="1897">
        <v>0</v>
      </c>
      <c r="J286" s="1897">
        <v>0</v>
      </c>
      <c r="K286" s="1897">
        <v>0</v>
      </c>
      <c r="L286" s="1897">
        <v>0</v>
      </c>
      <c r="M286" s="1899">
        <f t="shared" si="24"/>
        <v>0</v>
      </c>
      <c r="N286" s="1897">
        <v>0</v>
      </c>
      <c r="O286" s="1900">
        <f t="shared" si="25"/>
        <v>0</v>
      </c>
      <c r="P286" s="3290" t="s">
        <v>1520</v>
      </c>
      <c r="Q286" s="3290"/>
      <c r="R286" s="1877"/>
      <c r="S286" s="1871"/>
      <c r="T286" s="1871"/>
      <c r="U286" s="1871"/>
      <c r="V286" s="1871"/>
      <c r="W286" s="1871"/>
      <c r="X286" s="1871"/>
      <c r="Y286" s="1871"/>
      <c r="Z286" s="1871"/>
      <c r="AA286" s="1871"/>
      <c r="AB286" s="1871"/>
      <c r="AC286" s="1871"/>
      <c r="AD286" s="1871"/>
      <c r="AE286" s="1871"/>
      <c r="AF286" s="1871"/>
      <c r="AG286" s="1871"/>
      <c r="AH286" s="1871"/>
      <c r="AI286" s="1871"/>
      <c r="AJ286" s="1871"/>
      <c r="AK286" s="1871"/>
      <c r="AL286" s="1871"/>
      <c r="AM286" s="1871"/>
      <c r="AN286" s="1871"/>
      <c r="AO286" s="1871"/>
      <c r="AP286" s="1871"/>
      <c r="AQ286" s="1871"/>
      <c r="AR286" s="1871"/>
      <c r="AS286" s="1871"/>
      <c r="AT286" s="1871"/>
      <c r="AU286" s="1871"/>
      <c r="AV286" s="1871"/>
      <c r="AW286" s="1871"/>
      <c r="AX286" s="1871"/>
      <c r="AY286" s="1871"/>
      <c r="AZ286" s="1871"/>
      <c r="BA286" s="1871"/>
      <c r="BB286" s="1871"/>
      <c r="BC286" s="1871"/>
      <c r="BD286" s="1871"/>
      <c r="BE286" s="1871"/>
      <c r="BF286" s="1871"/>
      <c r="BG286" s="1871"/>
      <c r="BH286" s="1871"/>
      <c r="BI286" s="1871"/>
      <c r="BJ286" s="1871"/>
      <c r="BK286" s="1871"/>
      <c r="BL286" s="1871"/>
      <c r="BM286" s="1871"/>
      <c r="BN286" s="1871"/>
      <c r="BO286" s="1871"/>
      <c r="BP286" s="1871"/>
      <c r="BQ286" s="1871"/>
      <c r="BR286" s="1871"/>
      <c r="BS286" s="1871"/>
      <c r="BT286" s="1871"/>
      <c r="BU286" s="1871"/>
      <c r="BV286" s="1871"/>
      <c r="BW286" s="1871"/>
      <c r="BX286" s="1871"/>
      <c r="BY286" s="1871"/>
      <c r="BZ286" s="1871"/>
      <c r="CA286" s="1871"/>
      <c r="CB286" s="1871"/>
      <c r="CC286" s="1871"/>
      <c r="CD286" s="1871"/>
      <c r="CE286" s="1871"/>
      <c r="CF286" s="1871"/>
      <c r="CG286" s="1871"/>
      <c r="CH286" s="1871"/>
      <c r="CI286" s="1871"/>
      <c r="CJ286" s="1871"/>
      <c r="CK286" s="1871"/>
      <c r="CL286" s="1871"/>
      <c r="CM286" s="1871"/>
      <c r="CN286" s="1871"/>
      <c r="CO286" s="1871"/>
      <c r="CP286" s="1871"/>
      <c r="CQ286" s="1871"/>
      <c r="CR286" s="1871"/>
      <c r="CS286" s="1871"/>
      <c r="CT286" s="1871"/>
      <c r="CU286" s="1871"/>
      <c r="CV286" s="1871"/>
      <c r="CW286" s="1871"/>
      <c r="CX286" s="1871"/>
      <c r="CY286" s="1871"/>
      <c r="CZ286" s="1871"/>
      <c r="DA286" s="1871"/>
      <c r="DB286" s="1871"/>
      <c r="DC286" s="1871"/>
      <c r="DD286" s="1871"/>
      <c r="DE286" s="1871"/>
      <c r="DF286" s="1871"/>
      <c r="DG286" s="1871"/>
      <c r="DH286" s="1871"/>
      <c r="DI286" s="1871"/>
      <c r="DJ286" s="1871"/>
      <c r="DK286" s="1871"/>
      <c r="DL286" s="1871"/>
      <c r="DM286" s="1871"/>
      <c r="DN286" s="1871"/>
      <c r="DO286" s="1871"/>
      <c r="DP286" s="1871"/>
      <c r="DQ286" s="1871"/>
      <c r="DR286" s="1871"/>
      <c r="DS286" s="1871"/>
      <c r="DT286" s="1871"/>
      <c r="DU286" s="1871"/>
      <c r="DV286" s="1871"/>
      <c r="DW286" s="1871"/>
      <c r="DX286" s="1871"/>
      <c r="DY286" s="1871"/>
      <c r="DZ286" s="1871"/>
      <c r="EA286" s="1871"/>
      <c r="EB286" s="1871"/>
      <c r="EC286" s="1871"/>
      <c r="ED286" s="1871"/>
      <c r="EE286" s="1871"/>
      <c r="EF286" s="1871"/>
      <c r="EG286" s="1871"/>
      <c r="EH286" s="1871"/>
      <c r="EI286" s="1871"/>
      <c r="EJ286" s="1871"/>
      <c r="EK286" s="1871"/>
      <c r="EL286" s="1871"/>
      <c r="EM286" s="1871"/>
      <c r="EN286" s="1871"/>
      <c r="EO286" s="1871"/>
      <c r="EP286" s="1871"/>
      <c r="EQ286" s="1871"/>
      <c r="ER286" s="1871"/>
      <c r="ES286" s="1871"/>
      <c r="ET286" s="1871"/>
      <c r="EU286" s="1871"/>
      <c r="EV286" s="1871"/>
      <c r="EW286" s="1871"/>
      <c r="EX286" s="1871"/>
      <c r="EY286" s="1871"/>
      <c r="EZ286" s="1871"/>
      <c r="FA286" s="1871"/>
      <c r="FB286" s="1871"/>
      <c r="FC286" s="1871"/>
      <c r="FD286" s="1871"/>
      <c r="FE286" s="1871"/>
      <c r="FF286" s="1871"/>
      <c r="FG286" s="1871"/>
      <c r="FH286" s="1871"/>
      <c r="FI286" s="1871"/>
      <c r="FJ286" s="1871"/>
      <c r="FK286" s="1871"/>
      <c r="FL286" s="1871"/>
      <c r="FM286" s="1871"/>
      <c r="FN286" s="1871"/>
      <c r="FO286" s="1871"/>
      <c r="FP286" s="1871"/>
      <c r="FQ286" s="1871"/>
      <c r="FR286" s="1871"/>
      <c r="FS286" s="1871"/>
      <c r="FT286" s="1871"/>
      <c r="FU286" s="1871"/>
      <c r="FV286" s="1871"/>
      <c r="FW286" s="1871"/>
      <c r="FX286" s="1871"/>
      <c r="FY286" s="1871"/>
      <c r="FZ286" s="1871"/>
      <c r="GA286" s="1871"/>
      <c r="GB286" s="1871"/>
      <c r="GC286" s="1871"/>
      <c r="GD286" s="1871"/>
      <c r="GE286" s="1871"/>
      <c r="GF286" s="1871"/>
      <c r="GG286" s="1871"/>
      <c r="GH286" s="1871"/>
      <c r="GI286" s="1871"/>
      <c r="GJ286" s="1871"/>
      <c r="GK286" s="1871"/>
      <c r="GL286" s="1871"/>
      <c r="GM286" s="1871"/>
      <c r="GN286" s="1871"/>
      <c r="GO286" s="1871"/>
      <c r="GP286" s="1871"/>
      <c r="GQ286" s="1871"/>
      <c r="GR286" s="1871"/>
      <c r="GS286" s="1871"/>
      <c r="GT286" s="1871"/>
      <c r="GU286" s="1871"/>
      <c r="GV286" s="1871"/>
      <c r="GW286" s="1871"/>
      <c r="GX286" s="1871"/>
      <c r="GY286" s="1871"/>
      <c r="GZ286" s="1871"/>
      <c r="HA286" s="1871"/>
      <c r="HB286" s="1871"/>
      <c r="HC286" s="1871"/>
      <c r="HD286" s="1871"/>
      <c r="HE286" s="1871"/>
      <c r="HF286" s="1871"/>
      <c r="HG286" s="1871"/>
      <c r="HH286" s="1871"/>
      <c r="HI286" s="1871"/>
      <c r="HJ286" s="1871"/>
      <c r="HK286" s="1871"/>
      <c r="HL286" s="1871"/>
      <c r="HM286" s="1871"/>
      <c r="HN286" s="1871"/>
      <c r="HO286" s="1871"/>
      <c r="HP286" s="1871"/>
      <c r="HQ286" s="1871"/>
      <c r="HR286" s="1871"/>
      <c r="HS286" s="1871"/>
      <c r="HT286" s="1871"/>
      <c r="HU286" s="1871"/>
      <c r="HV286" s="1871"/>
      <c r="HW286" s="1871"/>
      <c r="HX286" s="1871"/>
      <c r="HY286" s="1871"/>
      <c r="HZ286" s="1871"/>
      <c r="IA286" s="1871"/>
      <c r="IB286" s="1871"/>
      <c r="IC286" s="1871"/>
      <c r="ID286" s="1871"/>
      <c r="IE286" s="1871"/>
      <c r="IF286" s="1871"/>
      <c r="IG286" s="1871"/>
      <c r="IH286" s="1871"/>
      <c r="II286" s="1871"/>
      <c r="IJ286" s="1871"/>
      <c r="IK286" s="1871"/>
      <c r="IL286" s="1871"/>
      <c r="IM286" s="1871"/>
      <c r="IN286" s="1871"/>
    </row>
    <row r="287" spans="1:248">
      <c r="A287" s="1870" t="s">
        <v>1671</v>
      </c>
      <c r="B287" s="1879" t="s">
        <v>1672</v>
      </c>
      <c r="C287" s="1881" t="s">
        <v>1673</v>
      </c>
      <c r="D287" s="1897">
        <v>0</v>
      </c>
      <c r="E287" s="1897">
        <v>0</v>
      </c>
      <c r="F287" s="1897">
        <v>0</v>
      </c>
      <c r="G287" s="1897">
        <v>0</v>
      </c>
      <c r="H287" s="1897">
        <v>0</v>
      </c>
      <c r="I287" s="1897">
        <v>0</v>
      </c>
      <c r="J287" s="1897">
        <v>0</v>
      </c>
      <c r="K287" s="1897">
        <v>0</v>
      </c>
      <c r="L287" s="1897">
        <v>0</v>
      </c>
      <c r="M287" s="1899">
        <f t="shared" si="24"/>
        <v>0</v>
      </c>
      <c r="N287" s="1897">
        <v>0</v>
      </c>
      <c r="O287" s="1900">
        <f t="shared" si="25"/>
        <v>0</v>
      </c>
      <c r="P287" s="3290" t="s">
        <v>1674</v>
      </c>
      <c r="Q287" s="3290"/>
      <c r="R287" s="1877"/>
      <c r="S287" s="1871"/>
      <c r="T287" s="1871"/>
      <c r="U287" s="1871"/>
      <c r="V287" s="1871"/>
      <c r="W287" s="1871"/>
      <c r="X287" s="1871"/>
      <c r="Y287" s="1871"/>
      <c r="Z287" s="1871"/>
      <c r="AA287" s="1871"/>
      <c r="AB287" s="1871"/>
      <c r="AC287" s="1871"/>
      <c r="AD287" s="1871"/>
      <c r="AE287" s="1871"/>
      <c r="AF287" s="1871"/>
      <c r="AG287" s="1871"/>
      <c r="AH287" s="1871"/>
      <c r="AI287" s="1871"/>
      <c r="AJ287" s="1871"/>
      <c r="AK287" s="1871"/>
      <c r="AL287" s="1871"/>
      <c r="AM287" s="1871"/>
      <c r="AN287" s="1871"/>
      <c r="AO287" s="1871"/>
      <c r="AP287" s="1871"/>
      <c r="AQ287" s="1871"/>
      <c r="AR287" s="1871"/>
      <c r="AS287" s="1871"/>
      <c r="AT287" s="1871"/>
      <c r="AU287" s="1871"/>
      <c r="AV287" s="1871"/>
      <c r="AW287" s="1871"/>
      <c r="AX287" s="1871"/>
      <c r="AY287" s="1871"/>
      <c r="AZ287" s="1871"/>
      <c r="BA287" s="1871"/>
      <c r="BB287" s="1871"/>
      <c r="BC287" s="1871"/>
      <c r="BD287" s="1871"/>
      <c r="BE287" s="1871"/>
      <c r="BF287" s="1871"/>
      <c r="BG287" s="1871"/>
      <c r="BH287" s="1871"/>
      <c r="BI287" s="1871"/>
      <c r="BJ287" s="1871"/>
      <c r="BK287" s="1871"/>
      <c r="BL287" s="1871"/>
      <c r="BM287" s="1871"/>
      <c r="BN287" s="1871"/>
      <c r="BO287" s="1871"/>
      <c r="BP287" s="1871"/>
      <c r="BQ287" s="1871"/>
      <c r="BR287" s="1871"/>
      <c r="BS287" s="1871"/>
      <c r="BT287" s="1871"/>
      <c r="BU287" s="1871"/>
      <c r="BV287" s="1871"/>
      <c r="BW287" s="1871"/>
      <c r="BX287" s="1871"/>
      <c r="BY287" s="1871"/>
      <c r="BZ287" s="1871"/>
      <c r="CA287" s="1871"/>
      <c r="CB287" s="1871"/>
      <c r="CC287" s="1871"/>
      <c r="CD287" s="1871"/>
      <c r="CE287" s="1871"/>
      <c r="CF287" s="1871"/>
      <c r="CG287" s="1871"/>
      <c r="CH287" s="1871"/>
      <c r="CI287" s="1871"/>
      <c r="CJ287" s="1871"/>
      <c r="CK287" s="1871"/>
      <c r="CL287" s="1871"/>
      <c r="CM287" s="1871"/>
      <c r="CN287" s="1871"/>
      <c r="CO287" s="1871"/>
      <c r="CP287" s="1871"/>
      <c r="CQ287" s="1871"/>
      <c r="CR287" s="1871"/>
      <c r="CS287" s="1871"/>
      <c r="CT287" s="1871"/>
      <c r="CU287" s="1871"/>
      <c r="CV287" s="1871"/>
      <c r="CW287" s="1871"/>
      <c r="CX287" s="1871"/>
      <c r="CY287" s="1871"/>
      <c r="CZ287" s="1871"/>
      <c r="DA287" s="1871"/>
      <c r="DB287" s="1871"/>
      <c r="DC287" s="1871"/>
      <c r="DD287" s="1871"/>
      <c r="DE287" s="1871"/>
      <c r="DF287" s="1871"/>
      <c r="DG287" s="1871"/>
      <c r="DH287" s="1871"/>
      <c r="DI287" s="1871"/>
      <c r="DJ287" s="1871"/>
      <c r="DK287" s="1871"/>
      <c r="DL287" s="1871"/>
      <c r="DM287" s="1871"/>
      <c r="DN287" s="1871"/>
      <c r="DO287" s="1871"/>
      <c r="DP287" s="1871"/>
      <c r="DQ287" s="1871"/>
      <c r="DR287" s="1871"/>
      <c r="DS287" s="1871"/>
      <c r="DT287" s="1871"/>
      <c r="DU287" s="1871"/>
      <c r="DV287" s="1871"/>
      <c r="DW287" s="1871"/>
      <c r="DX287" s="1871"/>
      <c r="DY287" s="1871"/>
      <c r="DZ287" s="1871"/>
      <c r="EA287" s="1871"/>
      <c r="EB287" s="1871"/>
      <c r="EC287" s="1871"/>
      <c r="ED287" s="1871"/>
      <c r="EE287" s="1871"/>
      <c r="EF287" s="1871"/>
      <c r="EG287" s="1871"/>
      <c r="EH287" s="1871"/>
      <c r="EI287" s="1871"/>
      <c r="EJ287" s="1871"/>
      <c r="EK287" s="1871"/>
      <c r="EL287" s="1871"/>
      <c r="EM287" s="1871"/>
      <c r="EN287" s="1871"/>
      <c r="EO287" s="1871"/>
      <c r="EP287" s="1871"/>
      <c r="EQ287" s="1871"/>
      <c r="ER287" s="1871"/>
      <c r="ES287" s="1871"/>
      <c r="ET287" s="1871"/>
      <c r="EU287" s="1871"/>
      <c r="EV287" s="1871"/>
      <c r="EW287" s="1871"/>
      <c r="EX287" s="1871"/>
      <c r="EY287" s="1871"/>
      <c r="EZ287" s="1871"/>
      <c r="FA287" s="1871"/>
      <c r="FB287" s="1871"/>
      <c r="FC287" s="1871"/>
      <c r="FD287" s="1871"/>
      <c r="FE287" s="1871"/>
      <c r="FF287" s="1871"/>
      <c r="FG287" s="1871"/>
      <c r="FH287" s="1871"/>
      <c r="FI287" s="1871"/>
      <c r="FJ287" s="1871"/>
      <c r="FK287" s="1871"/>
      <c r="FL287" s="1871"/>
      <c r="FM287" s="1871"/>
      <c r="FN287" s="1871"/>
      <c r="FO287" s="1871"/>
      <c r="FP287" s="1871"/>
      <c r="FQ287" s="1871"/>
      <c r="FR287" s="1871"/>
      <c r="FS287" s="1871"/>
      <c r="FT287" s="1871"/>
      <c r="FU287" s="1871"/>
      <c r="FV287" s="1871"/>
      <c r="FW287" s="1871"/>
      <c r="FX287" s="1871"/>
      <c r="FY287" s="1871"/>
      <c r="FZ287" s="1871"/>
      <c r="GA287" s="1871"/>
      <c r="GB287" s="1871"/>
      <c r="GC287" s="1871"/>
      <c r="GD287" s="1871"/>
      <c r="GE287" s="1871"/>
      <c r="GF287" s="1871"/>
      <c r="GG287" s="1871"/>
      <c r="GH287" s="1871"/>
      <c r="GI287" s="1871"/>
      <c r="GJ287" s="1871"/>
      <c r="GK287" s="1871"/>
      <c r="GL287" s="1871"/>
      <c r="GM287" s="1871"/>
      <c r="GN287" s="1871"/>
      <c r="GO287" s="1871"/>
      <c r="GP287" s="1871"/>
      <c r="GQ287" s="1871"/>
      <c r="GR287" s="1871"/>
      <c r="GS287" s="1871"/>
      <c r="GT287" s="1871"/>
      <c r="GU287" s="1871"/>
      <c r="GV287" s="1871"/>
      <c r="GW287" s="1871"/>
      <c r="GX287" s="1871"/>
      <c r="GY287" s="1871"/>
      <c r="GZ287" s="1871"/>
      <c r="HA287" s="1871"/>
      <c r="HB287" s="1871"/>
      <c r="HC287" s="1871"/>
      <c r="HD287" s="1871"/>
      <c r="HE287" s="1871"/>
      <c r="HF287" s="1871"/>
      <c r="HG287" s="1871"/>
      <c r="HH287" s="1871"/>
      <c r="HI287" s="1871"/>
      <c r="HJ287" s="1871"/>
      <c r="HK287" s="1871"/>
      <c r="HL287" s="1871"/>
      <c r="HM287" s="1871"/>
      <c r="HN287" s="1871"/>
      <c r="HO287" s="1871"/>
      <c r="HP287" s="1871"/>
      <c r="HQ287" s="1871"/>
      <c r="HR287" s="1871"/>
      <c r="HS287" s="1871"/>
      <c r="HT287" s="1871"/>
      <c r="HU287" s="1871"/>
      <c r="HV287" s="1871"/>
      <c r="HW287" s="1871"/>
      <c r="HX287" s="1871"/>
      <c r="HY287" s="1871"/>
      <c r="HZ287" s="1871"/>
      <c r="IA287" s="1871"/>
      <c r="IB287" s="1871"/>
      <c r="IC287" s="1871"/>
      <c r="ID287" s="1871"/>
      <c r="IE287" s="1871"/>
      <c r="IF287" s="1871"/>
      <c r="IG287" s="1871"/>
      <c r="IH287" s="1871"/>
      <c r="II287" s="1871"/>
      <c r="IJ287" s="1871"/>
      <c r="IK287" s="1871"/>
      <c r="IL287" s="1871"/>
      <c r="IM287" s="1871"/>
      <c r="IN287" s="1871"/>
    </row>
    <row r="288" spans="1:248">
      <c r="A288" s="1870" t="s">
        <v>1675</v>
      </c>
      <c r="B288" s="1879" t="s">
        <v>1676</v>
      </c>
      <c r="C288" s="1881" t="s">
        <v>1677</v>
      </c>
      <c r="D288" s="1897">
        <v>0</v>
      </c>
      <c r="E288" s="1897">
        <v>0</v>
      </c>
      <c r="F288" s="1897">
        <v>0</v>
      </c>
      <c r="G288" s="1897">
        <v>0</v>
      </c>
      <c r="H288" s="1897">
        <v>0</v>
      </c>
      <c r="I288" s="1897">
        <v>0</v>
      </c>
      <c r="J288" s="1897">
        <v>0</v>
      </c>
      <c r="K288" s="1897">
        <v>0</v>
      </c>
      <c r="L288" s="1897">
        <v>0</v>
      </c>
      <c r="M288" s="1899">
        <f t="shared" si="24"/>
        <v>0</v>
      </c>
      <c r="N288" s="1897">
        <f>-M288</f>
        <v>0</v>
      </c>
      <c r="O288" s="2029">
        <f t="shared" si="25"/>
        <v>0</v>
      </c>
      <c r="P288" s="3292" t="s">
        <v>1035</v>
      </c>
      <c r="Q288" s="3290"/>
      <c r="R288" s="1877"/>
      <c r="S288" s="1871"/>
      <c r="T288" s="1871"/>
      <c r="U288" s="1871"/>
      <c r="V288" s="1871"/>
      <c r="W288" s="1871"/>
      <c r="X288" s="1871"/>
      <c r="Y288" s="1871"/>
      <c r="Z288" s="1871"/>
      <c r="AA288" s="1871"/>
      <c r="AB288" s="1871"/>
      <c r="AC288" s="1871"/>
      <c r="AD288" s="1871"/>
      <c r="AE288" s="1871"/>
      <c r="AF288" s="1871"/>
      <c r="AG288" s="1871"/>
      <c r="AH288" s="1871"/>
      <c r="AI288" s="1871"/>
      <c r="AJ288" s="1871"/>
      <c r="AK288" s="1871"/>
      <c r="AL288" s="1871"/>
      <c r="AM288" s="1871"/>
      <c r="AN288" s="1871"/>
      <c r="AO288" s="1871"/>
      <c r="AP288" s="1871"/>
      <c r="AQ288" s="1871"/>
      <c r="AR288" s="1871"/>
      <c r="AS288" s="1871"/>
      <c r="AT288" s="1871"/>
      <c r="AU288" s="1871"/>
      <c r="AV288" s="1871"/>
      <c r="AW288" s="1871"/>
      <c r="AX288" s="1871"/>
      <c r="AY288" s="1871"/>
      <c r="AZ288" s="1871"/>
      <c r="BA288" s="1871"/>
      <c r="BB288" s="1871"/>
      <c r="BC288" s="1871"/>
      <c r="BD288" s="1871"/>
      <c r="BE288" s="1871"/>
      <c r="BF288" s="1871"/>
      <c r="BG288" s="1871"/>
      <c r="BH288" s="1871"/>
      <c r="BI288" s="1871"/>
      <c r="BJ288" s="1871"/>
      <c r="BK288" s="1871"/>
      <c r="BL288" s="1871"/>
      <c r="BM288" s="1871"/>
      <c r="BN288" s="1871"/>
      <c r="BO288" s="1871"/>
      <c r="BP288" s="1871"/>
      <c r="BQ288" s="1871"/>
      <c r="BR288" s="1871"/>
      <c r="BS288" s="1871"/>
      <c r="BT288" s="1871"/>
      <c r="BU288" s="1871"/>
      <c r="BV288" s="1871"/>
      <c r="BW288" s="1871"/>
      <c r="BX288" s="1871"/>
      <c r="BY288" s="1871"/>
      <c r="BZ288" s="1871"/>
      <c r="CA288" s="1871"/>
      <c r="CB288" s="1871"/>
      <c r="CC288" s="1871"/>
      <c r="CD288" s="1871"/>
      <c r="CE288" s="1871"/>
      <c r="CF288" s="1871"/>
      <c r="CG288" s="1871"/>
      <c r="CH288" s="1871"/>
      <c r="CI288" s="1871"/>
      <c r="CJ288" s="1871"/>
      <c r="CK288" s="1871"/>
      <c r="CL288" s="1871"/>
      <c r="CM288" s="1871"/>
      <c r="CN288" s="1871"/>
      <c r="CO288" s="1871"/>
      <c r="CP288" s="1871"/>
      <c r="CQ288" s="1871"/>
      <c r="CR288" s="1871"/>
      <c r="CS288" s="1871"/>
      <c r="CT288" s="1871"/>
      <c r="CU288" s="1871"/>
      <c r="CV288" s="1871"/>
      <c r="CW288" s="1871"/>
      <c r="CX288" s="1871"/>
      <c r="CY288" s="1871"/>
      <c r="CZ288" s="1871"/>
      <c r="DA288" s="1871"/>
      <c r="DB288" s="1871"/>
      <c r="DC288" s="1871"/>
      <c r="DD288" s="1871"/>
      <c r="DE288" s="1871"/>
      <c r="DF288" s="1871"/>
      <c r="DG288" s="1871"/>
      <c r="DH288" s="1871"/>
      <c r="DI288" s="1871"/>
      <c r="DJ288" s="1871"/>
      <c r="DK288" s="1871"/>
      <c r="DL288" s="1871"/>
      <c r="DM288" s="1871"/>
      <c r="DN288" s="1871"/>
      <c r="DO288" s="1871"/>
      <c r="DP288" s="1871"/>
      <c r="DQ288" s="1871"/>
      <c r="DR288" s="1871"/>
      <c r="DS288" s="1871"/>
      <c r="DT288" s="1871"/>
      <c r="DU288" s="1871"/>
      <c r="DV288" s="1871"/>
      <c r="DW288" s="1871"/>
      <c r="DX288" s="1871"/>
      <c r="DY288" s="1871"/>
      <c r="DZ288" s="1871"/>
      <c r="EA288" s="1871"/>
      <c r="EB288" s="1871"/>
      <c r="EC288" s="1871"/>
      <c r="ED288" s="1871"/>
      <c r="EE288" s="1871"/>
      <c r="EF288" s="1871"/>
      <c r="EG288" s="1871"/>
      <c r="EH288" s="1871"/>
      <c r="EI288" s="1871"/>
      <c r="EJ288" s="1871"/>
      <c r="EK288" s="1871"/>
      <c r="EL288" s="1871"/>
      <c r="EM288" s="1871"/>
      <c r="EN288" s="1871"/>
      <c r="EO288" s="1871"/>
      <c r="EP288" s="1871"/>
      <c r="EQ288" s="1871"/>
      <c r="ER288" s="1871"/>
      <c r="ES288" s="1871"/>
      <c r="ET288" s="1871"/>
      <c r="EU288" s="1871"/>
      <c r="EV288" s="1871"/>
      <c r="EW288" s="1871"/>
      <c r="EX288" s="1871"/>
      <c r="EY288" s="1871"/>
      <c r="EZ288" s="1871"/>
      <c r="FA288" s="1871"/>
      <c r="FB288" s="1871"/>
      <c r="FC288" s="1871"/>
      <c r="FD288" s="1871"/>
      <c r="FE288" s="1871"/>
      <c r="FF288" s="1871"/>
      <c r="FG288" s="1871"/>
      <c r="FH288" s="1871"/>
      <c r="FI288" s="1871"/>
      <c r="FJ288" s="1871"/>
      <c r="FK288" s="1871"/>
      <c r="FL288" s="1871"/>
      <c r="FM288" s="1871"/>
      <c r="FN288" s="1871"/>
      <c r="FO288" s="1871"/>
      <c r="FP288" s="1871"/>
      <c r="FQ288" s="1871"/>
      <c r="FR288" s="1871"/>
      <c r="FS288" s="1871"/>
      <c r="FT288" s="1871"/>
      <c r="FU288" s="1871"/>
      <c r="FV288" s="1871"/>
      <c r="FW288" s="1871"/>
      <c r="FX288" s="1871"/>
      <c r="FY288" s="1871"/>
      <c r="FZ288" s="1871"/>
      <c r="GA288" s="1871"/>
      <c r="GB288" s="1871"/>
      <c r="GC288" s="1871"/>
      <c r="GD288" s="1871"/>
      <c r="GE288" s="1871"/>
      <c r="GF288" s="1871"/>
      <c r="GG288" s="1871"/>
      <c r="GH288" s="1871"/>
      <c r="GI288" s="1871"/>
      <c r="GJ288" s="1871"/>
      <c r="GK288" s="1871"/>
      <c r="GL288" s="1871"/>
      <c r="GM288" s="1871"/>
      <c r="GN288" s="1871"/>
      <c r="GO288" s="1871"/>
      <c r="GP288" s="1871"/>
      <c r="GQ288" s="1871"/>
      <c r="GR288" s="1871"/>
      <c r="GS288" s="1871"/>
      <c r="GT288" s="1871"/>
      <c r="GU288" s="1871"/>
      <c r="GV288" s="1871"/>
      <c r="GW288" s="1871"/>
      <c r="GX288" s="1871"/>
      <c r="GY288" s="1871"/>
      <c r="GZ288" s="1871"/>
      <c r="HA288" s="1871"/>
      <c r="HB288" s="1871"/>
      <c r="HC288" s="1871"/>
      <c r="HD288" s="1871"/>
      <c r="HE288" s="1871"/>
      <c r="HF288" s="1871"/>
      <c r="HG288" s="1871"/>
      <c r="HH288" s="1871"/>
      <c r="HI288" s="1871"/>
      <c r="HJ288" s="1871"/>
      <c r="HK288" s="1871"/>
      <c r="HL288" s="1871"/>
      <c r="HM288" s="1871"/>
      <c r="HN288" s="1871"/>
      <c r="HO288" s="1871"/>
      <c r="HP288" s="1871"/>
      <c r="HQ288" s="1871"/>
      <c r="HR288" s="1871"/>
      <c r="HS288" s="1871"/>
      <c r="HT288" s="1871"/>
      <c r="HU288" s="1871"/>
      <c r="HV288" s="1871"/>
      <c r="HW288" s="1871"/>
      <c r="HX288" s="1871"/>
      <c r="HY288" s="1871"/>
      <c r="HZ288" s="1871"/>
      <c r="IA288" s="1871"/>
      <c r="IB288" s="1871"/>
      <c r="IC288" s="1871"/>
      <c r="ID288" s="1871"/>
      <c r="IE288" s="1871"/>
      <c r="IF288" s="1871"/>
      <c r="IG288" s="1871"/>
      <c r="IH288" s="1871"/>
      <c r="II288" s="1871"/>
      <c r="IJ288" s="1871"/>
      <c r="IK288" s="1871"/>
      <c r="IL288" s="1871"/>
      <c r="IM288" s="1871"/>
      <c r="IN288" s="1871"/>
    </row>
    <row r="289" spans="1:18">
      <c r="A289" s="1870" t="s">
        <v>1678</v>
      </c>
      <c r="B289" s="1879" t="s">
        <v>1679</v>
      </c>
      <c r="C289" s="1881" t="s">
        <v>1680</v>
      </c>
      <c r="D289" s="1897">
        <v>0</v>
      </c>
      <c r="E289" s="1897">
        <v>0</v>
      </c>
      <c r="F289" s="1897">
        <v>0</v>
      </c>
      <c r="G289" s="1897">
        <v>0</v>
      </c>
      <c r="H289" s="1897">
        <v>0</v>
      </c>
      <c r="I289" s="1897">
        <v>0</v>
      </c>
      <c r="J289" s="1897">
        <v>0</v>
      </c>
      <c r="K289" s="1897">
        <v>0</v>
      </c>
      <c r="L289" s="1897">
        <v>0</v>
      </c>
      <c r="M289" s="1899">
        <f t="shared" si="24"/>
        <v>0</v>
      </c>
      <c r="N289" s="1897">
        <v>0</v>
      </c>
      <c r="O289" s="1900">
        <f t="shared" si="25"/>
        <v>0</v>
      </c>
      <c r="P289" s="3290" t="s">
        <v>1663</v>
      </c>
      <c r="Q289" s="3290"/>
      <c r="R289" s="1877"/>
    </row>
    <row r="290" spans="1:18">
      <c r="A290" s="1870" t="s">
        <v>1681</v>
      </c>
      <c r="B290" s="1879" t="s">
        <v>1682</v>
      </c>
      <c r="C290" s="1881" t="s">
        <v>1683</v>
      </c>
      <c r="D290" s="1897">
        <v>0</v>
      </c>
      <c r="E290" s="1897">
        <v>0</v>
      </c>
      <c r="F290" s="1897">
        <v>0</v>
      </c>
      <c r="G290" s="1897">
        <v>0</v>
      </c>
      <c r="H290" s="1897">
        <v>0</v>
      </c>
      <c r="I290" s="1897">
        <v>0</v>
      </c>
      <c r="J290" s="1897">
        <v>0</v>
      </c>
      <c r="K290" s="1897">
        <v>0</v>
      </c>
      <c r="L290" s="1897">
        <v>0</v>
      </c>
      <c r="M290" s="1899">
        <f t="shared" si="24"/>
        <v>0</v>
      </c>
      <c r="N290" s="1897">
        <v>0</v>
      </c>
      <c r="O290" s="1900">
        <f t="shared" si="25"/>
        <v>0</v>
      </c>
      <c r="P290" s="3290" t="s">
        <v>1667</v>
      </c>
      <c r="Q290" s="3290"/>
      <c r="R290" s="1877"/>
    </row>
    <row r="291" spans="1:18">
      <c r="A291" s="1870" t="s">
        <v>1684</v>
      </c>
      <c r="B291" s="1879" t="s">
        <v>1685</v>
      </c>
      <c r="C291" s="1881" t="s">
        <v>1686</v>
      </c>
      <c r="D291" s="1897">
        <v>0</v>
      </c>
      <c r="E291" s="1897">
        <v>0</v>
      </c>
      <c r="F291" s="1897">
        <v>0</v>
      </c>
      <c r="G291" s="1897">
        <v>0</v>
      </c>
      <c r="H291" s="1897">
        <v>0</v>
      </c>
      <c r="I291" s="1897">
        <v>0</v>
      </c>
      <c r="J291" s="1897">
        <v>0</v>
      </c>
      <c r="K291" s="1897">
        <v>0</v>
      </c>
      <c r="L291" s="1897">
        <v>0</v>
      </c>
      <c r="M291" s="1899">
        <f>SUM(D291:L291)</f>
        <v>0</v>
      </c>
      <c r="N291" s="1897">
        <v>0</v>
      </c>
      <c r="O291" s="1900">
        <f>SUM(M291:N291)</f>
        <v>0</v>
      </c>
      <c r="P291" s="3290" t="s">
        <v>1520</v>
      </c>
      <c r="Q291" s="3290"/>
      <c r="R291" s="1877"/>
    </row>
    <row r="292" spans="1:18">
      <c r="A292" s="1870"/>
      <c r="B292" s="514"/>
      <c r="C292" s="1880"/>
      <c r="D292" s="3726"/>
      <c r="E292" s="3726"/>
      <c r="F292" s="3726"/>
      <c r="G292" s="3726"/>
      <c r="H292" s="3726"/>
      <c r="I292" s="3726"/>
      <c r="J292" s="3726"/>
      <c r="K292" s="3726"/>
      <c r="L292" s="3726"/>
      <c r="M292" s="3726"/>
      <c r="N292" s="3726"/>
      <c r="O292" s="3726"/>
      <c r="P292" s="3290"/>
      <c r="Q292" s="3290"/>
      <c r="R292" s="1877"/>
    </row>
    <row r="293" spans="1:18">
      <c r="A293" s="1870"/>
      <c r="B293" s="510" t="s">
        <v>1687</v>
      </c>
      <c r="C293" s="1880"/>
      <c r="D293" s="1901">
        <f t="shared" ref="D293:N293" si="26">SUM(D264:D291)</f>
        <v>0</v>
      </c>
      <c r="E293" s="1901">
        <f t="shared" si="26"/>
        <v>0</v>
      </c>
      <c r="F293" s="1901">
        <f t="shared" si="26"/>
        <v>0</v>
      </c>
      <c r="G293" s="1901">
        <f t="shared" si="26"/>
        <v>0</v>
      </c>
      <c r="H293" s="1901">
        <f t="shared" si="26"/>
        <v>0</v>
      </c>
      <c r="I293" s="1901">
        <f t="shared" si="26"/>
        <v>0</v>
      </c>
      <c r="J293" s="1901">
        <f t="shared" si="26"/>
        <v>0</v>
      </c>
      <c r="K293" s="1901">
        <f t="shared" si="26"/>
        <v>0</v>
      </c>
      <c r="L293" s="1901">
        <f t="shared" si="26"/>
        <v>0</v>
      </c>
      <c r="M293" s="1901">
        <f t="shared" si="26"/>
        <v>0</v>
      </c>
      <c r="N293" s="1901">
        <f t="shared" si="26"/>
        <v>0</v>
      </c>
      <c r="O293" s="1901">
        <f>SUM(M293:N293)</f>
        <v>0</v>
      </c>
      <c r="P293" s="3290"/>
      <c r="Q293" s="3290"/>
      <c r="R293" s="1877"/>
    </row>
    <row r="294" spans="1:18">
      <c r="A294" s="1870"/>
      <c r="B294" s="514"/>
      <c r="C294" s="1880"/>
      <c r="D294" s="3727"/>
      <c r="E294" s="3727"/>
      <c r="F294" s="3727"/>
      <c r="G294" s="3727"/>
      <c r="H294" s="3727"/>
      <c r="I294" s="3727"/>
      <c r="J294" s="3727"/>
      <c r="K294" s="3727"/>
      <c r="L294" s="3727"/>
      <c r="M294" s="3727"/>
      <c r="N294" s="3727"/>
      <c r="O294" s="3728"/>
      <c r="P294" s="3290"/>
      <c r="Q294" s="3290"/>
      <c r="R294" s="1877"/>
    </row>
    <row r="295" spans="1:18">
      <c r="A295" s="1870"/>
      <c r="B295" s="3732" t="s">
        <v>1688</v>
      </c>
      <c r="C295" s="3730"/>
      <c r="D295" s="1902"/>
      <c r="E295" s="1902"/>
      <c r="F295" s="1902"/>
      <c r="G295" s="1902"/>
      <c r="H295" s="1902"/>
      <c r="I295" s="1902"/>
      <c r="J295" s="1902"/>
      <c r="K295" s="1902"/>
      <c r="L295" s="1902"/>
      <c r="M295" s="1902"/>
      <c r="N295" s="1902"/>
      <c r="O295" s="1900"/>
      <c r="P295" s="3290"/>
      <c r="Q295" s="3290"/>
      <c r="R295" s="1877"/>
    </row>
    <row r="296" spans="1:18">
      <c r="A296" s="1870"/>
      <c r="B296" s="3733"/>
      <c r="C296" s="3725"/>
      <c r="D296" s="1902"/>
      <c r="E296" s="1902"/>
      <c r="F296" s="1902"/>
      <c r="G296" s="1902"/>
      <c r="H296" s="1902"/>
      <c r="I296" s="1902"/>
      <c r="J296" s="1902"/>
      <c r="K296" s="1902"/>
      <c r="L296" s="1902"/>
      <c r="M296" s="1902"/>
      <c r="N296" s="1902"/>
      <c r="O296" s="1900"/>
      <c r="P296" s="3290"/>
      <c r="Q296" s="3290"/>
      <c r="R296" s="1877"/>
    </row>
    <row r="297" spans="1:18">
      <c r="A297" s="1870" t="s">
        <v>1689</v>
      </c>
      <c r="B297" s="1879" t="s">
        <v>1690</v>
      </c>
      <c r="C297" s="1881" t="s">
        <v>1691</v>
      </c>
      <c r="D297" s="1897">
        <v>0</v>
      </c>
      <c r="E297" s="1897">
        <v>0</v>
      </c>
      <c r="F297" s="1897">
        <v>0</v>
      </c>
      <c r="G297" s="1897">
        <v>0</v>
      </c>
      <c r="H297" s="1897">
        <v>0</v>
      </c>
      <c r="I297" s="1897">
        <v>0</v>
      </c>
      <c r="J297" s="1897">
        <v>0</v>
      </c>
      <c r="K297" s="1897">
        <v>0</v>
      </c>
      <c r="L297" s="1897">
        <v>0</v>
      </c>
      <c r="M297" s="1899">
        <f>SUM(D297:L297)</f>
        <v>0</v>
      </c>
      <c r="N297" s="1897">
        <v>0</v>
      </c>
      <c r="O297" s="1900">
        <f>SUM(M297:N297)</f>
        <v>0</v>
      </c>
      <c r="P297" s="3290" t="s">
        <v>1692</v>
      </c>
      <c r="Q297" s="3290"/>
      <c r="R297" s="1877"/>
    </row>
    <row r="298" spans="1:18">
      <c r="A298" s="1870" t="s">
        <v>1693</v>
      </c>
      <c r="B298" s="1879" t="s">
        <v>1694</v>
      </c>
      <c r="C298" s="1881" t="s">
        <v>1695</v>
      </c>
      <c r="D298" s="1897">
        <v>0</v>
      </c>
      <c r="E298" s="1897">
        <v>0</v>
      </c>
      <c r="F298" s="1897">
        <v>0</v>
      </c>
      <c r="G298" s="1897">
        <v>0</v>
      </c>
      <c r="H298" s="1897">
        <v>0</v>
      </c>
      <c r="I298" s="1897">
        <v>0</v>
      </c>
      <c r="J298" s="1897">
        <v>0</v>
      </c>
      <c r="K298" s="1897">
        <v>0</v>
      </c>
      <c r="L298" s="1897">
        <v>0</v>
      </c>
      <c r="M298" s="1899">
        <f t="shared" ref="M298:M305" si="27">SUM(D298:L298)</f>
        <v>0</v>
      </c>
      <c r="N298" s="1897">
        <v>0</v>
      </c>
      <c r="O298" s="1900">
        <f t="shared" ref="O298:O305" si="28">SUM(M298:N298)</f>
        <v>0</v>
      </c>
      <c r="P298" s="3290" t="s">
        <v>407</v>
      </c>
      <c r="Q298" s="3290"/>
      <c r="R298" s="1877"/>
    </row>
    <row r="299" spans="1:18" s="1871" customFormat="1" ht="13.5" customHeight="1">
      <c r="A299" s="1870"/>
      <c r="B299" s="4127" t="s">
        <v>1696</v>
      </c>
      <c r="C299" s="4128" t="s">
        <v>1697</v>
      </c>
      <c r="D299" s="1897">
        <v>0</v>
      </c>
      <c r="E299" s="1897">
        <v>0</v>
      </c>
      <c r="F299" s="1897">
        <v>0</v>
      </c>
      <c r="G299" s="1897">
        <v>0</v>
      </c>
      <c r="H299" s="1897">
        <v>0</v>
      </c>
      <c r="I299" s="1897">
        <v>0</v>
      </c>
      <c r="J299" s="1897">
        <v>0</v>
      </c>
      <c r="K299" s="1897">
        <v>0</v>
      </c>
      <c r="L299" s="1897">
        <v>0</v>
      </c>
      <c r="M299" s="1899">
        <f t="shared" si="27"/>
        <v>0</v>
      </c>
      <c r="N299" s="1897">
        <v>0</v>
      </c>
      <c r="O299" s="1900">
        <f t="shared" si="28"/>
        <v>0</v>
      </c>
      <c r="P299" s="3559" t="s">
        <v>407</v>
      </c>
      <c r="Q299" s="3559"/>
      <c r="R299" s="1877"/>
    </row>
    <row r="300" spans="1:18" s="1871" customFormat="1">
      <c r="A300" s="1870"/>
      <c r="B300" s="1876" t="s">
        <v>1698</v>
      </c>
      <c r="C300" s="1881" t="s">
        <v>1699</v>
      </c>
      <c r="D300" s="1897">
        <v>0</v>
      </c>
      <c r="E300" s="1897">
        <v>0</v>
      </c>
      <c r="F300" s="1897">
        <v>0</v>
      </c>
      <c r="G300" s="1897">
        <v>0</v>
      </c>
      <c r="H300" s="1897">
        <v>0</v>
      </c>
      <c r="I300" s="1897">
        <v>0</v>
      </c>
      <c r="J300" s="1897">
        <v>0</v>
      </c>
      <c r="K300" s="1897">
        <v>0</v>
      </c>
      <c r="L300" s="1897">
        <v>0</v>
      </c>
      <c r="M300" s="1899">
        <f t="shared" si="27"/>
        <v>0</v>
      </c>
      <c r="N300" s="1897">
        <v>0</v>
      </c>
      <c r="O300" s="1900">
        <f t="shared" si="28"/>
        <v>0</v>
      </c>
      <c r="P300" s="3290" t="s">
        <v>1700</v>
      </c>
      <c r="Q300" s="3290"/>
      <c r="R300" s="1877"/>
    </row>
    <row r="301" spans="1:18" s="1871" customFormat="1">
      <c r="A301" s="1870"/>
      <c r="B301" s="4127" t="s">
        <v>1701</v>
      </c>
      <c r="C301" s="4128" t="s">
        <v>1702</v>
      </c>
      <c r="D301" s="1897">
        <v>0</v>
      </c>
      <c r="E301" s="1897">
        <v>0</v>
      </c>
      <c r="F301" s="1897">
        <v>0</v>
      </c>
      <c r="G301" s="1897">
        <v>0</v>
      </c>
      <c r="H301" s="1897">
        <v>0</v>
      </c>
      <c r="I301" s="1897">
        <v>0</v>
      </c>
      <c r="J301" s="1897">
        <v>0</v>
      </c>
      <c r="K301" s="1897">
        <v>0</v>
      </c>
      <c r="L301" s="1897">
        <v>0</v>
      </c>
      <c r="M301" s="1899">
        <f t="shared" si="27"/>
        <v>0</v>
      </c>
      <c r="N301" s="1897">
        <v>0</v>
      </c>
      <c r="O301" s="1900">
        <f t="shared" si="28"/>
        <v>0</v>
      </c>
      <c r="P301" s="3290" t="s">
        <v>1700</v>
      </c>
      <c r="Q301" s="3290"/>
      <c r="R301" s="1877"/>
    </row>
    <row r="302" spans="1:18">
      <c r="A302" s="1870" t="s">
        <v>1703</v>
      </c>
      <c r="B302" s="1879" t="s">
        <v>1704</v>
      </c>
      <c r="C302" s="1881" t="s">
        <v>1705</v>
      </c>
      <c r="D302" s="1897">
        <v>0</v>
      </c>
      <c r="E302" s="1897">
        <v>0</v>
      </c>
      <c r="F302" s="1897">
        <v>0</v>
      </c>
      <c r="G302" s="1897">
        <v>0</v>
      </c>
      <c r="H302" s="1897">
        <v>0</v>
      </c>
      <c r="I302" s="1897">
        <v>0</v>
      </c>
      <c r="J302" s="1897">
        <v>0</v>
      </c>
      <c r="K302" s="1897">
        <v>0</v>
      </c>
      <c r="L302" s="1897">
        <v>0</v>
      </c>
      <c r="M302" s="1899">
        <f t="shared" si="27"/>
        <v>0</v>
      </c>
      <c r="N302" s="1897">
        <v>0</v>
      </c>
      <c r="O302" s="1900">
        <f t="shared" si="28"/>
        <v>0</v>
      </c>
      <c r="P302" s="3290" t="s">
        <v>1520</v>
      </c>
      <c r="Q302" s="3290"/>
      <c r="R302" s="1877"/>
    </row>
    <row r="303" spans="1:18">
      <c r="A303" s="1870" t="s">
        <v>1706</v>
      </c>
      <c r="B303" s="1879" t="s">
        <v>1707</v>
      </c>
      <c r="C303" s="1881" t="s">
        <v>1708</v>
      </c>
      <c r="D303" s="1897">
        <v>0</v>
      </c>
      <c r="E303" s="1897">
        <v>0</v>
      </c>
      <c r="F303" s="1897">
        <v>0</v>
      </c>
      <c r="G303" s="1897">
        <v>0</v>
      </c>
      <c r="H303" s="1897">
        <v>0</v>
      </c>
      <c r="I303" s="1897">
        <v>0</v>
      </c>
      <c r="J303" s="1897">
        <v>0</v>
      </c>
      <c r="K303" s="1897">
        <v>0</v>
      </c>
      <c r="L303" s="1897">
        <v>0</v>
      </c>
      <c r="M303" s="1899">
        <f t="shared" si="27"/>
        <v>0</v>
      </c>
      <c r="N303" s="1897">
        <f>-M303</f>
        <v>0</v>
      </c>
      <c r="O303" s="2029">
        <f t="shared" si="28"/>
        <v>0</v>
      </c>
      <c r="P303" s="3292" t="s">
        <v>1035</v>
      </c>
      <c r="Q303" s="3290"/>
      <c r="R303" s="1877"/>
    </row>
    <row r="304" spans="1:18">
      <c r="A304" s="1870" t="s">
        <v>1709</v>
      </c>
      <c r="B304" s="1879" t="s">
        <v>1710</v>
      </c>
      <c r="C304" s="1881" t="s">
        <v>1711</v>
      </c>
      <c r="D304" s="1897">
        <v>0</v>
      </c>
      <c r="E304" s="1897">
        <v>0</v>
      </c>
      <c r="F304" s="1897">
        <v>0</v>
      </c>
      <c r="G304" s="1897">
        <v>0</v>
      </c>
      <c r="H304" s="1897">
        <v>0</v>
      </c>
      <c r="I304" s="1897">
        <v>0</v>
      </c>
      <c r="J304" s="1897">
        <v>0</v>
      </c>
      <c r="K304" s="1897">
        <v>0</v>
      </c>
      <c r="L304" s="1897">
        <v>0</v>
      </c>
      <c r="M304" s="1899">
        <f t="shared" si="27"/>
        <v>0</v>
      </c>
      <c r="N304" s="1897">
        <v>0</v>
      </c>
      <c r="O304" s="1900">
        <f t="shared" si="28"/>
        <v>0</v>
      </c>
      <c r="P304" s="3290" t="s">
        <v>1692</v>
      </c>
      <c r="Q304" s="3290"/>
      <c r="R304" s="1877"/>
    </row>
    <row r="305" spans="1:18">
      <c r="A305" s="1870" t="s">
        <v>1712</v>
      </c>
      <c r="B305" s="1879" t="s">
        <v>1713</v>
      </c>
      <c r="C305" s="1881" t="s">
        <v>1714</v>
      </c>
      <c r="D305" s="1897">
        <v>0</v>
      </c>
      <c r="E305" s="1897">
        <v>0</v>
      </c>
      <c r="F305" s="1897">
        <v>0</v>
      </c>
      <c r="G305" s="1897">
        <v>0</v>
      </c>
      <c r="H305" s="1897">
        <v>0</v>
      </c>
      <c r="I305" s="1897">
        <v>0</v>
      </c>
      <c r="J305" s="1897">
        <v>0</v>
      </c>
      <c r="K305" s="1897">
        <v>0</v>
      </c>
      <c r="L305" s="1897">
        <v>0</v>
      </c>
      <c r="M305" s="1899">
        <f t="shared" si="27"/>
        <v>0</v>
      </c>
      <c r="N305" s="1897">
        <v>0</v>
      </c>
      <c r="O305" s="1900">
        <f t="shared" si="28"/>
        <v>0</v>
      </c>
      <c r="P305" s="3290" t="s">
        <v>407</v>
      </c>
      <c r="Q305" s="3290"/>
      <c r="R305" s="1877"/>
    </row>
    <row r="306" spans="1:18">
      <c r="A306" s="1870" t="s">
        <v>1715</v>
      </c>
      <c r="B306" s="1879" t="s">
        <v>1716</v>
      </c>
      <c r="C306" s="1881" t="s">
        <v>1717</v>
      </c>
      <c r="D306" s="1897">
        <v>0</v>
      </c>
      <c r="E306" s="1897">
        <v>0</v>
      </c>
      <c r="F306" s="1897">
        <v>0</v>
      </c>
      <c r="G306" s="1897">
        <v>0</v>
      </c>
      <c r="H306" s="1897">
        <v>0</v>
      </c>
      <c r="I306" s="1897">
        <v>0</v>
      </c>
      <c r="J306" s="1897">
        <v>0</v>
      </c>
      <c r="K306" s="1897">
        <v>0</v>
      </c>
      <c r="L306" s="1897">
        <v>0</v>
      </c>
      <c r="M306" s="1899">
        <f>SUM(D306:L306)</f>
        <v>0</v>
      </c>
      <c r="N306" s="1897">
        <v>0</v>
      </c>
      <c r="O306" s="1900">
        <f>SUM(M306:N306)</f>
        <v>0</v>
      </c>
      <c r="P306" s="3290" t="s">
        <v>1520</v>
      </c>
      <c r="Q306" s="3290"/>
      <c r="R306" s="1877"/>
    </row>
    <row r="307" spans="1:18">
      <c r="A307" s="1870"/>
      <c r="B307" s="514"/>
      <c r="C307" s="1880"/>
      <c r="D307" s="3726"/>
      <c r="E307" s="3726"/>
      <c r="F307" s="3726"/>
      <c r="G307" s="3726"/>
      <c r="H307" s="3726"/>
      <c r="I307" s="3726"/>
      <c r="J307" s="3726"/>
      <c r="K307" s="3726"/>
      <c r="L307" s="3726"/>
      <c r="M307" s="3726"/>
      <c r="N307" s="3726"/>
      <c r="O307" s="3726"/>
      <c r="P307" s="3290"/>
      <c r="Q307" s="3290"/>
      <c r="R307" s="1877"/>
    </row>
    <row r="308" spans="1:18">
      <c r="A308" s="1870"/>
      <c r="B308" s="510" t="s">
        <v>1718</v>
      </c>
      <c r="C308" s="1880"/>
      <c r="D308" s="1901">
        <f t="shared" ref="D308:N308" si="29">SUM(D297:D306)</f>
        <v>0</v>
      </c>
      <c r="E308" s="1901">
        <f t="shared" si="29"/>
        <v>0</v>
      </c>
      <c r="F308" s="1901">
        <f t="shared" si="29"/>
        <v>0</v>
      </c>
      <c r="G308" s="1901">
        <f t="shared" si="29"/>
        <v>0</v>
      </c>
      <c r="H308" s="1901">
        <f t="shared" si="29"/>
        <v>0</v>
      </c>
      <c r="I308" s="1901">
        <f t="shared" si="29"/>
        <v>0</v>
      </c>
      <c r="J308" s="1901">
        <f t="shared" si="29"/>
        <v>0</v>
      </c>
      <c r="K308" s="1901">
        <f t="shared" si="29"/>
        <v>0</v>
      </c>
      <c r="L308" s="1901">
        <f t="shared" si="29"/>
        <v>0</v>
      </c>
      <c r="M308" s="1901">
        <f t="shared" si="29"/>
        <v>0</v>
      </c>
      <c r="N308" s="1901">
        <f t="shared" si="29"/>
        <v>0</v>
      </c>
      <c r="O308" s="1901">
        <f>SUM(M308:N308)</f>
        <v>0</v>
      </c>
      <c r="P308" s="3290"/>
      <c r="Q308" s="3290"/>
      <c r="R308" s="1877"/>
    </row>
    <row r="309" spans="1:18">
      <c r="A309" s="1870"/>
      <c r="B309" s="514"/>
      <c r="C309" s="1880"/>
      <c r="D309" s="3727"/>
      <c r="E309" s="3727"/>
      <c r="F309" s="3727"/>
      <c r="G309" s="3727"/>
      <c r="H309" s="3727"/>
      <c r="I309" s="3727"/>
      <c r="J309" s="3727"/>
      <c r="K309" s="3727"/>
      <c r="L309" s="3727"/>
      <c r="M309" s="3727"/>
      <c r="N309" s="3727"/>
      <c r="O309" s="3728"/>
      <c r="P309" s="3290"/>
      <c r="Q309" s="3290"/>
      <c r="R309" s="1877"/>
    </row>
    <row r="310" spans="1:18">
      <c r="A310" s="1870"/>
      <c r="B310" s="3732" t="s">
        <v>1719</v>
      </c>
      <c r="C310" s="3730"/>
      <c r="D310" s="1902"/>
      <c r="E310" s="1902"/>
      <c r="F310" s="1902"/>
      <c r="G310" s="1902"/>
      <c r="H310" s="1902"/>
      <c r="I310" s="1902"/>
      <c r="J310" s="1902"/>
      <c r="K310" s="1902"/>
      <c r="L310" s="1902"/>
      <c r="M310" s="1902"/>
      <c r="N310" s="1902"/>
      <c r="O310" s="1900"/>
      <c r="P310" s="3290"/>
      <c r="Q310" s="3290"/>
      <c r="R310" s="1877"/>
    </row>
    <row r="311" spans="1:18">
      <c r="A311" s="1870"/>
      <c r="B311" s="3733"/>
      <c r="C311" s="3725"/>
      <c r="D311" s="1902"/>
      <c r="E311" s="1902"/>
      <c r="F311" s="1902"/>
      <c r="G311" s="1902"/>
      <c r="H311" s="1902"/>
      <c r="I311" s="1902"/>
      <c r="J311" s="1902"/>
      <c r="K311" s="1902"/>
      <c r="L311" s="1902"/>
      <c r="M311" s="1902"/>
      <c r="N311" s="1902"/>
      <c r="O311" s="1900"/>
      <c r="P311" s="3290"/>
      <c r="Q311" s="3290"/>
      <c r="R311" s="1877"/>
    </row>
    <row r="312" spans="1:18">
      <c r="A312" s="1870" t="s">
        <v>1720</v>
      </c>
      <c r="B312" s="1879" t="s">
        <v>1721</v>
      </c>
      <c r="C312" s="1881" t="s">
        <v>1722</v>
      </c>
      <c r="D312" s="1897">
        <v>0</v>
      </c>
      <c r="E312" s="1897">
        <v>0</v>
      </c>
      <c r="F312" s="1897">
        <v>0</v>
      </c>
      <c r="G312" s="1897">
        <v>0</v>
      </c>
      <c r="H312" s="1897">
        <v>0</v>
      </c>
      <c r="I312" s="1897">
        <v>0</v>
      </c>
      <c r="J312" s="1897">
        <v>0</v>
      </c>
      <c r="K312" s="1897">
        <v>0</v>
      </c>
      <c r="L312" s="1897">
        <v>0</v>
      </c>
      <c r="M312" s="1899">
        <f>SUM(D312:L312)</f>
        <v>0</v>
      </c>
      <c r="N312" s="1897">
        <v>0</v>
      </c>
      <c r="O312" s="1900">
        <f>SUM(M312:N312)</f>
        <v>0</v>
      </c>
      <c r="P312" s="3290" t="s">
        <v>407</v>
      </c>
      <c r="Q312" s="3290"/>
      <c r="R312" s="1877"/>
    </row>
    <row r="313" spans="1:18">
      <c r="A313" s="1870" t="s">
        <v>1723</v>
      </c>
      <c r="B313" s="1879" t="s">
        <v>1724</v>
      </c>
      <c r="C313" s="1880" t="s">
        <v>1725</v>
      </c>
      <c r="D313" s="1897">
        <v>0</v>
      </c>
      <c r="E313" s="1897">
        <v>0</v>
      </c>
      <c r="F313" s="1897">
        <v>0</v>
      </c>
      <c r="G313" s="1897">
        <v>0</v>
      </c>
      <c r="H313" s="1897">
        <v>0</v>
      </c>
      <c r="I313" s="1897">
        <v>0</v>
      </c>
      <c r="J313" s="1897">
        <v>0</v>
      </c>
      <c r="K313" s="1897">
        <v>0</v>
      </c>
      <c r="L313" s="1897">
        <v>0</v>
      </c>
      <c r="M313" s="1899">
        <f t="shared" ref="M313:M319" si="30">SUM(D313:L313)</f>
        <v>0</v>
      </c>
      <c r="N313" s="1897">
        <v>0</v>
      </c>
      <c r="O313" s="1900">
        <f t="shared" ref="O313:O319" si="31">SUM(M313:N313)</f>
        <v>0</v>
      </c>
      <c r="P313" s="3290" t="s">
        <v>1726</v>
      </c>
      <c r="Q313" s="3290"/>
      <c r="R313" s="1877"/>
    </row>
    <row r="314" spans="1:18">
      <c r="A314" s="1870" t="s">
        <v>1727</v>
      </c>
      <c r="B314" s="1876" t="s">
        <v>1728</v>
      </c>
      <c r="C314" s="1881" t="s">
        <v>1729</v>
      </c>
      <c r="D314" s="1897">
        <v>0</v>
      </c>
      <c r="E314" s="1897">
        <v>0</v>
      </c>
      <c r="F314" s="1897">
        <v>0</v>
      </c>
      <c r="G314" s="1897">
        <v>0</v>
      </c>
      <c r="H314" s="1897">
        <v>0</v>
      </c>
      <c r="I314" s="1897">
        <v>0</v>
      </c>
      <c r="J314" s="1897">
        <v>0</v>
      </c>
      <c r="K314" s="1897">
        <v>0</v>
      </c>
      <c r="L314" s="1897">
        <v>0</v>
      </c>
      <c r="M314" s="1899">
        <f t="shared" si="30"/>
        <v>0</v>
      </c>
      <c r="N314" s="1897">
        <v>0</v>
      </c>
      <c r="O314" s="1900">
        <f t="shared" si="31"/>
        <v>0</v>
      </c>
      <c r="P314" s="3290" t="s">
        <v>1730</v>
      </c>
      <c r="Q314" s="3290"/>
      <c r="R314" s="1877"/>
    </row>
    <row r="315" spans="1:18" s="1871" customFormat="1">
      <c r="A315" s="1870"/>
      <c r="B315" s="1876" t="s">
        <v>1731</v>
      </c>
      <c r="C315" s="1881" t="s">
        <v>1732</v>
      </c>
      <c r="D315" s="1897">
        <v>0</v>
      </c>
      <c r="E315" s="1897">
        <v>0</v>
      </c>
      <c r="F315" s="1897">
        <v>0</v>
      </c>
      <c r="G315" s="1897">
        <v>0</v>
      </c>
      <c r="H315" s="1897">
        <v>0</v>
      </c>
      <c r="I315" s="1897">
        <v>0</v>
      </c>
      <c r="J315" s="1897">
        <v>0</v>
      </c>
      <c r="K315" s="1897">
        <v>0</v>
      </c>
      <c r="L315" s="1897">
        <v>0</v>
      </c>
      <c r="M315" s="1899">
        <f t="shared" si="30"/>
        <v>0</v>
      </c>
      <c r="N315" s="1897">
        <v>0</v>
      </c>
      <c r="O315" s="1900">
        <f t="shared" si="31"/>
        <v>0</v>
      </c>
      <c r="P315" s="3290" t="s">
        <v>1733</v>
      </c>
      <c r="Q315" s="3290"/>
      <c r="R315" s="1877"/>
    </row>
    <row r="316" spans="1:18" s="1871" customFormat="1">
      <c r="A316" s="1870"/>
      <c r="B316" s="1876" t="s">
        <v>1734</v>
      </c>
      <c r="C316" s="1881" t="s">
        <v>1735</v>
      </c>
      <c r="D316" s="1897">
        <v>0</v>
      </c>
      <c r="E316" s="1897">
        <v>0</v>
      </c>
      <c r="F316" s="1897">
        <v>0</v>
      </c>
      <c r="G316" s="1897">
        <v>0</v>
      </c>
      <c r="H316" s="1897">
        <v>0</v>
      </c>
      <c r="I316" s="1897">
        <v>0</v>
      </c>
      <c r="J316" s="1897">
        <v>0</v>
      </c>
      <c r="K316" s="1897">
        <v>0</v>
      </c>
      <c r="L316" s="1897">
        <v>0</v>
      </c>
      <c r="M316" s="1899">
        <f t="shared" si="30"/>
        <v>0</v>
      </c>
      <c r="N316" s="1897">
        <v>0</v>
      </c>
      <c r="O316" s="1900">
        <f t="shared" si="31"/>
        <v>0</v>
      </c>
      <c r="P316" s="3290" t="s">
        <v>427</v>
      </c>
      <c r="Q316" s="3290"/>
      <c r="R316" s="1877"/>
    </row>
    <row r="317" spans="1:18">
      <c r="A317" s="1870" t="s">
        <v>1736</v>
      </c>
      <c r="B317" s="1879" t="s">
        <v>1737</v>
      </c>
      <c r="C317" s="1880" t="s">
        <v>1738</v>
      </c>
      <c r="D317" s="1897">
        <v>0</v>
      </c>
      <c r="E317" s="1897">
        <v>0</v>
      </c>
      <c r="F317" s="1897">
        <v>0</v>
      </c>
      <c r="G317" s="1897">
        <v>0</v>
      </c>
      <c r="H317" s="1897">
        <v>0</v>
      </c>
      <c r="I317" s="1897">
        <v>0</v>
      </c>
      <c r="J317" s="1897">
        <v>0</v>
      </c>
      <c r="K317" s="1897">
        <v>0</v>
      </c>
      <c r="L317" s="1897">
        <v>0</v>
      </c>
      <c r="M317" s="1899">
        <f t="shared" si="30"/>
        <v>0</v>
      </c>
      <c r="N317" s="1897">
        <f>-M317</f>
        <v>0</v>
      </c>
      <c r="O317" s="2029">
        <f t="shared" si="31"/>
        <v>0</v>
      </c>
      <c r="P317" s="3292" t="s">
        <v>1035</v>
      </c>
      <c r="Q317" s="3290"/>
      <c r="R317" s="1877"/>
    </row>
    <row r="318" spans="1:18">
      <c r="A318" s="1870" t="s">
        <v>1739</v>
      </c>
      <c r="B318" s="1879" t="s">
        <v>1740</v>
      </c>
      <c r="C318" s="1881" t="s">
        <v>1741</v>
      </c>
      <c r="D318" s="1897">
        <v>0</v>
      </c>
      <c r="E318" s="1897">
        <v>0</v>
      </c>
      <c r="F318" s="1897">
        <v>0</v>
      </c>
      <c r="G318" s="1897">
        <v>0</v>
      </c>
      <c r="H318" s="1897">
        <v>0</v>
      </c>
      <c r="I318" s="1897">
        <v>0</v>
      </c>
      <c r="J318" s="1897">
        <v>0</v>
      </c>
      <c r="K318" s="1897">
        <v>0</v>
      </c>
      <c r="L318" s="1897">
        <v>0</v>
      </c>
      <c r="M318" s="1899">
        <f t="shared" si="30"/>
        <v>0</v>
      </c>
      <c r="N318" s="1897">
        <v>0</v>
      </c>
      <c r="O318" s="1900">
        <f t="shared" si="31"/>
        <v>0</v>
      </c>
      <c r="P318" s="3290" t="s">
        <v>1730</v>
      </c>
      <c r="Q318" s="3290"/>
      <c r="R318" s="1877"/>
    </row>
    <row r="319" spans="1:18">
      <c r="A319" s="1870" t="s">
        <v>1742</v>
      </c>
      <c r="B319" s="1876" t="s">
        <v>1743</v>
      </c>
      <c r="C319" s="1881" t="s">
        <v>1744</v>
      </c>
      <c r="D319" s="1897">
        <v>0</v>
      </c>
      <c r="E319" s="1897">
        <v>0</v>
      </c>
      <c r="F319" s="1897">
        <v>0</v>
      </c>
      <c r="G319" s="1897">
        <v>0</v>
      </c>
      <c r="H319" s="1897">
        <v>0</v>
      </c>
      <c r="I319" s="1897">
        <v>0</v>
      </c>
      <c r="J319" s="1897">
        <v>0</v>
      </c>
      <c r="K319" s="1897">
        <v>0</v>
      </c>
      <c r="L319" s="1897">
        <v>0</v>
      </c>
      <c r="M319" s="1899">
        <f t="shared" si="30"/>
        <v>0</v>
      </c>
      <c r="N319" s="1897">
        <v>0</v>
      </c>
      <c r="O319" s="1900">
        <f t="shared" si="31"/>
        <v>0</v>
      </c>
      <c r="P319" s="3290" t="s">
        <v>1733</v>
      </c>
      <c r="Q319" s="3290"/>
      <c r="R319" s="1877"/>
    </row>
    <row r="320" spans="1:18">
      <c r="A320" s="1870" t="s">
        <v>1745</v>
      </c>
      <c r="B320" s="1876" t="s">
        <v>1746</v>
      </c>
      <c r="C320" s="1881" t="s">
        <v>1747</v>
      </c>
      <c r="D320" s="1897">
        <v>0</v>
      </c>
      <c r="E320" s="1897">
        <v>0</v>
      </c>
      <c r="F320" s="1897">
        <v>0</v>
      </c>
      <c r="G320" s="1897">
        <v>0</v>
      </c>
      <c r="H320" s="1897">
        <v>0</v>
      </c>
      <c r="I320" s="1897">
        <v>0</v>
      </c>
      <c r="J320" s="1897">
        <v>0</v>
      </c>
      <c r="K320" s="1897">
        <v>0</v>
      </c>
      <c r="L320" s="1897">
        <v>0</v>
      </c>
      <c r="M320" s="1899">
        <f>SUM(D320:L320)</f>
        <v>0</v>
      </c>
      <c r="N320" s="1897">
        <v>0</v>
      </c>
      <c r="O320" s="1900">
        <f>SUM(M320:N320)</f>
        <v>0</v>
      </c>
      <c r="P320" s="3290" t="s">
        <v>1726</v>
      </c>
      <c r="Q320" s="3290"/>
      <c r="R320" s="1877"/>
    </row>
    <row r="321" spans="1:18">
      <c r="A321" s="1870"/>
      <c r="B321" s="514"/>
      <c r="C321" s="1880"/>
      <c r="D321" s="3726"/>
      <c r="E321" s="3726"/>
      <c r="F321" s="3726"/>
      <c r="G321" s="3726"/>
      <c r="H321" s="3726"/>
      <c r="I321" s="3726"/>
      <c r="J321" s="3726"/>
      <c r="K321" s="3726"/>
      <c r="L321" s="3726"/>
      <c r="M321" s="3726"/>
      <c r="N321" s="3726"/>
      <c r="O321" s="3726"/>
      <c r="P321" s="3290"/>
      <c r="Q321" s="3290"/>
      <c r="R321" s="1877"/>
    </row>
    <row r="322" spans="1:18">
      <c r="A322" s="1870"/>
      <c r="B322" s="510" t="s">
        <v>1748</v>
      </c>
      <c r="C322" s="1880"/>
      <c r="D322" s="1901">
        <f t="shared" ref="D322:N322" si="32">SUM(D312:D320)</f>
        <v>0</v>
      </c>
      <c r="E322" s="1901">
        <f t="shared" si="32"/>
        <v>0</v>
      </c>
      <c r="F322" s="1901">
        <f t="shared" si="32"/>
        <v>0</v>
      </c>
      <c r="G322" s="1901">
        <f t="shared" si="32"/>
        <v>0</v>
      </c>
      <c r="H322" s="1901">
        <f t="shared" si="32"/>
        <v>0</v>
      </c>
      <c r="I322" s="1901">
        <f t="shared" si="32"/>
        <v>0</v>
      </c>
      <c r="J322" s="1901">
        <f t="shared" si="32"/>
        <v>0</v>
      </c>
      <c r="K322" s="1901">
        <f t="shared" si="32"/>
        <v>0</v>
      </c>
      <c r="L322" s="1901">
        <f t="shared" si="32"/>
        <v>0</v>
      </c>
      <c r="M322" s="1901">
        <f t="shared" si="32"/>
        <v>0</v>
      </c>
      <c r="N322" s="1901">
        <f t="shared" si="32"/>
        <v>0</v>
      </c>
      <c r="O322" s="1901">
        <f>SUM(M322:N322)</f>
        <v>0</v>
      </c>
      <c r="P322" s="3290"/>
      <c r="Q322" s="3290"/>
      <c r="R322" s="1877"/>
    </row>
    <row r="323" spans="1:18">
      <c r="A323" s="1870"/>
      <c r="B323" s="514"/>
      <c r="C323" s="1880"/>
      <c r="D323" s="3727"/>
      <c r="E323" s="3727"/>
      <c r="F323" s="3727"/>
      <c r="G323" s="3727"/>
      <c r="H323" s="3727"/>
      <c r="I323" s="3727"/>
      <c r="J323" s="3727"/>
      <c r="K323" s="3727"/>
      <c r="L323" s="3727"/>
      <c r="M323" s="3727"/>
      <c r="N323" s="3727"/>
      <c r="O323" s="3728"/>
      <c r="P323" s="3290"/>
      <c r="Q323" s="3290"/>
      <c r="R323" s="1877"/>
    </row>
    <row r="324" spans="1:18">
      <c r="A324" s="1870"/>
      <c r="B324" s="3732" t="s">
        <v>1749</v>
      </c>
      <c r="C324" s="3730"/>
      <c r="D324" s="1902"/>
      <c r="E324" s="1902"/>
      <c r="F324" s="1902"/>
      <c r="G324" s="1902"/>
      <c r="H324" s="1902"/>
      <c r="I324" s="1902"/>
      <c r="J324" s="1902"/>
      <c r="K324" s="1902"/>
      <c r="L324" s="1902"/>
      <c r="M324" s="1902"/>
      <c r="N324" s="1902"/>
      <c r="O324" s="1900"/>
      <c r="P324" s="3290"/>
      <c r="Q324" s="3290"/>
      <c r="R324" s="1877"/>
    </row>
    <row r="325" spans="1:18">
      <c r="A325" s="1870"/>
      <c r="B325" s="3734"/>
      <c r="C325" s="3725"/>
      <c r="D325" s="1902"/>
      <c r="E325" s="1902"/>
      <c r="F325" s="1902"/>
      <c r="G325" s="1902"/>
      <c r="H325" s="1902"/>
      <c r="I325" s="1902"/>
      <c r="J325" s="1902"/>
      <c r="K325" s="1902"/>
      <c r="L325" s="1902"/>
      <c r="M325" s="1902"/>
      <c r="N325" s="1902"/>
      <c r="O325" s="1900"/>
      <c r="P325" s="3290"/>
      <c r="Q325" s="3290"/>
      <c r="R325" s="1877"/>
    </row>
    <row r="326" spans="1:18">
      <c r="A326" s="1870" t="s">
        <v>1750</v>
      </c>
      <c r="B326" s="1879" t="s">
        <v>1751</v>
      </c>
      <c r="C326" s="1880" t="s">
        <v>1752</v>
      </c>
      <c r="D326" s="1897">
        <v>0</v>
      </c>
      <c r="E326" s="1897">
        <v>0</v>
      </c>
      <c r="F326" s="1897">
        <v>0</v>
      </c>
      <c r="G326" s="1897">
        <v>0</v>
      </c>
      <c r="H326" s="1897">
        <v>0</v>
      </c>
      <c r="I326" s="1897">
        <v>0</v>
      </c>
      <c r="J326" s="1897">
        <v>0</v>
      </c>
      <c r="K326" s="1897">
        <v>0</v>
      </c>
      <c r="L326" s="1897">
        <v>0</v>
      </c>
      <c r="M326" s="1899">
        <f>SUM(D326:L326)</f>
        <v>0</v>
      </c>
      <c r="N326" s="2036">
        <f>-SRECNP!F17</f>
        <v>0</v>
      </c>
      <c r="O326" s="1900">
        <f>SUM(M326:N326)</f>
        <v>0</v>
      </c>
      <c r="P326" s="3290" t="s">
        <v>377</v>
      </c>
      <c r="Q326" s="3290"/>
      <c r="R326" s="1877"/>
    </row>
    <row r="327" spans="1:18">
      <c r="A327" s="1870" t="s">
        <v>1753</v>
      </c>
      <c r="B327" s="1879" t="s">
        <v>1754</v>
      </c>
      <c r="C327" s="1880" t="s">
        <v>1755</v>
      </c>
      <c r="D327" s="1897">
        <v>0</v>
      </c>
      <c r="E327" s="1897">
        <v>0</v>
      </c>
      <c r="F327" s="1897">
        <v>0</v>
      </c>
      <c r="G327" s="1897">
        <v>0</v>
      </c>
      <c r="H327" s="1897">
        <v>0</v>
      </c>
      <c r="I327" s="1897">
        <v>0</v>
      </c>
      <c r="J327" s="1897">
        <v>0</v>
      </c>
      <c r="K327" s="1897">
        <v>0</v>
      </c>
      <c r="L327" s="1897">
        <v>0</v>
      </c>
      <c r="M327" s="1899">
        <f t="shared" ref="M327:M338" si="33">SUM(D327:L327)</f>
        <v>0</v>
      </c>
      <c r="N327" s="1897">
        <v>0</v>
      </c>
      <c r="O327" s="1900">
        <f t="shared" ref="O327:O338" si="34">SUM(M327:N327)</f>
        <v>0</v>
      </c>
      <c r="P327" s="3290" t="s">
        <v>377</v>
      </c>
      <c r="Q327" s="3290"/>
      <c r="R327" s="1877"/>
    </row>
    <row r="328" spans="1:18">
      <c r="A328" s="1870"/>
      <c r="B328" s="1879" t="s">
        <v>1756</v>
      </c>
      <c r="C328" s="1880" t="s">
        <v>1757</v>
      </c>
      <c r="D328" s="1897">
        <v>0</v>
      </c>
      <c r="E328" s="1897">
        <v>0</v>
      </c>
      <c r="F328" s="1897">
        <v>0</v>
      </c>
      <c r="G328" s="1897">
        <v>0</v>
      </c>
      <c r="H328" s="1897">
        <v>0</v>
      </c>
      <c r="I328" s="1897">
        <v>0</v>
      </c>
      <c r="J328" s="1897">
        <v>0</v>
      </c>
      <c r="K328" s="1897">
        <v>0</v>
      </c>
      <c r="L328" s="1897">
        <v>0</v>
      </c>
      <c r="M328" s="1899">
        <f t="shared" si="33"/>
        <v>0</v>
      </c>
      <c r="N328" s="1897">
        <v>0</v>
      </c>
      <c r="O328" s="1900">
        <f t="shared" si="34"/>
        <v>0</v>
      </c>
      <c r="P328" s="3290" t="s">
        <v>377</v>
      </c>
      <c r="Q328" s="3290"/>
      <c r="R328" s="1877"/>
    </row>
    <row r="329" spans="1:18">
      <c r="A329" s="1870" t="s">
        <v>1758</v>
      </c>
      <c r="B329" s="1879" t="s">
        <v>1759</v>
      </c>
      <c r="C329" s="1881" t="s">
        <v>1760</v>
      </c>
      <c r="D329" s="1897">
        <v>0</v>
      </c>
      <c r="E329" s="1897">
        <v>0</v>
      </c>
      <c r="F329" s="1897">
        <v>0</v>
      </c>
      <c r="G329" s="1897">
        <v>0</v>
      </c>
      <c r="H329" s="1897">
        <v>0</v>
      </c>
      <c r="I329" s="1897">
        <v>0</v>
      </c>
      <c r="J329" s="1897">
        <v>0</v>
      </c>
      <c r="K329" s="1897">
        <v>0</v>
      </c>
      <c r="L329" s="1897">
        <v>0</v>
      </c>
      <c r="M329" s="1899">
        <f t="shared" si="33"/>
        <v>0</v>
      </c>
      <c r="N329" s="1897">
        <v>0</v>
      </c>
      <c r="O329" s="1900">
        <f t="shared" si="34"/>
        <v>0</v>
      </c>
      <c r="P329" s="3290" t="s">
        <v>377</v>
      </c>
      <c r="Q329" s="3290"/>
      <c r="R329" s="1877"/>
    </row>
    <row r="330" spans="1:18">
      <c r="A330" s="1870" t="s">
        <v>1761</v>
      </c>
      <c r="B330" s="1879" t="s">
        <v>1762</v>
      </c>
      <c r="C330" s="1880" t="s">
        <v>1763</v>
      </c>
      <c r="D330" s="1897">
        <v>0</v>
      </c>
      <c r="E330" s="1897">
        <v>0</v>
      </c>
      <c r="F330" s="1897">
        <v>0</v>
      </c>
      <c r="G330" s="1897">
        <v>0</v>
      </c>
      <c r="H330" s="1897">
        <v>0</v>
      </c>
      <c r="I330" s="1897">
        <v>0</v>
      </c>
      <c r="J330" s="1897">
        <v>0</v>
      </c>
      <c r="K330" s="1897">
        <v>0</v>
      </c>
      <c r="L330" s="1897">
        <v>0</v>
      </c>
      <c r="M330" s="1899">
        <f t="shared" si="33"/>
        <v>0</v>
      </c>
      <c r="N330" s="1897">
        <v>0</v>
      </c>
      <c r="O330" s="1900">
        <f t="shared" si="34"/>
        <v>0</v>
      </c>
      <c r="P330" s="3290" t="s">
        <v>377</v>
      </c>
      <c r="Q330" s="3290"/>
      <c r="R330" s="1877"/>
    </row>
    <row r="331" spans="1:18">
      <c r="A331" s="1870" t="s">
        <v>1764</v>
      </c>
      <c r="B331" s="1876" t="s">
        <v>1765</v>
      </c>
      <c r="C331" s="1881" t="s">
        <v>1766</v>
      </c>
      <c r="D331" s="1897">
        <v>0</v>
      </c>
      <c r="E331" s="1897">
        <v>0</v>
      </c>
      <c r="F331" s="1897">
        <v>0</v>
      </c>
      <c r="G331" s="1897">
        <v>0</v>
      </c>
      <c r="H331" s="1897">
        <v>0</v>
      </c>
      <c r="I331" s="1897">
        <v>0</v>
      </c>
      <c r="J331" s="1897">
        <v>0</v>
      </c>
      <c r="K331" s="1897">
        <v>0</v>
      </c>
      <c r="L331" s="1897">
        <v>0</v>
      </c>
      <c r="M331" s="1899">
        <f t="shared" si="33"/>
        <v>0</v>
      </c>
      <c r="N331" s="1897">
        <v>0</v>
      </c>
      <c r="O331" s="1900">
        <f t="shared" si="34"/>
        <v>0</v>
      </c>
      <c r="P331" s="3290" t="s">
        <v>1767</v>
      </c>
      <c r="Q331" s="3290"/>
      <c r="R331" s="1877"/>
    </row>
    <row r="332" spans="1:18" s="1871" customFormat="1">
      <c r="A332" s="1870"/>
      <c r="B332" s="1876" t="s">
        <v>1768</v>
      </c>
      <c r="C332" s="1881" t="s">
        <v>1769</v>
      </c>
      <c r="D332" s="1897">
        <v>0</v>
      </c>
      <c r="E332" s="1897">
        <v>0</v>
      </c>
      <c r="F332" s="1897">
        <v>0</v>
      </c>
      <c r="G332" s="1897">
        <v>0</v>
      </c>
      <c r="H332" s="1897">
        <v>0</v>
      </c>
      <c r="I332" s="1897">
        <v>0</v>
      </c>
      <c r="J332" s="1897">
        <v>0</v>
      </c>
      <c r="K332" s="1897">
        <v>0</v>
      </c>
      <c r="L332" s="1897">
        <v>0</v>
      </c>
      <c r="M332" s="1899">
        <f t="shared" si="33"/>
        <v>0</v>
      </c>
      <c r="N332" s="1897">
        <v>0</v>
      </c>
      <c r="O332" s="1900">
        <f t="shared" si="34"/>
        <v>0</v>
      </c>
      <c r="P332" s="3290" t="s">
        <v>1767</v>
      </c>
      <c r="Q332" s="3559"/>
      <c r="R332" s="1877"/>
    </row>
    <row r="333" spans="1:18">
      <c r="A333" s="1870" t="s">
        <v>1770</v>
      </c>
      <c r="B333" s="1876" t="s">
        <v>1771</v>
      </c>
      <c r="C333" s="1881" t="s">
        <v>1772</v>
      </c>
      <c r="D333" s="1897">
        <v>0</v>
      </c>
      <c r="E333" s="1897">
        <v>0</v>
      </c>
      <c r="F333" s="1897">
        <v>0</v>
      </c>
      <c r="G333" s="1897">
        <v>0</v>
      </c>
      <c r="H333" s="1897">
        <v>0</v>
      </c>
      <c r="I333" s="1897">
        <v>0</v>
      </c>
      <c r="J333" s="1897">
        <v>0</v>
      </c>
      <c r="K333" s="1897">
        <v>0</v>
      </c>
      <c r="L333" s="1897">
        <v>0</v>
      </c>
      <c r="M333" s="1899">
        <f t="shared" si="33"/>
        <v>0</v>
      </c>
      <c r="N333" s="1897">
        <v>0</v>
      </c>
      <c r="O333" s="1900">
        <f t="shared" si="34"/>
        <v>0</v>
      </c>
      <c r="P333" s="3290" t="s">
        <v>1773</v>
      </c>
      <c r="Q333" s="3290"/>
      <c r="R333" s="1877"/>
    </row>
    <row r="334" spans="1:18" ht="11.25" customHeight="1">
      <c r="A334" s="1870" t="s">
        <v>1774</v>
      </c>
      <c r="B334" s="1879" t="s">
        <v>1775</v>
      </c>
      <c r="C334" s="1880" t="s">
        <v>1776</v>
      </c>
      <c r="D334" s="1897">
        <v>0</v>
      </c>
      <c r="E334" s="1897">
        <v>0</v>
      </c>
      <c r="F334" s="1897">
        <v>0</v>
      </c>
      <c r="G334" s="1897">
        <v>0</v>
      </c>
      <c r="H334" s="1897">
        <v>0</v>
      </c>
      <c r="I334" s="1897">
        <v>0</v>
      </c>
      <c r="J334" s="1897">
        <v>0</v>
      </c>
      <c r="K334" s="1897">
        <v>0</v>
      </c>
      <c r="L334" s="1897">
        <v>0</v>
      </c>
      <c r="M334" s="1899">
        <f t="shared" si="33"/>
        <v>0</v>
      </c>
      <c r="N334" s="1897">
        <v>0</v>
      </c>
      <c r="O334" s="1900">
        <f t="shared" si="34"/>
        <v>0</v>
      </c>
      <c r="P334" s="3290"/>
      <c r="Q334" s="3290"/>
      <c r="R334" s="1877"/>
    </row>
    <row r="335" spans="1:18">
      <c r="A335" s="1870" t="s">
        <v>1777</v>
      </c>
      <c r="B335" s="1879" t="s">
        <v>1778</v>
      </c>
      <c r="C335" s="1880" t="s">
        <v>1779</v>
      </c>
      <c r="D335" s="1897">
        <v>0</v>
      </c>
      <c r="E335" s="1897">
        <v>0</v>
      </c>
      <c r="F335" s="1897">
        <v>0</v>
      </c>
      <c r="G335" s="1897">
        <v>0</v>
      </c>
      <c r="H335" s="1897">
        <v>0</v>
      </c>
      <c r="I335" s="1897">
        <v>0</v>
      </c>
      <c r="J335" s="1897">
        <v>0</v>
      </c>
      <c r="K335" s="1897">
        <v>0</v>
      </c>
      <c r="L335" s="1897">
        <v>0</v>
      </c>
      <c r="M335" s="1899">
        <f t="shared" si="33"/>
        <v>0</v>
      </c>
      <c r="N335" s="1897">
        <v>0</v>
      </c>
      <c r="O335" s="1900">
        <f t="shared" si="34"/>
        <v>0</v>
      </c>
      <c r="P335" s="3290" t="s">
        <v>1773</v>
      </c>
      <c r="Q335" s="3290"/>
      <c r="R335" s="1877"/>
    </row>
    <row r="336" spans="1:18">
      <c r="A336" s="1870" t="s">
        <v>1780</v>
      </c>
      <c r="B336" s="1879" t="s">
        <v>1781</v>
      </c>
      <c r="C336" s="1880" t="s">
        <v>1782</v>
      </c>
      <c r="D336" s="1897">
        <v>0</v>
      </c>
      <c r="E336" s="1897">
        <v>0</v>
      </c>
      <c r="F336" s="1897">
        <v>0</v>
      </c>
      <c r="G336" s="1897">
        <v>0</v>
      </c>
      <c r="H336" s="1897">
        <v>0</v>
      </c>
      <c r="I336" s="1897">
        <v>0</v>
      </c>
      <c r="J336" s="1897">
        <v>0</v>
      </c>
      <c r="K336" s="1897">
        <v>0</v>
      </c>
      <c r="L336" s="1897">
        <v>0</v>
      </c>
      <c r="M336" s="1899">
        <f t="shared" si="33"/>
        <v>0</v>
      </c>
      <c r="N336" s="1897">
        <f>-M336</f>
        <v>0</v>
      </c>
      <c r="O336" s="2029">
        <f t="shared" si="34"/>
        <v>0</v>
      </c>
      <c r="P336" s="3292" t="s">
        <v>1035</v>
      </c>
      <c r="Q336" s="3290"/>
      <c r="R336" s="1877"/>
    </row>
    <row r="337" spans="1:18">
      <c r="A337" s="1870"/>
      <c r="B337" s="1879" t="s">
        <v>1783</v>
      </c>
      <c r="C337" s="1881" t="s">
        <v>1784</v>
      </c>
      <c r="D337" s="1897">
        <v>0</v>
      </c>
      <c r="E337" s="1897">
        <v>0</v>
      </c>
      <c r="F337" s="1897">
        <v>0</v>
      </c>
      <c r="G337" s="1897">
        <v>0</v>
      </c>
      <c r="H337" s="1897">
        <v>0</v>
      </c>
      <c r="I337" s="1897">
        <v>0</v>
      </c>
      <c r="J337" s="1897">
        <v>0</v>
      </c>
      <c r="K337" s="1897">
        <v>0</v>
      </c>
      <c r="L337" s="1897">
        <v>0</v>
      </c>
      <c r="M337" s="1899">
        <f t="shared" si="33"/>
        <v>0</v>
      </c>
      <c r="N337" s="1897">
        <f>-M337</f>
        <v>0</v>
      </c>
      <c r="O337" s="2029">
        <f t="shared" si="34"/>
        <v>0</v>
      </c>
      <c r="P337" s="3292" t="s">
        <v>1035</v>
      </c>
      <c r="Q337" s="3290"/>
      <c r="R337" s="1877"/>
    </row>
    <row r="338" spans="1:18">
      <c r="A338" s="1870"/>
      <c r="B338" s="1879" t="s">
        <v>1785</v>
      </c>
      <c r="C338" s="1881" t="s">
        <v>1786</v>
      </c>
      <c r="D338" s="1897">
        <v>0</v>
      </c>
      <c r="E338" s="1897">
        <v>0</v>
      </c>
      <c r="F338" s="1897">
        <v>0</v>
      </c>
      <c r="G338" s="1897">
        <v>0</v>
      </c>
      <c r="H338" s="1897">
        <v>0</v>
      </c>
      <c r="I338" s="1897">
        <v>0</v>
      </c>
      <c r="J338" s="1897">
        <v>0</v>
      </c>
      <c r="K338" s="1897">
        <v>0</v>
      </c>
      <c r="L338" s="1897">
        <v>0</v>
      </c>
      <c r="M338" s="1899">
        <f t="shared" si="33"/>
        <v>0</v>
      </c>
      <c r="N338" s="1897">
        <f>-M338</f>
        <v>0</v>
      </c>
      <c r="O338" s="2029">
        <f t="shared" si="34"/>
        <v>0</v>
      </c>
      <c r="P338" s="3292" t="s">
        <v>1035</v>
      </c>
      <c r="Q338" s="3290"/>
      <c r="R338" s="1877"/>
    </row>
    <row r="339" spans="1:18">
      <c r="A339" s="1870"/>
      <c r="B339" s="1879" t="s">
        <v>1787</v>
      </c>
      <c r="C339" s="1881" t="s">
        <v>1788</v>
      </c>
      <c r="D339" s="1897">
        <v>0</v>
      </c>
      <c r="E339" s="1897">
        <v>0</v>
      </c>
      <c r="F339" s="1897">
        <v>0</v>
      </c>
      <c r="G339" s="1897">
        <v>0</v>
      </c>
      <c r="H339" s="1897">
        <v>0</v>
      </c>
      <c r="I339" s="1897">
        <v>0</v>
      </c>
      <c r="J339" s="1897">
        <v>0</v>
      </c>
      <c r="K339" s="1897">
        <v>0</v>
      </c>
      <c r="L339" s="1897">
        <v>0</v>
      </c>
      <c r="M339" s="1899">
        <f>SUM(D339:L339)</f>
        <v>0</v>
      </c>
      <c r="N339" s="1897">
        <f>-M339</f>
        <v>0</v>
      </c>
      <c r="O339" s="2029">
        <f>SUM(M339:N339)</f>
        <v>0</v>
      </c>
      <c r="P339" s="3292" t="s">
        <v>1035</v>
      </c>
      <c r="Q339" s="3290"/>
      <c r="R339" s="1877"/>
    </row>
    <row r="340" spans="1:18">
      <c r="A340" s="1870"/>
      <c r="B340" s="514"/>
      <c r="C340" s="1880"/>
      <c r="D340" s="3726"/>
      <c r="E340" s="3726"/>
      <c r="F340" s="3726"/>
      <c r="G340" s="3726"/>
      <c r="H340" s="3726"/>
      <c r="I340" s="3726"/>
      <c r="J340" s="3726"/>
      <c r="K340" s="3726"/>
      <c r="L340" s="3726"/>
      <c r="M340" s="3726"/>
      <c r="N340" s="3726"/>
      <c r="O340" s="3726"/>
      <c r="P340" s="3290"/>
      <c r="Q340" s="3290"/>
      <c r="R340" s="1877"/>
    </row>
    <row r="341" spans="1:18">
      <c r="A341" s="1870"/>
      <c r="B341" s="510" t="s">
        <v>1789</v>
      </c>
      <c r="C341" s="1880"/>
      <c r="D341" s="1901">
        <f>SUM(D326:D339)</f>
        <v>0</v>
      </c>
      <c r="E341" s="1901">
        <f t="shared" ref="E341:M341" si="35">SUM(E326:E339)</f>
        <v>0</v>
      </c>
      <c r="F341" s="1901">
        <f t="shared" si="35"/>
        <v>0</v>
      </c>
      <c r="G341" s="1901">
        <f t="shared" si="35"/>
        <v>0</v>
      </c>
      <c r="H341" s="1901">
        <f t="shared" si="35"/>
        <v>0</v>
      </c>
      <c r="I341" s="1901">
        <f t="shared" si="35"/>
        <v>0</v>
      </c>
      <c r="J341" s="1901">
        <f t="shared" si="35"/>
        <v>0</v>
      </c>
      <c r="K341" s="1901">
        <f t="shared" si="35"/>
        <v>0</v>
      </c>
      <c r="L341" s="1901">
        <f t="shared" si="35"/>
        <v>0</v>
      </c>
      <c r="M341" s="1901">
        <f t="shared" si="35"/>
        <v>0</v>
      </c>
      <c r="N341" s="1901">
        <f>SUM(N326:N339)</f>
        <v>0</v>
      </c>
      <c r="O341" s="1901">
        <f>SUM(M341:N341)</f>
        <v>0</v>
      </c>
      <c r="P341" s="3290"/>
      <c r="Q341" s="3290"/>
      <c r="R341" s="1877"/>
    </row>
    <row r="342" spans="1:18">
      <c r="A342" s="1870"/>
      <c r="B342" s="514"/>
      <c r="C342" s="1880"/>
      <c r="D342" s="3727"/>
      <c r="E342" s="3727"/>
      <c r="F342" s="3727"/>
      <c r="G342" s="3727"/>
      <c r="H342" s="3727"/>
      <c r="I342" s="3727"/>
      <c r="J342" s="3727"/>
      <c r="K342" s="3727"/>
      <c r="L342" s="3727"/>
      <c r="M342" s="1899"/>
      <c r="N342" s="1899"/>
      <c r="O342" s="3728"/>
      <c r="P342" s="3290"/>
      <c r="Q342" s="3290"/>
      <c r="R342" s="1877"/>
    </row>
    <row r="343" spans="1:18">
      <c r="A343" s="1870" t="s">
        <v>1790</v>
      </c>
      <c r="B343" s="1879" t="s">
        <v>1791</v>
      </c>
      <c r="C343" s="1881" t="s">
        <v>353</v>
      </c>
      <c r="D343" s="1897">
        <v>0</v>
      </c>
      <c r="E343" s="1897">
        <v>0</v>
      </c>
      <c r="F343" s="1897">
        <v>0</v>
      </c>
      <c r="G343" s="1897">
        <v>0</v>
      </c>
      <c r="H343" s="1897">
        <v>0</v>
      </c>
      <c r="I343" s="1897">
        <v>0</v>
      </c>
      <c r="J343" s="1897">
        <v>0</v>
      </c>
      <c r="K343" s="1897">
        <v>0</v>
      </c>
      <c r="L343" s="1897">
        <v>0</v>
      </c>
      <c r="M343" s="1899">
        <f>SUM(D343:L343)</f>
        <v>0</v>
      </c>
      <c r="N343" s="1897">
        <v>0</v>
      </c>
      <c r="O343" s="1904">
        <f>SUM(M343:N343)</f>
        <v>0</v>
      </c>
      <c r="P343" s="3290" t="s">
        <v>104</v>
      </c>
      <c r="Q343" s="3290"/>
      <c r="R343" s="1877"/>
    </row>
    <row r="344" spans="1:18">
      <c r="A344" s="1870"/>
      <c r="B344" s="514" t="s">
        <v>1792</v>
      </c>
      <c r="C344" s="1880" t="s">
        <v>1792</v>
      </c>
      <c r="D344" s="3561"/>
      <c r="E344" s="3561"/>
      <c r="F344" s="3561"/>
      <c r="G344" s="3561"/>
      <c r="H344" s="3561"/>
      <c r="I344" s="3561"/>
      <c r="J344" s="3561"/>
      <c r="K344" s="3561"/>
      <c r="L344" s="3561"/>
      <c r="M344" s="3561"/>
      <c r="N344" s="3561"/>
      <c r="O344" s="3561"/>
      <c r="P344" s="3290"/>
      <c r="Q344" s="3290"/>
      <c r="R344" s="1877"/>
    </row>
    <row r="345" spans="1:18">
      <c r="A345" s="1870"/>
      <c r="B345" s="510" t="s">
        <v>1793</v>
      </c>
      <c r="C345" s="1880"/>
      <c r="D345" s="1905">
        <f t="shared" ref="D345:N345" si="36">D343</f>
        <v>0</v>
      </c>
      <c r="E345" s="1905">
        <f t="shared" si="36"/>
        <v>0</v>
      </c>
      <c r="F345" s="1905">
        <f t="shared" si="36"/>
        <v>0</v>
      </c>
      <c r="G345" s="1905">
        <f t="shared" si="36"/>
        <v>0</v>
      </c>
      <c r="H345" s="1905">
        <f t="shared" si="36"/>
        <v>0</v>
      </c>
      <c r="I345" s="1905">
        <f t="shared" si="36"/>
        <v>0</v>
      </c>
      <c r="J345" s="1905">
        <f t="shared" si="36"/>
        <v>0</v>
      </c>
      <c r="K345" s="1905">
        <f t="shared" si="36"/>
        <v>0</v>
      </c>
      <c r="L345" s="1905">
        <f t="shared" si="36"/>
        <v>0</v>
      </c>
      <c r="M345" s="1905">
        <f t="shared" si="36"/>
        <v>0</v>
      </c>
      <c r="N345" s="1905">
        <f t="shared" si="36"/>
        <v>0</v>
      </c>
      <c r="O345" s="1901">
        <f>SUM(M345:N345)</f>
        <v>0</v>
      </c>
      <c r="P345" s="3290"/>
      <c r="Q345" s="3290"/>
      <c r="R345" s="1877"/>
    </row>
    <row r="346" spans="1:18">
      <c r="A346" s="1870"/>
      <c r="B346" s="514"/>
      <c r="C346" s="1880"/>
      <c r="D346" s="3727"/>
      <c r="E346" s="3727"/>
      <c r="F346" s="3727"/>
      <c r="G346" s="3727"/>
      <c r="H346" s="3727"/>
      <c r="I346" s="3727"/>
      <c r="J346" s="3727"/>
      <c r="K346" s="3727"/>
      <c r="L346" s="3727"/>
      <c r="M346" s="3727"/>
      <c r="N346" s="3727"/>
      <c r="O346" s="3728"/>
      <c r="P346" s="3290"/>
      <c r="Q346" s="3290"/>
      <c r="R346" s="1877"/>
    </row>
    <row r="347" spans="1:18">
      <c r="A347" s="1870"/>
      <c r="B347" s="3732" t="s">
        <v>1794</v>
      </c>
      <c r="C347" s="3730"/>
      <c r="D347" s="1902"/>
      <c r="E347" s="1902"/>
      <c r="F347" s="1902"/>
      <c r="G347" s="1902"/>
      <c r="H347" s="1902"/>
      <c r="I347" s="1902"/>
      <c r="J347" s="1902"/>
      <c r="K347" s="1902"/>
      <c r="L347" s="1902"/>
      <c r="M347" s="1902"/>
      <c r="N347" s="1902"/>
      <c r="O347" s="1900"/>
      <c r="P347" s="3290"/>
      <c r="Q347" s="3290"/>
      <c r="R347" s="1877"/>
    </row>
    <row r="348" spans="1:18">
      <c r="A348" s="1870"/>
      <c r="B348" s="3734"/>
      <c r="C348" s="3725"/>
      <c r="D348" s="1902"/>
      <c r="E348" s="1902"/>
      <c r="F348" s="1902"/>
      <c r="G348" s="1902"/>
      <c r="H348" s="1902"/>
      <c r="I348" s="1902"/>
      <c r="J348" s="1902"/>
      <c r="K348" s="1902"/>
      <c r="L348" s="1902"/>
      <c r="M348" s="1902"/>
      <c r="N348" s="1902"/>
      <c r="O348" s="1900"/>
      <c r="P348" s="3290"/>
      <c r="Q348" s="3290"/>
      <c r="R348" s="1877"/>
    </row>
    <row r="349" spans="1:18">
      <c r="A349" s="1870" t="s">
        <v>1795</v>
      </c>
      <c r="B349" s="1879" t="s">
        <v>1796</v>
      </c>
      <c r="C349" s="1880" t="s">
        <v>362</v>
      </c>
      <c r="D349" s="1897">
        <v>0</v>
      </c>
      <c r="E349" s="1897">
        <v>0</v>
      </c>
      <c r="F349" s="1897">
        <v>0</v>
      </c>
      <c r="G349" s="1897">
        <v>0</v>
      </c>
      <c r="H349" s="1897">
        <v>0</v>
      </c>
      <c r="I349" s="1897">
        <v>0</v>
      </c>
      <c r="J349" s="1897">
        <v>0</v>
      </c>
      <c r="K349" s="1897">
        <v>0</v>
      </c>
      <c r="L349" s="1897">
        <v>0</v>
      </c>
      <c r="M349" s="1899">
        <f>SUM(D349:L349)</f>
        <v>0</v>
      </c>
      <c r="N349" s="1897">
        <v>0</v>
      </c>
      <c r="O349" s="1900">
        <f>SUM(M349:N349)</f>
        <v>0</v>
      </c>
      <c r="P349" s="3290" t="s">
        <v>409</v>
      </c>
      <c r="Q349" s="3290"/>
      <c r="R349" s="1877"/>
    </row>
    <row r="350" spans="1:18">
      <c r="A350" s="1870" t="s">
        <v>1797</v>
      </c>
      <c r="B350" s="1879" t="s">
        <v>1798</v>
      </c>
      <c r="C350" s="1880" t="s">
        <v>360</v>
      </c>
      <c r="D350" s="1897">
        <v>0</v>
      </c>
      <c r="E350" s="1897">
        <v>0</v>
      </c>
      <c r="F350" s="1897">
        <v>0</v>
      </c>
      <c r="G350" s="1897">
        <v>0</v>
      </c>
      <c r="H350" s="1897">
        <v>0</v>
      </c>
      <c r="I350" s="1897">
        <v>0</v>
      </c>
      <c r="J350" s="1897">
        <v>0</v>
      </c>
      <c r="K350" s="1897">
        <v>0</v>
      </c>
      <c r="L350" s="1897">
        <v>0</v>
      </c>
      <c r="M350" s="1899">
        <f>SUM(D350:L350)</f>
        <v>0</v>
      </c>
      <c r="N350" s="1897">
        <v>0</v>
      </c>
      <c r="O350" s="1900">
        <f>SUM(M350:N350)</f>
        <v>0</v>
      </c>
      <c r="P350" s="3290" t="s">
        <v>1799</v>
      </c>
      <c r="Q350" s="3290"/>
      <c r="R350" s="1877"/>
    </row>
    <row r="351" spans="1:18">
      <c r="A351" s="1870" t="s">
        <v>1800</v>
      </c>
      <c r="B351" s="1879" t="s">
        <v>1801</v>
      </c>
      <c r="C351" s="1880" t="s">
        <v>312</v>
      </c>
      <c r="D351" s="1897">
        <v>0</v>
      </c>
      <c r="E351" s="1897">
        <v>0</v>
      </c>
      <c r="F351" s="1897">
        <v>0</v>
      </c>
      <c r="G351" s="1897">
        <v>0</v>
      </c>
      <c r="H351" s="1897">
        <v>0</v>
      </c>
      <c r="I351" s="1897">
        <v>0</v>
      </c>
      <c r="J351" s="1897">
        <v>0</v>
      </c>
      <c r="K351" s="1897">
        <v>0</v>
      </c>
      <c r="L351" s="1897">
        <v>0</v>
      </c>
      <c r="M351" s="1899">
        <f>SUM(D351:L351)</f>
        <v>0</v>
      </c>
      <c r="N351" s="1897">
        <v>0</v>
      </c>
      <c r="O351" s="1900">
        <f>SUM(M351:N351)</f>
        <v>0</v>
      </c>
      <c r="P351" s="3290" t="s">
        <v>379</v>
      </c>
      <c r="Q351" s="3290"/>
      <c r="R351" s="1877"/>
    </row>
    <row r="352" spans="1:18">
      <c r="A352" s="1870" t="s">
        <v>1802</v>
      </c>
      <c r="B352" s="1879" t="s">
        <v>1803</v>
      </c>
      <c r="C352" s="1880" t="s">
        <v>1804</v>
      </c>
      <c r="D352" s="1897">
        <v>0</v>
      </c>
      <c r="E352" s="1897">
        <v>0</v>
      </c>
      <c r="F352" s="1897">
        <v>0</v>
      </c>
      <c r="G352" s="1897">
        <v>0</v>
      </c>
      <c r="H352" s="1897">
        <v>0</v>
      </c>
      <c r="I352" s="1897">
        <v>0</v>
      </c>
      <c r="J352" s="1897">
        <v>0</v>
      </c>
      <c r="K352" s="1897">
        <v>0</v>
      </c>
      <c r="L352" s="1897">
        <v>0</v>
      </c>
      <c r="M352" s="1899">
        <f>SUM(D352:L352)</f>
        <v>0</v>
      </c>
      <c r="N352" s="1897">
        <v>0</v>
      </c>
      <c r="O352" s="1900">
        <f>SUM(M352:N352)</f>
        <v>0</v>
      </c>
      <c r="P352" s="3290" t="s">
        <v>379</v>
      </c>
      <c r="Q352" s="3290"/>
      <c r="R352" s="1877"/>
    </row>
    <row r="353" spans="1:18">
      <c r="A353" s="1870"/>
      <c r="B353" s="514"/>
      <c r="C353" s="1880"/>
      <c r="D353" s="3726"/>
      <c r="E353" s="3726"/>
      <c r="F353" s="3726"/>
      <c r="G353" s="3726"/>
      <c r="H353" s="3726"/>
      <c r="I353" s="3726"/>
      <c r="J353" s="3726"/>
      <c r="K353" s="3726"/>
      <c r="L353" s="3726"/>
      <c r="M353" s="3726"/>
      <c r="N353" s="3726"/>
      <c r="O353" s="3726"/>
      <c r="P353" s="3290"/>
      <c r="Q353" s="3290"/>
      <c r="R353" s="1877"/>
    </row>
    <row r="354" spans="1:18">
      <c r="A354" s="1870"/>
      <c r="B354" s="510" t="s">
        <v>1805</v>
      </c>
      <c r="C354" s="1880"/>
      <c r="D354" s="1901">
        <f>SUM(D349:D352)</f>
        <v>0</v>
      </c>
      <c r="E354" s="1901">
        <f t="shared" ref="E354:M354" si="37">SUM(E349:E352)</f>
        <v>0</v>
      </c>
      <c r="F354" s="1901">
        <f t="shared" si="37"/>
        <v>0</v>
      </c>
      <c r="G354" s="1901">
        <f t="shared" si="37"/>
        <v>0</v>
      </c>
      <c r="H354" s="1901">
        <f t="shared" si="37"/>
        <v>0</v>
      </c>
      <c r="I354" s="1901">
        <f t="shared" si="37"/>
        <v>0</v>
      </c>
      <c r="J354" s="1901">
        <f t="shared" si="37"/>
        <v>0</v>
      </c>
      <c r="K354" s="1901">
        <f t="shared" si="37"/>
        <v>0</v>
      </c>
      <c r="L354" s="1901">
        <f t="shared" si="37"/>
        <v>0</v>
      </c>
      <c r="M354" s="1901">
        <f t="shared" si="37"/>
        <v>0</v>
      </c>
      <c r="N354" s="1901">
        <f>SUM(N349:N352)</f>
        <v>0</v>
      </c>
      <c r="O354" s="1901">
        <f>SUM(M354:N354)</f>
        <v>0</v>
      </c>
      <c r="P354" s="3290"/>
      <c r="Q354" s="3290"/>
      <c r="R354" s="1877"/>
    </row>
    <row r="355" spans="1:18">
      <c r="A355" s="1870"/>
      <c r="B355" s="514"/>
      <c r="C355" s="1880"/>
      <c r="D355" s="3727"/>
      <c r="E355" s="3727"/>
      <c r="F355" s="3727"/>
      <c r="G355" s="3727"/>
      <c r="H355" s="3727"/>
      <c r="I355" s="3727"/>
      <c r="J355" s="3727"/>
      <c r="K355" s="3727"/>
      <c r="L355" s="3727"/>
      <c r="M355" s="3727"/>
      <c r="N355" s="3727"/>
      <c r="O355" s="3728"/>
      <c r="P355" s="3290"/>
      <c r="Q355" s="3290"/>
      <c r="R355" s="1877"/>
    </row>
    <row r="356" spans="1:18">
      <c r="A356" s="1870"/>
      <c r="B356" s="3732" t="s">
        <v>1806</v>
      </c>
      <c r="C356" s="3730"/>
      <c r="D356" s="1902"/>
      <c r="E356" s="1902"/>
      <c r="F356" s="1902"/>
      <c r="G356" s="1902"/>
      <c r="H356" s="1902"/>
      <c r="I356" s="1902"/>
      <c r="J356" s="1902"/>
      <c r="K356" s="1902"/>
      <c r="L356" s="1902"/>
      <c r="M356" s="1902"/>
      <c r="N356" s="1902"/>
      <c r="O356" s="1900"/>
      <c r="P356" s="3290"/>
      <c r="Q356" s="3290"/>
      <c r="R356" s="1877"/>
    </row>
    <row r="357" spans="1:18">
      <c r="A357" s="1870"/>
      <c r="B357" s="3734"/>
      <c r="C357" s="3725"/>
      <c r="D357" s="1902"/>
      <c r="E357" s="1902"/>
      <c r="F357" s="1902"/>
      <c r="G357" s="1902"/>
      <c r="H357" s="1902"/>
      <c r="I357" s="1902"/>
      <c r="J357" s="1902"/>
      <c r="K357" s="1902"/>
      <c r="L357" s="1902"/>
      <c r="M357" s="1902"/>
      <c r="N357" s="1902"/>
      <c r="O357" s="1900"/>
      <c r="P357" s="3290"/>
      <c r="Q357" s="3290"/>
      <c r="R357" s="1877"/>
    </row>
    <row r="358" spans="1:18">
      <c r="A358" s="1870" t="s">
        <v>1807</v>
      </c>
      <c r="B358" s="514" t="s">
        <v>1808</v>
      </c>
      <c r="C358" s="1880" t="s">
        <v>1809</v>
      </c>
      <c r="D358" s="1897">
        <v>0</v>
      </c>
      <c r="E358" s="1897">
        <v>0</v>
      </c>
      <c r="F358" s="1897">
        <v>0</v>
      </c>
      <c r="G358" s="1897">
        <v>0</v>
      </c>
      <c r="H358" s="1897">
        <v>0</v>
      </c>
      <c r="I358" s="1897">
        <v>0</v>
      </c>
      <c r="J358" s="1897">
        <v>0</v>
      </c>
      <c r="K358" s="1897">
        <v>0</v>
      </c>
      <c r="L358" s="1897">
        <v>0</v>
      </c>
      <c r="M358" s="1899">
        <f>SUM(D358:L358)</f>
        <v>0</v>
      </c>
      <c r="N358" s="1897">
        <f t="shared" ref="N358:N371" si="38">-M358</f>
        <v>0</v>
      </c>
      <c r="O358" s="2026">
        <f>SUM(M358:N358)</f>
        <v>0</v>
      </c>
      <c r="P358" s="3292" t="s">
        <v>1035</v>
      </c>
      <c r="Q358" s="3290"/>
      <c r="R358" s="1877"/>
    </row>
    <row r="359" spans="1:18">
      <c r="A359" s="1870" t="s">
        <v>1810</v>
      </c>
      <c r="B359" s="514" t="s">
        <v>1811</v>
      </c>
      <c r="C359" s="1880" t="s">
        <v>1812</v>
      </c>
      <c r="D359" s="1897">
        <v>0</v>
      </c>
      <c r="E359" s="1897">
        <v>0</v>
      </c>
      <c r="F359" s="1897">
        <v>0</v>
      </c>
      <c r="G359" s="1897">
        <v>0</v>
      </c>
      <c r="H359" s="1897">
        <v>0</v>
      </c>
      <c r="I359" s="1897">
        <v>0</v>
      </c>
      <c r="J359" s="1897">
        <v>0</v>
      </c>
      <c r="K359" s="1897">
        <v>0</v>
      </c>
      <c r="L359" s="1897">
        <v>0</v>
      </c>
      <c r="M359" s="1899">
        <f t="shared" ref="M359:M378" si="39">SUM(D359:L359)</f>
        <v>0</v>
      </c>
      <c r="N359" s="1897">
        <f t="shared" si="38"/>
        <v>0</v>
      </c>
      <c r="O359" s="2026">
        <f t="shared" ref="O359:O378" si="40">SUM(M359:N359)</f>
        <v>0</v>
      </c>
      <c r="P359" s="3292" t="s">
        <v>1035</v>
      </c>
      <c r="Q359" s="3290"/>
      <c r="R359" s="1877"/>
    </row>
    <row r="360" spans="1:18">
      <c r="A360" s="1870" t="s">
        <v>1813</v>
      </c>
      <c r="B360" s="514" t="s">
        <v>1814</v>
      </c>
      <c r="C360" s="1880" t="s">
        <v>1815</v>
      </c>
      <c r="D360" s="1897">
        <v>0</v>
      </c>
      <c r="E360" s="1897">
        <v>0</v>
      </c>
      <c r="F360" s="1897">
        <v>0</v>
      </c>
      <c r="G360" s="1897">
        <v>0</v>
      </c>
      <c r="H360" s="1897">
        <v>0</v>
      </c>
      <c r="I360" s="1897">
        <v>0</v>
      </c>
      <c r="J360" s="1897">
        <v>0</v>
      </c>
      <c r="K360" s="1897">
        <v>0</v>
      </c>
      <c r="L360" s="1897">
        <v>0</v>
      </c>
      <c r="M360" s="1899">
        <f t="shared" si="39"/>
        <v>0</v>
      </c>
      <c r="N360" s="1897">
        <f t="shared" si="38"/>
        <v>0</v>
      </c>
      <c r="O360" s="2026">
        <f t="shared" si="40"/>
        <v>0</v>
      </c>
      <c r="P360" s="3292" t="s">
        <v>1035</v>
      </c>
      <c r="Q360" s="3290"/>
      <c r="R360" s="1877"/>
    </row>
    <row r="361" spans="1:18">
      <c r="A361" s="1870"/>
      <c r="B361" s="514" t="s">
        <v>1816</v>
      </c>
      <c r="C361" s="1880" t="s">
        <v>1817</v>
      </c>
      <c r="D361" s="1897">
        <v>0</v>
      </c>
      <c r="E361" s="1897">
        <v>0</v>
      </c>
      <c r="F361" s="1897">
        <v>0</v>
      </c>
      <c r="G361" s="1897">
        <v>0</v>
      </c>
      <c r="H361" s="1897">
        <v>0</v>
      </c>
      <c r="I361" s="1897">
        <v>0</v>
      </c>
      <c r="J361" s="1897">
        <v>0</v>
      </c>
      <c r="K361" s="1897">
        <v>0</v>
      </c>
      <c r="L361" s="1897">
        <v>0</v>
      </c>
      <c r="M361" s="1899">
        <f t="shared" si="39"/>
        <v>0</v>
      </c>
      <c r="N361" s="1897">
        <f t="shared" si="38"/>
        <v>0</v>
      </c>
      <c r="O361" s="2026">
        <f t="shared" si="40"/>
        <v>0</v>
      </c>
      <c r="P361" s="3292" t="s">
        <v>1035</v>
      </c>
      <c r="Q361" s="3290"/>
      <c r="R361" s="1877"/>
    </row>
    <row r="362" spans="1:18">
      <c r="A362" s="1870" t="s">
        <v>1818</v>
      </c>
      <c r="B362" s="514" t="s">
        <v>1819</v>
      </c>
      <c r="C362" s="1880" t="s">
        <v>1820</v>
      </c>
      <c r="D362" s="1897">
        <v>0</v>
      </c>
      <c r="E362" s="1897">
        <v>0</v>
      </c>
      <c r="F362" s="1897">
        <v>0</v>
      </c>
      <c r="G362" s="1897">
        <v>0</v>
      </c>
      <c r="H362" s="1897">
        <v>0</v>
      </c>
      <c r="I362" s="1897">
        <v>0</v>
      </c>
      <c r="J362" s="1897">
        <v>0</v>
      </c>
      <c r="K362" s="1897">
        <v>0</v>
      </c>
      <c r="L362" s="1897">
        <v>0</v>
      </c>
      <c r="M362" s="1899">
        <f t="shared" si="39"/>
        <v>0</v>
      </c>
      <c r="N362" s="1897">
        <f t="shared" si="38"/>
        <v>0</v>
      </c>
      <c r="O362" s="2026">
        <f t="shared" si="40"/>
        <v>0</v>
      </c>
      <c r="P362" s="3292" t="s">
        <v>1035</v>
      </c>
      <c r="Q362" s="3290"/>
      <c r="R362" s="1877"/>
    </row>
    <row r="363" spans="1:18">
      <c r="A363" s="1870" t="s">
        <v>1821</v>
      </c>
      <c r="B363" s="514" t="s">
        <v>1822</v>
      </c>
      <c r="C363" s="1880" t="s">
        <v>1823</v>
      </c>
      <c r="D363" s="1897">
        <v>0</v>
      </c>
      <c r="E363" s="1897">
        <v>0</v>
      </c>
      <c r="F363" s="1897">
        <v>0</v>
      </c>
      <c r="G363" s="1897">
        <v>0</v>
      </c>
      <c r="H363" s="1897">
        <v>0</v>
      </c>
      <c r="I363" s="1897">
        <v>0</v>
      </c>
      <c r="J363" s="1897">
        <v>0</v>
      </c>
      <c r="K363" s="1897">
        <v>0</v>
      </c>
      <c r="L363" s="1897">
        <v>0</v>
      </c>
      <c r="M363" s="1899">
        <f t="shared" si="39"/>
        <v>0</v>
      </c>
      <c r="N363" s="1897">
        <f t="shared" si="38"/>
        <v>0</v>
      </c>
      <c r="O363" s="2026">
        <f t="shared" si="40"/>
        <v>0</v>
      </c>
      <c r="P363" s="3292" t="s">
        <v>1035</v>
      </c>
      <c r="Q363" s="3290"/>
      <c r="R363" s="1877"/>
    </row>
    <row r="364" spans="1:18">
      <c r="A364" s="1870" t="s">
        <v>1824</v>
      </c>
      <c r="B364" s="514" t="s">
        <v>1825</v>
      </c>
      <c r="C364" s="1880" t="s">
        <v>1826</v>
      </c>
      <c r="D364" s="1897">
        <v>0</v>
      </c>
      <c r="E364" s="1897">
        <v>0</v>
      </c>
      <c r="F364" s="1897">
        <v>0</v>
      </c>
      <c r="G364" s="1897">
        <v>0</v>
      </c>
      <c r="H364" s="1897">
        <v>0</v>
      </c>
      <c r="I364" s="1897">
        <v>0</v>
      </c>
      <c r="J364" s="1897">
        <v>0</v>
      </c>
      <c r="K364" s="1897">
        <v>0</v>
      </c>
      <c r="L364" s="1897">
        <v>0</v>
      </c>
      <c r="M364" s="1899">
        <f t="shared" si="39"/>
        <v>0</v>
      </c>
      <c r="N364" s="1897">
        <f t="shared" si="38"/>
        <v>0</v>
      </c>
      <c r="O364" s="2026">
        <f t="shared" si="40"/>
        <v>0</v>
      </c>
      <c r="P364" s="3292" t="s">
        <v>1035</v>
      </c>
      <c r="Q364" s="3290"/>
      <c r="R364" s="1877"/>
    </row>
    <row r="365" spans="1:18">
      <c r="A365" s="1870" t="s">
        <v>1827</v>
      </c>
      <c r="B365" s="514" t="s">
        <v>1828</v>
      </c>
      <c r="C365" s="1880" t="s">
        <v>1829</v>
      </c>
      <c r="D365" s="1897">
        <v>0</v>
      </c>
      <c r="E365" s="1897">
        <v>0</v>
      </c>
      <c r="F365" s="1897">
        <v>0</v>
      </c>
      <c r="G365" s="1897">
        <v>0</v>
      </c>
      <c r="H365" s="1897">
        <v>0</v>
      </c>
      <c r="I365" s="1897">
        <v>0</v>
      </c>
      <c r="J365" s="1897">
        <v>0</v>
      </c>
      <c r="K365" s="1897">
        <v>0</v>
      </c>
      <c r="L365" s="1897">
        <v>0</v>
      </c>
      <c r="M365" s="1899">
        <f t="shared" si="39"/>
        <v>0</v>
      </c>
      <c r="N365" s="1897">
        <f t="shared" si="38"/>
        <v>0</v>
      </c>
      <c r="O365" s="2026">
        <f t="shared" si="40"/>
        <v>0</v>
      </c>
      <c r="P365" s="3292" t="s">
        <v>1035</v>
      </c>
      <c r="Q365" s="3290"/>
      <c r="R365" s="1877"/>
    </row>
    <row r="366" spans="1:18">
      <c r="A366" s="1870" t="s">
        <v>1830</v>
      </c>
      <c r="B366" s="514" t="s">
        <v>1831</v>
      </c>
      <c r="C366" s="1880" t="s">
        <v>1832</v>
      </c>
      <c r="D366" s="1897">
        <v>0</v>
      </c>
      <c r="E366" s="1897">
        <v>0</v>
      </c>
      <c r="F366" s="1897">
        <v>0</v>
      </c>
      <c r="G366" s="1897">
        <v>0</v>
      </c>
      <c r="H366" s="1897">
        <v>0</v>
      </c>
      <c r="I366" s="1897">
        <v>0</v>
      </c>
      <c r="J366" s="1897">
        <v>0</v>
      </c>
      <c r="K366" s="1897">
        <v>0</v>
      </c>
      <c r="L366" s="1897">
        <v>0</v>
      </c>
      <c r="M366" s="1899">
        <f t="shared" si="39"/>
        <v>0</v>
      </c>
      <c r="N366" s="1897">
        <f t="shared" si="38"/>
        <v>0</v>
      </c>
      <c r="O366" s="2026">
        <f t="shared" si="40"/>
        <v>0</v>
      </c>
      <c r="P366" s="3292" t="s">
        <v>1035</v>
      </c>
      <c r="Q366" s="3290"/>
      <c r="R366" s="1877"/>
    </row>
    <row r="367" spans="1:18">
      <c r="A367" s="1870" t="s">
        <v>1833</v>
      </c>
      <c r="B367" s="514" t="s">
        <v>1834</v>
      </c>
      <c r="C367" s="1880" t="s">
        <v>1835</v>
      </c>
      <c r="D367" s="1897">
        <v>0</v>
      </c>
      <c r="E367" s="1897">
        <v>0</v>
      </c>
      <c r="F367" s="1897">
        <v>0</v>
      </c>
      <c r="G367" s="1897">
        <v>0</v>
      </c>
      <c r="H367" s="1897">
        <v>0</v>
      </c>
      <c r="I367" s="1897">
        <v>0</v>
      </c>
      <c r="J367" s="1897">
        <v>0</v>
      </c>
      <c r="K367" s="1897">
        <v>0</v>
      </c>
      <c r="L367" s="1897">
        <v>0</v>
      </c>
      <c r="M367" s="1899">
        <f t="shared" si="39"/>
        <v>0</v>
      </c>
      <c r="N367" s="1897">
        <f t="shared" si="38"/>
        <v>0</v>
      </c>
      <c r="O367" s="2026">
        <f t="shared" si="40"/>
        <v>0</v>
      </c>
      <c r="P367" s="3292" t="s">
        <v>1035</v>
      </c>
      <c r="Q367" s="3290"/>
      <c r="R367" s="1877"/>
    </row>
    <row r="368" spans="1:18">
      <c r="A368" s="1870" t="s">
        <v>1836</v>
      </c>
      <c r="B368" s="514" t="s">
        <v>1837</v>
      </c>
      <c r="C368" s="1880" t="s">
        <v>1838</v>
      </c>
      <c r="D368" s="1897">
        <v>0</v>
      </c>
      <c r="E368" s="1897">
        <v>0</v>
      </c>
      <c r="F368" s="1897">
        <v>0</v>
      </c>
      <c r="G368" s="1897">
        <v>0</v>
      </c>
      <c r="H368" s="1897">
        <v>0</v>
      </c>
      <c r="I368" s="1897">
        <v>0</v>
      </c>
      <c r="J368" s="1897">
        <v>0</v>
      </c>
      <c r="K368" s="1897">
        <v>0</v>
      </c>
      <c r="L368" s="1897">
        <v>0</v>
      </c>
      <c r="M368" s="1899">
        <f t="shared" si="39"/>
        <v>0</v>
      </c>
      <c r="N368" s="1897">
        <f t="shared" si="38"/>
        <v>0</v>
      </c>
      <c r="O368" s="2026">
        <f t="shared" si="40"/>
        <v>0</v>
      </c>
      <c r="P368" s="3292" t="s">
        <v>1035</v>
      </c>
      <c r="Q368" s="3290"/>
      <c r="R368" s="1877"/>
    </row>
    <row r="369" spans="1:18">
      <c r="A369" s="1870" t="s">
        <v>1839</v>
      </c>
      <c r="B369" s="514" t="s">
        <v>1840</v>
      </c>
      <c r="C369" s="1880" t="s">
        <v>1841</v>
      </c>
      <c r="D369" s="1897">
        <v>0</v>
      </c>
      <c r="E369" s="1897">
        <v>0</v>
      </c>
      <c r="F369" s="1897">
        <v>0</v>
      </c>
      <c r="G369" s="1897">
        <v>0</v>
      </c>
      <c r="H369" s="1897">
        <v>0</v>
      </c>
      <c r="I369" s="1897">
        <v>0</v>
      </c>
      <c r="J369" s="1897">
        <v>0</v>
      </c>
      <c r="K369" s="1897">
        <v>0</v>
      </c>
      <c r="L369" s="1897">
        <v>0</v>
      </c>
      <c r="M369" s="1899">
        <f t="shared" si="39"/>
        <v>0</v>
      </c>
      <c r="N369" s="1897">
        <f t="shared" si="38"/>
        <v>0</v>
      </c>
      <c r="O369" s="2026">
        <f t="shared" si="40"/>
        <v>0</v>
      </c>
      <c r="P369" s="3292" t="s">
        <v>1035</v>
      </c>
      <c r="Q369" s="3290"/>
      <c r="R369" s="1877"/>
    </row>
    <row r="370" spans="1:18">
      <c r="A370" s="1870" t="s">
        <v>1842</v>
      </c>
      <c r="B370" s="514" t="s">
        <v>1843</v>
      </c>
      <c r="C370" s="1880" t="s">
        <v>1844</v>
      </c>
      <c r="D370" s="1897">
        <v>0</v>
      </c>
      <c r="E370" s="1897">
        <v>0</v>
      </c>
      <c r="F370" s="1897">
        <v>0</v>
      </c>
      <c r="G370" s="1897">
        <v>0</v>
      </c>
      <c r="H370" s="1897">
        <v>0</v>
      </c>
      <c r="I370" s="1897">
        <v>0</v>
      </c>
      <c r="J370" s="1897">
        <v>0</v>
      </c>
      <c r="K370" s="1897">
        <v>0</v>
      </c>
      <c r="L370" s="1897">
        <v>0</v>
      </c>
      <c r="M370" s="1899">
        <f t="shared" si="39"/>
        <v>0</v>
      </c>
      <c r="N370" s="1897">
        <f t="shared" si="38"/>
        <v>0</v>
      </c>
      <c r="O370" s="2026">
        <f t="shared" si="40"/>
        <v>0</v>
      </c>
      <c r="P370" s="3292" t="s">
        <v>1035</v>
      </c>
      <c r="Q370" s="3290"/>
      <c r="R370" s="1877"/>
    </row>
    <row r="371" spans="1:18" ht="14.25" customHeight="1">
      <c r="A371" s="1870"/>
      <c r="B371" s="514" t="s">
        <v>1845</v>
      </c>
      <c r="C371" s="1880" t="s">
        <v>1846</v>
      </c>
      <c r="D371" s="1897">
        <v>0</v>
      </c>
      <c r="E371" s="1897">
        <v>0</v>
      </c>
      <c r="F371" s="1897">
        <v>0</v>
      </c>
      <c r="G371" s="1897">
        <v>0</v>
      </c>
      <c r="H371" s="1897">
        <v>0</v>
      </c>
      <c r="I371" s="1897">
        <v>0</v>
      </c>
      <c r="J371" s="1897">
        <v>0</v>
      </c>
      <c r="K371" s="1897">
        <v>0</v>
      </c>
      <c r="L371" s="1897">
        <v>0</v>
      </c>
      <c r="M371" s="1899">
        <f t="shared" si="39"/>
        <v>0</v>
      </c>
      <c r="N371" s="1897">
        <f t="shared" si="38"/>
        <v>0</v>
      </c>
      <c r="O371" s="2026">
        <f t="shared" si="40"/>
        <v>0</v>
      </c>
      <c r="P371" s="3292" t="s">
        <v>1035</v>
      </c>
      <c r="Q371" s="3290"/>
      <c r="R371" s="1877"/>
    </row>
    <row r="372" spans="1:18">
      <c r="A372" s="1870" t="s">
        <v>1847</v>
      </c>
      <c r="B372" s="1879" t="s">
        <v>1848</v>
      </c>
      <c r="C372" s="1881" t="s">
        <v>322</v>
      </c>
      <c r="D372" s="1897">
        <v>0</v>
      </c>
      <c r="E372" s="1897">
        <v>0</v>
      </c>
      <c r="F372" s="1897">
        <v>0</v>
      </c>
      <c r="G372" s="1897">
        <v>0</v>
      </c>
      <c r="H372" s="1897">
        <v>0</v>
      </c>
      <c r="I372" s="1897">
        <v>0</v>
      </c>
      <c r="J372" s="1897">
        <v>0</v>
      </c>
      <c r="K372" s="1897">
        <v>0</v>
      </c>
      <c r="L372" s="1897">
        <v>0</v>
      </c>
      <c r="M372" s="1899">
        <f t="shared" si="39"/>
        <v>0</v>
      </c>
      <c r="N372" s="1897">
        <v>0</v>
      </c>
      <c r="O372" s="1899">
        <f t="shared" si="40"/>
        <v>0</v>
      </c>
      <c r="P372" s="3290" t="s">
        <v>1520</v>
      </c>
      <c r="Q372" s="3290"/>
      <c r="R372" s="1877"/>
    </row>
    <row r="373" spans="1:18" s="1871" customFormat="1">
      <c r="A373" s="1870"/>
      <c r="B373" s="1876" t="s">
        <v>1849</v>
      </c>
      <c r="C373" s="1881" t="s">
        <v>1850</v>
      </c>
      <c r="D373" s="1897">
        <v>0</v>
      </c>
      <c r="E373" s="1897">
        <v>0</v>
      </c>
      <c r="F373" s="1897">
        <v>0</v>
      </c>
      <c r="G373" s="1897">
        <v>0</v>
      </c>
      <c r="H373" s="1897">
        <v>0</v>
      </c>
      <c r="I373" s="1897">
        <v>0</v>
      </c>
      <c r="J373" s="1897">
        <v>0</v>
      </c>
      <c r="K373" s="1897">
        <v>0</v>
      </c>
      <c r="L373" s="1897">
        <v>0</v>
      </c>
      <c r="M373" s="1899">
        <f t="shared" si="39"/>
        <v>0</v>
      </c>
      <c r="N373" s="1897">
        <v>0</v>
      </c>
      <c r="O373" s="1899">
        <f t="shared" si="40"/>
        <v>0</v>
      </c>
      <c r="P373" s="3290" t="s">
        <v>415</v>
      </c>
      <c r="Q373" s="3290"/>
      <c r="R373" s="1877"/>
    </row>
    <row r="374" spans="1:18">
      <c r="A374" s="1870" t="s">
        <v>1851</v>
      </c>
      <c r="B374" s="1879" t="s">
        <v>1852</v>
      </c>
      <c r="C374" s="1881" t="s">
        <v>1853</v>
      </c>
      <c r="D374" s="1897">
        <v>0</v>
      </c>
      <c r="E374" s="1897">
        <v>0</v>
      </c>
      <c r="F374" s="1897">
        <v>0</v>
      </c>
      <c r="G374" s="1897">
        <v>0</v>
      </c>
      <c r="H374" s="1897">
        <v>0</v>
      </c>
      <c r="I374" s="1897">
        <v>0</v>
      </c>
      <c r="J374" s="1897">
        <v>0</v>
      </c>
      <c r="K374" s="1897">
        <v>0</v>
      </c>
      <c r="L374" s="1897">
        <v>0</v>
      </c>
      <c r="M374" s="1899">
        <f t="shared" si="39"/>
        <v>0</v>
      </c>
      <c r="N374" s="1897">
        <v>0</v>
      </c>
      <c r="O374" s="1899">
        <f t="shared" si="40"/>
        <v>0</v>
      </c>
      <c r="P374" s="3290" t="s">
        <v>1854</v>
      </c>
      <c r="Q374" s="3290"/>
      <c r="R374" s="513"/>
    </row>
    <row r="375" spans="1:18">
      <c r="A375" s="1870"/>
      <c r="B375" s="1879" t="s">
        <v>1855</v>
      </c>
      <c r="C375" s="1880" t="s">
        <v>1856</v>
      </c>
      <c r="D375" s="1897">
        <v>0</v>
      </c>
      <c r="E375" s="1897">
        <v>0</v>
      </c>
      <c r="F375" s="1897">
        <v>0</v>
      </c>
      <c r="G375" s="1897">
        <v>0</v>
      </c>
      <c r="H375" s="1897">
        <v>0</v>
      </c>
      <c r="I375" s="1897">
        <v>0</v>
      </c>
      <c r="J375" s="1897">
        <v>0</v>
      </c>
      <c r="K375" s="1897">
        <v>0</v>
      </c>
      <c r="L375" s="1897">
        <v>0</v>
      </c>
      <c r="M375" s="1899">
        <f t="shared" si="39"/>
        <v>0</v>
      </c>
      <c r="N375" s="1897">
        <v>0</v>
      </c>
      <c r="O375" s="1899">
        <f t="shared" si="40"/>
        <v>0</v>
      </c>
      <c r="P375" s="3290" t="s">
        <v>1520</v>
      </c>
      <c r="Q375" s="3290"/>
      <c r="R375" s="513"/>
    </row>
    <row r="376" spans="1:18" s="1871" customFormat="1">
      <c r="A376" s="1870"/>
      <c r="B376" s="1879" t="s">
        <v>4048</v>
      </c>
      <c r="C376" s="1880" t="s">
        <v>4047</v>
      </c>
      <c r="D376" s="1897">
        <v>0</v>
      </c>
      <c r="E376" s="1897">
        <v>0</v>
      </c>
      <c r="F376" s="1897">
        <v>0</v>
      </c>
      <c r="G376" s="1897">
        <v>0</v>
      </c>
      <c r="H376" s="1897">
        <v>0</v>
      </c>
      <c r="I376" s="1897">
        <v>0</v>
      </c>
      <c r="J376" s="1897">
        <v>0</v>
      </c>
      <c r="K376" s="1897">
        <v>0</v>
      </c>
      <c r="L376" s="1897">
        <v>0</v>
      </c>
      <c r="M376" s="1899">
        <f t="shared" si="39"/>
        <v>0</v>
      </c>
      <c r="N376" s="1897">
        <f t="shared" ref="N376" si="41">-M376</f>
        <v>0</v>
      </c>
      <c r="O376" s="2026">
        <f t="shared" ref="O376" si="42">SUM(M376:N376)</f>
        <v>0</v>
      </c>
      <c r="P376" s="3292" t="s">
        <v>1035</v>
      </c>
      <c r="Q376" s="3290"/>
      <c r="R376" s="513"/>
    </row>
    <row r="377" spans="1:18">
      <c r="A377" s="1870" t="s">
        <v>1857</v>
      </c>
      <c r="B377" s="1879" t="s">
        <v>1858</v>
      </c>
      <c r="C377" s="1880" t="s">
        <v>1859</v>
      </c>
      <c r="D377" s="1897">
        <v>0</v>
      </c>
      <c r="E377" s="1897">
        <v>0</v>
      </c>
      <c r="F377" s="1897">
        <v>0</v>
      </c>
      <c r="G377" s="1897">
        <v>0</v>
      </c>
      <c r="H377" s="1897">
        <v>0</v>
      </c>
      <c r="I377" s="1897">
        <v>0</v>
      </c>
      <c r="J377" s="1897">
        <v>0</v>
      </c>
      <c r="K377" s="1897">
        <v>0</v>
      </c>
      <c r="L377" s="1897">
        <v>0</v>
      </c>
      <c r="M377" s="1899">
        <f t="shared" si="39"/>
        <v>0</v>
      </c>
      <c r="N377" s="1897">
        <v>0</v>
      </c>
      <c r="O377" s="1899">
        <f t="shared" si="40"/>
        <v>0</v>
      </c>
      <c r="P377" s="3290" t="s">
        <v>379</v>
      </c>
      <c r="Q377" s="3290"/>
      <c r="R377" s="513"/>
    </row>
    <row r="378" spans="1:18">
      <c r="A378" s="1870" t="s">
        <v>1860</v>
      </c>
      <c r="B378" s="1879" t="s">
        <v>1861</v>
      </c>
      <c r="C378" s="1881" t="s">
        <v>1862</v>
      </c>
      <c r="D378" s="1897">
        <v>0</v>
      </c>
      <c r="E378" s="1897">
        <v>0</v>
      </c>
      <c r="F378" s="1897">
        <v>0</v>
      </c>
      <c r="G378" s="1897">
        <v>0</v>
      </c>
      <c r="H378" s="1897">
        <v>0</v>
      </c>
      <c r="I378" s="1897">
        <v>0</v>
      </c>
      <c r="J378" s="1897">
        <v>0</v>
      </c>
      <c r="K378" s="1897">
        <v>0</v>
      </c>
      <c r="L378" s="1897">
        <v>0</v>
      </c>
      <c r="M378" s="1899">
        <f t="shared" si="39"/>
        <v>0</v>
      </c>
      <c r="N378" s="1897">
        <v>0</v>
      </c>
      <c r="O378" s="1899">
        <f t="shared" si="40"/>
        <v>0</v>
      </c>
      <c r="P378" s="3290" t="s">
        <v>379</v>
      </c>
      <c r="Q378" s="3290"/>
      <c r="R378" s="1877"/>
    </row>
    <row r="379" spans="1:18">
      <c r="A379" s="1870" t="s">
        <v>1863</v>
      </c>
      <c r="B379" s="1879" t="s">
        <v>1864</v>
      </c>
      <c r="C379" s="1881" t="s">
        <v>308</v>
      </c>
      <c r="D379" s="1897">
        <v>0</v>
      </c>
      <c r="E379" s="1897">
        <v>0</v>
      </c>
      <c r="F379" s="1897">
        <v>0</v>
      </c>
      <c r="G379" s="1897">
        <v>0</v>
      </c>
      <c r="H379" s="1897">
        <v>0</v>
      </c>
      <c r="I379" s="1897">
        <v>0</v>
      </c>
      <c r="J379" s="1897">
        <v>0</v>
      </c>
      <c r="K379" s="1897">
        <v>0</v>
      </c>
      <c r="L379" s="1897">
        <v>0</v>
      </c>
      <c r="M379" s="1899">
        <f>SUM(D379:L379)</f>
        <v>0</v>
      </c>
      <c r="N379" s="1897">
        <v>0</v>
      </c>
      <c r="O379" s="1899">
        <f>SUM(M379:N379)</f>
        <v>0</v>
      </c>
      <c r="P379" s="3290" t="s">
        <v>379</v>
      </c>
      <c r="Q379" s="3290"/>
      <c r="R379" s="1877"/>
    </row>
    <row r="380" spans="1:18">
      <c r="A380" s="1870"/>
      <c r="B380" s="514"/>
      <c r="C380" s="1880"/>
      <c r="D380" s="3726"/>
      <c r="E380" s="3726"/>
      <c r="F380" s="3726"/>
      <c r="G380" s="3726"/>
      <c r="H380" s="3726"/>
      <c r="I380" s="3726"/>
      <c r="J380" s="3726"/>
      <c r="K380" s="3726"/>
      <c r="L380" s="3726"/>
      <c r="M380" s="3726"/>
      <c r="N380" s="3726"/>
      <c r="O380" s="3726"/>
      <c r="P380" s="3290"/>
      <c r="Q380" s="3290"/>
      <c r="R380" s="1877"/>
    </row>
    <row r="381" spans="1:18">
      <c r="A381" s="1870"/>
      <c r="B381" s="510" t="s">
        <v>1865</v>
      </c>
      <c r="C381" s="1880"/>
      <c r="D381" s="1901">
        <f>SUM(D358:D379)</f>
        <v>0</v>
      </c>
      <c r="E381" s="1901">
        <f t="shared" ref="E381:N381" si="43">SUM(E358:E379)</f>
        <v>0</v>
      </c>
      <c r="F381" s="1901">
        <f t="shared" si="43"/>
        <v>0</v>
      </c>
      <c r="G381" s="1901">
        <f t="shared" si="43"/>
        <v>0</v>
      </c>
      <c r="H381" s="1901">
        <f t="shared" si="43"/>
        <v>0</v>
      </c>
      <c r="I381" s="1901">
        <f t="shared" si="43"/>
        <v>0</v>
      </c>
      <c r="J381" s="1901">
        <f t="shared" si="43"/>
        <v>0</v>
      </c>
      <c r="K381" s="1901">
        <f t="shared" si="43"/>
        <v>0</v>
      </c>
      <c r="L381" s="1901">
        <f t="shared" si="43"/>
        <v>0</v>
      </c>
      <c r="M381" s="1901">
        <f t="shared" si="43"/>
        <v>0</v>
      </c>
      <c r="N381" s="1901">
        <f t="shared" si="43"/>
        <v>0</v>
      </c>
      <c r="O381" s="1901">
        <f>SUM(M381:N381)</f>
        <v>0</v>
      </c>
      <c r="P381" s="3290"/>
      <c r="Q381" s="3290"/>
      <c r="R381" s="1877"/>
    </row>
    <row r="382" spans="1:18">
      <c r="A382" s="1870"/>
      <c r="B382" s="514"/>
      <c r="C382" s="1880"/>
      <c r="D382" s="3735"/>
      <c r="E382" s="3735"/>
      <c r="F382" s="3735"/>
      <c r="G382" s="3735"/>
      <c r="H382" s="3735"/>
      <c r="I382" s="3735"/>
      <c r="J382" s="3735"/>
      <c r="K382" s="3735"/>
      <c r="L382" s="3735"/>
      <c r="M382" s="3735"/>
      <c r="N382" s="3735"/>
      <c r="O382" s="3562"/>
      <c r="P382" s="3563"/>
      <c r="Q382" s="3290"/>
      <c r="R382" s="1877"/>
    </row>
    <row r="383" spans="1:18" ht="12.75" thickBot="1">
      <c r="A383" s="1870"/>
      <c r="B383" s="517" t="s">
        <v>1866</v>
      </c>
      <c r="C383" s="1880"/>
      <c r="D383" s="1906">
        <f>SUM(D243,D260,D293,D308,D322,D341,D345,D354,D381)</f>
        <v>0</v>
      </c>
      <c r="E383" s="1906">
        <f>SUM(E243,E260,E293,E308,E322,E341,E345,E354,E381)</f>
        <v>0</v>
      </c>
      <c r="F383" s="1906">
        <f t="shared" ref="F383:O383" si="44">SUM(F243,F260,F293,F308,F322,F341,F345,F354,F381)</f>
        <v>0</v>
      </c>
      <c r="G383" s="1906">
        <f t="shared" si="44"/>
        <v>0</v>
      </c>
      <c r="H383" s="1906">
        <f t="shared" si="44"/>
        <v>0</v>
      </c>
      <c r="I383" s="1906">
        <f t="shared" si="44"/>
        <v>0</v>
      </c>
      <c r="J383" s="1906">
        <f t="shared" si="44"/>
        <v>0</v>
      </c>
      <c r="K383" s="1906">
        <f t="shared" si="44"/>
        <v>0</v>
      </c>
      <c r="L383" s="1906">
        <f t="shared" si="44"/>
        <v>0</v>
      </c>
      <c r="M383" s="1906">
        <f t="shared" si="44"/>
        <v>0</v>
      </c>
      <c r="N383" s="1906">
        <f t="shared" si="44"/>
        <v>0</v>
      </c>
      <c r="O383" s="1906">
        <f t="shared" si="44"/>
        <v>0</v>
      </c>
      <c r="P383" s="3563"/>
      <c r="Q383" s="3290"/>
      <c r="R383" s="1877"/>
    </row>
    <row r="384" spans="1:18" ht="12.75" thickTop="1">
      <c r="A384" s="1870"/>
      <c r="B384" s="514"/>
      <c r="C384" s="1880"/>
      <c r="D384" s="1902"/>
      <c r="E384" s="1902"/>
      <c r="F384" s="1902"/>
      <c r="G384" s="1902"/>
      <c r="H384" s="1902"/>
      <c r="I384" s="1902"/>
      <c r="J384" s="1902"/>
      <c r="K384" s="1902"/>
      <c r="L384" s="1902"/>
      <c r="M384" s="1899"/>
      <c r="N384" s="1902"/>
      <c r="O384" s="1900"/>
      <c r="P384" s="3290"/>
      <c r="Q384" s="3290"/>
      <c r="R384" s="1877"/>
    </row>
    <row r="385" spans="1:248">
      <c r="A385" s="1870"/>
      <c r="B385" s="3732" t="s">
        <v>1867</v>
      </c>
      <c r="C385" s="3730"/>
      <c r="D385" s="1902"/>
      <c r="E385" s="1902"/>
      <c r="F385" s="1902"/>
      <c r="G385" s="1902"/>
      <c r="H385" s="1902"/>
      <c r="I385" s="1902"/>
      <c r="J385" s="1902"/>
      <c r="K385" s="1902"/>
      <c r="L385" s="1902"/>
      <c r="M385" s="1899"/>
      <c r="N385" s="1902"/>
      <c r="O385" s="1900"/>
      <c r="P385" s="3290"/>
      <c r="Q385" s="3290"/>
      <c r="R385" s="1877"/>
    </row>
    <row r="386" spans="1:248">
      <c r="A386" s="1870"/>
      <c r="B386" s="3734"/>
      <c r="C386" s="3725"/>
      <c r="D386" s="1902"/>
      <c r="E386" s="1902"/>
      <c r="F386" s="1902"/>
      <c r="G386" s="1902"/>
      <c r="H386" s="1902"/>
      <c r="I386" s="1902"/>
      <c r="J386" s="1902"/>
      <c r="K386" s="1902"/>
      <c r="L386" s="1902"/>
      <c r="M386" s="1899"/>
      <c r="N386" s="1902"/>
      <c r="O386" s="1900"/>
      <c r="P386" s="3290"/>
      <c r="Q386" s="3290"/>
      <c r="R386" s="1877"/>
      <c r="S386" s="1871"/>
      <c r="T386" s="1871"/>
      <c r="U386" s="1871"/>
      <c r="V386" s="1871"/>
      <c r="W386" s="1871"/>
      <c r="X386" s="1871"/>
      <c r="Y386" s="1871"/>
      <c r="Z386" s="1871"/>
      <c r="AA386" s="1871"/>
      <c r="AB386" s="1871"/>
      <c r="AC386" s="1871"/>
      <c r="AD386" s="1871"/>
      <c r="AE386" s="1871"/>
      <c r="AF386" s="1871"/>
      <c r="AG386" s="1871"/>
      <c r="AH386" s="1871"/>
      <c r="AI386" s="1871"/>
      <c r="AJ386" s="1871"/>
      <c r="AK386" s="1871"/>
      <c r="AL386" s="1871"/>
      <c r="AM386" s="1871"/>
      <c r="AN386" s="1871"/>
      <c r="AO386" s="1871"/>
      <c r="AP386" s="1871"/>
      <c r="AQ386" s="1871"/>
      <c r="AR386" s="1871"/>
      <c r="AS386" s="1871"/>
      <c r="AT386" s="1871"/>
      <c r="AU386" s="1871"/>
      <c r="AV386" s="1871"/>
      <c r="AW386" s="1871"/>
      <c r="AX386" s="1871"/>
      <c r="AY386" s="1871"/>
      <c r="AZ386" s="1871"/>
      <c r="BA386" s="1871"/>
      <c r="BB386" s="1871"/>
      <c r="BC386" s="1871"/>
      <c r="BD386" s="1871"/>
      <c r="BE386" s="1871"/>
      <c r="BF386" s="1871"/>
      <c r="BG386" s="1871"/>
      <c r="BH386" s="1871"/>
      <c r="BI386" s="1871"/>
      <c r="BJ386" s="1871"/>
      <c r="BK386" s="1871"/>
      <c r="BL386" s="1871"/>
      <c r="BM386" s="1871"/>
      <c r="BN386" s="1871"/>
      <c r="BO386" s="1871"/>
      <c r="BP386" s="1871"/>
      <c r="BQ386" s="1871"/>
      <c r="BR386" s="1871"/>
      <c r="BS386" s="1871"/>
      <c r="BT386" s="1871"/>
      <c r="BU386" s="1871"/>
      <c r="BV386" s="1871"/>
      <c r="BW386" s="1871"/>
      <c r="BX386" s="1871"/>
      <c r="BY386" s="1871"/>
      <c r="BZ386" s="1871"/>
      <c r="CA386" s="1871"/>
      <c r="CB386" s="1871"/>
      <c r="CC386" s="1871"/>
      <c r="CD386" s="1871"/>
      <c r="CE386" s="1871"/>
      <c r="CF386" s="1871"/>
      <c r="CG386" s="1871"/>
      <c r="CH386" s="1871"/>
      <c r="CI386" s="1871"/>
      <c r="CJ386" s="1871"/>
      <c r="CK386" s="1871"/>
      <c r="CL386" s="1871"/>
      <c r="CM386" s="1871"/>
      <c r="CN386" s="1871"/>
      <c r="CO386" s="1871"/>
      <c r="CP386" s="1871"/>
      <c r="CQ386" s="1871"/>
      <c r="CR386" s="1871"/>
      <c r="CS386" s="1871"/>
      <c r="CT386" s="1871"/>
      <c r="CU386" s="1871"/>
      <c r="CV386" s="1871"/>
      <c r="CW386" s="1871"/>
      <c r="CX386" s="1871"/>
      <c r="CY386" s="1871"/>
      <c r="CZ386" s="1871"/>
      <c r="DA386" s="1871"/>
      <c r="DB386" s="1871"/>
      <c r="DC386" s="1871"/>
      <c r="DD386" s="1871"/>
      <c r="DE386" s="1871"/>
      <c r="DF386" s="1871"/>
      <c r="DG386" s="1871"/>
      <c r="DH386" s="1871"/>
      <c r="DI386" s="1871"/>
      <c r="DJ386" s="1871"/>
      <c r="DK386" s="1871"/>
      <c r="DL386" s="1871"/>
      <c r="DM386" s="1871"/>
      <c r="DN386" s="1871"/>
      <c r="DO386" s="1871"/>
      <c r="DP386" s="1871"/>
      <c r="DQ386" s="1871"/>
      <c r="DR386" s="1871"/>
      <c r="DS386" s="1871"/>
      <c r="DT386" s="1871"/>
      <c r="DU386" s="1871"/>
      <c r="DV386" s="1871"/>
      <c r="DW386" s="1871"/>
      <c r="DX386" s="1871"/>
      <c r="DY386" s="1871"/>
      <c r="DZ386" s="1871"/>
      <c r="EA386" s="1871"/>
      <c r="EB386" s="1871"/>
      <c r="EC386" s="1871"/>
      <c r="ED386" s="1871"/>
      <c r="EE386" s="1871"/>
      <c r="EF386" s="1871"/>
      <c r="EG386" s="1871"/>
      <c r="EH386" s="1871"/>
      <c r="EI386" s="1871"/>
      <c r="EJ386" s="1871"/>
      <c r="EK386" s="1871"/>
      <c r="EL386" s="1871"/>
      <c r="EM386" s="1871"/>
      <c r="EN386" s="1871"/>
      <c r="EO386" s="1871"/>
      <c r="EP386" s="1871"/>
      <c r="EQ386" s="1871"/>
      <c r="ER386" s="1871"/>
      <c r="ES386" s="1871"/>
      <c r="ET386" s="1871"/>
      <c r="EU386" s="1871"/>
      <c r="EV386" s="1871"/>
      <c r="EW386" s="1871"/>
      <c r="EX386" s="1871"/>
      <c r="EY386" s="1871"/>
      <c r="EZ386" s="1871"/>
      <c r="FA386" s="1871"/>
      <c r="FB386" s="1871"/>
      <c r="FC386" s="1871"/>
      <c r="FD386" s="1871"/>
      <c r="FE386" s="1871"/>
      <c r="FF386" s="1871"/>
      <c r="FG386" s="1871"/>
      <c r="FH386" s="1871"/>
      <c r="FI386" s="1871"/>
      <c r="FJ386" s="1871"/>
      <c r="FK386" s="1871"/>
      <c r="FL386" s="1871"/>
      <c r="FM386" s="1871"/>
      <c r="FN386" s="1871"/>
      <c r="FO386" s="1871"/>
      <c r="FP386" s="1871"/>
      <c r="FQ386" s="1871"/>
      <c r="FR386" s="1871"/>
      <c r="FS386" s="1871"/>
      <c r="FT386" s="1871"/>
      <c r="FU386" s="1871"/>
      <c r="FV386" s="1871"/>
      <c r="FW386" s="1871"/>
      <c r="FX386" s="1871"/>
      <c r="FY386" s="1871"/>
      <c r="FZ386" s="1871"/>
      <c r="GA386" s="1871"/>
      <c r="GB386" s="1871"/>
      <c r="GC386" s="1871"/>
      <c r="GD386" s="1871"/>
      <c r="GE386" s="1871"/>
      <c r="GF386" s="1871"/>
      <c r="GG386" s="1871"/>
      <c r="GH386" s="1871"/>
      <c r="GI386" s="1871"/>
      <c r="GJ386" s="1871"/>
      <c r="GK386" s="1871"/>
      <c r="GL386" s="1871"/>
      <c r="GM386" s="1871"/>
      <c r="GN386" s="1871"/>
      <c r="GO386" s="1871"/>
      <c r="GP386" s="1871"/>
      <c r="GQ386" s="1871"/>
      <c r="GR386" s="1871"/>
      <c r="GS386" s="1871"/>
      <c r="GT386" s="1871"/>
      <c r="GU386" s="1871"/>
      <c r="GV386" s="1871"/>
      <c r="GW386" s="1871"/>
      <c r="GX386" s="1871"/>
      <c r="GY386" s="1871"/>
      <c r="GZ386" s="1871"/>
      <c r="HA386" s="1871"/>
      <c r="HB386" s="1871"/>
      <c r="HC386" s="1871"/>
      <c r="HD386" s="1871"/>
      <c r="HE386" s="1871"/>
      <c r="HF386" s="1871"/>
      <c r="HG386" s="1871"/>
      <c r="HH386" s="1871"/>
      <c r="HI386" s="1871"/>
      <c r="HJ386" s="1871"/>
      <c r="HK386" s="1871"/>
      <c r="HL386" s="1871"/>
      <c r="HM386" s="1871"/>
      <c r="HN386" s="1871"/>
      <c r="HO386" s="1871"/>
      <c r="HP386" s="1871"/>
      <c r="HQ386" s="1871"/>
      <c r="HR386" s="1871"/>
      <c r="HS386" s="1871"/>
      <c r="HT386" s="1871"/>
      <c r="HU386" s="1871"/>
      <c r="HV386" s="1871"/>
      <c r="HW386" s="1871"/>
      <c r="HX386" s="1871"/>
      <c r="HY386" s="1871"/>
      <c r="HZ386" s="1871"/>
      <c r="IA386" s="1871"/>
      <c r="IB386" s="1871"/>
      <c r="IC386" s="1871"/>
      <c r="ID386" s="1871"/>
      <c r="IE386" s="1871"/>
      <c r="IF386" s="1871"/>
      <c r="IG386" s="1871"/>
      <c r="IH386" s="1871"/>
      <c r="II386" s="1871"/>
      <c r="IJ386" s="1871"/>
      <c r="IK386" s="1871"/>
      <c r="IL386" s="1871"/>
      <c r="IM386" s="1871"/>
      <c r="IN386" s="1871"/>
    </row>
    <row r="387" spans="1:248">
      <c r="A387" s="1870"/>
      <c r="B387" s="1879" t="s">
        <v>1868</v>
      </c>
      <c r="C387" s="642" t="s">
        <v>1869</v>
      </c>
      <c r="D387" s="1897">
        <v>0</v>
      </c>
      <c r="E387" s="1897">
        <v>0</v>
      </c>
      <c r="F387" s="1897">
        <v>0</v>
      </c>
      <c r="G387" s="1897">
        <v>0</v>
      </c>
      <c r="H387" s="1897">
        <v>0</v>
      </c>
      <c r="I387" s="1897">
        <v>0</v>
      </c>
      <c r="J387" s="1897">
        <v>0</v>
      </c>
      <c r="K387" s="1897">
        <v>0</v>
      </c>
      <c r="L387" s="1897">
        <v>0</v>
      </c>
      <c r="M387" s="1899">
        <f>SUM(D387:L387)</f>
        <v>0</v>
      </c>
      <c r="N387" s="1897">
        <v>0</v>
      </c>
      <c r="O387" s="1900">
        <f>SUM(M387:N387)</f>
        <v>0</v>
      </c>
      <c r="P387" s="3290" t="s">
        <v>385</v>
      </c>
      <c r="Q387" s="3290"/>
      <c r="R387" s="1877"/>
      <c r="S387" s="1871"/>
      <c r="T387" s="1871"/>
      <c r="U387" s="1871"/>
      <c r="V387" s="1871"/>
      <c r="W387" s="1871"/>
      <c r="X387" s="1871"/>
      <c r="Y387" s="1871"/>
      <c r="Z387" s="1871"/>
      <c r="AA387" s="1871"/>
      <c r="AB387" s="1871"/>
      <c r="AC387" s="1871"/>
      <c r="AD387" s="1871"/>
      <c r="AE387" s="1871"/>
      <c r="AF387" s="1871"/>
      <c r="AG387" s="1871"/>
      <c r="AH387" s="1871"/>
      <c r="AI387" s="1871"/>
      <c r="AJ387" s="1871"/>
      <c r="AK387" s="1871"/>
      <c r="AL387" s="1871"/>
      <c r="AM387" s="1871"/>
      <c r="AN387" s="1871"/>
      <c r="AO387" s="1871"/>
      <c r="AP387" s="1871"/>
      <c r="AQ387" s="1871"/>
      <c r="AR387" s="1871"/>
      <c r="AS387" s="1871"/>
      <c r="AT387" s="1871"/>
      <c r="AU387" s="1871"/>
      <c r="AV387" s="1871"/>
      <c r="AW387" s="1871"/>
      <c r="AX387" s="1871"/>
      <c r="AY387" s="1871"/>
      <c r="AZ387" s="1871"/>
      <c r="BA387" s="1871"/>
      <c r="BB387" s="1871"/>
      <c r="BC387" s="1871"/>
      <c r="BD387" s="1871"/>
      <c r="BE387" s="1871"/>
      <c r="BF387" s="1871"/>
      <c r="BG387" s="1871"/>
      <c r="BH387" s="1871"/>
      <c r="BI387" s="1871"/>
      <c r="BJ387" s="1871"/>
      <c r="BK387" s="1871"/>
      <c r="BL387" s="1871"/>
      <c r="BM387" s="1871"/>
      <c r="BN387" s="1871"/>
      <c r="BO387" s="1871"/>
      <c r="BP387" s="1871"/>
      <c r="BQ387" s="1871"/>
      <c r="BR387" s="1871"/>
      <c r="BS387" s="1871"/>
      <c r="BT387" s="1871"/>
      <c r="BU387" s="1871"/>
      <c r="BV387" s="1871"/>
      <c r="BW387" s="1871"/>
      <c r="BX387" s="1871"/>
      <c r="BY387" s="1871"/>
      <c r="BZ387" s="1871"/>
      <c r="CA387" s="1871"/>
      <c r="CB387" s="1871"/>
      <c r="CC387" s="1871"/>
      <c r="CD387" s="1871"/>
      <c r="CE387" s="1871"/>
      <c r="CF387" s="1871"/>
      <c r="CG387" s="1871"/>
      <c r="CH387" s="1871"/>
      <c r="CI387" s="1871"/>
      <c r="CJ387" s="1871"/>
      <c r="CK387" s="1871"/>
      <c r="CL387" s="1871"/>
      <c r="CM387" s="1871"/>
      <c r="CN387" s="1871"/>
      <c r="CO387" s="1871"/>
      <c r="CP387" s="1871"/>
      <c r="CQ387" s="1871"/>
      <c r="CR387" s="1871"/>
      <c r="CS387" s="1871"/>
      <c r="CT387" s="1871"/>
      <c r="CU387" s="1871"/>
      <c r="CV387" s="1871"/>
      <c r="CW387" s="1871"/>
      <c r="CX387" s="1871"/>
      <c r="CY387" s="1871"/>
      <c r="CZ387" s="1871"/>
      <c r="DA387" s="1871"/>
      <c r="DB387" s="1871"/>
      <c r="DC387" s="1871"/>
      <c r="DD387" s="1871"/>
      <c r="DE387" s="1871"/>
      <c r="DF387" s="1871"/>
      <c r="DG387" s="1871"/>
      <c r="DH387" s="1871"/>
      <c r="DI387" s="1871"/>
      <c r="DJ387" s="1871"/>
      <c r="DK387" s="1871"/>
      <c r="DL387" s="1871"/>
      <c r="DM387" s="1871"/>
      <c r="DN387" s="1871"/>
      <c r="DO387" s="1871"/>
      <c r="DP387" s="1871"/>
      <c r="DQ387" s="1871"/>
      <c r="DR387" s="1871"/>
      <c r="DS387" s="1871"/>
      <c r="DT387" s="1871"/>
      <c r="DU387" s="1871"/>
      <c r="DV387" s="1871"/>
      <c r="DW387" s="1871"/>
      <c r="DX387" s="1871"/>
      <c r="DY387" s="1871"/>
      <c r="DZ387" s="1871"/>
      <c r="EA387" s="1871"/>
      <c r="EB387" s="1871"/>
      <c r="EC387" s="1871"/>
      <c r="ED387" s="1871"/>
      <c r="EE387" s="1871"/>
      <c r="EF387" s="1871"/>
      <c r="EG387" s="1871"/>
      <c r="EH387" s="1871"/>
      <c r="EI387" s="1871"/>
      <c r="EJ387" s="1871"/>
      <c r="EK387" s="1871"/>
      <c r="EL387" s="1871"/>
      <c r="EM387" s="1871"/>
      <c r="EN387" s="1871"/>
      <c r="EO387" s="1871"/>
      <c r="EP387" s="1871"/>
      <c r="EQ387" s="1871"/>
      <c r="ER387" s="1871"/>
      <c r="ES387" s="1871"/>
      <c r="ET387" s="1871"/>
      <c r="EU387" s="1871"/>
      <c r="EV387" s="1871"/>
      <c r="EW387" s="1871"/>
      <c r="EX387" s="1871"/>
      <c r="EY387" s="1871"/>
      <c r="EZ387" s="1871"/>
      <c r="FA387" s="1871"/>
      <c r="FB387" s="1871"/>
      <c r="FC387" s="1871"/>
      <c r="FD387" s="1871"/>
      <c r="FE387" s="1871"/>
      <c r="FF387" s="1871"/>
      <c r="FG387" s="1871"/>
      <c r="FH387" s="1871"/>
      <c r="FI387" s="1871"/>
      <c r="FJ387" s="1871"/>
      <c r="FK387" s="1871"/>
      <c r="FL387" s="1871"/>
      <c r="FM387" s="1871"/>
      <c r="FN387" s="1871"/>
      <c r="FO387" s="1871"/>
      <c r="FP387" s="1871"/>
      <c r="FQ387" s="1871"/>
      <c r="FR387" s="1871"/>
      <c r="FS387" s="1871"/>
      <c r="FT387" s="1871"/>
      <c r="FU387" s="1871"/>
      <c r="FV387" s="1871"/>
      <c r="FW387" s="1871"/>
      <c r="FX387" s="1871"/>
      <c r="FY387" s="1871"/>
      <c r="FZ387" s="1871"/>
      <c r="GA387" s="1871"/>
      <c r="GB387" s="1871"/>
      <c r="GC387" s="1871"/>
      <c r="GD387" s="1871"/>
      <c r="GE387" s="1871"/>
      <c r="GF387" s="1871"/>
      <c r="GG387" s="1871"/>
      <c r="GH387" s="1871"/>
      <c r="GI387" s="1871"/>
      <c r="GJ387" s="1871"/>
      <c r="GK387" s="1871"/>
      <c r="GL387" s="1871"/>
      <c r="GM387" s="1871"/>
      <c r="GN387" s="1871"/>
      <c r="GO387" s="1871"/>
      <c r="GP387" s="1871"/>
      <c r="GQ387" s="1871"/>
      <c r="GR387" s="1871"/>
      <c r="GS387" s="1871"/>
      <c r="GT387" s="1871"/>
      <c r="GU387" s="1871"/>
      <c r="GV387" s="1871"/>
      <c r="GW387" s="1871"/>
      <c r="GX387" s="1871"/>
      <c r="GY387" s="1871"/>
      <c r="GZ387" s="1871"/>
      <c r="HA387" s="1871"/>
      <c r="HB387" s="1871"/>
      <c r="HC387" s="1871"/>
      <c r="HD387" s="1871"/>
      <c r="HE387" s="1871"/>
      <c r="HF387" s="1871"/>
      <c r="HG387" s="1871"/>
      <c r="HH387" s="1871"/>
      <c r="HI387" s="1871"/>
      <c r="HJ387" s="1871"/>
      <c r="HK387" s="1871"/>
      <c r="HL387" s="1871"/>
      <c r="HM387" s="1871"/>
      <c r="HN387" s="1871"/>
      <c r="HO387" s="1871"/>
      <c r="HP387" s="1871"/>
      <c r="HQ387" s="1871"/>
      <c r="HR387" s="1871"/>
      <c r="HS387" s="1871"/>
      <c r="HT387" s="1871"/>
      <c r="HU387" s="1871"/>
      <c r="HV387" s="1871"/>
      <c r="HW387" s="1871"/>
      <c r="HX387" s="1871"/>
      <c r="HY387" s="1871"/>
      <c r="HZ387" s="1871"/>
      <c r="IA387" s="1871"/>
      <c r="IB387" s="1871"/>
      <c r="IC387" s="1871"/>
      <c r="ID387" s="1871"/>
      <c r="IE387" s="1871"/>
      <c r="IF387" s="1871"/>
      <c r="IG387" s="1871"/>
      <c r="IH387" s="1871"/>
      <c r="II387" s="1871"/>
      <c r="IJ387" s="1871"/>
      <c r="IK387" s="1871"/>
      <c r="IL387" s="1871"/>
      <c r="IM387" s="1871"/>
      <c r="IN387" s="1871"/>
    </row>
    <row r="388" spans="1:248">
      <c r="A388" s="1870" t="s">
        <v>1870</v>
      </c>
      <c r="B388" s="1879" t="s">
        <v>1871</v>
      </c>
      <c r="C388" s="1880" t="s">
        <v>1872</v>
      </c>
      <c r="D388" s="1897">
        <v>0</v>
      </c>
      <c r="E388" s="1897">
        <v>0</v>
      </c>
      <c r="F388" s="1897">
        <v>0</v>
      </c>
      <c r="G388" s="1897">
        <v>0</v>
      </c>
      <c r="H388" s="1897">
        <v>0</v>
      </c>
      <c r="I388" s="1897">
        <v>0</v>
      </c>
      <c r="J388" s="1897">
        <v>0</v>
      </c>
      <c r="K388" s="1897">
        <v>0</v>
      </c>
      <c r="L388" s="1897">
        <v>0</v>
      </c>
      <c r="M388" s="1899">
        <f t="shared" ref="M388:M434" si="45">SUM(D388:L388)</f>
        <v>0</v>
      </c>
      <c r="N388" s="1897">
        <v>0</v>
      </c>
      <c r="O388" s="1900">
        <f t="shared" ref="O388:O434" si="46">SUM(M388:N388)</f>
        <v>0</v>
      </c>
      <c r="P388" s="3290" t="s">
        <v>385</v>
      </c>
      <c r="Q388" s="3290"/>
      <c r="R388" s="1877"/>
      <c r="S388" s="1871"/>
      <c r="T388" s="1871"/>
      <c r="U388" s="1871"/>
      <c r="V388" s="1871"/>
      <c r="W388" s="1871"/>
      <c r="X388" s="1871"/>
      <c r="Y388" s="1871"/>
      <c r="Z388" s="1871"/>
      <c r="AA388" s="1871"/>
      <c r="AB388" s="1871"/>
      <c r="AC388" s="1871"/>
      <c r="AD388" s="1871"/>
      <c r="AE388" s="1871"/>
      <c r="AF388" s="1871"/>
      <c r="AG388" s="1871"/>
      <c r="AH388" s="1871"/>
      <c r="AI388" s="1871"/>
      <c r="AJ388" s="1871"/>
      <c r="AK388" s="1871"/>
      <c r="AL388" s="1871"/>
      <c r="AM388" s="1871"/>
      <c r="AN388" s="1871"/>
      <c r="AO388" s="1871"/>
      <c r="AP388" s="1871"/>
      <c r="AQ388" s="1871"/>
      <c r="AR388" s="1871"/>
      <c r="AS388" s="1871"/>
      <c r="AT388" s="1871"/>
      <c r="AU388" s="1871"/>
      <c r="AV388" s="1871"/>
      <c r="AW388" s="1871"/>
      <c r="AX388" s="1871"/>
      <c r="AY388" s="1871"/>
      <c r="AZ388" s="1871"/>
      <c r="BA388" s="1871"/>
      <c r="BB388" s="1871"/>
      <c r="BC388" s="1871"/>
      <c r="BD388" s="1871"/>
      <c r="BE388" s="1871"/>
      <c r="BF388" s="1871"/>
      <c r="BG388" s="1871"/>
      <c r="BH388" s="1871"/>
      <c r="BI388" s="1871"/>
      <c r="BJ388" s="1871"/>
      <c r="BK388" s="1871"/>
      <c r="BL388" s="1871"/>
      <c r="BM388" s="1871"/>
      <c r="BN388" s="1871"/>
      <c r="BO388" s="1871"/>
      <c r="BP388" s="1871"/>
      <c r="BQ388" s="1871"/>
      <c r="BR388" s="1871"/>
      <c r="BS388" s="1871"/>
      <c r="BT388" s="1871"/>
      <c r="BU388" s="1871"/>
      <c r="BV388" s="1871"/>
      <c r="BW388" s="1871"/>
      <c r="BX388" s="1871"/>
      <c r="BY388" s="1871"/>
      <c r="BZ388" s="1871"/>
      <c r="CA388" s="1871"/>
      <c r="CB388" s="1871"/>
      <c r="CC388" s="1871"/>
      <c r="CD388" s="1871"/>
      <c r="CE388" s="1871"/>
      <c r="CF388" s="1871"/>
      <c r="CG388" s="1871"/>
      <c r="CH388" s="1871"/>
      <c r="CI388" s="1871"/>
      <c r="CJ388" s="1871"/>
      <c r="CK388" s="1871"/>
      <c r="CL388" s="1871"/>
      <c r="CM388" s="1871"/>
      <c r="CN388" s="1871"/>
      <c r="CO388" s="1871"/>
      <c r="CP388" s="1871"/>
      <c r="CQ388" s="1871"/>
      <c r="CR388" s="1871"/>
      <c r="CS388" s="1871"/>
      <c r="CT388" s="1871"/>
      <c r="CU388" s="1871"/>
      <c r="CV388" s="1871"/>
      <c r="CW388" s="1871"/>
      <c r="CX388" s="1871"/>
      <c r="CY388" s="1871"/>
      <c r="CZ388" s="1871"/>
      <c r="DA388" s="1871"/>
      <c r="DB388" s="1871"/>
      <c r="DC388" s="1871"/>
      <c r="DD388" s="1871"/>
      <c r="DE388" s="1871"/>
      <c r="DF388" s="1871"/>
      <c r="DG388" s="1871"/>
      <c r="DH388" s="1871"/>
      <c r="DI388" s="1871"/>
      <c r="DJ388" s="1871"/>
      <c r="DK388" s="1871"/>
      <c r="DL388" s="1871"/>
      <c r="DM388" s="1871"/>
      <c r="DN388" s="1871"/>
      <c r="DO388" s="1871"/>
      <c r="DP388" s="1871"/>
      <c r="DQ388" s="1871"/>
      <c r="DR388" s="1871"/>
      <c r="DS388" s="1871"/>
      <c r="DT388" s="1871"/>
      <c r="DU388" s="1871"/>
      <c r="DV388" s="1871"/>
      <c r="DW388" s="1871"/>
      <c r="DX388" s="1871"/>
      <c r="DY388" s="1871"/>
      <c r="DZ388" s="1871"/>
      <c r="EA388" s="1871"/>
      <c r="EB388" s="1871"/>
      <c r="EC388" s="1871"/>
      <c r="ED388" s="1871"/>
      <c r="EE388" s="1871"/>
      <c r="EF388" s="1871"/>
      <c r="EG388" s="1871"/>
      <c r="EH388" s="1871"/>
      <c r="EI388" s="1871"/>
      <c r="EJ388" s="1871"/>
      <c r="EK388" s="1871"/>
      <c r="EL388" s="1871"/>
      <c r="EM388" s="1871"/>
      <c r="EN388" s="1871"/>
      <c r="EO388" s="1871"/>
      <c r="EP388" s="1871"/>
      <c r="EQ388" s="1871"/>
      <c r="ER388" s="1871"/>
      <c r="ES388" s="1871"/>
      <c r="ET388" s="1871"/>
      <c r="EU388" s="1871"/>
      <c r="EV388" s="1871"/>
      <c r="EW388" s="1871"/>
      <c r="EX388" s="1871"/>
      <c r="EY388" s="1871"/>
      <c r="EZ388" s="1871"/>
      <c r="FA388" s="1871"/>
      <c r="FB388" s="1871"/>
      <c r="FC388" s="1871"/>
      <c r="FD388" s="1871"/>
      <c r="FE388" s="1871"/>
      <c r="FF388" s="1871"/>
      <c r="FG388" s="1871"/>
      <c r="FH388" s="1871"/>
      <c r="FI388" s="1871"/>
      <c r="FJ388" s="1871"/>
      <c r="FK388" s="1871"/>
      <c r="FL388" s="1871"/>
      <c r="FM388" s="1871"/>
      <c r="FN388" s="1871"/>
      <c r="FO388" s="1871"/>
      <c r="FP388" s="1871"/>
      <c r="FQ388" s="1871"/>
      <c r="FR388" s="1871"/>
      <c r="FS388" s="1871"/>
      <c r="FT388" s="1871"/>
      <c r="FU388" s="1871"/>
      <c r="FV388" s="1871"/>
      <c r="FW388" s="1871"/>
      <c r="FX388" s="1871"/>
      <c r="FY388" s="1871"/>
      <c r="FZ388" s="1871"/>
      <c r="GA388" s="1871"/>
      <c r="GB388" s="1871"/>
      <c r="GC388" s="1871"/>
      <c r="GD388" s="1871"/>
      <c r="GE388" s="1871"/>
      <c r="GF388" s="1871"/>
      <c r="GG388" s="1871"/>
      <c r="GH388" s="1871"/>
      <c r="GI388" s="1871"/>
      <c r="GJ388" s="1871"/>
      <c r="GK388" s="1871"/>
      <c r="GL388" s="1871"/>
      <c r="GM388" s="1871"/>
      <c r="GN388" s="1871"/>
      <c r="GO388" s="1871"/>
      <c r="GP388" s="1871"/>
      <c r="GQ388" s="1871"/>
      <c r="GR388" s="1871"/>
      <c r="GS388" s="1871"/>
      <c r="GT388" s="1871"/>
      <c r="GU388" s="1871"/>
      <c r="GV388" s="1871"/>
      <c r="GW388" s="1871"/>
      <c r="GX388" s="1871"/>
      <c r="GY388" s="1871"/>
      <c r="GZ388" s="1871"/>
      <c r="HA388" s="1871"/>
      <c r="HB388" s="1871"/>
      <c r="HC388" s="1871"/>
      <c r="HD388" s="1871"/>
      <c r="HE388" s="1871"/>
      <c r="HF388" s="1871"/>
      <c r="HG388" s="1871"/>
      <c r="HH388" s="1871"/>
      <c r="HI388" s="1871"/>
      <c r="HJ388" s="1871"/>
      <c r="HK388" s="1871"/>
      <c r="HL388" s="1871"/>
      <c r="HM388" s="1871"/>
      <c r="HN388" s="1871"/>
      <c r="HO388" s="1871"/>
      <c r="HP388" s="1871"/>
      <c r="HQ388" s="1871"/>
      <c r="HR388" s="1871"/>
      <c r="HS388" s="1871"/>
      <c r="HT388" s="1871"/>
      <c r="HU388" s="1871"/>
      <c r="HV388" s="1871"/>
      <c r="HW388" s="1871"/>
      <c r="HX388" s="1871"/>
      <c r="HY388" s="1871"/>
      <c r="HZ388" s="1871"/>
      <c r="IA388" s="1871"/>
      <c r="IB388" s="1871"/>
      <c r="IC388" s="1871"/>
      <c r="ID388" s="1871"/>
      <c r="IE388" s="1871"/>
      <c r="IF388" s="1871"/>
      <c r="IG388" s="1871"/>
      <c r="IH388" s="1871"/>
      <c r="II388" s="1871"/>
      <c r="IJ388" s="1871"/>
      <c r="IK388" s="1871"/>
      <c r="IL388" s="1871"/>
      <c r="IM388" s="1871"/>
      <c r="IN388" s="1871"/>
    </row>
    <row r="389" spans="1:248">
      <c r="A389" s="1870" t="s">
        <v>1873</v>
      </c>
      <c r="B389" s="1879" t="s">
        <v>1874</v>
      </c>
      <c r="C389" s="1880" t="s">
        <v>1875</v>
      </c>
      <c r="D389" s="1897">
        <v>0</v>
      </c>
      <c r="E389" s="1897">
        <v>0</v>
      </c>
      <c r="F389" s="1897">
        <v>0</v>
      </c>
      <c r="G389" s="1897">
        <v>0</v>
      </c>
      <c r="H389" s="1897">
        <v>0</v>
      </c>
      <c r="I389" s="1897">
        <v>0</v>
      </c>
      <c r="J389" s="1897">
        <v>0</v>
      </c>
      <c r="K389" s="1897">
        <v>0</v>
      </c>
      <c r="L389" s="1897">
        <v>0</v>
      </c>
      <c r="M389" s="1899">
        <f t="shared" si="45"/>
        <v>0</v>
      </c>
      <c r="N389" s="1897">
        <v>0</v>
      </c>
      <c r="O389" s="1900">
        <f t="shared" si="46"/>
        <v>0</v>
      </c>
      <c r="P389" s="3290" t="s">
        <v>385</v>
      </c>
      <c r="Q389" s="3290"/>
      <c r="R389" s="1877"/>
      <c r="S389" s="1871"/>
      <c r="T389" s="1871"/>
      <c r="U389" s="1871"/>
      <c r="V389" s="1871"/>
      <c r="W389" s="1871"/>
      <c r="X389" s="1871"/>
      <c r="Y389" s="1871"/>
      <c r="Z389" s="1871"/>
      <c r="AA389" s="1871"/>
      <c r="AB389" s="1871"/>
      <c r="AC389" s="1871"/>
      <c r="AD389" s="1871"/>
      <c r="AE389" s="1871"/>
      <c r="AF389" s="1871"/>
      <c r="AG389" s="1871"/>
      <c r="AH389" s="1871"/>
      <c r="AI389" s="1871"/>
      <c r="AJ389" s="1871"/>
      <c r="AK389" s="1871"/>
      <c r="AL389" s="1871"/>
      <c r="AM389" s="1871"/>
      <c r="AN389" s="1871"/>
      <c r="AO389" s="1871"/>
      <c r="AP389" s="1871"/>
      <c r="AQ389" s="1871"/>
      <c r="AR389" s="1871"/>
      <c r="AS389" s="1871"/>
      <c r="AT389" s="1871"/>
      <c r="AU389" s="1871"/>
      <c r="AV389" s="1871"/>
      <c r="AW389" s="1871"/>
      <c r="AX389" s="1871"/>
      <c r="AY389" s="1871"/>
      <c r="AZ389" s="1871"/>
      <c r="BA389" s="1871"/>
      <c r="BB389" s="1871"/>
      <c r="BC389" s="1871"/>
      <c r="BD389" s="1871"/>
      <c r="BE389" s="1871"/>
      <c r="BF389" s="1871"/>
      <c r="BG389" s="1871"/>
      <c r="BH389" s="1871"/>
      <c r="BI389" s="1871"/>
      <c r="BJ389" s="1871"/>
      <c r="BK389" s="1871"/>
      <c r="BL389" s="1871"/>
      <c r="BM389" s="1871"/>
      <c r="BN389" s="1871"/>
      <c r="BO389" s="1871"/>
      <c r="BP389" s="1871"/>
      <c r="BQ389" s="1871"/>
      <c r="BR389" s="1871"/>
      <c r="BS389" s="1871"/>
      <c r="BT389" s="1871"/>
      <c r="BU389" s="1871"/>
      <c r="BV389" s="1871"/>
      <c r="BW389" s="1871"/>
      <c r="BX389" s="1871"/>
      <c r="BY389" s="1871"/>
      <c r="BZ389" s="1871"/>
      <c r="CA389" s="1871"/>
      <c r="CB389" s="1871"/>
      <c r="CC389" s="1871"/>
      <c r="CD389" s="1871"/>
      <c r="CE389" s="1871"/>
      <c r="CF389" s="1871"/>
      <c r="CG389" s="1871"/>
      <c r="CH389" s="1871"/>
      <c r="CI389" s="1871"/>
      <c r="CJ389" s="1871"/>
      <c r="CK389" s="1871"/>
      <c r="CL389" s="1871"/>
      <c r="CM389" s="1871"/>
      <c r="CN389" s="1871"/>
      <c r="CO389" s="1871"/>
      <c r="CP389" s="1871"/>
      <c r="CQ389" s="1871"/>
      <c r="CR389" s="1871"/>
      <c r="CS389" s="1871"/>
      <c r="CT389" s="1871"/>
      <c r="CU389" s="1871"/>
      <c r="CV389" s="1871"/>
      <c r="CW389" s="1871"/>
      <c r="CX389" s="1871"/>
      <c r="CY389" s="1871"/>
      <c r="CZ389" s="1871"/>
      <c r="DA389" s="1871"/>
      <c r="DB389" s="1871"/>
      <c r="DC389" s="1871"/>
      <c r="DD389" s="1871"/>
      <c r="DE389" s="1871"/>
      <c r="DF389" s="1871"/>
      <c r="DG389" s="1871"/>
      <c r="DH389" s="1871"/>
      <c r="DI389" s="1871"/>
      <c r="DJ389" s="1871"/>
      <c r="DK389" s="1871"/>
      <c r="DL389" s="1871"/>
      <c r="DM389" s="1871"/>
      <c r="DN389" s="1871"/>
      <c r="DO389" s="1871"/>
      <c r="DP389" s="1871"/>
      <c r="DQ389" s="1871"/>
      <c r="DR389" s="1871"/>
      <c r="DS389" s="1871"/>
      <c r="DT389" s="1871"/>
      <c r="DU389" s="1871"/>
      <c r="DV389" s="1871"/>
      <c r="DW389" s="1871"/>
      <c r="DX389" s="1871"/>
      <c r="DY389" s="1871"/>
      <c r="DZ389" s="1871"/>
      <c r="EA389" s="1871"/>
      <c r="EB389" s="1871"/>
      <c r="EC389" s="1871"/>
      <c r="ED389" s="1871"/>
      <c r="EE389" s="1871"/>
      <c r="EF389" s="1871"/>
      <c r="EG389" s="1871"/>
      <c r="EH389" s="1871"/>
      <c r="EI389" s="1871"/>
      <c r="EJ389" s="1871"/>
      <c r="EK389" s="1871"/>
      <c r="EL389" s="1871"/>
      <c r="EM389" s="1871"/>
      <c r="EN389" s="1871"/>
      <c r="EO389" s="1871"/>
      <c r="EP389" s="1871"/>
      <c r="EQ389" s="1871"/>
      <c r="ER389" s="1871"/>
      <c r="ES389" s="1871"/>
      <c r="ET389" s="1871"/>
      <c r="EU389" s="1871"/>
      <c r="EV389" s="1871"/>
      <c r="EW389" s="1871"/>
      <c r="EX389" s="1871"/>
      <c r="EY389" s="1871"/>
      <c r="EZ389" s="1871"/>
      <c r="FA389" s="1871"/>
      <c r="FB389" s="1871"/>
      <c r="FC389" s="1871"/>
      <c r="FD389" s="1871"/>
      <c r="FE389" s="1871"/>
      <c r="FF389" s="1871"/>
      <c r="FG389" s="1871"/>
      <c r="FH389" s="1871"/>
      <c r="FI389" s="1871"/>
      <c r="FJ389" s="1871"/>
      <c r="FK389" s="1871"/>
      <c r="FL389" s="1871"/>
      <c r="FM389" s="1871"/>
      <c r="FN389" s="1871"/>
      <c r="FO389" s="1871"/>
      <c r="FP389" s="1871"/>
      <c r="FQ389" s="1871"/>
      <c r="FR389" s="1871"/>
      <c r="FS389" s="1871"/>
      <c r="FT389" s="1871"/>
      <c r="FU389" s="1871"/>
      <c r="FV389" s="1871"/>
      <c r="FW389" s="1871"/>
      <c r="FX389" s="1871"/>
      <c r="FY389" s="1871"/>
      <c r="FZ389" s="1871"/>
      <c r="GA389" s="1871"/>
      <c r="GB389" s="1871"/>
      <c r="GC389" s="1871"/>
      <c r="GD389" s="1871"/>
      <c r="GE389" s="1871"/>
      <c r="GF389" s="1871"/>
      <c r="GG389" s="1871"/>
      <c r="GH389" s="1871"/>
      <c r="GI389" s="1871"/>
      <c r="GJ389" s="1871"/>
      <c r="GK389" s="1871"/>
      <c r="GL389" s="1871"/>
      <c r="GM389" s="1871"/>
      <c r="GN389" s="1871"/>
      <c r="GO389" s="1871"/>
      <c r="GP389" s="1871"/>
      <c r="GQ389" s="1871"/>
      <c r="GR389" s="1871"/>
      <c r="GS389" s="1871"/>
      <c r="GT389" s="1871"/>
      <c r="GU389" s="1871"/>
      <c r="GV389" s="1871"/>
      <c r="GW389" s="1871"/>
      <c r="GX389" s="1871"/>
      <c r="GY389" s="1871"/>
      <c r="GZ389" s="1871"/>
      <c r="HA389" s="1871"/>
      <c r="HB389" s="1871"/>
      <c r="HC389" s="1871"/>
      <c r="HD389" s="1871"/>
      <c r="HE389" s="1871"/>
      <c r="HF389" s="1871"/>
      <c r="HG389" s="1871"/>
      <c r="HH389" s="1871"/>
      <c r="HI389" s="1871"/>
      <c r="HJ389" s="1871"/>
      <c r="HK389" s="1871"/>
      <c r="HL389" s="1871"/>
      <c r="HM389" s="1871"/>
      <c r="HN389" s="1871"/>
      <c r="HO389" s="1871"/>
      <c r="HP389" s="1871"/>
      <c r="HQ389" s="1871"/>
      <c r="HR389" s="1871"/>
      <c r="HS389" s="1871"/>
      <c r="HT389" s="1871"/>
      <c r="HU389" s="1871"/>
      <c r="HV389" s="1871"/>
      <c r="HW389" s="1871"/>
      <c r="HX389" s="1871"/>
      <c r="HY389" s="1871"/>
      <c r="HZ389" s="1871"/>
      <c r="IA389" s="1871"/>
      <c r="IB389" s="1871"/>
      <c r="IC389" s="1871"/>
      <c r="ID389" s="1871"/>
      <c r="IE389" s="1871"/>
      <c r="IF389" s="1871"/>
      <c r="IG389" s="1871"/>
      <c r="IH389" s="1871"/>
      <c r="II389" s="1871"/>
      <c r="IJ389" s="1871"/>
      <c r="IK389" s="1871"/>
      <c r="IL389" s="1871"/>
      <c r="IM389" s="1871"/>
      <c r="IN389" s="1871"/>
    </row>
    <row r="390" spans="1:248">
      <c r="A390" s="1870" t="s">
        <v>1876</v>
      </c>
      <c r="B390" s="1879" t="s">
        <v>1877</v>
      </c>
      <c r="C390" s="1881" t="s">
        <v>1878</v>
      </c>
      <c r="D390" s="1897">
        <v>0</v>
      </c>
      <c r="E390" s="1897">
        <v>0</v>
      </c>
      <c r="F390" s="1897">
        <v>0</v>
      </c>
      <c r="G390" s="1897">
        <v>0</v>
      </c>
      <c r="H390" s="1897">
        <v>0</v>
      </c>
      <c r="I390" s="1897">
        <v>0</v>
      </c>
      <c r="J390" s="1897">
        <v>0</v>
      </c>
      <c r="K390" s="1897">
        <v>0</v>
      </c>
      <c r="L390" s="1897">
        <v>0</v>
      </c>
      <c r="M390" s="1899">
        <f t="shared" si="45"/>
        <v>0</v>
      </c>
      <c r="N390" s="1897">
        <v>0</v>
      </c>
      <c r="O390" s="1900">
        <f t="shared" si="46"/>
        <v>0</v>
      </c>
      <c r="P390" s="3290" t="s">
        <v>385</v>
      </c>
      <c r="Q390" s="3290"/>
      <c r="R390" s="1877"/>
      <c r="S390" s="1871"/>
      <c r="T390" s="1871"/>
      <c r="U390" s="1871"/>
      <c r="V390" s="1871"/>
      <c r="W390" s="1871"/>
      <c r="X390" s="1871"/>
      <c r="Y390" s="1871"/>
      <c r="Z390" s="1871"/>
      <c r="AA390" s="1871"/>
      <c r="AB390" s="1871"/>
      <c r="AC390" s="1871"/>
      <c r="AD390" s="1871"/>
      <c r="AE390" s="1871"/>
      <c r="AF390" s="1871"/>
      <c r="AG390" s="1871"/>
      <c r="AH390" s="1871"/>
      <c r="AI390" s="1871"/>
      <c r="AJ390" s="1871"/>
      <c r="AK390" s="1871"/>
      <c r="AL390" s="1871"/>
      <c r="AM390" s="1871"/>
      <c r="AN390" s="1871"/>
      <c r="AO390" s="1871"/>
      <c r="AP390" s="1871"/>
      <c r="AQ390" s="1871"/>
      <c r="AR390" s="1871"/>
      <c r="AS390" s="1871"/>
      <c r="AT390" s="1871"/>
      <c r="AU390" s="1871"/>
      <c r="AV390" s="1871"/>
      <c r="AW390" s="1871"/>
      <c r="AX390" s="1871"/>
      <c r="AY390" s="1871"/>
      <c r="AZ390" s="1871"/>
      <c r="BA390" s="1871"/>
      <c r="BB390" s="1871"/>
      <c r="BC390" s="1871"/>
      <c r="BD390" s="1871"/>
      <c r="BE390" s="1871"/>
      <c r="BF390" s="1871"/>
      <c r="BG390" s="1871"/>
      <c r="BH390" s="1871"/>
      <c r="BI390" s="1871"/>
      <c r="BJ390" s="1871"/>
      <c r="BK390" s="1871"/>
      <c r="BL390" s="1871"/>
      <c r="BM390" s="1871"/>
      <c r="BN390" s="1871"/>
      <c r="BO390" s="1871"/>
      <c r="BP390" s="1871"/>
      <c r="BQ390" s="1871"/>
      <c r="BR390" s="1871"/>
      <c r="BS390" s="1871"/>
      <c r="BT390" s="1871"/>
      <c r="BU390" s="1871"/>
      <c r="BV390" s="1871"/>
      <c r="BW390" s="1871"/>
      <c r="BX390" s="1871"/>
      <c r="BY390" s="1871"/>
      <c r="BZ390" s="1871"/>
      <c r="CA390" s="1871"/>
      <c r="CB390" s="1871"/>
      <c r="CC390" s="1871"/>
      <c r="CD390" s="1871"/>
      <c r="CE390" s="1871"/>
      <c r="CF390" s="1871"/>
      <c r="CG390" s="1871"/>
      <c r="CH390" s="1871"/>
      <c r="CI390" s="1871"/>
      <c r="CJ390" s="1871"/>
      <c r="CK390" s="1871"/>
      <c r="CL390" s="1871"/>
      <c r="CM390" s="1871"/>
      <c r="CN390" s="1871"/>
      <c r="CO390" s="1871"/>
      <c r="CP390" s="1871"/>
      <c r="CQ390" s="1871"/>
      <c r="CR390" s="1871"/>
      <c r="CS390" s="1871"/>
      <c r="CT390" s="1871"/>
      <c r="CU390" s="1871"/>
      <c r="CV390" s="1871"/>
      <c r="CW390" s="1871"/>
      <c r="CX390" s="1871"/>
      <c r="CY390" s="1871"/>
      <c r="CZ390" s="1871"/>
      <c r="DA390" s="1871"/>
      <c r="DB390" s="1871"/>
      <c r="DC390" s="1871"/>
      <c r="DD390" s="1871"/>
      <c r="DE390" s="1871"/>
      <c r="DF390" s="1871"/>
      <c r="DG390" s="1871"/>
      <c r="DH390" s="1871"/>
      <c r="DI390" s="1871"/>
      <c r="DJ390" s="1871"/>
      <c r="DK390" s="1871"/>
      <c r="DL390" s="1871"/>
      <c r="DM390" s="1871"/>
      <c r="DN390" s="1871"/>
      <c r="DO390" s="1871"/>
      <c r="DP390" s="1871"/>
      <c r="DQ390" s="1871"/>
      <c r="DR390" s="1871"/>
      <c r="DS390" s="1871"/>
      <c r="DT390" s="1871"/>
      <c r="DU390" s="1871"/>
      <c r="DV390" s="1871"/>
      <c r="DW390" s="1871"/>
      <c r="DX390" s="1871"/>
      <c r="DY390" s="1871"/>
      <c r="DZ390" s="1871"/>
      <c r="EA390" s="1871"/>
      <c r="EB390" s="1871"/>
      <c r="EC390" s="1871"/>
      <c r="ED390" s="1871"/>
      <c r="EE390" s="1871"/>
      <c r="EF390" s="1871"/>
      <c r="EG390" s="1871"/>
      <c r="EH390" s="1871"/>
      <c r="EI390" s="1871"/>
      <c r="EJ390" s="1871"/>
      <c r="EK390" s="1871"/>
      <c r="EL390" s="1871"/>
      <c r="EM390" s="1871"/>
      <c r="EN390" s="1871"/>
      <c r="EO390" s="1871"/>
      <c r="EP390" s="1871"/>
      <c r="EQ390" s="1871"/>
      <c r="ER390" s="1871"/>
      <c r="ES390" s="1871"/>
      <c r="ET390" s="1871"/>
      <c r="EU390" s="1871"/>
      <c r="EV390" s="1871"/>
      <c r="EW390" s="1871"/>
      <c r="EX390" s="1871"/>
      <c r="EY390" s="1871"/>
      <c r="EZ390" s="1871"/>
      <c r="FA390" s="1871"/>
      <c r="FB390" s="1871"/>
      <c r="FC390" s="1871"/>
      <c r="FD390" s="1871"/>
      <c r="FE390" s="1871"/>
      <c r="FF390" s="1871"/>
      <c r="FG390" s="1871"/>
      <c r="FH390" s="1871"/>
      <c r="FI390" s="1871"/>
      <c r="FJ390" s="1871"/>
      <c r="FK390" s="1871"/>
      <c r="FL390" s="1871"/>
      <c r="FM390" s="1871"/>
      <c r="FN390" s="1871"/>
      <c r="FO390" s="1871"/>
      <c r="FP390" s="1871"/>
      <c r="FQ390" s="1871"/>
      <c r="FR390" s="1871"/>
      <c r="FS390" s="1871"/>
      <c r="FT390" s="1871"/>
      <c r="FU390" s="1871"/>
      <c r="FV390" s="1871"/>
      <c r="FW390" s="1871"/>
      <c r="FX390" s="1871"/>
      <c r="FY390" s="1871"/>
      <c r="FZ390" s="1871"/>
      <c r="GA390" s="1871"/>
      <c r="GB390" s="1871"/>
      <c r="GC390" s="1871"/>
      <c r="GD390" s="1871"/>
      <c r="GE390" s="1871"/>
      <c r="GF390" s="1871"/>
      <c r="GG390" s="1871"/>
      <c r="GH390" s="1871"/>
      <c r="GI390" s="1871"/>
      <c r="GJ390" s="1871"/>
      <c r="GK390" s="1871"/>
      <c r="GL390" s="1871"/>
      <c r="GM390" s="1871"/>
      <c r="GN390" s="1871"/>
      <c r="GO390" s="1871"/>
      <c r="GP390" s="1871"/>
      <c r="GQ390" s="1871"/>
      <c r="GR390" s="1871"/>
      <c r="GS390" s="1871"/>
      <c r="GT390" s="1871"/>
      <c r="GU390" s="1871"/>
      <c r="GV390" s="1871"/>
      <c r="GW390" s="1871"/>
      <c r="GX390" s="1871"/>
      <c r="GY390" s="1871"/>
      <c r="GZ390" s="1871"/>
      <c r="HA390" s="1871"/>
      <c r="HB390" s="1871"/>
      <c r="HC390" s="1871"/>
      <c r="HD390" s="1871"/>
      <c r="HE390" s="1871"/>
      <c r="HF390" s="1871"/>
      <c r="HG390" s="1871"/>
      <c r="HH390" s="1871"/>
      <c r="HI390" s="1871"/>
      <c r="HJ390" s="1871"/>
      <c r="HK390" s="1871"/>
      <c r="HL390" s="1871"/>
      <c r="HM390" s="1871"/>
      <c r="HN390" s="1871"/>
      <c r="HO390" s="1871"/>
      <c r="HP390" s="1871"/>
      <c r="HQ390" s="1871"/>
      <c r="HR390" s="1871"/>
      <c r="HS390" s="1871"/>
      <c r="HT390" s="1871"/>
      <c r="HU390" s="1871"/>
      <c r="HV390" s="1871"/>
      <c r="HW390" s="1871"/>
      <c r="HX390" s="1871"/>
      <c r="HY390" s="1871"/>
      <c r="HZ390" s="1871"/>
      <c r="IA390" s="1871"/>
      <c r="IB390" s="1871"/>
      <c r="IC390" s="1871"/>
      <c r="ID390" s="1871"/>
      <c r="IE390" s="1871"/>
      <c r="IF390" s="1871"/>
      <c r="IG390" s="1871"/>
      <c r="IH390" s="1871"/>
      <c r="II390" s="1871"/>
      <c r="IJ390" s="1871"/>
      <c r="IK390" s="1871"/>
      <c r="IL390" s="1871"/>
      <c r="IM390" s="1871"/>
      <c r="IN390" s="1871"/>
    </row>
    <row r="391" spans="1:248">
      <c r="A391" s="1870" t="s">
        <v>1879</v>
      </c>
      <c r="B391" s="1879" t="s">
        <v>1880</v>
      </c>
      <c r="C391" s="1881" t="s">
        <v>1881</v>
      </c>
      <c r="D391" s="1897">
        <v>0</v>
      </c>
      <c r="E391" s="1897">
        <v>0</v>
      </c>
      <c r="F391" s="1897">
        <v>0</v>
      </c>
      <c r="G391" s="1897">
        <v>0</v>
      </c>
      <c r="H391" s="1897">
        <v>0</v>
      </c>
      <c r="I391" s="1897">
        <v>0</v>
      </c>
      <c r="J391" s="1897">
        <v>0</v>
      </c>
      <c r="K391" s="1897">
        <v>0</v>
      </c>
      <c r="L391" s="1897">
        <v>0</v>
      </c>
      <c r="M391" s="1899">
        <f t="shared" si="45"/>
        <v>0</v>
      </c>
      <c r="N391" s="1897">
        <v>0</v>
      </c>
      <c r="O391" s="1900">
        <f t="shared" si="46"/>
        <v>0</v>
      </c>
      <c r="P391" s="3290" t="s">
        <v>385</v>
      </c>
      <c r="Q391" s="3290"/>
      <c r="R391" s="1877"/>
      <c r="S391" s="1871"/>
      <c r="T391" s="1871"/>
      <c r="U391" s="1871"/>
      <c r="V391" s="1871"/>
      <c r="W391" s="1871"/>
      <c r="X391" s="1871"/>
      <c r="Y391" s="1871"/>
      <c r="Z391" s="1871"/>
      <c r="AA391" s="1871"/>
      <c r="AB391" s="1871"/>
      <c r="AC391" s="1871"/>
      <c r="AD391" s="1871"/>
      <c r="AE391" s="1871"/>
      <c r="AF391" s="1871"/>
      <c r="AG391" s="1871"/>
      <c r="AH391" s="1871"/>
      <c r="AI391" s="1871"/>
      <c r="AJ391" s="1871"/>
      <c r="AK391" s="1871"/>
      <c r="AL391" s="1871"/>
      <c r="AM391" s="1871"/>
      <c r="AN391" s="1871"/>
      <c r="AO391" s="1871"/>
      <c r="AP391" s="1871"/>
      <c r="AQ391" s="1871"/>
      <c r="AR391" s="1871"/>
      <c r="AS391" s="1871"/>
      <c r="AT391" s="1871"/>
      <c r="AU391" s="1871"/>
      <c r="AV391" s="1871"/>
      <c r="AW391" s="1871"/>
      <c r="AX391" s="1871"/>
      <c r="AY391" s="1871"/>
      <c r="AZ391" s="1871"/>
      <c r="BA391" s="1871"/>
      <c r="BB391" s="1871"/>
      <c r="BC391" s="1871"/>
      <c r="BD391" s="1871"/>
      <c r="BE391" s="1871"/>
      <c r="BF391" s="1871"/>
      <c r="BG391" s="1871"/>
      <c r="BH391" s="1871"/>
      <c r="BI391" s="1871"/>
      <c r="BJ391" s="1871"/>
      <c r="BK391" s="1871"/>
      <c r="BL391" s="1871"/>
      <c r="BM391" s="1871"/>
      <c r="BN391" s="1871"/>
      <c r="BO391" s="1871"/>
      <c r="BP391" s="1871"/>
      <c r="BQ391" s="1871"/>
      <c r="BR391" s="1871"/>
      <c r="BS391" s="1871"/>
      <c r="BT391" s="1871"/>
      <c r="BU391" s="1871"/>
      <c r="BV391" s="1871"/>
      <c r="BW391" s="1871"/>
      <c r="BX391" s="1871"/>
      <c r="BY391" s="1871"/>
      <c r="BZ391" s="1871"/>
      <c r="CA391" s="1871"/>
      <c r="CB391" s="1871"/>
      <c r="CC391" s="1871"/>
      <c r="CD391" s="1871"/>
      <c r="CE391" s="1871"/>
      <c r="CF391" s="1871"/>
      <c r="CG391" s="1871"/>
      <c r="CH391" s="1871"/>
      <c r="CI391" s="1871"/>
      <c r="CJ391" s="1871"/>
      <c r="CK391" s="1871"/>
      <c r="CL391" s="1871"/>
      <c r="CM391" s="1871"/>
      <c r="CN391" s="1871"/>
      <c r="CO391" s="1871"/>
      <c r="CP391" s="1871"/>
      <c r="CQ391" s="1871"/>
      <c r="CR391" s="1871"/>
      <c r="CS391" s="1871"/>
      <c r="CT391" s="1871"/>
      <c r="CU391" s="1871"/>
      <c r="CV391" s="1871"/>
      <c r="CW391" s="1871"/>
      <c r="CX391" s="1871"/>
      <c r="CY391" s="1871"/>
      <c r="CZ391" s="1871"/>
      <c r="DA391" s="1871"/>
      <c r="DB391" s="1871"/>
      <c r="DC391" s="1871"/>
      <c r="DD391" s="1871"/>
      <c r="DE391" s="1871"/>
      <c r="DF391" s="1871"/>
      <c r="DG391" s="1871"/>
      <c r="DH391" s="1871"/>
      <c r="DI391" s="1871"/>
      <c r="DJ391" s="1871"/>
      <c r="DK391" s="1871"/>
      <c r="DL391" s="1871"/>
      <c r="DM391" s="1871"/>
      <c r="DN391" s="1871"/>
      <c r="DO391" s="1871"/>
      <c r="DP391" s="1871"/>
      <c r="DQ391" s="1871"/>
      <c r="DR391" s="1871"/>
      <c r="DS391" s="1871"/>
      <c r="DT391" s="1871"/>
      <c r="DU391" s="1871"/>
      <c r="DV391" s="1871"/>
      <c r="DW391" s="1871"/>
      <c r="DX391" s="1871"/>
      <c r="DY391" s="1871"/>
      <c r="DZ391" s="1871"/>
      <c r="EA391" s="1871"/>
      <c r="EB391" s="1871"/>
      <c r="EC391" s="1871"/>
      <c r="ED391" s="1871"/>
      <c r="EE391" s="1871"/>
      <c r="EF391" s="1871"/>
      <c r="EG391" s="1871"/>
      <c r="EH391" s="1871"/>
      <c r="EI391" s="1871"/>
      <c r="EJ391" s="1871"/>
      <c r="EK391" s="1871"/>
      <c r="EL391" s="1871"/>
      <c r="EM391" s="1871"/>
      <c r="EN391" s="1871"/>
      <c r="EO391" s="1871"/>
      <c r="EP391" s="1871"/>
      <c r="EQ391" s="1871"/>
      <c r="ER391" s="1871"/>
      <c r="ES391" s="1871"/>
      <c r="ET391" s="1871"/>
      <c r="EU391" s="1871"/>
      <c r="EV391" s="1871"/>
      <c r="EW391" s="1871"/>
      <c r="EX391" s="1871"/>
      <c r="EY391" s="1871"/>
      <c r="EZ391" s="1871"/>
      <c r="FA391" s="1871"/>
      <c r="FB391" s="1871"/>
      <c r="FC391" s="1871"/>
      <c r="FD391" s="1871"/>
      <c r="FE391" s="1871"/>
      <c r="FF391" s="1871"/>
      <c r="FG391" s="1871"/>
      <c r="FH391" s="1871"/>
      <c r="FI391" s="1871"/>
      <c r="FJ391" s="1871"/>
      <c r="FK391" s="1871"/>
      <c r="FL391" s="1871"/>
      <c r="FM391" s="1871"/>
      <c r="FN391" s="1871"/>
      <c r="FO391" s="1871"/>
      <c r="FP391" s="1871"/>
      <c r="FQ391" s="1871"/>
      <c r="FR391" s="1871"/>
      <c r="FS391" s="1871"/>
      <c r="FT391" s="1871"/>
      <c r="FU391" s="1871"/>
      <c r="FV391" s="1871"/>
      <c r="FW391" s="1871"/>
      <c r="FX391" s="1871"/>
      <c r="FY391" s="1871"/>
      <c r="FZ391" s="1871"/>
      <c r="GA391" s="1871"/>
      <c r="GB391" s="1871"/>
      <c r="GC391" s="1871"/>
      <c r="GD391" s="1871"/>
      <c r="GE391" s="1871"/>
      <c r="GF391" s="1871"/>
      <c r="GG391" s="1871"/>
      <c r="GH391" s="1871"/>
      <c r="GI391" s="1871"/>
      <c r="GJ391" s="1871"/>
      <c r="GK391" s="1871"/>
      <c r="GL391" s="1871"/>
      <c r="GM391" s="1871"/>
      <c r="GN391" s="1871"/>
      <c r="GO391" s="1871"/>
      <c r="GP391" s="1871"/>
      <c r="GQ391" s="1871"/>
      <c r="GR391" s="1871"/>
      <c r="GS391" s="1871"/>
      <c r="GT391" s="1871"/>
      <c r="GU391" s="1871"/>
      <c r="GV391" s="1871"/>
      <c r="GW391" s="1871"/>
      <c r="GX391" s="1871"/>
      <c r="GY391" s="1871"/>
      <c r="GZ391" s="1871"/>
      <c r="HA391" s="1871"/>
      <c r="HB391" s="1871"/>
      <c r="HC391" s="1871"/>
      <c r="HD391" s="1871"/>
      <c r="HE391" s="1871"/>
      <c r="HF391" s="1871"/>
      <c r="HG391" s="1871"/>
      <c r="HH391" s="1871"/>
      <c r="HI391" s="1871"/>
      <c r="HJ391" s="1871"/>
      <c r="HK391" s="1871"/>
      <c r="HL391" s="1871"/>
      <c r="HM391" s="1871"/>
      <c r="HN391" s="1871"/>
      <c r="HO391" s="1871"/>
      <c r="HP391" s="1871"/>
      <c r="HQ391" s="1871"/>
      <c r="HR391" s="1871"/>
      <c r="HS391" s="1871"/>
      <c r="HT391" s="1871"/>
      <c r="HU391" s="1871"/>
      <c r="HV391" s="1871"/>
      <c r="HW391" s="1871"/>
      <c r="HX391" s="1871"/>
      <c r="HY391" s="1871"/>
      <c r="HZ391" s="1871"/>
      <c r="IA391" s="1871"/>
      <c r="IB391" s="1871"/>
      <c r="IC391" s="1871"/>
      <c r="ID391" s="1871"/>
      <c r="IE391" s="1871"/>
      <c r="IF391" s="1871"/>
      <c r="IG391" s="1871"/>
      <c r="IH391" s="1871"/>
      <c r="II391" s="1871"/>
      <c r="IJ391" s="1871"/>
      <c r="IK391" s="1871"/>
      <c r="IL391" s="1871"/>
      <c r="IM391" s="1871"/>
      <c r="IN391" s="1871"/>
    </row>
    <row r="392" spans="1:248">
      <c r="A392" s="1870" t="s">
        <v>1882</v>
      </c>
      <c r="B392" s="1879" t="s">
        <v>1883</v>
      </c>
      <c r="C392" s="1881" t="s">
        <v>1884</v>
      </c>
      <c r="D392" s="1897">
        <v>0</v>
      </c>
      <c r="E392" s="1897">
        <v>0</v>
      </c>
      <c r="F392" s="1897">
        <v>0</v>
      </c>
      <c r="G392" s="1897">
        <v>0</v>
      </c>
      <c r="H392" s="1897">
        <v>0</v>
      </c>
      <c r="I392" s="1897">
        <v>0</v>
      </c>
      <c r="J392" s="1897">
        <v>0</v>
      </c>
      <c r="K392" s="1897">
        <v>0</v>
      </c>
      <c r="L392" s="1897">
        <v>0</v>
      </c>
      <c r="M392" s="1899">
        <f t="shared" si="45"/>
        <v>0</v>
      </c>
      <c r="N392" s="1897">
        <v>0</v>
      </c>
      <c r="O392" s="1900">
        <f t="shared" si="46"/>
        <v>0</v>
      </c>
      <c r="P392" s="3290" t="s">
        <v>385</v>
      </c>
      <c r="Q392" s="3290"/>
      <c r="R392" s="1877"/>
      <c r="S392" s="1871"/>
      <c r="T392" s="1871"/>
      <c r="U392" s="1871"/>
      <c r="V392" s="1871"/>
      <c r="W392" s="1871"/>
      <c r="X392" s="1871"/>
      <c r="Y392" s="1871"/>
      <c r="Z392" s="1871"/>
      <c r="AA392" s="1871"/>
      <c r="AB392" s="1871"/>
      <c r="AC392" s="1871"/>
      <c r="AD392" s="1871"/>
      <c r="AE392" s="1871"/>
      <c r="AF392" s="1871"/>
      <c r="AG392" s="1871"/>
      <c r="AH392" s="1871"/>
      <c r="AI392" s="1871"/>
      <c r="AJ392" s="1871"/>
      <c r="AK392" s="1871"/>
      <c r="AL392" s="1871"/>
      <c r="AM392" s="1871"/>
      <c r="AN392" s="1871"/>
      <c r="AO392" s="1871"/>
      <c r="AP392" s="1871"/>
      <c r="AQ392" s="1871"/>
      <c r="AR392" s="1871"/>
      <c r="AS392" s="1871"/>
      <c r="AT392" s="1871"/>
      <c r="AU392" s="1871"/>
      <c r="AV392" s="1871"/>
      <c r="AW392" s="1871"/>
      <c r="AX392" s="1871"/>
      <c r="AY392" s="1871"/>
      <c r="AZ392" s="1871"/>
      <c r="BA392" s="1871"/>
      <c r="BB392" s="1871"/>
      <c r="BC392" s="1871"/>
      <c r="BD392" s="1871"/>
      <c r="BE392" s="1871"/>
      <c r="BF392" s="1871"/>
      <c r="BG392" s="1871"/>
      <c r="BH392" s="1871"/>
      <c r="BI392" s="1871"/>
      <c r="BJ392" s="1871"/>
      <c r="BK392" s="1871"/>
      <c r="BL392" s="1871"/>
      <c r="BM392" s="1871"/>
      <c r="BN392" s="1871"/>
      <c r="BO392" s="1871"/>
      <c r="BP392" s="1871"/>
      <c r="BQ392" s="1871"/>
      <c r="BR392" s="1871"/>
      <c r="BS392" s="1871"/>
      <c r="BT392" s="1871"/>
      <c r="BU392" s="1871"/>
      <c r="BV392" s="1871"/>
      <c r="BW392" s="1871"/>
      <c r="BX392" s="1871"/>
      <c r="BY392" s="1871"/>
      <c r="BZ392" s="1871"/>
      <c r="CA392" s="1871"/>
      <c r="CB392" s="1871"/>
      <c r="CC392" s="1871"/>
      <c r="CD392" s="1871"/>
      <c r="CE392" s="1871"/>
      <c r="CF392" s="1871"/>
      <c r="CG392" s="1871"/>
      <c r="CH392" s="1871"/>
      <c r="CI392" s="1871"/>
      <c r="CJ392" s="1871"/>
      <c r="CK392" s="1871"/>
      <c r="CL392" s="1871"/>
      <c r="CM392" s="1871"/>
      <c r="CN392" s="1871"/>
      <c r="CO392" s="1871"/>
      <c r="CP392" s="1871"/>
      <c r="CQ392" s="1871"/>
      <c r="CR392" s="1871"/>
      <c r="CS392" s="1871"/>
      <c r="CT392" s="1871"/>
      <c r="CU392" s="1871"/>
      <c r="CV392" s="1871"/>
      <c r="CW392" s="1871"/>
      <c r="CX392" s="1871"/>
      <c r="CY392" s="1871"/>
      <c r="CZ392" s="1871"/>
      <c r="DA392" s="1871"/>
      <c r="DB392" s="1871"/>
      <c r="DC392" s="1871"/>
      <c r="DD392" s="1871"/>
      <c r="DE392" s="1871"/>
      <c r="DF392" s="1871"/>
      <c r="DG392" s="1871"/>
      <c r="DH392" s="1871"/>
      <c r="DI392" s="1871"/>
      <c r="DJ392" s="1871"/>
      <c r="DK392" s="1871"/>
      <c r="DL392" s="1871"/>
      <c r="DM392" s="1871"/>
      <c r="DN392" s="1871"/>
      <c r="DO392" s="1871"/>
      <c r="DP392" s="1871"/>
      <c r="DQ392" s="1871"/>
      <c r="DR392" s="1871"/>
      <c r="DS392" s="1871"/>
      <c r="DT392" s="1871"/>
      <c r="DU392" s="1871"/>
      <c r="DV392" s="1871"/>
      <c r="DW392" s="1871"/>
      <c r="DX392" s="1871"/>
      <c r="DY392" s="1871"/>
      <c r="DZ392" s="1871"/>
      <c r="EA392" s="1871"/>
      <c r="EB392" s="1871"/>
      <c r="EC392" s="1871"/>
      <c r="ED392" s="1871"/>
      <c r="EE392" s="1871"/>
      <c r="EF392" s="1871"/>
      <c r="EG392" s="1871"/>
      <c r="EH392" s="1871"/>
      <c r="EI392" s="1871"/>
      <c r="EJ392" s="1871"/>
      <c r="EK392" s="1871"/>
      <c r="EL392" s="1871"/>
      <c r="EM392" s="1871"/>
      <c r="EN392" s="1871"/>
      <c r="EO392" s="1871"/>
      <c r="EP392" s="1871"/>
      <c r="EQ392" s="1871"/>
      <c r="ER392" s="1871"/>
      <c r="ES392" s="1871"/>
      <c r="ET392" s="1871"/>
      <c r="EU392" s="1871"/>
      <c r="EV392" s="1871"/>
      <c r="EW392" s="1871"/>
      <c r="EX392" s="1871"/>
      <c r="EY392" s="1871"/>
      <c r="EZ392" s="1871"/>
      <c r="FA392" s="1871"/>
      <c r="FB392" s="1871"/>
      <c r="FC392" s="1871"/>
      <c r="FD392" s="1871"/>
      <c r="FE392" s="1871"/>
      <c r="FF392" s="1871"/>
      <c r="FG392" s="1871"/>
      <c r="FH392" s="1871"/>
      <c r="FI392" s="1871"/>
      <c r="FJ392" s="1871"/>
      <c r="FK392" s="1871"/>
      <c r="FL392" s="1871"/>
      <c r="FM392" s="1871"/>
      <c r="FN392" s="1871"/>
      <c r="FO392" s="1871"/>
      <c r="FP392" s="1871"/>
      <c r="FQ392" s="1871"/>
      <c r="FR392" s="1871"/>
      <c r="FS392" s="1871"/>
      <c r="FT392" s="1871"/>
      <c r="FU392" s="1871"/>
      <c r="FV392" s="1871"/>
      <c r="FW392" s="1871"/>
      <c r="FX392" s="1871"/>
      <c r="FY392" s="1871"/>
      <c r="FZ392" s="1871"/>
      <c r="GA392" s="1871"/>
      <c r="GB392" s="1871"/>
      <c r="GC392" s="1871"/>
      <c r="GD392" s="1871"/>
      <c r="GE392" s="1871"/>
      <c r="GF392" s="1871"/>
      <c r="GG392" s="1871"/>
      <c r="GH392" s="1871"/>
      <c r="GI392" s="1871"/>
      <c r="GJ392" s="1871"/>
      <c r="GK392" s="1871"/>
      <c r="GL392" s="1871"/>
      <c r="GM392" s="1871"/>
      <c r="GN392" s="1871"/>
      <c r="GO392" s="1871"/>
      <c r="GP392" s="1871"/>
      <c r="GQ392" s="1871"/>
      <c r="GR392" s="1871"/>
      <c r="GS392" s="1871"/>
      <c r="GT392" s="1871"/>
      <c r="GU392" s="1871"/>
      <c r="GV392" s="1871"/>
      <c r="GW392" s="1871"/>
      <c r="GX392" s="1871"/>
      <c r="GY392" s="1871"/>
      <c r="GZ392" s="1871"/>
      <c r="HA392" s="1871"/>
      <c r="HB392" s="1871"/>
      <c r="HC392" s="1871"/>
      <c r="HD392" s="1871"/>
      <c r="HE392" s="1871"/>
      <c r="HF392" s="1871"/>
      <c r="HG392" s="1871"/>
      <c r="HH392" s="1871"/>
      <c r="HI392" s="1871"/>
      <c r="HJ392" s="1871"/>
      <c r="HK392" s="1871"/>
      <c r="HL392" s="1871"/>
      <c r="HM392" s="1871"/>
      <c r="HN392" s="1871"/>
      <c r="HO392" s="1871"/>
      <c r="HP392" s="1871"/>
      <c r="HQ392" s="1871"/>
      <c r="HR392" s="1871"/>
      <c r="HS392" s="1871"/>
      <c r="HT392" s="1871"/>
      <c r="HU392" s="1871"/>
      <c r="HV392" s="1871"/>
      <c r="HW392" s="1871"/>
      <c r="HX392" s="1871"/>
      <c r="HY392" s="1871"/>
      <c r="HZ392" s="1871"/>
      <c r="IA392" s="1871"/>
      <c r="IB392" s="1871"/>
      <c r="IC392" s="1871"/>
      <c r="ID392" s="1871"/>
      <c r="IE392" s="1871"/>
      <c r="IF392" s="1871"/>
      <c r="IG392" s="1871"/>
      <c r="IH392" s="1871"/>
      <c r="II392" s="1871"/>
      <c r="IJ392" s="1871"/>
      <c r="IK392" s="1871"/>
      <c r="IL392" s="1871"/>
      <c r="IM392" s="1871"/>
      <c r="IN392" s="1871"/>
    </row>
    <row r="393" spans="1:248">
      <c r="A393" s="1870" t="s">
        <v>1885</v>
      </c>
      <c r="B393" s="1879" t="s">
        <v>1886</v>
      </c>
      <c r="C393" s="1881" t="s">
        <v>1887</v>
      </c>
      <c r="D393" s="1897">
        <v>0</v>
      </c>
      <c r="E393" s="1897">
        <v>0</v>
      </c>
      <c r="F393" s="1897">
        <v>0</v>
      </c>
      <c r="G393" s="1897">
        <v>0</v>
      </c>
      <c r="H393" s="1897">
        <v>0</v>
      </c>
      <c r="I393" s="1897">
        <v>0</v>
      </c>
      <c r="J393" s="1897">
        <v>0</v>
      </c>
      <c r="K393" s="1897">
        <v>0</v>
      </c>
      <c r="L393" s="1897">
        <v>0</v>
      </c>
      <c r="M393" s="1899">
        <f t="shared" si="45"/>
        <v>0</v>
      </c>
      <c r="N393" s="1897">
        <v>0</v>
      </c>
      <c r="O393" s="1900">
        <f t="shared" si="46"/>
        <v>0</v>
      </c>
      <c r="P393" s="3290" t="s">
        <v>385</v>
      </c>
      <c r="Q393" s="3290"/>
      <c r="R393" s="1877"/>
      <c r="S393" s="516"/>
      <c r="T393" s="516"/>
      <c r="U393" s="516"/>
      <c r="V393" s="516"/>
      <c r="W393" s="516"/>
      <c r="X393" s="516"/>
      <c r="Y393" s="516"/>
      <c r="Z393" s="516"/>
      <c r="AA393" s="516"/>
      <c r="AB393" s="516"/>
      <c r="AC393" s="516"/>
      <c r="AD393" s="516"/>
      <c r="AE393" s="516"/>
      <c r="AF393" s="516"/>
      <c r="AG393" s="516"/>
      <c r="AH393" s="516"/>
      <c r="AI393" s="516"/>
      <c r="AJ393" s="516"/>
      <c r="AK393" s="516"/>
      <c r="AL393" s="516"/>
      <c r="AM393" s="516"/>
      <c r="AN393" s="516"/>
      <c r="AO393" s="516"/>
      <c r="AP393" s="516"/>
      <c r="AQ393" s="516"/>
      <c r="AR393" s="516"/>
      <c r="AS393" s="516"/>
      <c r="AT393" s="516"/>
      <c r="AU393" s="516"/>
      <c r="AV393" s="516"/>
      <c r="AW393" s="516"/>
      <c r="AX393" s="516"/>
      <c r="AY393" s="516"/>
      <c r="AZ393" s="516"/>
      <c r="BA393" s="516"/>
      <c r="BB393" s="516"/>
      <c r="BC393" s="516"/>
      <c r="BD393" s="516"/>
      <c r="BE393" s="516"/>
      <c r="BF393" s="516"/>
      <c r="BG393" s="516"/>
      <c r="BH393" s="516"/>
      <c r="BI393" s="516"/>
      <c r="BJ393" s="516"/>
      <c r="BK393" s="516"/>
      <c r="BL393" s="516"/>
      <c r="BM393" s="516"/>
      <c r="BN393" s="516"/>
      <c r="BO393" s="516"/>
      <c r="BP393" s="516"/>
      <c r="BQ393" s="516"/>
      <c r="BR393" s="516"/>
      <c r="BS393" s="516"/>
      <c r="BT393" s="516"/>
      <c r="BU393" s="516"/>
      <c r="BV393" s="516"/>
      <c r="BW393" s="516"/>
      <c r="BX393" s="516"/>
      <c r="BY393" s="516"/>
      <c r="BZ393" s="516"/>
      <c r="CA393" s="516"/>
      <c r="CB393" s="516"/>
      <c r="CC393" s="516"/>
      <c r="CD393" s="516"/>
      <c r="CE393" s="516"/>
      <c r="CF393" s="516"/>
      <c r="CG393" s="516"/>
      <c r="CH393" s="516"/>
      <c r="CI393" s="516"/>
      <c r="CJ393" s="516"/>
      <c r="CK393" s="516"/>
      <c r="CL393" s="516"/>
      <c r="CM393" s="516"/>
      <c r="CN393" s="516"/>
      <c r="CO393" s="516"/>
      <c r="CP393" s="516"/>
      <c r="CQ393" s="516"/>
      <c r="CR393" s="516"/>
      <c r="CS393" s="516"/>
      <c r="CT393" s="516"/>
      <c r="CU393" s="516"/>
      <c r="CV393" s="516"/>
      <c r="CW393" s="516"/>
      <c r="CX393" s="516"/>
      <c r="CY393" s="516"/>
      <c r="CZ393" s="516"/>
      <c r="DA393" s="516"/>
      <c r="DB393" s="516"/>
      <c r="DC393" s="516"/>
      <c r="DD393" s="516"/>
      <c r="DE393" s="516"/>
      <c r="DF393" s="516"/>
      <c r="DG393" s="516"/>
      <c r="DH393" s="516"/>
      <c r="DI393" s="516"/>
      <c r="DJ393" s="516"/>
      <c r="DK393" s="516"/>
      <c r="DL393" s="516"/>
      <c r="DM393" s="516"/>
      <c r="DN393" s="516"/>
      <c r="DO393" s="516"/>
      <c r="DP393" s="516"/>
      <c r="DQ393" s="516"/>
      <c r="DR393" s="516"/>
      <c r="DS393" s="516"/>
      <c r="DT393" s="516"/>
      <c r="DU393" s="516"/>
      <c r="DV393" s="516"/>
      <c r="DW393" s="516"/>
      <c r="DX393" s="516"/>
      <c r="DY393" s="516"/>
      <c r="DZ393" s="516"/>
      <c r="EA393" s="516"/>
      <c r="EB393" s="516"/>
      <c r="EC393" s="516"/>
      <c r="ED393" s="516"/>
      <c r="EE393" s="516"/>
      <c r="EF393" s="516"/>
      <c r="EG393" s="516"/>
      <c r="EH393" s="516"/>
      <c r="EI393" s="516"/>
      <c r="EJ393" s="516"/>
      <c r="EK393" s="516"/>
      <c r="EL393" s="516"/>
      <c r="EM393" s="516"/>
      <c r="EN393" s="516"/>
      <c r="EO393" s="516"/>
      <c r="EP393" s="516"/>
      <c r="EQ393" s="516"/>
      <c r="ER393" s="516"/>
      <c r="ES393" s="516"/>
      <c r="ET393" s="516"/>
      <c r="EU393" s="516"/>
      <c r="EV393" s="516"/>
      <c r="EW393" s="516"/>
      <c r="EX393" s="516"/>
      <c r="EY393" s="516"/>
      <c r="EZ393" s="516"/>
      <c r="FA393" s="516"/>
      <c r="FB393" s="516"/>
      <c r="FC393" s="516"/>
      <c r="FD393" s="516"/>
      <c r="FE393" s="516"/>
      <c r="FF393" s="516"/>
      <c r="FG393" s="516"/>
      <c r="FH393" s="516"/>
      <c r="FI393" s="516"/>
      <c r="FJ393" s="516"/>
      <c r="FK393" s="516"/>
      <c r="FL393" s="516"/>
      <c r="FM393" s="516"/>
      <c r="FN393" s="516"/>
      <c r="FO393" s="516"/>
      <c r="FP393" s="516"/>
      <c r="FQ393" s="516"/>
      <c r="FR393" s="516"/>
      <c r="FS393" s="516"/>
      <c r="FT393" s="516"/>
      <c r="FU393" s="516"/>
      <c r="FV393" s="516"/>
      <c r="FW393" s="516"/>
      <c r="FX393" s="516"/>
      <c r="FY393" s="516"/>
      <c r="FZ393" s="516"/>
      <c r="GA393" s="516"/>
      <c r="GB393" s="516"/>
      <c r="GC393" s="516"/>
      <c r="GD393" s="516"/>
      <c r="GE393" s="516"/>
      <c r="GF393" s="516"/>
      <c r="GG393" s="516"/>
      <c r="GH393" s="516"/>
      <c r="GI393" s="516"/>
      <c r="GJ393" s="516"/>
      <c r="GK393" s="516"/>
      <c r="GL393" s="516"/>
      <c r="GM393" s="516"/>
      <c r="GN393" s="516"/>
      <c r="GO393" s="516"/>
      <c r="GP393" s="516"/>
      <c r="GQ393" s="516"/>
      <c r="GR393" s="516"/>
      <c r="GS393" s="516"/>
      <c r="GT393" s="516"/>
      <c r="GU393" s="516"/>
      <c r="GV393" s="516"/>
      <c r="GW393" s="516"/>
      <c r="GX393" s="516"/>
      <c r="GY393" s="516"/>
      <c r="GZ393" s="516"/>
      <c r="HA393" s="516"/>
      <c r="HB393" s="516"/>
      <c r="HC393" s="516"/>
      <c r="HD393" s="516"/>
      <c r="HE393" s="516"/>
      <c r="HF393" s="516"/>
      <c r="HG393" s="516"/>
      <c r="HH393" s="516"/>
      <c r="HI393" s="516"/>
      <c r="HJ393" s="516"/>
      <c r="HK393" s="516"/>
      <c r="HL393" s="516"/>
      <c r="HM393" s="516"/>
      <c r="HN393" s="516"/>
      <c r="HO393" s="516"/>
      <c r="HP393" s="516"/>
      <c r="HQ393" s="516"/>
      <c r="HR393" s="516"/>
      <c r="HS393" s="516"/>
      <c r="HT393" s="516"/>
      <c r="HU393" s="516"/>
      <c r="HV393" s="516"/>
      <c r="HW393" s="516"/>
      <c r="HX393" s="516"/>
      <c r="HY393" s="516"/>
      <c r="HZ393" s="516"/>
      <c r="IA393" s="516"/>
      <c r="IB393" s="516"/>
      <c r="IC393" s="516"/>
      <c r="ID393" s="516"/>
      <c r="IE393" s="516"/>
      <c r="IF393" s="516"/>
      <c r="IG393" s="516"/>
      <c r="IH393" s="516"/>
      <c r="II393" s="516"/>
      <c r="IJ393" s="516"/>
      <c r="IK393" s="516"/>
      <c r="IL393" s="516"/>
      <c r="IM393" s="516"/>
      <c r="IN393" s="516"/>
    </row>
    <row r="394" spans="1:248">
      <c r="A394" s="1870" t="s">
        <v>1888</v>
      </c>
      <c r="B394" s="1879" t="s">
        <v>1889</v>
      </c>
      <c r="C394" s="1881" t="s">
        <v>1890</v>
      </c>
      <c r="D394" s="1897">
        <v>0</v>
      </c>
      <c r="E394" s="1897">
        <v>0</v>
      </c>
      <c r="F394" s="1897">
        <v>0</v>
      </c>
      <c r="G394" s="1897">
        <v>0</v>
      </c>
      <c r="H394" s="1897">
        <v>0</v>
      </c>
      <c r="I394" s="1897">
        <v>0</v>
      </c>
      <c r="J394" s="1897">
        <v>0</v>
      </c>
      <c r="K394" s="1897">
        <v>0</v>
      </c>
      <c r="L394" s="1897">
        <v>0</v>
      </c>
      <c r="M394" s="1899">
        <f t="shared" si="45"/>
        <v>0</v>
      </c>
      <c r="N394" s="1897">
        <v>0</v>
      </c>
      <c r="O394" s="1900">
        <f t="shared" si="46"/>
        <v>0</v>
      </c>
      <c r="P394" s="3290" t="s">
        <v>385</v>
      </c>
      <c r="Q394" s="3290"/>
      <c r="R394" s="1877"/>
      <c r="S394" s="1871"/>
      <c r="T394" s="1871"/>
      <c r="U394" s="1871"/>
      <c r="V394" s="1871"/>
      <c r="W394" s="1871"/>
      <c r="X394" s="1871"/>
      <c r="Y394" s="1871"/>
      <c r="Z394" s="1871"/>
      <c r="AA394" s="1871"/>
      <c r="AB394" s="1871"/>
      <c r="AC394" s="1871"/>
      <c r="AD394" s="1871"/>
      <c r="AE394" s="1871"/>
      <c r="AF394" s="1871"/>
      <c r="AG394" s="1871"/>
      <c r="AH394" s="1871"/>
      <c r="AI394" s="1871"/>
      <c r="AJ394" s="1871"/>
      <c r="AK394" s="1871"/>
      <c r="AL394" s="1871"/>
      <c r="AM394" s="1871"/>
      <c r="AN394" s="1871"/>
      <c r="AO394" s="1871"/>
      <c r="AP394" s="1871"/>
      <c r="AQ394" s="1871"/>
      <c r="AR394" s="1871"/>
      <c r="AS394" s="1871"/>
      <c r="AT394" s="1871"/>
      <c r="AU394" s="1871"/>
      <c r="AV394" s="1871"/>
      <c r="AW394" s="1871"/>
      <c r="AX394" s="1871"/>
      <c r="AY394" s="1871"/>
      <c r="AZ394" s="1871"/>
      <c r="BA394" s="1871"/>
      <c r="BB394" s="1871"/>
      <c r="BC394" s="1871"/>
      <c r="BD394" s="1871"/>
      <c r="BE394" s="1871"/>
      <c r="BF394" s="1871"/>
      <c r="BG394" s="1871"/>
      <c r="BH394" s="1871"/>
      <c r="BI394" s="1871"/>
      <c r="BJ394" s="1871"/>
      <c r="BK394" s="1871"/>
      <c r="BL394" s="1871"/>
      <c r="BM394" s="1871"/>
      <c r="BN394" s="1871"/>
      <c r="BO394" s="1871"/>
      <c r="BP394" s="1871"/>
      <c r="BQ394" s="1871"/>
      <c r="BR394" s="1871"/>
      <c r="BS394" s="1871"/>
      <c r="BT394" s="1871"/>
      <c r="BU394" s="1871"/>
      <c r="BV394" s="1871"/>
      <c r="BW394" s="1871"/>
      <c r="BX394" s="1871"/>
      <c r="BY394" s="1871"/>
      <c r="BZ394" s="1871"/>
      <c r="CA394" s="1871"/>
      <c r="CB394" s="1871"/>
      <c r="CC394" s="1871"/>
      <c r="CD394" s="1871"/>
      <c r="CE394" s="1871"/>
      <c r="CF394" s="1871"/>
      <c r="CG394" s="1871"/>
      <c r="CH394" s="1871"/>
      <c r="CI394" s="1871"/>
      <c r="CJ394" s="1871"/>
      <c r="CK394" s="1871"/>
      <c r="CL394" s="1871"/>
      <c r="CM394" s="1871"/>
      <c r="CN394" s="1871"/>
      <c r="CO394" s="1871"/>
      <c r="CP394" s="1871"/>
      <c r="CQ394" s="1871"/>
      <c r="CR394" s="1871"/>
      <c r="CS394" s="1871"/>
      <c r="CT394" s="1871"/>
      <c r="CU394" s="1871"/>
      <c r="CV394" s="1871"/>
      <c r="CW394" s="1871"/>
      <c r="CX394" s="1871"/>
      <c r="CY394" s="1871"/>
      <c r="CZ394" s="1871"/>
      <c r="DA394" s="1871"/>
      <c r="DB394" s="1871"/>
      <c r="DC394" s="1871"/>
      <c r="DD394" s="1871"/>
      <c r="DE394" s="1871"/>
      <c r="DF394" s="1871"/>
      <c r="DG394" s="1871"/>
      <c r="DH394" s="1871"/>
      <c r="DI394" s="1871"/>
      <c r="DJ394" s="1871"/>
      <c r="DK394" s="1871"/>
      <c r="DL394" s="1871"/>
      <c r="DM394" s="1871"/>
      <c r="DN394" s="1871"/>
      <c r="DO394" s="1871"/>
      <c r="DP394" s="1871"/>
      <c r="DQ394" s="1871"/>
      <c r="DR394" s="1871"/>
      <c r="DS394" s="1871"/>
      <c r="DT394" s="1871"/>
      <c r="DU394" s="1871"/>
      <c r="DV394" s="1871"/>
      <c r="DW394" s="1871"/>
      <c r="DX394" s="1871"/>
      <c r="DY394" s="1871"/>
      <c r="DZ394" s="1871"/>
      <c r="EA394" s="1871"/>
      <c r="EB394" s="1871"/>
      <c r="EC394" s="1871"/>
      <c r="ED394" s="1871"/>
      <c r="EE394" s="1871"/>
      <c r="EF394" s="1871"/>
      <c r="EG394" s="1871"/>
      <c r="EH394" s="1871"/>
      <c r="EI394" s="1871"/>
      <c r="EJ394" s="1871"/>
      <c r="EK394" s="1871"/>
      <c r="EL394" s="1871"/>
      <c r="EM394" s="1871"/>
      <c r="EN394" s="1871"/>
      <c r="EO394" s="1871"/>
      <c r="EP394" s="1871"/>
      <c r="EQ394" s="1871"/>
      <c r="ER394" s="1871"/>
      <c r="ES394" s="1871"/>
      <c r="ET394" s="1871"/>
      <c r="EU394" s="1871"/>
      <c r="EV394" s="1871"/>
      <c r="EW394" s="1871"/>
      <c r="EX394" s="1871"/>
      <c r="EY394" s="1871"/>
      <c r="EZ394" s="1871"/>
      <c r="FA394" s="1871"/>
      <c r="FB394" s="1871"/>
      <c r="FC394" s="1871"/>
      <c r="FD394" s="1871"/>
      <c r="FE394" s="1871"/>
      <c r="FF394" s="1871"/>
      <c r="FG394" s="1871"/>
      <c r="FH394" s="1871"/>
      <c r="FI394" s="1871"/>
      <c r="FJ394" s="1871"/>
      <c r="FK394" s="1871"/>
      <c r="FL394" s="1871"/>
      <c r="FM394" s="1871"/>
      <c r="FN394" s="1871"/>
      <c r="FO394" s="1871"/>
      <c r="FP394" s="1871"/>
      <c r="FQ394" s="1871"/>
      <c r="FR394" s="1871"/>
      <c r="FS394" s="1871"/>
      <c r="FT394" s="1871"/>
      <c r="FU394" s="1871"/>
      <c r="FV394" s="1871"/>
      <c r="FW394" s="1871"/>
      <c r="FX394" s="1871"/>
      <c r="FY394" s="1871"/>
      <c r="FZ394" s="1871"/>
      <c r="GA394" s="1871"/>
      <c r="GB394" s="1871"/>
      <c r="GC394" s="1871"/>
      <c r="GD394" s="1871"/>
      <c r="GE394" s="1871"/>
      <c r="GF394" s="1871"/>
      <c r="GG394" s="1871"/>
      <c r="GH394" s="1871"/>
      <c r="GI394" s="1871"/>
      <c r="GJ394" s="1871"/>
      <c r="GK394" s="1871"/>
      <c r="GL394" s="1871"/>
      <c r="GM394" s="1871"/>
      <c r="GN394" s="1871"/>
      <c r="GO394" s="1871"/>
      <c r="GP394" s="1871"/>
      <c r="GQ394" s="1871"/>
      <c r="GR394" s="1871"/>
      <c r="GS394" s="1871"/>
      <c r="GT394" s="1871"/>
      <c r="GU394" s="1871"/>
      <c r="GV394" s="1871"/>
      <c r="GW394" s="1871"/>
      <c r="GX394" s="1871"/>
      <c r="GY394" s="1871"/>
      <c r="GZ394" s="1871"/>
      <c r="HA394" s="1871"/>
      <c r="HB394" s="1871"/>
      <c r="HC394" s="1871"/>
      <c r="HD394" s="1871"/>
      <c r="HE394" s="1871"/>
      <c r="HF394" s="1871"/>
      <c r="HG394" s="1871"/>
      <c r="HH394" s="1871"/>
      <c r="HI394" s="1871"/>
      <c r="HJ394" s="1871"/>
      <c r="HK394" s="1871"/>
      <c r="HL394" s="1871"/>
      <c r="HM394" s="1871"/>
      <c r="HN394" s="1871"/>
      <c r="HO394" s="1871"/>
      <c r="HP394" s="1871"/>
      <c r="HQ394" s="1871"/>
      <c r="HR394" s="1871"/>
      <c r="HS394" s="1871"/>
      <c r="HT394" s="1871"/>
      <c r="HU394" s="1871"/>
      <c r="HV394" s="1871"/>
      <c r="HW394" s="1871"/>
      <c r="HX394" s="1871"/>
      <c r="HY394" s="1871"/>
      <c r="HZ394" s="1871"/>
      <c r="IA394" s="1871"/>
      <c r="IB394" s="1871"/>
      <c r="IC394" s="1871"/>
      <c r="ID394" s="1871"/>
      <c r="IE394" s="1871"/>
      <c r="IF394" s="1871"/>
      <c r="IG394" s="1871"/>
      <c r="IH394" s="1871"/>
      <c r="II394" s="1871"/>
      <c r="IJ394" s="1871"/>
      <c r="IK394" s="1871"/>
      <c r="IL394" s="1871"/>
      <c r="IM394" s="1871"/>
      <c r="IN394" s="1871"/>
    </row>
    <row r="395" spans="1:248">
      <c r="A395" s="1870" t="s">
        <v>1891</v>
      </c>
      <c r="B395" s="1879" t="s">
        <v>1892</v>
      </c>
      <c r="C395" s="1881" t="s">
        <v>1893</v>
      </c>
      <c r="D395" s="1897">
        <v>0</v>
      </c>
      <c r="E395" s="1897">
        <v>0</v>
      </c>
      <c r="F395" s="1897">
        <v>0</v>
      </c>
      <c r="G395" s="1897">
        <v>0</v>
      </c>
      <c r="H395" s="1897">
        <v>0</v>
      </c>
      <c r="I395" s="1897">
        <v>0</v>
      </c>
      <c r="J395" s="1897">
        <v>0</v>
      </c>
      <c r="K395" s="1897">
        <v>0</v>
      </c>
      <c r="L395" s="1897">
        <v>0</v>
      </c>
      <c r="M395" s="1899">
        <f t="shared" si="45"/>
        <v>0</v>
      </c>
      <c r="N395" s="1897">
        <v>0</v>
      </c>
      <c r="O395" s="1900">
        <f t="shared" si="46"/>
        <v>0</v>
      </c>
      <c r="P395" s="3290" t="s">
        <v>385</v>
      </c>
      <c r="Q395" s="3290"/>
      <c r="R395" s="1877"/>
      <c r="S395" s="1871"/>
      <c r="T395" s="1871"/>
      <c r="U395" s="1871"/>
      <c r="V395" s="1871"/>
      <c r="W395" s="1871"/>
      <c r="X395" s="1871"/>
      <c r="Y395" s="1871"/>
      <c r="Z395" s="1871"/>
      <c r="AA395" s="1871"/>
      <c r="AB395" s="1871"/>
      <c r="AC395" s="1871"/>
      <c r="AD395" s="1871"/>
      <c r="AE395" s="1871"/>
      <c r="AF395" s="1871"/>
      <c r="AG395" s="1871"/>
      <c r="AH395" s="1871"/>
      <c r="AI395" s="1871"/>
      <c r="AJ395" s="1871"/>
      <c r="AK395" s="1871"/>
      <c r="AL395" s="1871"/>
      <c r="AM395" s="1871"/>
      <c r="AN395" s="1871"/>
      <c r="AO395" s="1871"/>
      <c r="AP395" s="1871"/>
      <c r="AQ395" s="1871"/>
      <c r="AR395" s="1871"/>
      <c r="AS395" s="1871"/>
      <c r="AT395" s="1871"/>
      <c r="AU395" s="1871"/>
      <c r="AV395" s="1871"/>
      <c r="AW395" s="1871"/>
      <c r="AX395" s="1871"/>
      <c r="AY395" s="1871"/>
      <c r="AZ395" s="1871"/>
      <c r="BA395" s="1871"/>
      <c r="BB395" s="1871"/>
      <c r="BC395" s="1871"/>
      <c r="BD395" s="1871"/>
      <c r="BE395" s="1871"/>
      <c r="BF395" s="1871"/>
      <c r="BG395" s="1871"/>
      <c r="BH395" s="1871"/>
      <c r="BI395" s="1871"/>
      <c r="BJ395" s="1871"/>
      <c r="BK395" s="1871"/>
      <c r="BL395" s="1871"/>
      <c r="BM395" s="1871"/>
      <c r="BN395" s="1871"/>
      <c r="BO395" s="1871"/>
      <c r="BP395" s="1871"/>
      <c r="BQ395" s="1871"/>
      <c r="BR395" s="1871"/>
      <c r="BS395" s="1871"/>
      <c r="BT395" s="1871"/>
      <c r="BU395" s="1871"/>
      <c r="BV395" s="1871"/>
      <c r="BW395" s="1871"/>
      <c r="BX395" s="1871"/>
      <c r="BY395" s="1871"/>
      <c r="BZ395" s="1871"/>
      <c r="CA395" s="1871"/>
      <c r="CB395" s="1871"/>
      <c r="CC395" s="1871"/>
      <c r="CD395" s="1871"/>
      <c r="CE395" s="1871"/>
      <c r="CF395" s="1871"/>
      <c r="CG395" s="1871"/>
      <c r="CH395" s="1871"/>
      <c r="CI395" s="1871"/>
      <c r="CJ395" s="1871"/>
      <c r="CK395" s="1871"/>
      <c r="CL395" s="1871"/>
      <c r="CM395" s="1871"/>
      <c r="CN395" s="1871"/>
      <c r="CO395" s="1871"/>
      <c r="CP395" s="1871"/>
      <c r="CQ395" s="1871"/>
      <c r="CR395" s="1871"/>
      <c r="CS395" s="1871"/>
      <c r="CT395" s="1871"/>
      <c r="CU395" s="1871"/>
      <c r="CV395" s="1871"/>
      <c r="CW395" s="1871"/>
      <c r="CX395" s="1871"/>
      <c r="CY395" s="1871"/>
      <c r="CZ395" s="1871"/>
      <c r="DA395" s="1871"/>
      <c r="DB395" s="1871"/>
      <c r="DC395" s="1871"/>
      <c r="DD395" s="1871"/>
      <c r="DE395" s="1871"/>
      <c r="DF395" s="1871"/>
      <c r="DG395" s="1871"/>
      <c r="DH395" s="1871"/>
      <c r="DI395" s="1871"/>
      <c r="DJ395" s="1871"/>
      <c r="DK395" s="1871"/>
      <c r="DL395" s="1871"/>
      <c r="DM395" s="1871"/>
      <c r="DN395" s="1871"/>
      <c r="DO395" s="1871"/>
      <c r="DP395" s="1871"/>
      <c r="DQ395" s="1871"/>
      <c r="DR395" s="1871"/>
      <c r="DS395" s="1871"/>
      <c r="DT395" s="1871"/>
      <c r="DU395" s="1871"/>
      <c r="DV395" s="1871"/>
      <c r="DW395" s="1871"/>
      <c r="DX395" s="1871"/>
      <c r="DY395" s="1871"/>
      <c r="DZ395" s="1871"/>
      <c r="EA395" s="1871"/>
      <c r="EB395" s="1871"/>
      <c r="EC395" s="1871"/>
      <c r="ED395" s="1871"/>
      <c r="EE395" s="1871"/>
      <c r="EF395" s="1871"/>
      <c r="EG395" s="1871"/>
      <c r="EH395" s="1871"/>
      <c r="EI395" s="1871"/>
      <c r="EJ395" s="1871"/>
      <c r="EK395" s="1871"/>
      <c r="EL395" s="1871"/>
      <c r="EM395" s="1871"/>
      <c r="EN395" s="1871"/>
      <c r="EO395" s="1871"/>
      <c r="EP395" s="1871"/>
      <c r="EQ395" s="1871"/>
      <c r="ER395" s="1871"/>
      <c r="ES395" s="1871"/>
      <c r="ET395" s="1871"/>
      <c r="EU395" s="1871"/>
      <c r="EV395" s="1871"/>
      <c r="EW395" s="1871"/>
      <c r="EX395" s="1871"/>
      <c r="EY395" s="1871"/>
      <c r="EZ395" s="1871"/>
      <c r="FA395" s="1871"/>
      <c r="FB395" s="1871"/>
      <c r="FC395" s="1871"/>
      <c r="FD395" s="1871"/>
      <c r="FE395" s="1871"/>
      <c r="FF395" s="1871"/>
      <c r="FG395" s="1871"/>
      <c r="FH395" s="1871"/>
      <c r="FI395" s="1871"/>
      <c r="FJ395" s="1871"/>
      <c r="FK395" s="1871"/>
      <c r="FL395" s="1871"/>
      <c r="FM395" s="1871"/>
      <c r="FN395" s="1871"/>
      <c r="FO395" s="1871"/>
      <c r="FP395" s="1871"/>
      <c r="FQ395" s="1871"/>
      <c r="FR395" s="1871"/>
      <c r="FS395" s="1871"/>
      <c r="FT395" s="1871"/>
      <c r="FU395" s="1871"/>
      <c r="FV395" s="1871"/>
      <c r="FW395" s="1871"/>
      <c r="FX395" s="1871"/>
      <c r="FY395" s="1871"/>
      <c r="FZ395" s="1871"/>
      <c r="GA395" s="1871"/>
      <c r="GB395" s="1871"/>
      <c r="GC395" s="1871"/>
      <c r="GD395" s="1871"/>
      <c r="GE395" s="1871"/>
      <c r="GF395" s="1871"/>
      <c r="GG395" s="1871"/>
      <c r="GH395" s="1871"/>
      <c r="GI395" s="1871"/>
      <c r="GJ395" s="1871"/>
      <c r="GK395" s="1871"/>
      <c r="GL395" s="1871"/>
      <c r="GM395" s="1871"/>
      <c r="GN395" s="1871"/>
      <c r="GO395" s="1871"/>
      <c r="GP395" s="1871"/>
      <c r="GQ395" s="1871"/>
      <c r="GR395" s="1871"/>
      <c r="GS395" s="1871"/>
      <c r="GT395" s="1871"/>
      <c r="GU395" s="1871"/>
      <c r="GV395" s="1871"/>
      <c r="GW395" s="1871"/>
      <c r="GX395" s="1871"/>
      <c r="GY395" s="1871"/>
      <c r="GZ395" s="1871"/>
      <c r="HA395" s="1871"/>
      <c r="HB395" s="1871"/>
      <c r="HC395" s="1871"/>
      <c r="HD395" s="1871"/>
      <c r="HE395" s="1871"/>
      <c r="HF395" s="1871"/>
      <c r="HG395" s="1871"/>
      <c r="HH395" s="1871"/>
      <c r="HI395" s="1871"/>
      <c r="HJ395" s="1871"/>
      <c r="HK395" s="1871"/>
      <c r="HL395" s="1871"/>
      <c r="HM395" s="1871"/>
      <c r="HN395" s="1871"/>
      <c r="HO395" s="1871"/>
      <c r="HP395" s="1871"/>
      <c r="HQ395" s="1871"/>
      <c r="HR395" s="1871"/>
      <c r="HS395" s="1871"/>
      <c r="HT395" s="1871"/>
      <c r="HU395" s="1871"/>
      <c r="HV395" s="1871"/>
      <c r="HW395" s="1871"/>
      <c r="HX395" s="1871"/>
      <c r="HY395" s="1871"/>
      <c r="HZ395" s="1871"/>
      <c r="IA395" s="1871"/>
      <c r="IB395" s="1871"/>
      <c r="IC395" s="1871"/>
      <c r="ID395" s="1871"/>
      <c r="IE395" s="1871"/>
      <c r="IF395" s="1871"/>
      <c r="IG395" s="1871"/>
      <c r="IH395" s="1871"/>
      <c r="II395" s="1871"/>
      <c r="IJ395" s="1871"/>
      <c r="IK395" s="1871"/>
      <c r="IL395" s="1871"/>
      <c r="IM395" s="1871"/>
      <c r="IN395" s="1871"/>
    </row>
    <row r="396" spans="1:248">
      <c r="A396" s="1870" t="s">
        <v>1894</v>
      </c>
      <c r="B396" s="1879" t="s">
        <v>1895</v>
      </c>
      <c r="C396" s="1881" t="s">
        <v>1896</v>
      </c>
      <c r="D396" s="1897">
        <v>0</v>
      </c>
      <c r="E396" s="1897">
        <v>0</v>
      </c>
      <c r="F396" s="1897">
        <v>0</v>
      </c>
      <c r="G396" s="1897">
        <v>0</v>
      </c>
      <c r="H396" s="1897">
        <v>0</v>
      </c>
      <c r="I396" s="1897">
        <v>0</v>
      </c>
      <c r="J396" s="1897">
        <v>0</v>
      </c>
      <c r="K396" s="1897">
        <v>0</v>
      </c>
      <c r="L396" s="1897">
        <v>0</v>
      </c>
      <c r="M396" s="1899">
        <f t="shared" si="45"/>
        <v>0</v>
      </c>
      <c r="N396" s="1897">
        <v>0</v>
      </c>
      <c r="O396" s="1900">
        <f t="shared" si="46"/>
        <v>0</v>
      </c>
      <c r="P396" s="3290" t="s">
        <v>385</v>
      </c>
      <c r="Q396" s="3290"/>
      <c r="R396" s="1877"/>
      <c r="S396" s="1871"/>
      <c r="T396" s="1871"/>
      <c r="U396" s="1871"/>
      <c r="V396" s="1871"/>
      <c r="W396" s="1871"/>
      <c r="X396" s="1871"/>
      <c r="Y396" s="1871"/>
      <c r="Z396" s="1871"/>
      <c r="AA396" s="1871"/>
      <c r="AB396" s="1871"/>
      <c r="AC396" s="1871"/>
      <c r="AD396" s="1871"/>
      <c r="AE396" s="1871"/>
      <c r="AF396" s="1871"/>
      <c r="AG396" s="1871"/>
      <c r="AH396" s="1871"/>
      <c r="AI396" s="1871"/>
      <c r="AJ396" s="1871"/>
      <c r="AK396" s="1871"/>
      <c r="AL396" s="1871"/>
      <c r="AM396" s="1871"/>
      <c r="AN396" s="1871"/>
      <c r="AO396" s="1871"/>
      <c r="AP396" s="1871"/>
      <c r="AQ396" s="1871"/>
      <c r="AR396" s="1871"/>
      <c r="AS396" s="1871"/>
      <c r="AT396" s="1871"/>
      <c r="AU396" s="1871"/>
      <c r="AV396" s="1871"/>
      <c r="AW396" s="1871"/>
      <c r="AX396" s="1871"/>
      <c r="AY396" s="1871"/>
      <c r="AZ396" s="1871"/>
      <c r="BA396" s="1871"/>
      <c r="BB396" s="1871"/>
      <c r="BC396" s="1871"/>
      <c r="BD396" s="1871"/>
      <c r="BE396" s="1871"/>
      <c r="BF396" s="1871"/>
      <c r="BG396" s="1871"/>
      <c r="BH396" s="1871"/>
      <c r="BI396" s="1871"/>
      <c r="BJ396" s="1871"/>
      <c r="BK396" s="1871"/>
      <c r="BL396" s="1871"/>
      <c r="BM396" s="1871"/>
      <c r="BN396" s="1871"/>
      <c r="BO396" s="1871"/>
      <c r="BP396" s="1871"/>
      <c r="BQ396" s="1871"/>
      <c r="BR396" s="1871"/>
      <c r="BS396" s="1871"/>
      <c r="BT396" s="1871"/>
      <c r="BU396" s="1871"/>
      <c r="BV396" s="1871"/>
      <c r="BW396" s="1871"/>
      <c r="BX396" s="1871"/>
      <c r="BY396" s="1871"/>
      <c r="BZ396" s="1871"/>
      <c r="CA396" s="1871"/>
      <c r="CB396" s="1871"/>
      <c r="CC396" s="1871"/>
      <c r="CD396" s="1871"/>
      <c r="CE396" s="1871"/>
      <c r="CF396" s="1871"/>
      <c r="CG396" s="1871"/>
      <c r="CH396" s="1871"/>
      <c r="CI396" s="1871"/>
      <c r="CJ396" s="1871"/>
      <c r="CK396" s="1871"/>
      <c r="CL396" s="1871"/>
      <c r="CM396" s="1871"/>
      <c r="CN396" s="1871"/>
      <c r="CO396" s="1871"/>
      <c r="CP396" s="1871"/>
      <c r="CQ396" s="1871"/>
      <c r="CR396" s="1871"/>
      <c r="CS396" s="1871"/>
      <c r="CT396" s="1871"/>
      <c r="CU396" s="1871"/>
      <c r="CV396" s="1871"/>
      <c r="CW396" s="1871"/>
      <c r="CX396" s="1871"/>
      <c r="CY396" s="1871"/>
      <c r="CZ396" s="1871"/>
      <c r="DA396" s="1871"/>
      <c r="DB396" s="1871"/>
      <c r="DC396" s="1871"/>
      <c r="DD396" s="1871"/>
      <c r="DE396" s="1871"/>
      <c r="DF396" s="1871"/>
      <c r="DG396" s="1871"/>
      <c r="DH396" s="1871"/>
      <c r="DI396" s="1871"/>
      <c r="DJ396" s="1871"/>
      <c r="DK396" s="1871"/>
      <c r="DL396" s="1871"/>
      <c r="DM396" s="1871"/>
      <c r="DN396" s="1871"/>
      <c r="DO396" s="1871"/>
      <c r="DP396" s="1871"/>
      <c r="DQ396" s="1871"/>
      <c r="DR396" s="1871"/>
      <c r="DS396" s="1871"/>
      <c r="DT396" s="1871"/>
      <c r="DU396" s="1871"/>
      <c r="DV396" s="1871"/>
      <c r="DW396" s="1871"/>
      <c r="DX396" s="1871"/>
      <c r="DY396" s="1871"/>
      <c r="DZ396" s="1871"/>
      <c r="EA396" s="1871"/>
      <c r="EB396" s="1871"/>
      <c r="EC396" s="1871"/>
      <c r="ED396" s="1871"/>
      <c r="EE396" s="1871"/>
      <c r="EF396" s="1871"/>
      <c r="EG396" s="1871"/>
      <c r="EH396" s="1871"/>
      <c r="EI396" s="1871"/>
      <c r="EJ396" s="1871"/>
      <c r="EK396" s="1871"/>
      <c r="EL396" s="1871"/>
      <c r="EM396" s="1871"/>
      <c r="EN396" s="1871"/>
      <c r="EO396" s="1871"/>
      <c r="EP396" s="1871"/>
      <c r="EQ396" s="1871"/>
      <c r="ER396" s="1871"/>
      <c r="ES396" s="1871"/>
      <c r="ET396" s="1871"/>
      <c r="EU396" s="1871"/>
      <c r="EV396" s="1871"/>
      <c r="EW396" s="1871"/>
      <c r="EX396" s="1871"/>
      <c r="EY396" s="1871"/>
      <c r="EZ396" s="1871"/>
      <c r="FA396" s="1871"/>
      <c r="FB396" s="1871"/>
      <c r="FC396" s="1871"/>
      <c r="FD396" s="1871"/>
      <c r="FE396" s="1871"/>
      <c r="FF396" s="1871"/>
      <c r="FG396" s="1871"/>
      <c r="FH396" s="1871"/>
      <c r="FI396" s="1871"/>
      <c r="FJ396" s="1871"/>
      <c r="FK396" s="1871"/>
      <c r="FL396" s="1871"/>
      <c r="FM396" s="1871"/>
      <c r="FN396" s="1871"/>
      <c r="FO396" s="1871"/>
      <c r="FP396" s="1871"/>
      <c r="FQ396" s="1871"/>
      <c r="FR396" s="1871"/>
      <c r="FS396" s="1871"/>
      <c r="FT396" s="1871"/>
      <c r="FU396" s="1871"/>
      <c r="FV396" s="1871"/>
      <c r="FW396" s="1871"/>
      <c r="FX396" s="1871"/>
      <c r="FY396" s="1871"/>
      <c r="FZ396" s="1871"/>
      <c r="GA396" s="1871"/>
      <c r="GB396" s="1871"/>
      <c r="GC396" s="1871"/>
      <c r="GD396" s="1871"/>
      <c r="GE396" s="1871"/>
      <c r="GF396" s="1871"/>
      <c r="GG396" s="1871"/>
      <c r="GH396" s="1871"/>
      <c r="GI396" s="1871"/>
      <c r="GJ396" s="1871"/>
      <c r="GK396" s="1871"/>
      <c r="GL396" s="1871"/>
      <c r="GM396" s="1871"/>
      <c r="GN396" s="1871"/>
      <c r="GO396" s="1871"/>
      <c r="GP396" s="1871"/>
      <c r="GQ396" s="1871"/>
      <c r="GR396" s="1871"/>
      <c r="GS396" s="1871"/>
      <c r="GT396" s="1871"/>
      <c r="GU396" s="1871"/>
      <c r="GV396" s="1871"/>
      <c r="GW396" s="1871"/>
      <c r="GX396" s="1871"/>
      <c r="GY396" s="1871"/>
      <c r="GZ396" s="1871"/>
      <c r="HA396" s="1871"/>
      <c r="HB396" s="1871"/>
      <c r="HC396" s="1871"/>
      <c r="HD396" s="1871"/>
      <c r="HE396" s="1871"/>
      <c r="HF396" s="1871"/>
      <c r="HG396" s="1871"/>
      <c r="HH396" s="1871"/>
      <c r="HI396" s="1871"/>
      <c r="HJ396" s="1871"/>
      <c r="HK396" s="1871"/>
      <c r="HL396" s="1871"/>
      <c r="HM396" s="1871"/>
      <c r="HN396" s="1871"/>
      <c r="HO396" s="1871"/>
      <c r="HP396" s="1871"/>
      <c r="HQ396" s="1871"/>
      <c r="HR396" s="1871"/>
      <c r="HS396" s="1871"/>
      <c r="HT396" s="1871"/>
      <c r="HU396" s="1871"/>
      <c r="HV396" s="1871"/>
      <c r="HW396" s="1871"/>
      <c r="HX396" s="1871"/>
      <c r="HY396" s="1871"/>
      <c r="HZ396" s="1871"/>
      <c r="IA396" s="1871"/>
      <c r="IB396" s="1871"/>
      <c r="IC396" s="1871"/>
      <c r="ID396" s="1871"/>
      <c r="IE396" s="1871"/>
      <c r="IF396" s="1871"/>
      <c r="IG396" s="1871"/>
      <c r="IH396" s="1871"/>
      <c r="II396" s="1871"/>
      <c r="IJ396" s="1871"/>
      <c r="IK396" s="1871"/>
      <c r="IL396" s="1871"/>
      <c r="IM396" s="1871"/>
      <c r="IN396" s="1871"/>
    </row>
    <row r="397" spans="1:248">
      <c r="A397" s="1870" t="s">
        <v>1897</v>
      </c>
      <c r="B397" s="1879" t="s">
        <v>1898</v>
      </c>
      <c r="C397" s="1881" t="s">
        <v>1899</v>
      </c>
      <c r="D397" s="1897">
        <v>0</v>
      </c>
      <c r="E397" s="1897">
        <v>0</v>
      </c>
      <c r="F397" s="1897">
        <v>0</v>
      </c>
      <c r="G397" s="1897">
        <v>0</v>
      </c>
      <c r="H397" s="1897">
        <v>0</v>
      </c>
      <c r="I397" s="1897">
        <v>0</v>
      </c>
      <c r="J397" s="1897">
        <v>0</v>
      </c>
      <c r="K397" s="1897">
        <v>0</v>
      </c>
      <c r="L397" s="1897">
        <v>0</v>
      </c>
      <c r="M397" s="1899">
        <f t="shared" si="45"/>
        <v>0</v>
      </c>
      <c r="N397" s="1897">
        <v>0</v>
      </c>
      <c r="O397" s="1900">
        <f t="shared" si="46"/>
        <v>0</v>
      </c>
      <c r="P397" s="3290" t="s">
        <v>385</v>
      </c>
      <c r="Q397" s="3290"/>
      <c r="R397" s="1877"/>
      <c r="S397" s="1871"/>
      <c r="T397" s="1871"/>
      <c r="U397" s="1871"/>
      <c r="V397" s="1871"/>
      <c r="W397" s="1871"/>
      <c r="X397" s="1871"/>
      <c r="Y397" s="1871"/>
      <c r="Z397" s="1871"/>
      <c r="AA397" s="1871"/>
      <c r="AB397" s="1871"/>
      <c r="AC397" s="1871"/>
      <c r="AD397" s="1871"/>
      <c r="AE397" s="1871"/>
      <c r="AF397" s="1871"/>
      <c r="AG397" s="1871"/>
      <c r="AH397" s="1871"/>
      <c r="AI397" s="1871"/>
      <c r="AJ397" s="1871"/>
      <c r="AK397" s="1871"/>
      <c r="AL397" s="1871"/>
      <c r="AM397" s="1871"/>
      <c r="AN397" s="1871"/>
      <c r="AO397" s="1871"/>
      <c r="AP397" s="1871"/>
      <c r="AQ397" s="1871"/>
      <c r="AR397" s="1871"/>
      <c r="AS397" s="1871"/>
      <c r="AT397" s="1871"/>
      <c r="AU397" s="1871"/>
      <c r="AV397" s="1871"/>
      <c r="AW397" s="1871"/>
      <c r="AX397" s="1871"/>
      <c r="AY397" s="1871"/>
      <c r="AZ397" s="1871"/>
      <c r="BA397" s="1871"/>
      <c r="BB397" s="1871"/>
      <c r="BC397" s="1871"/>
      <c r="BD397" s="1871"/>
      <c r="BE397" s="1871"/>
      <c r="BF397" s="1871"/>
      <c r="BG397" s="1871"/>
      <c r="BH397" s="1871"/>
      <c r="BI397" s="1871"/>
      <c r="BJ397" s="1871"/>
      <c r="BK397" s="1871"/>
      <c r="BL397" s="1871"/>
      <c r="BM397" s="1871"/>
      <c r="BN397" s="1871"/>
      <c r="BO397" s="1871"/>
      <c r="BP397" s="1871"/>
      <c r="BQ397" s="1871"/>
      <c r="BR397" s="1871"/>
      <c r="BS397" s="1871"/>
      <c r="BT397" s="1871"/>
      <c r="BU397" s="1871"/>
      <c r="BV397" s="1871"/>
      <c r="BW397" s="1871"/>
      <c r="BX397" s="1871"/>
      <c r="BY397" s="1871"/>
      <c r="BZ397" s="1871"/>
      <c r="CA397" s="1871"/>
      <c r="CB397" s="1871"/>
      <c r="CC397" s="1871"/>
      <c r="CD397" s="1871"/>
      <c r="CE397" s="1871"/>
      <c r="CF397" s="1871"/>
      <c r="CG397" s="1871"/>
      <c r="CH397" s="1871"/>
      <c r="CI397" s="1871"/>
      <c r="CJ397" s="1871"/>
      <c r="CK397" s="1871"/>
      <c r="CL397" s="1871"/>
      <c r="CM397" s="1871"/>
      <c r="CN397" s="1871"/>
      <c r="CO397" s="1871"/>
      <c r="CP397" s="1871"/>
      <c r="CQ397" s="1871"/>
      <c r="CR397" s="1871"/>
      <c r="CS397" s="1871"/>
      <c r="CT397" s="1871"/>
      <c r="CU397" s="1871"/>
      <c r="CV397" s="1871"/>
      <c r="CW397" s="1871"/>
      <c r="CX397" s="1871"/>
      <c r="CY397" s="1871"/>
      <c r="CZ397" s="1871"/>
      <c r="DA397" s="1871"/>
      <c r="DB397" s="1871"/>
      <c r="DC397" s="1871"/>
      <c r="DD397" s="1871"/>
      <c r="DE397" s="1871"/>
      <c r="DF397" s="1871"/>
      <c r="DG397" s="1871"/>
      <c r="DH397" s="1871"/>
      <c r="DI397" s="1871"/>
      <c r="DJ397" s="1871"/>
      <c r="DK397" s="1871"/>
      <c r="DL397" s="1871"/>
      <c r="DM397" s="1871"/>
      <c r="DN397" s="1871"/>
      <c r="DO397" s="1871"/>
      <c r="DP397" s="1871"/>
      <c r="DQ397" s="1871"/>
      <c r="DR397" s="1871"/>
      <c r="DS397" s="1871"/>
      <c r="DT397" s="1871"/>
      <c r="DU397" s="1871"/>
      <c r="DV397" s="1871"/>
      <c r="DW397" s="1871"/>
      <c r="DX397" s="1871"/>
      <c r="DY397" s="1871"/>
      <c r="DZ397" s="1871"/>
      <c r="EA397" s="1871"/>
      <c r="EB397" s="1871"/>
      <c r="EC397" s="1871"/>
      <c r="ED397" s="1871"/>
      <c r="EE397" s="1871"/>
      <c r="EF397" s="1871"/>
      <c r="EG397" s="1871"/>
      <c r="EH397" s="1871"/>
      <c r="EI397" s="1871"/>
      <c r="EJ397" s="1871"/>
      <c r="EK397" s="1871"/>
      <c r="EL397" s="1871"/>
      <c r="EM397" s="1871"/>
      <c r="EN397" s="1871"/>
      <c r="EO397" s="1871"/>
      <c r="EP397" s="1871"/>
      <c r="EQ397" s="1871"/>
      <c r="ER397" s="1871"/>
      <c r="ES397" s="1871"/>
      <c r="ET397" s="1871"/>
      <c r="EU397" s="1871"/>
      <c r="EV397" s="1871"/>
      <c r="EW397" s="1871"/>
      <c r="EX397" s="1871"/>
      <c r="EY397" s="1871"/>
      <c r="EZ397" s="1871"/>
      <c r="FA397" s="1871"/>
      <c r="FB397" s="1871"/>
      <c r="FC397" s="1871"/>
      <c r="FD397" s="1871"/>
      <c r="FE397" s="1871"/>
      <c r="FF397" s="1871"/>
      <c r="FG397" s="1871"/>
      <c r="FH397" s="1871"/>
      <c r="FI397" s="1871"/>
      <c r="FJ397" s="1871"/>
      <c r="FK397" s="1871"/>
      <c r="FL397" s="1871"/>
      <c r="FM397" s="1871"/>
      <c r="FN397" s="1871"/>
      <c r="FO397" s="1871"/>
      <c r="FP397" s="1871"/>
      <c r="FQ397" s="1871"/>
      <c r="FR397" s="1871"/>
      <c r="FS397" s="1871"/>
      <c r="FT397" s="1871"/>
      <c r="FU397" s="1871"/>
      <c r="FV397" s="1871"/>
      <c r="FW397" s="1871"/>
      <c r="FX397" s="1871"/>
      <c r="FY397" s="1871"/>
      <c r="FZ397" s="1871"/>
      <c r="GA397" s="1871"/>
      <c r="GB397" s="1871"/>
      <c r="GC397" s="1871"/>
      <c r="GD397" s="1871"/>
      <c r="GE397" s="1871"/>
      <c r="GF397" s="1871"/>
      <c r="GG397" s="1871"/>
      <c r="GH397" s="1871"/>
      <c r="GI397" s="1871"/>
      <c r="GJ397" s="1871"/>
      <c r="GK397" s="1871"/>
      <c r="GL397" s="1871"/>
      <c r="GM397" s="1871"/>
      <c r="GN397" s="1871"/>
      <c r="GO397" s="1871"/>
      <c r="GP397" s="1871"/>
      <c r="GQ397" s="1871"/>
      <c r="GR397" s="1871"/>
      <c r="GS397" s="1871"/>
      <c r="GT397" s="1871"/>
      <c r="GU397" s="1871"/>
      <c r="GV397" s="1871"/>
      <c r="GW397" s="1871"/>
      <c r="GX397" s="1871"/>
      <c r="GY397" s="1871"/>
      <c r="GZ397" s="1871"/>
      <c r="HA397" s="1871"/>
      <c r="HB397" s="1871"/>
      <c r="HC397" s="1871"/>
      <c r="HD397" s="1871"/>
      <c r="HE397" s="1871"/>
      <c r="HF397" s="1871"/>
      <c r="HG397" s="1871"/>
      <c r="HH397" s="1871"/>
      <c r="HI397" s="1871"/>
      <c r="HJ397" s="1871"/>
      <c r="HK397" s="1871"/>
      <c r="HL397" s="1871"/>
      <c r="HM397" s="1871"/>
      <c r="HN397" s="1871"/>
      <c r="HO397" s="1871"/>
      <c r="HP397" s="1871"/>
      <c r="HQ397" s="1871"/>
      <c r="HR397" s="1871"/>
      <c r="HS397" s="1871"/>
      <c r="HT397" s="1871"/>
      <c r="HU397" s="1871"/>
      <c r="HV397" s="1871"/>
      <c r="HW397" s="1871"/>
      <c r="HX397" s="1871"/>
      <c r="HY397" s="1871"/>
      <c r="HZ397" s="1871"/>
      <c r="IA397" s="1871"/>
      <c r="IB397" s="1871"/>
      <c r="IC397" s="1871"/>
      <c r="ID397" s="1871"/>
      <c r="IE397" s="1871"/>
      <c r="IF397" s="1871"/>
      <c r="IG397" s="1871"/>
      <c r="IH397" s="1871"/>
      <c r="II397" s="1871"/>
      <c r="IJ397" s="1871"/>
      <c r="IK397" s="1871"/>
      <c r="IL397" s="1871"/>
      <c r="IM397" s="1871"/>
      <c r="IN397" s="1871"/>
    </row>
    <row r="398" spans="1:248">
      <c r="A398" s="1870" t="s">
        <v>1900</v>
      </c>
      <c r="B398" s="1879" t="s">
        <v>1901</v>
      </c>
      <c r="C398" s="1881" t="s">
        <v>1902</v>
      </c>
      <c r="D398" s="1897">
        <v>0</v>
      </c>
      <c r="E398" s="1897">
        <v>0</v>
      </c>
      <c r="F398" s="1897">
        <v>0</v>
      </c>
      <c r="G398" s="1897">
        <v>0</v>
      </c>
      <c r="H398" s="1897">
        <v>0</v>
      </c>
      <c r="I398" s="1897">
        <v>0</v>
      </c>
      <c r="J398" s="1897">
        <v>0</v>
      </c>
      <c r="K398" s="1897">
        <v>0</v>
      </c>
      <c r="L398" s="1897">
        <v>0</v>
      </c>
      <c r="M398" s="1899">
        <f t="shared" si="45"/>
        <v>0</v>
      </c>
      <c r="N398" s="1897">
        <v>0</v>
      </c>
      <c r="O398" s="1900">
        <f t="shared" si="46"/>
        <v>0</v>
      </c>
      <c r="P398" s="3290" t="s">
        <v>385</v>
      </c>
      <c r="Q398" s="3290"/>
      <c r="R398" s="1877"/>
      <c r="S398" s="1871"/>
      <c r="T398" s="1871"/>
      <c r="U398" s="1871"/>
      <c r="V398" s="1871"/>
      <c r="W398" s="1871"/>
      <c r="X398" s="1871"/>
      <c r="Y398" s="1871"/>
      <c r="Z398" s="1871"/>
      <c r="AA398" s="1871"/>
      <c r="AB398" s="1871"/>
      <c r="AC398" s="1871"/>
      <c r="AD398" s="1871"/>
      <c r="AE398" s="1871"/>
      <c r="AF398" s="1871"/>
      <c r="AG398" s="1871"/>
      <c r="AH398" s="1871"/>
      <c r="AI398" s="1871"/>
      <c r="AJ398" s="1871"/>
      <c r="AK398" s="1871"/>
      <c r="AL398" s="1871"/>
      <c r="AM398" s="1871"/>
      <c r="AN398" s="1871"/>
      <c r="AO398" s="1871"/>
      <c r="AP398" s="1871"/>
      <c r="AQ398" s="1871"/>
      <c r="AR398" s="1871"/>
      <c r="AS398" s="1871"/>
      <c r="AT398" s="1871"/>
      <c r="AU398" s="1871"/>
      <c r="AV398" s="1871"/>
      <c r="AW398" s="1871"/>
      <c r="AX398" s="1871"/>
      <c r="AY398" s="1871"/>
      <c r="AZ398" s="1871"/>
      <c r="BA398" s="1871"/>
      <c r="BB398" s="1871"/>
      <c r="BC398" s="1871"/>
      <c r="BD398" s="1871"/>
      <c r="BE398" s="1871"/>
      <c r="BF398" s="1871"/>
      <c r="BG398" s="1871"/>
      <c r="BH398" s="1871"/>
      <c r="BI398" s="1871"/>
      <c r="BJ398" s="1871"/>
      <c r="BK398" s="1871"/>
      <c r="BL398" s="1871"/>
      <c r="BM398" s="1871"/>
      <c r="BN398" s="1871"/>
      <c r="BO398" s="1871"/>
      <c r="BP398" s="1871"/>
      <c r="BQ398" s="1871"/>
      <c r="BR398" s="1871"/>
      <c r="BS398" s="1871"/>
      <c r="BT398" s="1871"/>
      <c r="BU398" s="1871"/>
      <c r="BV398" s="1871"/>
      <c r="BW398" s="1871"/>
      <c r="BX398" s="1871"/>
      <c r="BY398" s="1871"/>
      <c r="BZ398" s="1871"/>
      <c r="CA398" s="1871"/>
      <c r="CB398" s="1871"/>
      <c r="CC398" s="1871"/>
      <c r="CD398" s="1871"/>
      <c r="CE398" s="1871"/>
      <c r="CF398" s="1871"/>
      <c r="CG398" s="1871"/>
      <c r="CH398" s="1871"/>
      <c r="CI398" s="1871"/>
      <c r="CJ398" s="1871"/>
      <c r="CK398" s="1871"/>
      <c r="CL398" s="1871"/>
      <c r="CM398" s="1871"/>
      <c r="CN398" s="1871"/>
      <c r="CO398" s="1871"/>
      <c r="CP398" s="1871"/>
      <c r="CQ398" s="1871"/>
      <c r="CR398" s="1871"/>
      <c r="CS398" s="1871"/>
      <c r="CT398" s="1871"/>
      <c r="CU398" s="1871"/>
      <c r="CV398" s="1871"/>
      <c r="CW398" s="1871"/>
      <c r="CX398" s="1871"/>
      <c r="CY398" s="1871"/>
      <c r="CZ398" s="1871"/>
      <c r="DA398" s="1871"/>
      <c r="DB398" s="1871"/>
      <c r="DC398" s="1871"/>
      <c r="DD398" s="1871"/>
      <c r="DE398" s="1871"/>
      <c r="DF398" s="1871"/>
      <c r="DG398" s="1871"/>
      <c r="DH398" s="1871"/>
      <c r="DI398" s="1871"/>
      <c r="DJ398" s="1871"/>
      <c r="DK398" s="1871"/>
      <c r="DL398" s="1871"/>
      <c r="DM398" s="1871"/>
      <c r="DN398" s="1871"/>
      <c r="DO398" s="1871"/>
      <c r="DP398" s="1871"/>
      <c r="DQ398" s="1871"/>
      <c r="DR398" s="1871"/>
      <c r="DS398" s="1871"/>
      <c r="DT398" s="1871"/>
      <c r="DU398" s="1871"/>
      <c r="DV398" s="1871"/>
      <c r="DW398" s="1871"/>
      <c r="DX398" s="1871"/>
      <c r="DY398" s="1871"/>
      <c r="DZ398" s="1871"/>
      <c r="EA398" s="1871"/>
      <c r="EB398" s="1871"/>
      <c r="EC398" s="1871"/>
      <c r="ED398" s="1871"/>
      <c r="EE398" s="1871"/>
      <c r="EF398" s="1871"/>
      <c r="EG398" s="1871"/>
      <c r="EH398" s="1871"/>
      <c r="EI398" s="1871"/>
      <c r="EJ398" s="1871"/>
      <c r="EK398" s="1871"/>
      <c r="EL398" s="1871"/>
      <c r="EM398" s="1871"/>
      <c r="EN398" s="1871"/>
      <c r="EO398" s="1871"/>
      <c r="EP398" s="1871"/>
      <c r="EQ398" s="1871"/>
      <c r="ER398" s="1871"/>
      <c r="ES398" s="1871"/>
      <c r="ET398" s="1871"/>
      <c r="EU398" s="1871"/>
      <c r="EV398" s="1871"/>
      <c r="EW398" s="1871"/>
      <c r="EX398" s="1871"/>
      <c r="EY398" s="1871"/>
      <c r="EZ398" s="1871"/>
      <c r="FA398" s="1871"/>
      <c r="FB398" s="1871"/>
      <c r="FC398" s="1871"/>
      <c r="FD398" s="1871"/>
      <c r="FE398" s="1871"/>
      <c r="FF398" s="1871"/>
      <c r="FG398" s="1871"/>
      <c r="FH398" s="1871"/>
      <c r="FI398" s="1871"/>
      <c r="FJ398" s="1871"/>
      <c r="FK398" s="1871"/>
      <c r="FL398" s="1871"/>
      <c r="FM398" s="1871"/>
      <c r="FN398" s="1871"/>
      <c r="FO398" s="1871"/>
      <c r="FP398" s="1871"/>
      <c r="FQ398" s="1871"/>
      <c r="FR398" s="1871"/>
      <c r="FS398" s="1871"/>
      <c r="FT398" s="1871"/>
      <c r="FU398" s="1871"/>
      <c r="FV398" s="1871"/>
      <c r="FW398" s="1871"/>
      <c r="FX398" s="1871"/>
      <c r="FY398" s="1871"/>
      <c r="FZ398" s="1871"/>
      <c r="GA398" s="1871"/>
      <c r="GB398" s="1871"/>
      <c r="GC398" s="1871"/>
      <c r="GD398" s="1871"/>
      <c r="GE398" s="1871"/>
      <c r="GF398" s="1871"/>
      <c r="GG398" s="1871"/>
      <c r="GH398" s="1871"/>
      <c r="GI398" s="1871"/>
      <c r="GJ398" s="1871"/>
      <c r="GK398" s="1871"/>
      <c r="GL398" s="1871"/>
      <c r="GM398" s="1871"/>
      <c r="GN398" s="1871"/>
      <c r="GO398" s="1871"/>
      <c r="GP398" s="1871"/>
      <c r="GQ398" s="1871"/>
      <c r="GR398" s="1871"/>
      <c r="GS398" s="1871"/>
      <c r="GT398" s="1871"/>
      <c r="GU398" s="1871"/>
      <c r="GV398" s="1871"/>
      <c r="GW398" s="1871"/>
      <c r="GX398" s="1871"/>
      <c r="GY398" s="1871"/>
      <c r="GZ398" s="1871"/>
      <c r="HA398" s="1871"/>
      <c r="HB398" s="1871"/>
      <c r="HC398" s="1871"/>
      <c r="HD398" s="1871"/>
      <c r="HE398" s="1871"/>
      <c r="HF398" s="1871"/>
      <c r="HG398" s="1871"/>
      <c r="HH398" s="1871"/>
      <c r="HI398" s="1871"/>
      <c r="HJ398" s="1871"/>
      <c r="HK398" s="1871"/>
      <c r="HL398" s="1871"/>
      <c r="HM398" s="1871"/>
      <c r="HN398" s="1871"/>
      <c r="HO398" s="1871"/>
      <c r="HP398" s="1871"/>
      <c r="HQ398" s="1871"/>
      <c r="HR398" s="1871"/>
      <c r="HS398" s="1871"/>
      <c r="HT398" s="1871"/>
      <c r="HU398" s="1871"/>
      <c r="HV398" s="1871"/>
      <c r="HW398" s="1871"/>
      <c r="HX398" s="1871"/>
      <c r="HY398" s="1871"/>
      <c r="HZ398" s="1871"/>
      <c r="IA398" s="1871"/>
      <c r="IB398" s="1871"/>
      <c r="IC398" s="1871"/>
      <c r="ID398" s="1871"/>
      <c r="IE398" s="1871"/>
      <c r="IF398" s="1871"/>
      <c r="IG398" s="1871"/>
      <c r="IH398" s="1871"/>
      <c r="II398" s="1871"/>
      <c r="IJ398" s="1871"/>
      <c r="IK398" s="1871"/>
      <c r="IL398" s="1871"/>
      <c r="IM398" s="1871"/>
      <c r="IN398" s="1871"/>
    </row>
    <row r="399" spans="1:248">
      <c r="A399" s="1870" t="s">
        <v>1903</v>
      </c>
      <c r="B399" s="1879" t="s">
        <v>1904</v>
      </c>
      <c r="C399" s="1881" t="s">
        <v>1905</v>
      </c>
      <c r="D399" s="1897">
        <v>0</v>
      </c>
      <c r="E399" s="1897">
        <v>0</v>
      </c>
      <c r="F399" s="1897">
        <v>0</v>
      </c>
      <c r="G399" s="1897">
        <v>0</v>
      </c>
      <c r="H399" s="1897">
        <v>0</v>
      </c>
      <c r="I399" s="1897">
        <v>0</v>
      </c>
      <c r="J399" s="1897">
        <v>0</v>
      </c>
      <c r="K399" s="1897">
        <v>0</v>
      </c>
      <c r="L399" s="1897">
        <v>0</v>
      </c>
      <c r="M399" s="1899">
        <f t="shared" si="45"/>
        <v>0</v>
      </c>
      <c r="N399" s="1897">
        <v>0</v>
      </c>
      <c r="O399" s="1900">
        <f t="shared" si="46"/>
        <v>0</v>
      </c>
      <c r="P399" s="3290" t="s">
        <v>385</v>
      </c>
      <c r="Q399" s="3290"/>
      <c r="R399" s="1877"/>
      <c r="S399" s="516"/>
      <c r="T399" s="516"/>
      <c r="U399" s="516"/>
      <c r="V399" s="516"/>
      <c r="W399" s="516"/>
      <c r="X399" s="516"/>
      <c r="Y399" s="516"/>
      <c r="Z399" s="516"/>
      <c r="AA399" s="516"/>
      <c r="AB399" s="516"/>
      <c r="AC399" s="516"/>
      <c r="AD399" s="516"/>
      <c r="AE399" s="516"/>
      <c r="AF399" s="516"/>
      <c r="AG399" s="516"/>
      <c r="AH399" s="516"/>
      <c r="AI399" s="516"/>
      <c r="AJ399" s="516"/>
      <c r="AK399" s="516"/>
      <c r="AL399" s="516"/>
      <c r="AM399" s="516"/>
      <c r="AN399" s="516"/>
      <c r="AO399" s="516"/>
      <c r="AP399" s="516"/>
      <c r="AQ399" s="516"/>
      <c r="AR399" s="516"/>
      <c r="AS399" s="516"/>
      <c r="AT399" s="516"/>
      <c r="AU399" s="516"/>
      <c r="AV399" s="516"/>
      <c r="AW399" s="516"/>
      <c r="AX399" s="516"/>
      <c r="AY399" s="516"/>
      <c r="AZ399" s="516"/>
      <c r="BA399" s="516"/>
      <c r="BB399" s="516"/>
      <c r="BC399" s="516"/>
      <c r="BD399" s="516"/>
      <c r="BE399" s="516"/>
      <c r="BF399" s="516"/>
      <c r="BG399" s="516"/>
      <c r="BH399" s="516"/>
      <c r="BI399" s="516"/>
      <c r="BJ399" s="516"/>
      <c r="BK399" s="516"/>
      <c r="BL399" s="516"/>
      <c r="BM399" s="516"/>
      <c r="BN399" s="516"/>
      <c r="BO399" s="516"/>
      <c r="BP399" s="516"/>
      <c r="BQ399" s="516"/>
      <c r="BR399" s="516"/>
      <c r="BS399" s="516"/>
      <c r="BT399" s="516"/>
      <c r="BU399" s="516"/>
      <c r="BV399" s="516"/>
      <c r="BW399" s="516"/>
      <c r="BX399" s="516"/>
      <c r="BY399" s="516"/>
      <c r="BZ399" s="516"/>
      <c r="CA399" s="516"/>
      <c r="CB399" s="516"/>
      <c r="CC399" s="516"/>
      <c r="CD399" s="516"/>
      <c r="CE399" s="516"/>
      <c r="CF399" s="516"/>
      <c r="CG399" s="516"/>
      <c r="CH399" s="516"/>
      <c r="CI399" s="516"/>
      <c r="CJ399" s="516"/>
      <c r="CK399" s="516"/>
      <c r="CL399" s="516"/>
      <c r="CM399" s="516"/>
      <c r="CN399" s="516"/>
      <c r="CO399" s="516"/>
      <c r="CP399" s="516"/>
      <c r="CQ399" s="516"/>
      <c r="CR399" s="516"/>
      <c r="CS399" s="516"/>
      <c r="CT399" s="516"/>
      <c r="CU399" s="516"/>
      <c r="CV399" s="516"/>
      <c r="CW399" s="516"/>
      <c r="CX399" s="516"/>
      <c r="CY399" s="516"/>
      <c r="CZ399" s="516"/>
      <c r="DA399" s="516"/>
      <c r="DB399" s="516"/>
      <c r="DC399" s="516"/>
      <c r="DD399" s="516"/>
      <c r="DE399" s="516"/>
      <c r="DF399" s="516"/>
      <c r="DG399" s="516"/>
      <c r="DH399" s="516"/>
      <c r="DI399" s="516"/>
      <c r="DJ399" s="516"/>
      <c r="DK399" s="516"/>
      <c r="DL399" s="516"/>
      <c r="DM399" s="516"/>
      <c r="DN399" s="516"/>
      <c r="DO399" s="516"/>
      <c r="DP399" s="516"/>
      <c r="DQ399" s="516"/>
      <c r="DR399" s="516"/>
      <c r="DS399" s="516"/>
      <c r="DT399" s="516"/>
      <c r="DU399" s="516"/>
      <c r="DV399" s="516"/>
      <c r="DW399" s="516"/>
      <c r="DX399" s="516"/>
      <c r="DY399" s="516"/>
      <c r="DZ399" s="516"/>
      <c r="EA399" s="516"/>
      <c r="EB399" s="516"/>
      <c r="EC399" s="516"/>
      <c r="ED399" s="516"/>
      <c r="EE399" s="516"/>
      <c r="EF399" s="516"/>
      <c r="EG399" s="516"/>
      <c r="EH399" s="516"/>
      <c r="EI399" s="516"/>
      <c r="EJ399" s="516"/>
      <c r="EK399" s="516"/>
      <c r="EL399" s="516"/>
      <c r="EM399" s="516"/>
      <c r="EN399" s="516"/>
      <c r="EO399" s="516"/>
      <c r="EP399" s="516"/>
      <c r="EQ399" s="516"/>
      <c r="ER399" s="516"/>
      <c r="ES399" s="516"/>
      <c r="ET399" s="516"/>
      <c r="EU399" s="516"/>
      <c r="EV399" s="516"/>
      <c r="EW399" s="516"/>
      <c r="EX399" s="516"/>
      <c r="EY399" s="516"/>
      <c r="EZ399" s="516"/>
      <c r="FA399" s="516"/>
      <c r="FB399" s="516"/>
      <c r="FC399" s="516"/>
      <c r="FD399" s="516"/>
      <c r="FE399" s="516"/>
      <c r="FF399" s="516"/>
      <c r="FG399" s="516"/>
      <c r="FH399" s="516"/>
      <c r="FI399" s="516"/>
      <c r="FJ399" s="516"/>
      <c r="FK399" s="516"/>
      <c r="FL399" s="516"/>
      <c r="FM399" s="516"/>
      <c r="FN399" s="516"/>
      <c r="FO399" s="516"/>
      <c r="FP399" s="516"/>
      <c r="FQ399" s="516"/>
      <c r="FR399" s="516"/>
      <c r="FS399" s="516"/>
      <c r="FT399" s="516"/>
      <c r="FU399" s="516"/>
      <c r="FV399" s="516"/>
      <c r="FW399" s="516"/>
      <c r="FX399" s="516"/>
      <c r="FY399" s="516"/>
      <c r="FZ399" s="516"/>
      <c r="GA399" s="516"/>
      <c r="GB399" s="516"/>
      <c r="GC399" s="516"/>
      <c r="GD399" s="516"/>
      <c r="GE399" s="516"/>
      <c r="GF399" s="516"/>
      <c r="GG399" s="516"/>
      <c r="GH399" s="516"/>
      <c r="GI399" s="516"/>
      <c r="GJ399" s="516"/>
      <c r="GK399" s="516"/>
      <c r="GL399" s="516"/>
      <c r="GM399" s="516"/>
      <c r="GN399" s="516"/>
      <c r="GO399" s="516"/>
      <c r="GP399" s="516"/>
      <c r="GQ399" s="516"/>
      <c r="GR399" s="516"/>
      <c r="GS399" s="516"/>
      <c r="GT399" s="516"/>
      <c r="GU399" s="516"/>
      <c r="GV399" s="516"/>
      <c r="GW399" s="516"/>
      <c r="GX399" s="516"/>
      <c r="GY399" s="516"/>
      <c r="GZ399" s="516"/>
      <c r="HA399" s="516"/>
      <c r="HB399" s="516"/>
      <c r="HC399" s="516"/>
      <c r="HD399" s="516"/>
      <c r="HE399" s="516"/>
      <c r="HF399" s="516"/>
      <c r="HG399" s="516"/>
      <c r="HH399" s="516"/>
      <c r="HI399" s="516"/>
      <c r="HJ399" s="516"/>
      <c r="HK399" s="516"/>
      <c r="HL399" s="516"/>
      <c r="HM399" s="516"/>
      <c r="HN399" s="516"/>
      <c r="HO399" s="516"/>
      <c r="HP399" s="516"/>
      <c r="HQ399" s="516"/>
      <c r="HR399" s="516"/>
      <c r="HS399" s="516"/>
      <c r="HT399" s="516"/>
      <c r="HU399" s="516"/>
      <c r="HV399" s="516"/>
      <c r="HW399" s="516"/>
      <c r="HX399" s="516"/>
      <c r="HY399" s="516"/>
      <c r="HZ399" s="516"/>
      <c r="IA399" s="516"/>
      <c r="IB399" s="516"/>
      <c r="IC399" s="516"/>
      <c r="ID399" s="516"/>
      <c r="IE399" s="516"/>
      <c r="IF399" s="516"/>
      <c r="IG399" s="516"/>
      <c r="IH399" s="516"/>
      <c r="II399" s="516"/>
      <c r="IJ399" s="516"/>
      <c r="IK399" s="516"/>
      <c r="IL399" s="516"/>
      <c r="IM399" s="516"/>
      <c r="IN399" s="516"/>
    </row>
    <row r="400" spans="1:248">
      <c r="A400" s="1870" t="s">
        <v>1906</v>
      </c>
      <c r="B400" s="1879" t="s">
        <v>1907</v>
      </c>
      <c r="C400" s="1881" t="s">
        <v>1908</v>
      </c>
      <c r="D400" s="1897">
        <v>0</v>
      </c>
      <c r="E400" s="1897">
        <v>0</v>
      </c>
      <c r="F400" s="1897">
        <v>0</v>
      </c>
      <c r="G400" s="1897">
        <v>0</v>
      </c>
      <c r="H400" s="1897">
        <v>0</v>
      </c>
      <c r="I400" s="1897">
        <v>0</v>
      </c>
      <c r="J400" s="1897">
        <v>0</v>
      </c>
      <c r="K400" s="1897">
        <v>0</v>
      </c>
      <c r="L400" s="1897">
        <v>0</v>
      </c>
      <c r="M400" s="1899">
        <f t="shared" si="45"/>
        <v>0</v>
      </c>
      <c r="N400" s="1897">
        <v>0</v>
      </c>
      <c r="O400" s="1900">
        <f t="shared" si="46"/>
        <v>0</v>
      </c>
      <c r="P400" s="3290" t="s">
        <v>385</v>
      </c>
      <c r="Q400" s="3290"/>
      <c r="R400" s="1877"/>
      <c r="S400" s="1871"/>
      <c r="T400" s="1871"/>
      <c r="U400" s="1871"/>
      <c r="V400" s="1871"/>
      <c r="W400" s="1871"/>
      <c r="X400" s="1871"/>
      <c r="Y400" s="1871"/>
      <c r="Z400" s="1871"/>
      <c r="AA400" s="1871"/>
      <c r="AB400" s="1871"/>
      <c r="AC400" s="1871"/>
      <c r="AD400" s="1871"/>
      <c r="AE400" s="1871"/>
      <c r="AF400" s="1871"/>
      <c r="AG400" s="1871"/>
      <c r="AH400" s="1871"/>
      <c r="AI400" s="1871"/>
      <c r="AJ400" s="1871"/>
      <c r="AK400" s="1871"/>
      <c r="AL400" s="1871"/>
      <c r="AM400" s="1871"/>
      <c r="AN400" s="1871"/>
      <c r="AO400" s="1871"/>
      <c r="AP400" s="1871"/>
      <c r="AQ400" s="1871"/>
      <c r="AR400" s="1871"/>
      <c r="AS400" s="1871"/>
      <c r="AT400" s="1871"/>
      <c r="AU400" s="1871"/>
      <c r="AV400" s="1871"/>
      <c r="AW400" s="1871"/>
      <c r="AX400" s="1871"/>
      <c r="AY400" s="1871"/>
      <c r="AZ400" s="1871"/>
      <c r="BA400" s="1871"/>
      <c r="BB400" s="1871"/>
      <c r="BC400" s="1871"/>
      <c r="BD400" s="1871"/>
      <c r="BE400" s="1871"/>
      <c r="BF400" s="1871"/>
      <c r="BG400" s="1871"/>
      <c r="BH400" s="1871"/>
      <c r="BI400" s="1871"/>
      <c r="BJ400" s="1871"/>
      <c r="BK400" s="1871"/>
      <c r="BL400" s="1871"/>
      <c r="BM400" s="1871"/>
      <c r="BN400" s="1871"/>
      <c r="BO400" s="1871"/>
      <c r="BP400" s="1871"/>
      <c r="BQ400" s="1871"/>
      <c r="BR400" s="1871"/>
      <c r="BS400" s="1871"/>
      <c r="BT400" s="1871"/>
      <c r="BU400" s="1871"/>
      <c r="BV400" s="1871"/>
      <c r="BW400" s="1871"/>
      <c r="BX400" s="1871"/>
      <c r="BY400" s="1871"/>
      <c r="BZ400" s="1871"/>
      <c r="CA400" s="1871"/>
      <c r="CB400" s="1871"/>
      <c r="CC400" s="1871"/>
      <c r="CD400" s="1871"/>
      <c r="CE400" s="1871"/>
      <c r="CF400" s="1871"/>
      <c r="CG400" s="1871"/>
      <c r="CH400" s="1871"/>
      <c r="CI400" s="1871"/>
      <c r="CJ400" s="1871"/>
      <c r="CK400" s="1871"/>
      <c r="CL400" s="1871"/>
      <c r="CM400" s="1871"/>
      <c r="CN400" s="1871"/>
      <c r="CO400" s="1871"/>
      <c r="CP400" s="1871"/>
      <c r="CQ400" s="1871"/>
      <c r="CR400" s="1871"/>
      <c r="CS400" s="1871"/>
      <c r="CT400" s="1871"/>
      <c r="CU400" s="1871"/>
      <c r="CV400" s="1871"/>
      <c r="CW400" s="1871"/>
      <c r="CX400" s="1871"/>
      <c r="CY400" s="1871"/>
      <c r="CZ400" s="1871"/>
      <c r="DA400" s="1871"/>
      <c r="DB400" s="1871"/>
      <c r="DC400" s="1871"/>
      <c r="DD400" s="1871"/>
      <c r="DE400" s="1871"/>
      <c r="DF400" s="1871"/>
      <c r="DG400" s="1871"/>
      <c r="DH400" s="1871"/>
      <c r="DI400" s="1871"/>
      <c r="DJ400" s="1871"/>
      <c r="DK400" s="1871"/>
      <c r="DL400" s="1871"/>
      <c r="DM400" s="1871"/>
      <c r="DN400" s="1871"/>
      <c r="DO400" s="1871"/>
      <c r="DP400" s="1871"/>
      <c r="DQ400" s="1871"/>
      <c r="DR400" s="1871"/>
      <c r="DS400" s="1871"/>
      <c r="DT400" s="1871"/>
      <c r="DU400" s="1871"/>
      <c r="DV400" s="1871"/>
      <c r="DW400" s="1871"/>
      <c r="DX400" s="1871"/>
      <c r="DY400" s="1871"/>
      <c r="DZ400" s="1871"/>
      <c r="EA400" s="1871"/>
      <c r="EB400" s="1871"/>
      <c r="EC400" s="1871"/>
      <c r="ED400" s="1871"/>
      <c r="EE400" s="1871"/>
      <c r="EF400" s="1871"/>
      <c r="EG400" s="1871"/>
      <c r="EH400" s="1871"/>
      <c r="EI400" s="1871"/>
      <c r="EJ400" s="1871"/>
      <c r="EK400" s="1871"/>
      <c r="EL400" s="1871"/>
      <c r="EM400" s="1871"/>
      <c r="EN400" s="1871"/>
      <c r="EO400" s="1871"/>
      <c r="EP400" s="1871"/>
      <c r="EQ400" s="1871"/>
      <c r="ER400" s="1871"/>
      <c r="ES400" s="1871"/>
      <c r="ET400" s="1871"/>
      <c r="EU400" s="1871"/>
      <c r="EV400" s="1871"/>
      <c r="EW400" s="1871"/>
      <c r="EX400" s="1871"/>
      <c r="EY400" s="1871"/>
      <c r="EZ400" s="1871"/>
      <c r="FA400" s="1871"/>
      <c r="FB400" s="1871"/>
      <c r="FC400" s="1871"/>
      <c r="FD400" s="1871"/>
      <c r="FE400" s="1871"/>
      <c r="FF400" s="1871"/>
      <c r="FG400" s="1871"/>
      <c r="FH400" s="1871"/>
      <c r="FI400" s="1871"/>
      <c r="FJ400" s="1871"/>
      <c r="FK400" s="1871"/>
      <c r="FL400" s="1871"/>
      <c r="FM400" s="1871"/>
      <c r="FN400" s="1871"/>
      <c r="FO400" s="1871"/>
      <c r="FP400" s="1871"/>
      <c r="FQ400" s="1871"/>
      <c r="FR400" s="1871"/>
      <c r="FS400" s="1871"/>
      <c r="FT400" s="1871"/>
      <c r="FU400" s="1871"/>
      <c r="FV400" s="1871"/>
      <c r="FW400" s="1871"/>
      <c r="FX400" s="1871"/>
      <c r="FY400" s="1871"/>
      <c r="FZ400" s="1871"/>
      <c r="GA400" s="1871"/>
      <c r="GB400" s="1871"/>
      <c r="GC400" s="1871"/>
      <c r="GD400" s="1871"/>
      <c r="GE400" s="1871"/>
      <c r="GF400" s="1871"/>
      <c r="GG400" s="1871"/>
      <c r="GH400" s="1871"/>
      <c r="GI400" s="1871"/>
      <c r="GJ400" s="1871"/>
      <c r="GK400" s="1871"/>
      <c r="GL400" s="1871"/>
      <c r="GM400" s="1871"/>
      <c r="GN400" s="1871"/>
      <c r="GO400" s="1871"/>
      <c r="GP400" s="1871"/>
      <c r="GQ400" s="1871"/>
      <c r="GR400" s="1871"/>
      <c r="GS400" s="1871"/>
      <c r="GT400" s="1871"/>
      <c r="GU400" s="1871"/>
      <c r="GV400" s="1871"/>
      <c r="GW400" s="1871"/>
      <c r="GX400" s="1871"/>
      <c r="GY400" s="1871"/>
      <c r="GZ400" s="1871"/>
      <c r="HA400" s="1871"/>
      <c r="HB400" s="1871"/>
      <c r="HC400" s="1871"/>
      <c r="HD400" s="1871"/>
      <c r="HE400" s="1871"/>
      <c r="HF400" s="1871"/>
      <c r="HG400" s="1871"/>
      <c r="HH400" s="1871"/>
      <c r="HI400" s="1871"/>
      <c r="HJ400" s="1871"/>
      <c r="HK400" s="1871"/>
      <c r="HL400" s="1871"/>
      <c r="HM400" s="1871"/>
      <c r="HN400" s="1871"/>
      <c r="HO400" s="1871"/>
      <c r="HP400" s="1871"/>
      <c r="HQ400" s="1871"/>
      <c r="HR400" s="1871"/>
      <c r="HS400" s="1871"/>
      <c r="HT400" s="1871"/>
      <c r="HU400" s="1871"/>
      <c r="HV400" s="1871"/>
      <c r="HW400" s="1871"/>
      <c r="HX400" s="1871"/>
      <c r="HY400" s="1871"/>
      <c r="HZ400" s="1871"/>
      <c r="IA400" s="1871"/>
      <c r="IB400" s="1871"/>
      <c r="IC400" s="1871"/>
      <c r="ID400" s="1871"/>
      <c r="IE400" s="1871"/>
      <c r="IF400" s="1871"/>
      <c r="IG400" s="1871"/>
      <c r="IH400" s="1871"/>
      <c r="II400" s="1871"/>
      <c r="IJ400" s="1871"/>
      <c r="IK400" s="1871"/>
      <c r="IL400" s="1871"/>
      <c r="IM400" s="1871"/>
      <c r="IN400" s="1871"/>
    </row>
    <row r="401" spans="1:248">
      <c r="A401" s="1870" t="s">
        <v>1909</v>
      </c>
      <c r="B401" s="1879" t="s">
        <v>1910</v>
      </c>
      <c r="C401" s="1881" t="s">
        <v>1911</v>
      </c>
      <c r="D401" s="1897">
        <v>0</v>
      </c>
      <c r="E401" s="1897">
        <v>0</v>
      </c>
      <c r="F401" s="1897">
        <v>0</v>
      </c>
      <c r="G401" s="1897">
        <v>0</v>
      </c>
      <c r="H401" s="1897">
        <v>0</v>
      </c>
      <c r="I401" s="1897">
        <v>0</v>
      </c>
      <c r="J401" s="1897">
        <v>0</v>
      </c>
      <c r="K401" s="1897">
        <v>0</v>
      </c>
      <c r="L401" s="1897">
        <v>0</v>
      </c>
      <c r="M401" s="1899">
        <f t="shared" si="45"/>
        <v>0</v>
      </c>
      <c r="N401" s="1897">
        <v>0</v>
      </c>
      <c r="O401" s="1900">
        <f t="shared" si="46"/>
        <v>0</v>
      </c>
      <c r="P401" s="3290" t="s">
        <v>385</v>
      </c>
      <c r="Q401" s="3290"/>
      <c r="R401" s="1877"/>
      <c r="S401" s="1871"/>
      <c r="T401" s="1871"/>
      <c r="U401" s="1871"/>
      <c r="V401" s="1871"/>
      <c r="W401" s="1871"/>
      <c r="X401" s="1871"/>
      <c r="Y401" s="1871"/>
      <c r="Z401" s="1871"/>
      <c r="AA401" s="1871"/>
      <c r="AB401" s="1871"/>
      <c r="AC401" s="1871"/>
      <c r="AD401" s="1871"/>
      <c r="AE401" s="1871"/>
      <c r="AF401" s="1871"/>
      <c r="AG401" s="1871"/>
      <c r="AH401" s="1871"/>
      <c r="AI401" s="1871"/>
      <c r="AJ401" s="1871"/>
      <c r="AK401" s="1871"/>
      <c r="AL401" s="1871"/>
      <c r="AM401" s="1871"/>
      <c r="AN401" s="1871"/>
      <c r="AO401" s="1871"/>
      <c r="AP401" s="1871"/>
      <c r="AQ401" s="1871"/>
      <c r="AR401" s="1871"/>
      <c r="AS401" s="1871"/>
      <c r="AT401" s="1871"/>
      <c r="AU401" s="1871"/>
      <c r="AV401" s="1871"/>
      <c r="AW401" s="1871"/>
      <c r="AX401" s="1871"/>
      <c r="AY401" s="1871"/>
      <c r="AZ401" s="1871"/>
      <c r="BA401" s="1871"/>
      <c r="BB401" s="1871"/>
      <c r="BC401" s="1871"/>
      <c r="BD401" s="1871"/>
      <c r="BE401" s="1871"/>
      <c r="BF401" s="1871"/>
      <c r="BG401" s="1871"/>
      <c r="BH401" s="1871"/>
      <c r="BI401" s="1871"/>
      <c r="BJ401" s="1871"/>
      <c r="BK401" s="1871"/>
      <c r="BL401" s="1871"/>
      <c r="BM401" s="1871"/>
      <c r="BN401" s="1871"/>
      <c r="BO401" s="1871"/>
      <c r="BP401" s="1871"/>
      <c r="BQ401" s="1871"/>
      <c r="BR401" s="1871"/>
      <c r="BS401" s="1871"/>
      <c r="BT401" s="1871"/>
      <c r="BU401" s="1871"/>
      <c r="BV401" s="1871"/>
      <c r="BW401" s="1871"/>
      <c r="BX401" s="1871"/>
      <c r="BY401" s="1871"/>
      <c r="BZ401" s="1871"/>
      <c r="CA401" s="1871"/>
      <c r="CB401" s="1871"/>
      <c r="CC401" s="1871"/>
      <c r="CD401" s="1871"/>
      <c r="CE401" s="1871"/>
      <c r="CF401" s="1871"/>
      <c r="CG401" s="1871"/>
      <c r="CH401" s="1871"/>
      <c r="CI401" s="1871"/>
      <c r="CJ401" s="1871"/>
      <c r="CK401" s="1871"/>
      <c r="CL401" s="1871"/>
      <c r="CM401" s="1871"/>
      <c r="CN401" s="1871"/>
      <c r="CO401" s="1871"/>
      <c r="CP401" s="1871"/>
      <c r="CQ401" s="1871"/>
      <c r="CR401" s="1871"/>
      <c r="CS401" s="1871"/>
      <c r="CT401" s="1871"/>
      <c r="CU401" s="1871"/>
      <c r="CV401" s="1871"/>
      <c r="CW401" s="1871"/>
      <c r="CX401" s="1871"/>
      <c r="CY401" s="1871"/>
      <c r="CZ401" s="1871"/>
      <c r="DA401" s="1871"/>
      <c r="DB401" s="1871"/>
      <c r="DC401" s="1871"/>
      <c r="DD401" s="1871"/>
      <c r="DE401" s="1871"/>
      <c r="DF401" s="1871"/>
      <c r="DG401" s="1871"/>
      <c r="DH401" s="1871"/>
      <c r="DI401" s="1871"/>
      <c r="DJ401" s="1871"/>
      <c r="DK401" s="1871"/>
      <c r="DL401" s="1871"/>
      <c r="DM401" s="1871"/>
      <c r="DN401" s="1871"/>
      <c r="DO401" s="1871"/>
      <c r="DP401" s="1871"/>
      <c r="DQ401" s="1871"/>
      <c r="DR401" s="1871"/>
      <c r="DS401" s="1871"/>
      <c r="DT401" s="1871"/>
      <c r="DU401" s="1871"/>
      <c r="DV401" s="1871"/>
      <c r="DW401" s="1871"/>
      <c r="DX401" s="1871"/>
      <c r="DY401" s="1871"/>
      <c r="DZ401" s="1871"/>
      <c r="EA401" s="1871"/>
      <c r="EB401" s="1871"/>
      <c r="EC401" s="1871"/>
      <c r="ED401" s="1871"/>
      <c r="EE401" s="1871"/>
      <c r="EF401" s="1871"/>
      <c r="EG401" s="1871"/>
      <c r="EH401" s="1871"/>
      <c r="EI401" s="1871"/>
      <c r="EJ401" s="1871"/>
      <c r="EK401" s="1871"/>
      <c r="EL401" s="1871"/>
      <c r="EM401" s="1871"/>
      <c r="EN401" s="1871"/>
      <c r="EO401" s="1871"/>
      <c r="EP401" s="1871"/>
      <c r="EQ401" s="1871"/>
      <c r="ER401" s="1871"/>
      <c r="ES401" s="1871"/>
      <c r="ET401" s="1871"/>
      <c r="EU401" s="1871"/>
      <c r="EV401" s="1871"/>
      <c r="EW401" s="1871"/>
      <c r="EX401" s="1871"/>
      <c r="EY401" s="1871"/>
      <c r="EZ401" s="1871"/>
      <c r="FA401" s="1871"/>
      <c r="FB401" s="1871"/>
      <c r="FC401" s="1871"/>
      <c r="FD401" s="1871"/>
      <c r="FE401" s="1871"/>
      <c r="FF401" s="1871"/>
      <c r="FG401" s="1871"/>
      <c r="FH401" s="1871"/>
      <c r="FI401" s="1871"/>
      <c r="FJ401" s="1871"/>
      <c r="FK401" s="1871"/>
      <c r="FL401" s="1871"/>
      <c r="FM401" s="1871"/>
      <c r="FN401" s="1871"/>
      <c r="FO401" s="1871"/>
      <c r="FP401" s="1871"/>
      <c r="FQ401" s="1871"/>
      <c r="FR401" s="1871"/>
      <c r="FS401" s="1871"/>
      <c r="FT401" s="1871"/>
      <c r="FU401" s="1871"/>
      <c r="FV401" s="1871"/>
      <c r="FW401" s="1871"/>
      <c r="FX401" s="1871"/>
      <c r="FY401" s="1871"/>
      <c r="FZ401" s="1871"/>
      <c r="GA401" s="1871"/>
      <c r="GB401" s="1871"/>
      <c r="GC401" s="1871"/>
      <c r="GD401" s="1871"/>
      <c r="GE401" s="1871"/>
      <c r="GF401" s="1871"/>
      <c r="GG401" s="1871"/>
      <c r="GH401" s="1871"/>
      <c r="GI401" s="1871"/>
      <c r="GJ401" s="1871"/>
      <c r="GK401" s="1871"/>
      <c r="GL401" s="1871"/>
      <c r="GM401" s="1871"/>
      <c r="GN401" s="1871"/>
      <c r="GO401" s="1871"/>
      <c r="GP401" s="1871"/>
      <c r="GQ401" s="1871"/>
      <c r="GR401" s="1871"/>
      <c r="GS401" s="1871"/>
      <c r="GT401" s="1871"/>
      <c r="GU401" s="1871"/>
      <c r="GV401" s="1871"/>
      <c r="GW401" s="1871"/>
      <c r="GX401" s="1871"/>
      <c r="GY401" s="1871"/>
      <c r="GZ401" s="1871"/>
      <c r="HA401" s="1871"/>
      <c r="HB401" s="1871"/>
      <c r="HC401" s="1871"/>
      <c r="HD401" s="1871"/>
      <c r="HE401" s="1871"/>
      <c r="HF401" s="1871"/>
      <c r="HG401" s="1871"/>
      <c r="HH401" s="1871"/>
      <c r="HI401" s="1871"/>
      <c r="HJ401" s="1871"/>
      <c r="HK401" s="1871"/>
      <c r="HL401" s="1871"/>
      <c r="HM401" s="1871"/>
      <c r="HN401" s="1871"/>
      <c r="HO401" s="1871"/>
      <c r="HP401" s="1871"/>
      <c r="HQ401" s="1871"/>
      <c r="HR401" s="1871"/>
      <c r="HS401" s="1871"/>
      <c r="HT401" s="1871"/>
      <c r="HU401" s="1871"/>
      <c r="HV401" s="1871"/>
      <c r="HW401" s="1871"/>
      <c r="HX401" s="1871"/>
      <c r="HY401" s="1871"/>
      <c r="HZ401" s="1871"/>
      <c r="IA401" s="1871"/>
      <c r="IB401" s="1871"/>
      <c r="IC401" s="1871"/>
      <c r="ID401" s="1871"/>
      <c r="IE401" s="1871"/>
      <c r="IF401" s="1871"/>
      <c r="IG401" s="1871"/>
      <c r="IH401" s="1871"/>
      <c r="II401" s="1871"/>
      <c r="IJ401" s="1871"/>
      <c r="IK401" s="1871"/>
      <c r="IL401" s="1871"/>
      <c r="IM401" s="1871"/>
      <c r="IN401" s="1871"/>
    </row>
    <row r="402" spans="1:248">
      <c r="A402" s="1870" t="s">
        <v>1912</v>
      </c>
      <c r="B402" s="1879" t="s">
        <v>1913</v>
      </c>
      <c r="C402" s="1881" t="s">
        <v>1914</v>
      </c>
      <c r="D402" s="1897">
        <v>0</v>
      </c>
      <c r="E402" s="1897">
        <v>0</v>
      </c>
      <c r="F402" s="1897">
        <v>0</v>
      </c>
      <c r="G402" s="1897">
        <v>0</v>
      </c>
      <c r="H402" s="1897">
        <v>0</v>
      </c>
      <c r="I402" s="1897">
        <v>0</v>
      </c>
      <c r="J402" s="1897">
        <v>0</v>
      </c>
      <c r="K402" s="1897">
        <v>0</v>
      </c>
      <c r="L402" s="1897">
        <v>0</v>
      </c>
      <c r="M402" s="1899">
        <f t="shared" si="45"/>
        <v>0</v>
      </c>
      <c r="N402" s="1897">
        <v>0</v>
      </c>
      <c r="O402" s="1900">
        <f t="shared" si="46"/>
        <v>0</v>
      </c>
      <c r="P402" s="3290" t="s">
        <v>385</v>
      </c>
      <c r="Q402" s="3290"/>
      <c r="R402" s="1877"/>
      <c r="S402" s="1871"/>
      <c r="T402" s="1871"/>
      <c r="U402" s="1871"/>
      <c r="V402" s="1871"/>
      <c r="W402" s="1871"/>
      <c r="X402" s="1871"/>
      <c r="Y402" s="1871"/>
      <c r="Z402" s="1871"/>
      <c r="AA402" s="1871"/>
      <c r="AB402" s="1871"/>
      <c r="AC402" s="1871"/>
      <c r="AD402" s="1871"/>
      <c r="AE402" s="1871"/>
      <c r="AF402" s="1871"/>
      <c r="AG402" s="1871"/>
      <c r="AH402" s="1871"/>
      <c r="AI402" s="1871"/>
      <c r="AJ402" s="1871"/>
      <c r="AK402" s="1871"/>
      <c r="AL402" s="1871"/>
      <c r="AM402" s="1871"/>
      <c r="AN402" s="1871"/>
      <c r="AO402" s="1871"/>
      <c r="AP402" s="1871"/>
      <c r="AQ402" s="1871"/>
      <c r="AR402" s="1871"/>
      <c r="AS402" s="1871"/>
      <c r="AT402" s="1871"/>
      <c r="AU402" s="1871"/>
      <c r="AV402" s="1871"/>
      <c r="AW402" s="1871"/>
      <c r="AX402" s="1871"/>
      <c r="AY402" s="1871"/>
      <c r="AZ402" s="1871"/>
      <c r="BA402" s="1871"/>
      <c r="BB402" s="1871"/>
      <c r="BC402" s="1871"/>
      <c r="BD402" s="1871"/>
      <c r="BE402" s="1871"/>
      <c r="BF402" s="1871"/>
      <c r="BG402" s="1871"/>
      <c r="BH402" s="1871"/>
      <c r="BI402" s="1871"/>
      <c r="BJ402" s="1871"/>
      <c r="BK402" s="1871"/>
      <c r="BL402" s="1871"/>
      <c r="BM402" s="1871"/>
      <c r="BN402" s="1871"/>
      <c r="BO402" s="1871"/>
      <c r="BP402" s="1871"/>
      <c r="BQ402" s="1871"/>
      <c r="BR402" s="1871"/>
      <c r="BS402" s="1871"/>
      <c r="BT402" s="1871"/>
      <c r="BU402" s="1871"/>
      <c r="BV402" s="1871"/>
      <c r="BW402" s="1871"/>
      <c r="BX402" s="1871"/>
      <c r="BY402" s="1871"/>
      <c r="BZ402" s="1871"/>
      <c r="CA402" s="1871"/>
      <c r="CB402" s="1871"/>
      <c r="CC402" s="1871"/>
      <c r="CD402" s="1871"/>
      <c r="CE402" s="1871"/>
      <c r="CF402" s="1871"/>
      <c r="CG402" s="1871"/>
      <c r="CH402" s="1871"/>
      <c r="CI402" s="1871"/>
      <c r="CJ402" s="1871"/>
      <c r="CK402" s="1871"/>
      <c r="CL402" s="1871"/>
      <c r="CM402" s="1871"/>
      <c r="CN402" s="1871"/>
      <c r="CO402" s="1871"/>
      <c r="CP402" s="1871"/>
      <c r="CQ402" s="1871"/>
      <c r="CR402" s="1871"/>
      <c r="CS402" s="1871"/>
      <c r="CT402" s="1871"/>
      <c r="CU402" s="1871"/>
      <c r="CV402" s="1871"/>
      <c r="CW402" s="1871"/>
      <c r="CX402" s="1871"/>
      <c r="CY402" s="1871"/>
      <c r="CZ402" s="1871"/>
      <c r="DA402" s="1871"/>
      <c r="DB402" s="1871"/>
      <c r="DC402" s="1871"/>
      <c r="DD402" s="1871"/>
      <c r="DE402" s="1871"/>
      <c r="DF402" s="1871"/>
      <c r="DG402" s="1871"/>
      <c r="DH402" s="1871"/>
      <c r="DI402" s="1871"/>
      <c r="DJ402" s="1871"/>
      <c r="DK402" s="1871"/>
      <c r="DL402" s="1871"/>
      <c r="DM402" s="1871"/>
      <c r="DN402" s="1871"/>
      <c r="DO402" s="1871"/>
      <c r="DP402" s="1871"/>
      <c r="DQ402" s="1871"/>
      <c r="DR402" s="1871"/>
      <c r="DS402" s="1871"/>
      <c r="DT402" s="1871"/>
      <c r="DU402" s="1871"/>
      <c r="DV402" s="1871"/>
      <c r="DW402" s="1871"/>
      <c r="DX402" s="1871"/>
      <c r="DY402" s="1871"/>
      <c r="DZ402" s="1871"/>
      <c r="EA402" s="1871"/>
      <c r="EB402" s="1871"/>
      <c r="EC402" s="1871"/>
      <c r="ED402" s="1871"/>
      <c r="EE402" s="1871"/>
      <c r="EF402" s="1871"/>
      <c r="EG402" s="1871"/>
      <c r="EH402" s="1871"/>
      <c r="EI402" s="1871"/>
      <c r="EJ402" s="1871"/>
      <c r="EK402" s="1871"/>
      <c r="EL402" s="1871"/>
      <c r="EM402" s="1871"/>
      <c r="EN402" s="1871"/>
      <c r="EO402" s="1871"/>
      <c r="EP402" s="1871"/>
      <c r="EQ402" s="1871"/>
      <c r="ER402" s="1871"/>
      <c r="ES402" s="1871"/>
      <c r="ET402" s="1871"/>
      <c r="EU402" s="1871"/>
      <c r="EV402" s="1871"/>
      <c r="EW402" s="1871"/>
      <c r="EX402" s="1871"/>
      <c r="EY402" s="1871"/>
      <c r="EZ402" s="1871"/>
      <c r="FA402" s="1871"/>
      <c r="FB402" s="1871"/>
      <c r="FC402" s="1871"/>
      <c r="FD402" s="1871"/>
      <c r="FE402" s="1871"/>
      <c r="FF402" s="1871"/>
      <c r="FG402" s="1871"/>
      <c r="FH402" s="1871"/>
      <c r="FI402" s="1871"/>
      <c r="FJ402" s="1871"/>
      <c r="FK402" s="1871"/>
      <c r="FL402" s="1871"/>
      <c r="FM402" s="1871"/>
      <c r="FN402" s="1871"/>
      <c r="FO402" s="1871"/>
      <c r="FP402" s="1871"/>
      <c r="FQ402" s="1871"/>
      <c r="FR402" s="1871"/>
      <c r="FS402" s="1871"/>
      <c r="FT402" s="1871"/>
      <c r="FU402" s="1871"/>
      <c r="FV402" s="1871"/>
      <c r="FW402" s="1871"/>
      <c r="FX402" s="1871"/>
      <c r="FY402" s="1871"/>
      <c r="FZ402" s="1871"/>
      <c r="GA402" s="1871"/>
      <c r="GB402" s="1871"/>
      <c r="GC402" s="1871"/>
      <c r="GD402" s="1871"/>
      <c r="GE402" s="1871"/>
      <c r="GF402" s="1871"/>
      <c r="GG402" s="1871"/>
      <c r="GH402" s="1871"/>
      <c r="GI402" s="1871"/>
      <c r="GJ402" s="1871"/>
      <c r="GK402" s="1871"/>
      <c r="GL402" s="1871"/>
      <c r="GM402" s="1871"/>
      <c r="GN402" s="1871"/>
      <c r="GO402" s="1871"/>
      <c r="GP402" s="1871"/>
      <c r="GQ402" s="1871"/>
      <c r="GR402" s="1871"/>
      <c r="GS402" s="1871"/>
      <c r="GT402" s="1871"/>
      <c r="GU402" s="1871"/>
      <c r="GV402" s="1871"/>
      <c r="GW402" s="1871"/>
      <c r="GX402" s="1871"/>
      <c r="GY402" s="1871"/>
      <c r="GZ402" s="1871"/>
      <c r="HA402" s="1871"/>
      <c r="HB402" s="1871"/>
      <c r="HC402" s="1871"/>
      <c r="HD402" s="1871"/>
      <c r="HE402" s="1871"/>
      <c r="HF402" s="1871"/>
      <c r="HG402" s="1871"/>
      <c r="HH402" s="1871"/>
      <c r="HI402" s="1871"/>
      <c r="HJ402" s="1871"/>
      <c r="HK402" s="1871"/>
      <c r="HL402" s="1871"/>
      <c r="HM402" s="1871"/>
      <c r="HN402" s="1871"/>
      <c r="HO402" s="1871"/>
      <c r="HP402" s="1871"/>
      <c r="HQ402" s="1871"/>
      <c r="HR402" s="1871"/>
      <c r="HS402" s="1871"/>
      <c r="HT402" s="1871"/>
      <c r="HU402" s="1871"/>
      <c r="HV402" s="1871"/>
      <c r="HW402" s="1871"/>
      <c r="HX402" s="1871"/>
      <c r="HY402" s="1871"/>
      <c r="HZ402" s="1871"/>
      <c r="IA402" s="1871"/>
      <c r="IB402" s="1871"/>
      <c r="IC402" s="1871"/>
      <c r="ID402" s="1871"/>
      <c r="IE402" s="1871"/>
      <c r="IF402" s="1871"/>
      <c r="IG402" s="1871"/>
      <c r="IH402" s="1871"/>
      <c r="II402" s="1871"/>
      <c r="IJ402" s="1871"/>
      <c r="IK402" s="1871"/>
      <c r="IL402" s="1871"/>
      <c r="IM402" s="1871"/>
      <c r="IN402" s="1871"/>
    </row>
    <row r="403" spans="1:248">
      <c r="A403" s="1870" t="s">
        <v>1915</v>
      </c>
      <c r="B403" s="1879" t="s">
        <v>1916</v>
      </c>
      <c r="C403" s="1880" t="s">
        <v>1917</v>
      </c>
      <c r="D403" s="1897">
        <v>0</v>
      </c>
      <c r="E403" s="1897">
        <v>0</v>
      </c>
      <c r="F403" s="1897">
        <v>0</v>
      </c>
      <c r="G403" s="1897">
        <v>0</v>
      </c>
      <c r="H403" s="1897">
        <v>0</v>
      </c>
      <c r="I403" s="1897">
        <v>0</v>
      </c>
      <c r="J403" s="1897">
        <v>0</v>
      </c>
      <c r="K403" s="1897">
        <v>0</v>
      </c>
      <c r="L403" s="1897">
        <v>0</v>
      </c>
      <c r="M403" s="1899">
        <f t="shared" si="45"/>
        <v>0</v>
      </c>
      <c r="N403" s="1897">
        <v>0</v>
      </c>
      <c r="O403" s="1900">
        <f t="shared" si="46"/>
        <v>0</v>
      </c>
      <c r="P403" s="3290" t="s">
        <v>385</v>
      </c>
      <c r="Q403" s="3290"/>
      <c r="R403" s="1877"/>
      <c r="S403" s="1871"/>
      <c r="T403" s="1871"/>
      <c r="U403" s="1871"/>
      <c r="V403" s="1871"/>
      <c r="W403" s="1871"/>
      <c r="X403" s="1871"/>
      <c r="Y403" s="1871"/>
      <c r="Z403" s="1871"/>
      <c r="AA403" s="1871"/>
      <c r="AB403" s="1871"/>
      <c r="AC403" s="1871"/>
      <c r="AD403" s="1871"/>
      <c r="AE403" s="1871"/>
      <c r="AF403" s="1871"/>
      <c r="AG403" s="1871"/>
      <c r="AH403" s="1871"/>
      <c r="AI403" s="1871"/>
      <c r="AJ403" s="1871"/>
      <c r="AK403" s="1871"/>
      <c r="AL403" s="1871"/>
      <c r="AM403" s="1871"/>
      <c r="AN403" s="1871"/>
      <c r="AO403" s="1871"/>
      <c r="AP403" s="1871"/>
      <c r="AQ403" s="1871"/>
      <c r="AR403" s="1871"/>
      <c r="AS403" s="1871"/>
      <c r="AT403" s="1871"/>
      <c r="AU403" s="1871"/>
      <c r="AV403" s="1871"/>
      <c r="AW403" s="1871"/>
      <c r="AX403" s="1871"/>
      <c r="AY403" s="1871"/>
      <c r="AZ403" s="1871"/>
      <c r="BA403" s="1871"/>
      <c r="BB403" s="1871"/>
      <c r="BC403" s="1871"/>
      <c r="BD403" s="1871"/>
      <c r="BE403" s="1871"/>
      <c r="BF403" s="1871"/>
      <c r="BG403" s="1871"/>
      <c r="BH403" s="1871"/>
      <c r="BI403" s="1871"/>
      <c r="BJ403" s="1871"/>
      <c r="BK403" s="1871"/>
      <c r="BL403" s="1871"/>
      <c r="BM403" s="1871"/>
      <c r="BN403" s="1871"/>
      <c r="BO403" s="1871"/>
      <c r="BP403" s="1871"/>
      <c r="BQ403" s="1871"/>
      <c r="BR403" s="1871"/>
      <c r="BS403" s="1871"/>
      <c r="BT403" s="1871"/>
      <c r="BU403" s="1871"/>
      <c r="BV403" s="1871"/>
      <c r="BW403" s="1871"/>
      <c r="BX403" s="1871"/>
      <c r="BY403" s="1871"/>
      <c r="BZ403" s="1871"/>
      <c r="CA403" s="1871"/>
      <c r="CB403" s="1871"/>
      <c r="CC403" s="1871"/>
      <c r="CD403" s="1871"/>
      <c r="CE403" s="1871"/>
      <c r="CF403" s="1871"/>
      <c r="CG403" s="1871"/>
      <c r="CH403" s="1871"/>
      <c r="CI403" s="1871"/>
      <c r="CJ403" s="1871"/>
      <c r="CK403" s="1871"/>
      <c r="CL403" s="1871"/>
      <c r="CM403" s="1871"/>
      <c r="CN403" s="1871"/>
      <c r="CO403" s="1871"/>
      <c r="CP403" s="1871"/>
      <c r="CQ403" s="1871"/>
      <c r="CR403" s="1871"/>
      <c r="CS403" s="1871"/>
      <c r="CT403" s="1871"/>
      <c r="CU403" s="1871"/>
      <c r="CV403" s="1871"/>
      <c r="CW403" s="1871"/>
      <c r="CX403" s="1871"/>
      <c r="CY403" s="1871"/>
      <c r="CZ403" s="1871"/>
      <c r="DA403" s="1871"/>
      <c r="DB403" s="1871"/>
      <c r="DC403" s="1871"/>
      <c r="DD403" s="1871"/>
      <c r="DE403" s="1871"/>
      <c r="DF403" s="1871"/>
      <c r="DG403" s="1871"/>
      <c r="DH403" s="1871"/>
      <c r="DI403" s="1871"/>
      <c r="DJ403" s="1871"/>
      <c r="DK403" s="1871"/>
      <c r="DL403" s="1871"/>
      <c r="DM403" s="1871"/>
      <c r="DN403" s="1871"/>
      <c r="DO403" s="1871"/>
      <c r="DP403" s="1871"/>
      <c r="DQ403" s="1871"/>
      <c r="DR403" s="1871"/>
      <c r="DS403" s="1871"/>
      <c r="DT403" s="1871"/>
      <c r="DU403" s="1871"/>
      <c r="DV403" s="1871"/>
      <c r="DW403" s="1871"/>
      <c r="DX403" s="1871"/>
      <c r="DY403" s="1871"/>
      <c r="DZ403" s="1871"/>
      <c r="EA403" s="1871"/>
      <c r="EB403" s="1871"/>
      <c r="EC403" s="1871"/>
      <c r="ED403" s="1871"/>
      <c r="EE403" s="1871"/>
      <c r="EF403" s="1871"/>
      <c r="EG403" s="1871"/>
      <c r="EH403" s="1871"/>
      <c r="EI403" s="1871"/>
      <c r="EJ403" s="1871"/>
      <c r="EK403" s="1871"/>
      <c r="EL403" s="1871"/>
      <c r="EM403" s="1871"/>
      <c r="EN403" s="1871"/>
      <c r="EO403" s="1871"/>
      <c r="EP403" s="1871"/>
      <c r="EQ403" s="1871"/>
      <c r="ER403" s="1871"/>
      <c r="ES403" s="1871"/>
      <c r="ET403" s="1871"/>
      <c r="EU403" s="1871"/>
      <c r="EV403" s="1871"/>
      <c r="EW403" s="1871"/>
      <c r="EX403" s="1871"/>
      <c r="EY403" s="1871"/>
      <c r="EZ403" s="1871"/>
      <c r="FA403" s="1871"/>
      <c r="FB403" s="1871"/>
      <c r="FC403" s="1871"/>
      <c r="FD403" s="1871"/>
      <c r="FE403" s="1871"/>
      <c r="FF403" s="1871"/>
      <c r="FG403" s="1871"/>
      <c r="FH403" s="1871"/>
      <c r="FI403" s="1871"/>
      <c r="FJ403" s="1871"/>
      <c r="FK403" s="1871"/>
      <c r="FL403" s="1871"/>
      <c r="FM403" s="1871"/>
      <c r="FN403" s="1871"/>
      <c r="FO403" s="1871"/>
      <c r="FP403" s="1871"/>
      <c r="FQ403" s="1871"/>
      <c r="FR403" s="1871"/>
      <c r="FS403" s="1871"/>
      <c r="FT403" s="1871"/>
      <c r="FU403" s="1871"/>
      <c r="FV403" s="1871"/>
      <c r="FW403" s="1871"/>
      <c r="FX403" s="1871"/>
      <c r="FY403" s="1871"/>
      <c r="FZ403" s="1871"/>
      <c r="GA403" s="1871"/>
      <c r="GB403" s="1871"/>
      <c r="GC403" s="1871"/>
      <c r="GD403" s="1871"/>
      <c r="GE403" s="1871"/>
      <c r="GF403" s="1871"/>
      <c r="GG403" s="1871"/>
      <c r="GH403" s="1871"/>
      <c r="GI403" s="1871"/>
      <c r="GJ403" s="1871"/>
      <c r="GK403" s="1871"/>
      <c r="GL403" s="1871"/>
      <c r="GM403" s="1871"/>
      <c r="GN403" s="1871"/>
      <c r="GO403" s="1871"/>
      <c r="GP403" s="1871"/>
      <c r="GQ403" s="1871"/>
      <c r="GR403" s="1871"/>
      <c r="GS403" s="1871"/>
      <c r="GT403" s="1871"/>
      <c r="GU403" s="1871"/>
      <c r="GV403" s="1871"/>
      <c r="GW403" s="1871"/>
      <c r="GX403" s="1871"/>
      <c r="GY403" s="1871"/>
      <c r="GZ403" s="1871"/>
      <c r="HA403" s="1871"/>
      <c r="HB403" s="1871"/>
      <c r="HC403" s="1871"/>
      <c r="HD403" s="1871"/>
      <c r="HE403" s="1871"/>
      <c r="HF403" s="1871"/>
      <c r="HG403" s="1871"/>
      <c r="HH403" s="1871"/>
      <c r="HI403" s="1871"/>
      <c r="HJ403" s="1871"/>
      <c r="HK403" s="1871"/>
      <c r="HL403" s="1871"/>
      <c r="HM403" s="1871"/>
      <c r="HN403" s="1871"/>
      <c r="HO403" s="1871"/>
      <c r="HP403" s="1871"/>
      <c r="HQ403" s="1871"/>
      <c r="HR403" s="1871"/>
      <c r="HS403" s="1871"/>
      <c r="HT403" s="1871"/>
      <c r="HU403" s="1871"/>
      <c r="HV403" s="1871"/>
      <c r="HW403" s="1871"/>
      <c r="HX403" s="1871"/>
      <c r="HY403" s="1871"/>
      <c r="HZ403" s="1871"/>
      <c r="IA403" s="1871"/>
      <c r="IB403" s="1871"/>
      <c r="IC403" s="1871"/>
      <c r="ID403" s="1871"/>
      <c r="IE403" s="1871"/>
      <c r="IF403" s="1871"/>
      <c r="IG403" s="1871"/>
      <c r="IH403" s="1871"/>
      <c r="II403" s="1871"/>
      <c r="IJ403" s="1871"/>
      <c r="IK403" s="1871"/>
      <c r="IL403" s="1871"/>
      <c r="IM403" s="1871"/>
      <c r="IN403" s="1871"/>
    </row>
    <row r="404" spans="1:248">
      <c r="A404" s="1870" t="s">
        <v>1918</v>
      </c>
      <c r="B404" s="1879" t="s">
        <v>1919</v>
      </c>
      <c r="C404" s="643" t="s">
        <v>1920</v>
      </c>
      <c r="D404" s="1897">
        <v>0</v>
      </c>
      <c r="E404" s="1897">
        <v>0</v>
      </c>
      <c r="F404" s="1897">
        <v>0</v>
      </c>
      <c r="G404" s="1897">
        <v>0</v>
      </c>
      <c r="H404" s="1897">
        <v>0</v>
      </c>
      <c r="I404" s="1897">
        <v>0</v>
      </c>
      <c r="J404" s="1897">
        <v>0</v>
      </c>
      <c r="K404" s="1897">
        <v>0</v>
      </c>
      <c r="L404" s="1897">
        <v>0</v>
      </c>
      <c r="M404" s="1899">
        <f t="shared" si="45"/>
        <v>0</v>
      </c>
      <c r="N404" s="1897">
        <v>0</v>
      </c>
      <c r="O404" s="1900">
        <f t="shared" si="46"/>
        <v>0</v>
      </c>
      <c r="P404" s="3290" t="s">
        <v>385</v>
      </c>
      <c r="Q404" s="3290"/>
      <c r="R404" s="1877"/>
      <c r="S404" s="516"/>
      <c r="T404" s="516"/>
      <c r="U404" s="516"/>
      <c r="V404" s="516"/>
      <c r="W404" s="516"/>
      <c r="X404" s="516"/>
      <c r="Y404" s="516"/>
      <c r="Z404" s="516"/>
      <c r="AA404" s="516"/>
      <c r="AB404" s="516"/>
      <c r="AC404" s="516"/>
      <c r="AD404" s="516"/>
      <c r="AE404" s="516"/>
      <c r="AF404" s="516"/>
      <c r="AG404" s="516"/>
      <c r="AH404" s="516"/>
      <c r="AI404" s="516"/>
      <c r="AJ404" s="516"/>
      <c r="AK404" s="516"/>
      <c r="AL404" s="516"/>
      <c r="AM404" s="516"/>
      <c r="AN404" s="516"/>
      <c r="AO404" s="516"/>
      <c r="AP404" s="516"/>
      <c r="AQ404" s="516"/>
      <c r="AR404" s="516"/>
      <c r="AS404" s="516"/>
      <c r="AT404" s="516"/>
      <c r="AU404" s="516"/>
      <c r="AV404" s="516"/>
      <c r="AW404" s="516"/>
      <c r="AX404" s="516"/>
      <c r="AY404" s="516"/>
      <c r="AZ404" s="516"/>
      <c r="BA404" s="516"/>
      <c r="BB404" s="516"/>
      <c r="BC404" s="516"/>
      <c r="BD404" s="516"/>
      <c r="BE404" s="516"/>
      <c r="BF404" s="516"/>
      <c r="BG404" s="516"/>
      <c r="BH404" s="516"/>
      <c r="BI404" s="516"/>
      <c r="BJ404" s="516"/>
      <c r="BK404" s="516"/>
      <c r="BL404" s="516"/>
      <c r="BM404" s="516"/>
      <c r="BN404" s="516"/>
      <c r="BO404" s="516"/>
      <c r="BP404" s="516"/>
      <c r="BQ404" s="516"/>
      <c r="BR404" s="516"/>
      <c r="BS404" s="516"/>
      <c r="BT404" s="516"/>
      <c r="BU404" s="516"/>
      <c r="BV404" s="516"/>
      <c r="BW404" s="516"/>
      <c r="BX404" s="516"/>
      <c r="BY404" s="516"/>
      <c r="BZ404" s="516"/>
      <c r="CA404" s="516"/>
      <c r="CB404" s="516"/>
      <c r="CC404" s="516"/>
      <c r="CD404" s="516"/>
      <c r="CE404" s="516"/>
      <c r="CF404" s="516"/>
      <c r="CG404" s="516"/>
      <c r="CH404" s="516"/>
      <c r="CI404" s="516"/>
      <c r="CJ404" s="516"/>
      <c r="CK404" s="516"/>
      <c r="CL404" s="516"/>
      <c r="CM404" s="516"/>
      <c r="CN404" s="516"/>
      <c r="CO404" s="516"/>
      <c r="CP404" s="516"/>
      <c r="CQ404" s="516"/>
      <c r="CR404" s="516"/>
      <c r="CS404" s="516"/>
      <c r="CT404" s="516"/>
      <c r="CU404" s="516"/>
      <c r="CV404" s="516"/>
      <c r="CW404" s="516"/>
      <c r="CX404" s="516"/>
      <c r="CY404" s="516"/>
      <c r="CZ404" s="516"/>
      <c r="DA404" s="516"/>
      <c r="DB404" s="516"/>
      <c r="DC404" s="516"/>
      <c r="DD404" s="516"/>
      <c r="DE404" s="516"/>
      <c r="DF404" s="516"/>
      <c r="DG404" s="516"/>
      <c r="DH404" s="516"/>
      <c r="DI404" s="516"/>
      <c r="DJ404" s="516"/>
      <c r="DK404" s="516"/>
      <c r="DL404" s="516"/>
      <c r="DM404" s="516"/>
      <c r="DN404" s="516"/>
      <c r="DO404" s="516"/>
      <c r="DP404" s="516"/>
      <c r="DQ404" s="516"/>
      <c r="DR404" s="516"/>
      <c r="DS404" s="516"/>
      <c r="DT404" s="516"/>
      <c r="DU404" s="516"/>
      <c r="DV404" s="516"/>
      <c r="DW404" s="516"/>
      <c r="DX404" s="516"/>
      <c r="DY404" s="516"/>
      <c r="DZ404" s="516"/>
      <c r="EA404" s="516"/>
      <c r="EB404" s="516"/>
      <c r="EC404" s="516"/>
      <c r="ED404" s="516"/>
      <c r="EE404" s="516"/>
      <c r="EF404" s="516"/>
      <c r="EG404" s="516"/>
      <c r="EH404" s="516"/>
      <c r="EI404" s="516"/>
      <c r="EJ404" s="516"/>
      <c r="EK404" s="516"/>
      <c r="EL404" s="516"/>
      <c r="EM404" s="516"/>
      <c r="EN404" s="516"/>
      <c r="EO404" s="516"/>
      <c r="EP404" s="516"/>
      <c r="EQ404" s="516"/>
      <c r="ER404" s="516"/>
      <c r="ES404" s="516"/>
      <c r="ET404" s="516"/>
      <c r="EU404" s="516"/>
      <c r="EV404" s="516"/>
      <c r="EW404" s="516"/>
      <c r="EX404" s="516"/>
      <c r="EY404" s="516"/>
      <c r="EZ404" s="516"/>
      <c r="FA404" s="516"/>
      <c r="FB404" s="516"/>
      <c r="FC404" s="516"/>
      <c r="FD404" s="516"/>
      <c r="FE404" s="516"/>
      <c r="FF404" s="516"/>
      <c r="FG404" s="516"/>
      <c r="FH404" s="516"/>
      <c r="FI404" s="516"/>
      <c r="FJ404" s="516"/>
      <c r="FK404" s="516"/>
      <c r="FL404" s="516"/>
      <c r="FM404" s="516"/>
      <c r="FN404" s="516"/>
      <c r="FO404" s="516"/>
      <c r="FP404" s="516"/>
      <c r="FQ404" s="516"/>
      <c r="FR404" s="516"/>
      <c r="FS404" s="516"/>
      <c r="FT404" s="516"/>
      <c r="FU404" s="516"/>
      <c r="FV404" s="516"/>
      <c r="FW404" s="516"/>
      <c r="FX404" s="516"/>
      <c r="FY404" s="516"/>
      <c r="FZ404" s="516"/>
      <c r="GA404" s="516"/>
      <c r="GB404" s="516"/>
      <c r="GC404" s="516"/>
      <c r="GD404" s="516"/>
      <c r="GE404" s="516"/>
      <c r="GF404" s="516"/>
      <c r="GG404" s="516"/>
      <c r="GH404" s="516"/>
      <c r="GI404" s="516"/>
      <c r="GJ404" s="516"/>
      <c r="GK404" s="516"/>
      <c r="GL404" s="516"/>
      <c r="GM404" s="516"/>
      <c r="GN404" s="516"/>
      <c r="GO404" s="516"/>
      <c r="GP404" s="516"/>
      <c r="GQ404" s="516"/>
      <c r="GR404" s="516"/>
      <c r="GS404" s="516"/>
      <c r="GT404" s="516"/>
      <c r="GU404" s="516"/>
      <c r="GV404" s="516"/>
      <c r="GW404" s="516"/>
      <c r="GX404" s="516"/>
      <c r="GY404" s="516"/>
      <c r="GZ404" s="516"/>
      <c r="HA404" s="516"/>
      <c r="HB404" s="516"/>
      <c r="HC404" s="516"/>
      <c r="HD404" s="516"/>
      <c r="HE404" s="516"/>
      <c r="HF404" s="516"/>
      <c r="HG404" s="516"/>
      <c r="HH404" s="516"/>
      <c r="HI404" s="516"/>
      <c r="HJ404" s="516"/>
      <c r="HK404" s="516"/>
      <c r="HL404" s="516"/>
      <c r="HM404" s="516"/>
      <c r="HN404" s="516"/>
      <c r="HO404" s="516"/>
      <c r="HP404" s="516"/>
      <c r="HQ404" s="516"/>
      <c r="HR404" s="516"/>
      <c r="HS404" s="516"/>
      <c r="HT404" s="516"/>
      <c r="HU404" s="516"/>
      <c r="HV404" s="516"/>
      <c r="HW404" s="516"/>
      <c r="HX404" s="516"/>
      <c r="HY404" s="516"/>
      <c r="HZ404" s="516"/>
      <c r="IA404" s="516"/>
      <c r="IB404" s="516"/>
      <c r="IC404" s="516"/>
      <c r="ID404" s="516"/>
      <c r="IE404" s="516"/>
      <c r="IF404" s="516"/>
      <c r="IG404" s="516"/>
      <c r="IH404" s="516"/>
      <c r="II404" s="516"/>
      <c r="IJ404" s="516"/>
      <c r="IK404" s="516"/>
      <c r="IL404" s="516"/>
      <c r="IM404" s="516"/>
      <c r="IN404" s="516"/>
    </row>
    <row r="405" spans="1:248">
      <c r="A405" s="1870" t="s">
        <v>1921</v>
      </c>
      <c r="B405" s="1879" t="s">
        <v>1922</v>
      </c>
      <c r="C405" s="1880" t="s">
        <v>1923</v>
      </c>
      <c r="D405" s="1897">
        <v>0</v>
      </c>
      <c r="E405" s="1897">
        <v>0</v>
      </c>
      <c r="F405" s="1897">
        <v>0</v>
      </c>
      <c r="G405" s="1897">
        <v>0</v>
      </c>
      <c r="H405" s="1897">
        <v>0</v>
      </c>
      <c r="I405" s="1897">
        <v>0</v>
      </c>
      <c r="J405" s="1897">
        <v>0</v>
      </c>
      <c r="K405" s="1897">
        <v>0</v>
      </c>
      <c r="L405" s="1897">
        <v>0</v>
      </c>
      <c r="M405" s="1899">
        <f t="shared" si="45"/>
        <v>0</v>
      </c>
      <c r="N405" s="1897">
        <v>0</v>
      </c>
      <c r="O405" s="1900">
        <f t="shared" si="46"/>
        <v>0</v>
      </c>
      <c r="P405" s="3290" t="s">
        <v>385</v>
      </c>
      <c r="Q405" s="3290"/>
      <c r="R405" s="1877"/>
      <c r="S405" s="1871"/>
      <c r="T405" s="1871"/>
      <c r="U405" s="1871"/>
      <c r="V405" s="1871"/>
      <c r="W405" s="1871"/>
      <c r="X405" s="1871"/>
      <c r="Y405" s="1871"/>
      <c r="Z405" s="1871"/>
      <c r="AA405" s="1871"/>
      <c r="AB405" s="1871"/>
      <c r="AC405" s="1871"/>
      <c r="AD405" s="1871"/>
      <c r="AE405" s="1871"/>
      <c r="AF405" s="1871"/>
      <c r="AG405" s="1871"/>
      <c r="AH405" s="1871"/>
      <c r="AI405" s="1871"/>
      <c r="AJ405" s="1871"/>
      <c r="AK405" s="1871"/>
      <c r="AL405" s="1871"/>
      <c r="AM405" s="1871"/>
      <c r="AN405" s="1871"/>
      <c r="AO405" s="1871"/>
      <c r="AP405" s="1871"/>
      <c r="AQ405" s="1871"/>
      <c r="AR405" s="1871"/>
      <c r="AS405" s="1871"/>
      <c r="AT405" s="1871"/>
      <c r="AU405" s="1871"/>
      <c r="AV405" s="1871"/>
      <c r="AW405" s="1871"/>
      <c r="AX405" s="1871"/>
      <c r="AY405" s="1871"/>
      <c r="AZ405" s="1871"/>
      <c r="BA405" s="1871"/>
      <c r="BB405" s="1871"/>
      <c r="BC405" s="1871"/>
      <c r="BD405" s="1871"/>
      <c r="BE405" s="1871"/>
      <c r="BF405" s="1871"/>
      <c r="BG405" s="1871"/>
      <c r="BH405" s="1871"/>
      <c r="BI405" s="1871"/>
      <c r="BJ405" s="1871"/>
      <c r="BK405" s="1871"/>
      <c r="BL405" s="1871"/>
      <c r="BM405" s="1871"/>
      <c r="BN405" s="1871"/>
      <c r="BO405" s="1871"/>
      <c r="BP405" s="1871"/>
      <c r="BQ405" s="1871"/>
      <c r="BR405" s="1871"/>
      <c r="BS405" s="1871"/>
      <c r="BT405" s="1871"/>
      <c r="BU405" s="1871"/>
      <c r="BV405" s="1871"/>
      <c r="BW405" s="1871"/>
      <c r="BX405" s="1871"/>
      <c r="BY405" s="1871"/>
      <c r="BZ405" s="1871"/>
      <c r="CA405" s="1871"/>
      <c r="CB405" s="1871"/>
      <c r="CC405" s="1871"/>
      <c r="CD405" s="1871"/>
      <c r="CE405" s="1871"/>
      <c r="CF405" s="1871"/>
      <c r="CG405" s="1871"/>
      <c r="CH405" s="1871"/>
      <c r="CI405" s="1871"/>
      <c r="CJ405" s="1871"/>
      <c r="CK405" s="1871"/>
      <c r="CL405" s="1871"/>
      <c r="CM405" s="1871"/>
      <c r="CN405" s="1871"/>
      <c r="CO405" s="1871"/>
      <c r="CP405" s="1871"/>
      <c r="CQ405" s="1871"/>
      <c r="CR405" s="1871"/>
      <c r="CS405" s="1871"/>
      <c r="CT405" s="1871"/>
      <c r="CU405" s="1871"/>
      <c r="CV405" s="1871"/>
      <c r="CW405" s="1871"/>
      <c r="CX405" s="1871"/>
      <c r="CY405" s="1871"/>
      <c r="CZ405" s="1871"/>
      <c r="DA405" s="1871"/>
      <c r="DB405" s="1871"/>
      <c r="DC405" s="1871"/>
      <c r="DD405" s="1871"/>
      <c r="DE405" s="1871"/>
      <c r="DF405" s="1871"/>
      <c r="DG405" s="1871"/>
      <c r="DH405" s="1871"/>
      <c r="DI405" s="1871"/>
      <c r="DJ405" s="1871"/>
      <c r="DK405" s="1871"/>
      <c r="DL405" s="1871"/>
      <c r="DM405" s="1871"/>
      <c r="DN405" s="1871"/>
      <c r="DO405" s="1871"/>
      <c r="DP405" s="1871"/>
      <c r="DQ405" s="1871"/>
      <c r="DR405" s="1871"/>
      <c r="DS405" s="1871"/>
      <c r="DT405" s="1871"/>
      <c r="DU405" s="1871"/>
      <c r="DV405" s="1871"/>
      <c r="DW405" s="1871"/>
      <c r="DX405" s="1871"/>
      <c r="DY405" s="1871"/>
      <c r="DZ405" s="1871"/>
      <c r="EA405" s="1871"/>
      <c r="EB405" s="1871"/>
      <c r="EC405" s="1871"/>
      <c r="ED405" s="1871"/>
      <c r="EE405" s="1871"/>
      <c r="EF405" s="1871"/>
      <c r="EG405" s="1871"/>
      <c r="EH405" s="1871"/>
      <c r="EI405" s="1871"/>
      <c r="EJ405" s="1871"/>
      <c r="EK405" s="1871"/>
      <c r="EL405" s="1871"/>
      <c r="EM405" s="1871"/>
      <c r="EN405" s="1871"/>
      <c r="EO405" s="1871"/>
      <c r="EP405" s="1871"/>
      <c r="EQ405" s="1871"/>
      <c r="ER405" s="1871"/>
      <c r="ES405" s="1871"/>
      <c r="ET405" s="1871"/>
      <c r="EU405" s="1871"/>
      <c r="EV405" s="1871"/>
      <c r="EW405" s="1871"/>
      <c r="EX405" s="1871"/>
      <c r="EY405" s="1871"/>
      <c r="EZ405" s="1871"/>
      <c r="FA405" s="1871"/>
      <c r="FB405" s="1871"/>
      <c r="FC405" s="1871"/>
      <c r="FD405" s="1871"/>
      <c r="FE405" s="1871"/>
      <c r="FF405" s="1871"/>
      <c r="FG405" s="1871"/>
      <c r="FH405" s="1871"/>
      <c r="FI405" s="1871"/>
      <c r="FJ405" s="1871"/>
      <c r="FK405" s="1871"/>
      <c r="FL405" s="1871"/>
      <c r="FM405" s="1871"/>
      <c r="FN405" s="1871"/>
      <c r="FO405" s="1871"/>
      <c r="FP405" s="1871"/>
      <c r="FQ405" s="1871"/>
      <c r="FR405" s="1871"/>
      <c r="FS405" s="1871"/>
      <c r="FT405" s="1871"/>
      <c r="FU405" s="1871"/>
      <c r="FV405" s="1871"/>
      <c r="FW405" s="1871"/>
      <c r="FX405" s="1871"/>
      <c r="FY405" s="1871"/>
      <c r="FZ405" s="1871"/>
      <c r="GA405" s="1871"/>
      <c r="GB405" s="1871"/>
      <c r="GC405" s="1871"/>
      <c r="GD405" s="1871"/>
      <c r="GE405" s="1871"/>
      <c r="GF405" s="1871"/>
      <c r="GG405" s="1871"/>
      <c r="GH405" s="1871"/>
      <c r="GI405" s="1871"/>
      <c r="GJ405" s="1871"/>
      <c r="GK405" s="1871"/>
      <c r="GL405" s="1871"/>
      <c r="GM405" s="1871"/>
      <c r="GN405" s="1871"/>
      <c r="GO405" s="1871"/>
      <c r="GP405" s="1871"/>
      <c r="GQ405" s="1871"/>
      <c r="GR405" s="1871"/>
      <c r="GS405" s="1871"/>
      <c r="GT405" s="1871"/>
      <c r="GU405" s="1871"/>
      <c r="GV405" s="1871"/>
      <c r="GW405" s="1871"/>
      <c r="GX405" s="1871"/>
      <c r="GY405" s="1871"/>
      <c r="GZ405" s="1871"/>
      <c r="HA405" s="1871"/>
      <c r="HB405" s="1871"/>
      <c r="HC405" s="1871"/>
      <c r="HD405" s="1871"/>
      <c r="HE405" s="1871"/>
      <c r="HF405" s="1871"/>
      <c r="HG405" s="1871"/>
      <c r="HH405" s="1871"/>
      <c r="HI405" s="1871"/>
      <c r="HJ405" s="1871"/>
      <c r="HK405" s="1871"/>
      <c r="HL405" s="1871"/>
      <c r="HM405" s="1871"/>
      <c r="HN405" s="1871"/>
      <c r="HO405" s="1871"/>
      <c r="HP405" s="1871"/>
      <c r="HQ405" s="1871"/>
      <c r="HR405" s="1871"/>
      <c r="HS405" s="1871"/>
      <c r="HT405" s="1871"/>
      <c r="HU405" s="1871"/>
      <c r="HV405" s="1871"/>
      <c r="HW405" s="1871"/>
      <c r="HX405" s="1871"/>
      <c r="HY405" s="1871"/>
      <c r="HZ405" s="1871"/>
      <c r="IA405" s="1871"/>
      <c r="IB405" s="1871"/>
      <c r="IC405" s="1871"/>
      <c r="ID405" s="1871"/>
      <c r="IE405" s="1871"/>
      <c r="IF405" s="1871"/>
      <c r="IG405" s="1871"/>
      <c r="IH405" s="1871"/>
      <c r="II405" s="1871"/>
      <c r="IJ405" s="1871"/>
      <c r="IK405" s="1871"/>
      <c r="IL405" s="1871"/>
      <c r="IM405" s="1871"/>
      <c r="IN405" s="1871"/>
    </row>
    <row r="406" spans="1:248">
      <c r="A406" s="1870" t="s">
        <v>1924</v>
      </c>
      <c r="B406" s="1879" t="s">
        <v>1925</v>
      </c>
      <c r="C406" s="1880" t="s">
        <v>1926</v>
      </c>
      <c r="D406" s="1897">
        <v>0</v>
      </c>
      <c r="E406" s="1897">
        <v>0</v>
      </c>
      <c r="F406" s="1897">
        <v>0</v>
      </c>
      <c r="G406" s="1897">
        <v>0</v>
      </c>
      <c r="H406" s="1897">
        <v>0</v>
      </c>
      <c r="I406" s="1897">
        <v>0</v>
      </c>
      <c r="J406" s="1897">
        <v>0</v>
      </c>
      <c r="K406" s="1897">
        <v>0</v>
      </c>
      <c r="L406" s="1897">
        <v>0</v>
      </c>
      <c r="M406" s="1899">
        <f t="shared" si="45"/>
        <v>0</v>
      </c>
      <c r="N406" s="1897">
        <v>0</v>
      </c>
      <c r="O406" s="1900">
        <f t="shared" si="46"/>
        <v>0</v>
      </c>
      <c r="P406" s="3290" t="s">
        <v>385</v>
      </c>
      <c r="Q406" s="3290"/>
      <c r="R406" s="1877"/>
      <c r="S406" s="1871"/>
      <c r="T406" s="1871"/>
      <c r="U406" s="1871"/>
      <c r="V406" s="1871"/>
      <c r="W406" s="1871"/>
      <c r="X406" s="1871"/>
      <c r="Y406" s="1871"/>
      <c r="Z406" s="1871"/>
      <c r="AA406" s="1871"/>
      <c r="AB406" s="1871"/>
      <c r="AC406" s="1871"/>
      <c r="AD406" s="1871"/>
      <c r="AE406" s="1871"/>
      <c r="AF406" s="1871"/>
      <c r="AG406" s="1871"/>
      <c r="AH406" s="1871"/>
      <c r="AI406" s="1871"/>
      <c r="AJ406" s="1871"/>
      <c r="AK406" s="1871"/>
      <c r="AL406" s="1871"/>
      <c r="AM406" s="1871"/>
      <c r="AN406" s="1871"/>
      <c r="AO406" s="1871"/>
      <c r="AP406" s="1871"/>
      <c r="AQ406" s="1871"/>
      <c r="AR406" s="1871"/>
      <c r="AS406" s="1871"/>
      <c r="AT406" s="1871"/>
      <c r="AU406" s="1871"/>
      <c r="AV406" s="1871"/>
      <c r="AW406" s="1871"/>
      <c r="AX406" s="1871"/>
      <c r="AY406" s="1871"/>
      <c r="AZ406" s="1871"/>
      <c r="BA406" s="1871"/>
      <c r="BB406" s="1871"/>
      <c r="BC406" s="1871"/>
      <c r="BD406" s="1871"/>
      <c r="BE406" s="1871"/>
      <c r="BF406" s="1871"/>
      <c r="BG406" s="1871"/>
      <c r="BH406" s="1871"/>
      <c r="BI406" s="1871"/>
      <c r="BJ406" s="1871"/>
      <c r="BK406" s="1871"/>
      <c r="BL406" s="1871"/>
      <c r="BM406" s="1871"/>
      <c r="BN406" s="1871"/>
      <c r="BO406" s="1871"/>
      <c r="BP406" s="1871"/>
      <c r="BQ406" s="1871"/>
      <c r="BR406" s="1871"/>
      <c r="BS406" s="1871"/>
      <c r="BT406" s="1871"/>
      <c r="BU406" s="1871"/>
      <c r="BV406" s="1871"/>
      <c r="BW406" s="1871"/>
      <c r="BX406" s="1871"/>
      <c r="BY406" s="1871"/>
      <c r="BZ406" s="1871"/>
      <c r="CA406" s="1871"/>
      <c r="CB406" s="1871"/>
      <c r="CC406" s="1871"/>
      <c r="CD406" s="1871"/>
      <c r="CE406" s="1871"/>
      <c r="CF406" s="1871"/>
      <c r="CG406" s="1871"/>
      <c r="CH406" s="1871"/>
      <c r="CI406" s="1871"/>
      <c r="CJ406" s="1871"/>
      <c r="CK406" s="1871"/>
      <c r="CL406" s="1871"/>
      <c r="CM406" s="1871"/>
      <c r="CN406" s="1871"/>
      <c r="CO406" s="1871"/>
      <c r="CP406" s="1871"/>
      <c r="CQ406" s="1871"/>
      <c r="CR406" s="1871"/>
      <c r="CS406" s="1871"/>
      <c r="CT406" s="1871"/>
      <c r="CU406" s="1871"/>
      <c r="CV406" s="1871"/>
      <c r="CW406" s="1871"/>
      <c r="CX406" s="1871"/>
      <c r="CY406" s="1871"/>
      <c r="CZ406" s="1871"/>
      <c r="DA406" s="1871"/>
      <c r="DB406" s="1871"/>
      <c r="DC406" s="1871"/>
      <c r="DD406" s="1871"/>
      <c r="DE406" s="1871"/>
      <c r="DF406" s="1871"/>
      <c r="DG406" s="1871"/>
      <c r="DH406" s="1871"/>
      <c r="DI406" s="1871"/>
      <c r="DJ406" s="1871"/>
      <c r="DK406" s="1871"/>
      <c r="DL406" s="1871"/>
      <c r="DM406" s="1871"/>
      <c r="DN406" s="1871"/>
      <c r="DO406" s="1871"/>
      <c r="DP406" s="1871"/>
      <c r="DQ406" s="1871"/>
      <c r="DR406" s="1871"/>
      <c r="DS406" s="1871"/>
      <c r="DT406" s="1871"/>
      <c r="DU406" s="1871"/>
      <c r="DV406" s="1871"/>
      <c r="DW406" s="1871"/>
      <c r="DX406" s="1871"/>
      <c r="DY406" s="1871"/>
      <c r="DZ406" s="1871"/>
      <c r="EA406" s="1871"/>
      <c r="EB406" s="1871"/>
      <c r="EC406" s="1871"/>
      <c r="ED406" s="1871"/>
      <c r="EE406" s="1871"/>
      <c r="EF406" s="1871"/>
      <c r="EG406" s="1871"/>
      <c r="EH406" s="1871"/>
      <c r="EI406" s="1871"/>
      <c r="EJ406" s="1871"/>
      <c r="EK406" s="1871"/>
      <c r="EL406" s="1871"/>
      <c r="EM406" s="1871"/>
      <c r="EN406" s="1871"/>
      <c r="EO406" s="1871"/>
      <c r="EP406" s="1871"/>
      <c r="EQ406" s="1871"/>
      <c r="ER406" s="1871"/>
      <c r="ES406" s="1871"/>
      <c r="ET406" s="1871"/>
      <c r="EU406" s="1871"/>
      <c r="EV406" s="1871"/>
      <c r="EW406" s="1871"/>
      <c r="EX406" s="1871"/>
      <c r="EY406" s="1871"/>
      <c r="EZ406" s="1871"/>
      <c r="FA406" s="1871"/>
      <c r="FB406" s="1871"/>
      <c r="FC406" s="1871"/>
      <c r="FD406" s="1871"/>
      <c r="FE406" s="1871"/>
      <c r="FF406" s="1871"/>
      <c r="FG406" s="1871"/>
      <c r="FH406" s="1871"/>
      <c r="FI406" s="1871"/>
      <c r="FJ406" s="1871"/>
      <c r="FK406" s="1871"/>
      <c r="FL406" s="1871"/>
      <c r="FM406" s="1871"/>
      <c r="FN406" s="1871"/>
      <c r="FO406" s="1871"/>
      <c r="FP406" s="1871"/>
      <c r="FQ406" s="1871"/>
      <c r="FR406" s="1871"/>
      <c r="FS406" s="1871"/>
      <c r="FT406" s="1871"/>
      <c r="FU406" s="1871"/>
      <c r="FV406" s="1871"/>
      <c r="FW406" s="1871"/>
      <c r="FX406" s="1871"/>
      <c r="FY406" s="1871"/>
      <c r="FZ406" s="1871"/>
      <c r="GA406" s="1871"/>
      <c r="GB406" s="1871"/>
      <c r="GC406" s="1871"/>
      <c r="GD406" s="1871"/>
      <c r="GE406" s="1871"/>
      <c r="GF406" s="1871"/>
      <c r="GG406" s="1871"/>
      <c r="GH406" s="1871"/>
      <c r="GI406" s="1871"/>
      <c r="GJ406" s="1871"/>
      <c r="GK406" s="1871"/>
      <c r="GL406" s="1871"/>
      <c r="GM406" s="1871"/>
      <c r="GN406" s="1871"/>
      <c r="GO406" s="1871"/>
      <c r="GP406" s="1871"/>
      <c r="GQ406" s="1871"/>
      <c r="GR406" s="1871"/>
      <c r="GS406" s="1871"/>
      <c r="GT406" s="1871"/>
      <c r="GU406" s="1871"/>
      <c r="GV406" s="1871"/>
      <c r="GW406" s="1871"/>
      <c r="GX406" s="1871"/>
      <c r="GY406" s="1871"/>
      <c r="GZ406" s="1871"/>
      <c r="HA406" s="1871"/>
      <c r="HB406" s="1871"/>
      <c r="HC406" s="1871"/>
      <c r="HD406" s="1871"/>
      <c r="HE406" s="1871"/>
      <c r="HF406" s="1871"/>
      <c r="HG406" s="1871"/>
      <c r="HH406" s="1871"/>
      <c r="HI406" s="1871"/>
      <c r="HJ406" s="1871"/>
      <c r="HK406" s="1871"/>
      <c r="HL406" s="1871"/>
      <c r="HM406" s="1871"/>
      <c r="HN406" s="1871"/>
      <c r="HO406" s="1871"/>
      <c r="HP406" s="1871"/>
      <c r="HQ406" s="1871"/>
      <c r="HR406" s="1871"/>
      <c r="HS406" s="1871"/>
      <c r="HT406" s="1871"/>
      <c r="HU406" s="1871"/>
      <c r="HV406" s="1871"/>
      <c r="HW406" s="1871"/>
      <c r="HX406" s="1871"/>
      <c r="HY406" s="1871"/>
      <c r="HZ406" s="1871"/>
      <c r="IA406" s="1871"/>
      <c r="IB406" s="1871"/>
      <c r="IC406" s="1871"/>
      <c r="ID406" s="1871"/>
      <c r="IE406" s="1871"/>
      <c r="IF406" s="1871"/>
      <c r="IG406" s="1871"/>
      <c r="IH406" s="1871"/>
      <c r="II406" s="1871"/>
      <c r="IJ406" s="1871"/>
      <c r="IK406" s="1871"/>
      <c r="IL406" s="1871"/>
      <c r="IM406" s="1871"/>
      <c r="IN406" s="1871"/>
    </row>
    <row r="407" spans="1:248">
      <c r="A407" s="1870" t="s">
        <v>1927</v>
      </c>
      <c r="B407" s="1879" t="s">
        <v>1928</v>
      </c>
      <c r="C407" s="1881" t="s">
        <v>1929</v>
      </c>
      <c r="D407" s="1897">
        <v>0</v>
      </c>
      <c r="E407" s="1897">
        <v>0</v>
      </c>
      <c r="F407" s="1897">
        <v>0</v>
      </c>
      <c r="G407" s="1897">
        <v>0</v>
      </c>
      <c r="H407" s="1897">
        <v>0</v>
      </c>
      <c r="I407" s="1897">
        <v>0</v>
      </c>
      <c r="J407" s="1897">
        <v>0</v>
      </c>
      <c r="K407" s="1897">
        <v>0</v>
      </c>
      <c r="L407" s="1897">
        <v>0</v>
      </c>
      <c r="M407" s="1899">
        <f t="shared" si="45"/>
        <v>0</v>
      </c>
      <c r="N407" s="1897">
        <v>0</v>
      </c>
      <c r="O407" s="1900">
        <f t="shared" si="46"/>
        <v>0</v>
      </c>
      <c r="P407" s="3290" t="s">
        <v>385</v>
      </c>
      <c r="Q407" s="3290"/>
      <c r="R407" s="1877"/>
      <c r="S407" s="1871"/>
      <c r="T407" s="1871"/>
      <c r="U407" s="1871"/>
      <c r="V407" s="1871"/>
      <c r="W407" s="1871"/>
      <c r="X407" s="1871"/>
      <c r="Y407" s="1871"/>
      <c r="Z407" s="1871"/>
      <c r="AA407" s="1871"/>
      <c r="AB407" s="1871"/>
      <c r="AC407" s="1871"/>
      <c r="AD407" s="1871"/>
      <c r="AE407" s="1871"/>
      <c r="AF407" s="1871"/>
      <c r="AG407" s="1871"/>
      <c r="AH407" s="1871"/>
      <c r="AI407" s="1871"/>
      <c r="AJ407" s="1871"/>
      <c r="AK407" s="1871"/>
      <c r="AL407" s="1871"/>
      <c r="AM407" s="1871"/>
      <c r="AN407" s="1871"/>
      <c r="AO407" s="1871"/>
      <c r="AP407" s="1871"/>
      <c r="AQ407" s="1871"/>
      <c r="AR407" s="1871"/>
      <c r="AS407" s="1871"/>
      <c r="AT407" s="1871"/>
      <c r="AU407" s="1871"/>
      <c r="AV407" s="1871"/>
      <c r="AW407" s="1871"/>
      <c r="AX407" s="1871"/>
      <c r="AY407" s="1871"/>
      <c r="AZ407" s="1871"/>
      <c r="BA407" s="1871"/>
      <c r="BB407" s="1871"/>
      <c r="BC407" s="1871"/>
      <c r="BD407" s="1871"/>
      <c r="BE407" s="1871"/>
      <c r="BF407" s="1871"/>
      <c r="BG407" s="1871"/>
      <c r="BH407" s="1871"/>
      <c r="BI407" s="1871"/>
      <c r="BJ407" s="1871"/>
      <c r="BK407" s="1871"/>
      <c r="BL407" s="1871"/>
      <c r="BM407" s="1871"/>
      <c r="BN407" s="1871"/>
      <c r="BO407" s="1871"/>
      <c r="BP407" s="1871"/>
      <c r="BQ407" s="1871"/>
      <c r="BR407" s="1871"/>
      <c r="BS407" s="1871"/>
      <c r="BT407" s="1871"/>
      <c r="BU407" s="1871"/>
      <c r="BV407" s="1871"/>
      <c r="BW407" s="1871"/>
      <c r="BX407" s="1871"/>
      <c r="BY407" s="1871"/>
      <c r="BZ407" s="1871"/>
      <c r="CA407" s="1871"/>
      <c r="CB407" s="1871"/>
      <c r="CC407" s="1871"/>
      <c r="CD407" s="1871"/>
      <c r="CE407" s="1871"/>
      <c r="CF407" s="1871"/>
      <c r="CG407" s="1871"/>
      <c r="CH407" s="1871"/>
      <c r="CI407" s="1871"/>
      <c r="CJ407" s="1871"/>
      <c r="CK407" s="1871"/>
      <c r="CL407" s="1871"/>
      <c r="CM407" s="1871"/>
      <c r="CN407" s="1871"/>
      <c r="CO407" s="1871"/>
      <c r="CP407" s="1871"/>
      <c r="CQ407" s="1871"/>
      <c r="CR407" s="1871"/>
      <c r="CS407" s="1871"/>
      <c r="CT407" s="1871"/>
      <c r="CU407" s="1871"/>
      <c r="CV407" s="1871"/>
      <c r="CW407" s="1871"/>
      <c r="CX407" s="1871"/>
      <c r="CY407" s="1871"/>
      <c r="CZ407" s="1871"/>
      <c r="DA407" s="1871"/>
      <c r="DB407" s="1871"/>
      <c r="DC407" s="1871"/>
      <c r="DD407" s="1871"/>
      <c r="DE407" s="1871"/>
      <c r="DF407" s="1871"/>
      <c r="DG407" s="1871"/>
      <c r="DH407" s="1871"/>
      <c r="DI407" s="1871"/>
      <c r="DJ407" s="1871"/>
      <c r="DK407" s="1871"/>
      <c r="DL407" s="1871"/>
      <c r="DM407" s="1871"/>
      <c r="DN407" s="1871"/>
      <c r="DO407" s="1871"/>
      <c r="DP407" s="1871"/>
      <c r="DQ407" s="1871"/>
      <c r="DR407" s="1871"/>
      <c r="DS407" s="1871"/>
      <c r="DT407" s="1871"/>
      <c r="DU407" s="1871"/>
      <c r="DV407" s="1871"/>
      <c r="DW407" s="1871"/>
      <c r="DX407" s="1871"/>
      <c r="DY407" s="1871"/>
      <c r="DZ407" s="1871"/>
      <c r="EA407" s="1871"/>
      <c r="EB407" s="1871"/>
      <c r="EC407" s="1871"/>
      <c r="ED407" s="1871"/>
      <c r="EE407" s="1871"/>
      <c r="EF407" s="1871"/>
      <c r="EG407" s="1871"/>
      <c r="EH407" s="1871"/>
      <c r="EI407" s="1871"/>
      <c r="EJ407" s="1871"/>
      <c r="EK407" s="1871"/>
      <c r="EL407" s="1871"/>
      <c r="EM407" s="1871"/>
      <c r="EN407" s="1871"/>
      <c r="EO407" s="1871"/>
      <c r="EP407" s="1871"/>
      <c r="EQ407" s="1871"/>
      <c r="ER407" s="1871"/>
      <c r="ES407" s="1871"/>
      <c r="ET407" s="1871"/>
      <c r="EU407" s="1871"/>
      <c r="EV407" s="1871"/>
      <c r="EW407" s="1871"/>
      <c r="EX407" s="1871"/>
      <c r="EY407" s="1871"/>
      <c r="EZ407" s="1871"/>
      <c r="FA407" s="1871"/>
      <c r="FB407" s="1871"/>
      <c r="FC407" s="1871"/>
      <c r="FD407" s="1871"/>
      <c r="FE407" s="1871"/>
      <c r="FF407" s="1871"/>
      <c r="FG407" s="1871"/>
      <c r="FH407" s="1871"/>
      <c r="FI407" s="1871"/>
      <c r="FJ407" s="1871"/>
      <c r="FK407" s="1871"/>
      <c r="FL407" s="1871"/>
      <c r="FM407" s="1871"/>
      <c r="FN407" s="1871"/>
      <c r="FO407" s="1871"/>
      <c r="FP407" s="1871"/>
      <c r="FQ407" s="1871"/>
      <c r="FR407" s="1871"/>
      <c r="FS407" s="1871"/>
      <c r="FT407" s="1871"/>
      <c r="FU407" s="1871"/>
      <c r="FV407" s="1871"/>
      <c r="FW407" s="1871"/>
      <c r="FX407" s="1871"/>
      <c r="FY407" s="1871"/>
      <c r="FZ407" s="1871"/>
      <c r="GA407" s="1871"/>
      <c r="GB407" s="1871"/>
      <c r="GC407" s="1871"/>
      <c r="GD407" s="1871"/>
      <c r="GE407" s="1871"/>
      <c r="GF407" s="1871"/>
      <c r="GG407" s="1871"/>
      <c r="GH407" s="1871"/>
      <c r="GI407" s="1871"/>
      <c r="GJ407" s="1871"/>
      <c r="GK407" s="1871"/>
      <c r="GL407" s="1871"/>
      <c r="GM407" s="1871"/>
      <c r="GN407" s="1871"/>
      <c r="GO407" s="1871"/>
      <c r="GP407" s="1871"/>
      <c r="GQ407" s="1871"/>
      <c r="GR407" s="1871"/>
      <c r="GS407" s="1871"/>
      <c r="GT407" s="1871"/>
      <c r="GU407" s="1871"/>
      <c r="GV407" s="1871"/>
      <c r="GW407" s="1871"/>
      <c r="GX407" s="1871"/>
      <c r="GY407" s="1871"/>
      <c r="GZ407" s="1871"/>
      <c r="HA407" s="1871"/>
      <c r="HB407" s="1871"/>
      <c r="HC407" s="1871"/>
      <c r="HD407" s="1871"/>
      <c r="HE407" s="1871"/>
      <c r="HF407" s="1871"/>
      <c r="HG407" s="1871"/>
      <c r="HH407" s="1871"/>
      <c r="HI407" s="1871"/>
      <c r="HJ407" s="1871"/>
      <c r="HK407" s="1871"/>
      <c r="HL407" s="1871"/>
      <c r="HM407" s="1871"/>
      <c r="HN407" s="1871"/>
      <c r="HO407" s="1871"/>
      <c r="HP407" s="1871"/>
      <c r="HQ407" s="1871"/>
      <c r="HR407" s="1871"/>
      <c r="HS407" s="1871"/>
      <c r="HT407" s="1871"/>
      <c r="HU407" s="1871"/>
      <c r="HV407" s="1871"/>
      <c r="HW407" s="1871"/>
      <c r="HX407" s="1871"/>
      <c r="HY407" s="1871"/>
      <c r="HZ407" s="1871"/>
      <c r="IA407" s="1871"/>
      <c r="IB407" s="1871"/>
      <c r="IC407" s="1871"/>
      <c r="ID407" s="1871"/>
      <c r="IE407" s="1871"/>
      <c r="IF407" s="1871"/>
      <c r="IG407" s="1871"/>
      <c r="IH407" s="1871"/>
      <c r="II407" s="1871"/>
      <c r="IJ407" s="1871"/>
      <c r="IK407" s="1871"/>
      <c r="IL407" s="1871"/>
      <c r="IM407" s="1871"/>
      <c r="IN407" s="1871"/>
    </row>
    <row r="408" spans="1:248">
      <c r="A408" s="1870" t="s">
        <v>1930</v>
      </c>
      <c r="B408" s="1879" t="s">
        <v>1931</v>
      </c>
      <c r="C408" s="1880" t="s">
        <v>1932</v>
      </c>
      <c r="D408" s="1897">
        <v>0</v>
      </c>
      <c r="E408" s="1897">
        <v>0</v>
      </c>
      <c r="F408" s="1897">
        <v>0</v>
      </c>
      <c r="G408" s="1897">
        <v>0</v>
      </c>
      <c r="H408" s="1897">
        <v>0</v>
      </c>
      <c r="I408" s="1897">
        <v>0</v>
      </c>
      <c r="J408" s="1897">
        <v>0</v>
      </c>
      <c r="K408" s="1897">
        <v>0</v>
      </c>
      <c r="L408" s="1897">
        <v>0</v>
      </c>
      <c r="M408" s="1899">
        <f t="shared" si="45"/>
        <v>0</v>
      </c>
      <c r="N408" s="1897">
        <v>0</v>
      </c>
      <c r="O408" s="1900">
        <f t="shared" si="46"/>
        <v>0</v>
      </c>
      <c r="P408" s="3290" t="s">
        <v>385</v>
      </c>
      <c r="Q408" s="3290"/>
      <c r="R408" s="1877"/>
      <c r="S408" s="1871"/>
      <c r="T408" s="1871"/>
      <c r="U408" s="1871"/>
      <c r="V408" s="1871"/>
      <c r="W408" s="1871"/>
      <c r="X408" s="1871"/>
      <c r="Y408" s="1871"/>
      <c r="Z408" s="1871"/>
      <c r="AA408" s="1871"/>
      <c r="AB408" s="1871"/>
      <c r="AC408" s="1871"/>
      <c r="AD408" s="1871"/>
      <c r="AE408" s="1871"/>
      <c r="AF408" s="1871"/>
      <c r="AG408" s="1871"/>
      <c r="AH408" s="1871"/>
      <c r="AI408" s="1871"/>
      <c r="AJ408" s="1871"/>
      <c r="AK408" s="1871"/>
      <c r="AL408" s="1871"/>
      <c r="AM408" s="1871"/>
      <c r="AN408" s="1871"/>
      <c r="AO408" s="1871"/>
      <c r="AP408" s="1871"/>
      <c r="AQ408" s="1871"/>
      <c r="AR408" s="1871"/>
      <c r="AS408" s="1871"/>
      <c r="AT408" s="1871"/>
      <c r="AU408" s="1871"/>
      <c r="AV408" s="1871"/>
      <c r="AW408" s="1871"/>
      <c r="AX408" s="1871"/>
      <c r="AY408" s="1871"/>
      <c r="AZ408" s="1871"/>
      <c r="BA408" s="1871"/>
      <c r="BB408" s="1871"/>
      <c r="BC408" s="1871"/>
      <c r="BD408" s="1871"/>
      <c r="BE408" s="1871"/>
      <c r="BF408" s="1871"/>
      <c r="BG408" s="1871"/>
      <c r="BH408" s="1871"/>
      <c r="BI408" s="1871"/>
      <c r="BJ408" s="1871"/>
      <c r="BK408" s="1871"/>
      <c r="BL408" s="1871"/>
      <c r="BM408" s="1871"/>
      <c r="BN408" s="1871"/>
      <c r="BO408" s="1871"/>
      <c r="BP408" s="1871"/>
      <c r="BQ408" s="1871"/>
      <c r="BR408" s="1871"/>
      <c r="BS408" s="1871"/>
      <c r="BT408" s="1871"/>
      <c r="BU408" s="1871"/>
      <c r="BV408" s="1871"/>
      <c r="BW408" s="1871"/>
      <c r="BX408" s="1871"/>
      <c r="BY408" s="1871"/>
      <c r="BZ408" s="1871"/>
      <c r="CA408" s="1871"/>
      <c r="CB408" s="1871"/>
      <c r="CC408" s="1871"/>
      <c r="CD408" s="1871"/>
      <c r="CE408" s="1871"/>
      <c r="CF408" s="1871"/>
      <c r="CG408" s="1871"/>
      <c r="CH408" s="1871"/>
      <c r="CI408" s="1871"/>
      <c r="CJ408" s="1871"/>
      <c r="CK408" s="1871"/>
      <c r="CL408" s="1871"/>
      <c r="CM408" s="1871"/>
      <c r="CN408" s="1871"/>
      <c r="CO408" s="1871"/>
      <c r="CP408" s="1871"/>
      <c r="CQ408" s="1871"/>
      <c r="CR408" s="1871"/>
      <c r="CS408" s="1871"/>
      <c r="CT408" s="1871"/>
      <c r="CU408" s="1871"/>
      <c r="CV408" s="1871"/>
      <c r="CW408" s="1871"/>
      <c r="CX408" s="1871"/>
      <c r="CY408" s="1871"/>
      <c r="CZ408" s="1871"/>
      <c r="DA408" s="1871"/>
      <c r="DB408" s="1871"/>
      <c r="DC408" s="1871"/>
      <c r="DD408" s="1871"/>
      <c r="DE408" s="1871"/>
      <c r="DF408" s="1871"/>
      <c r="DG408" s="1871"/>
      <c r="DH408" s="1871"/>
      <c r="DI408" s="1871"/>
      <c r="DJ408" s="1871"/>
      <c r="DK408" s="1871"/>
      <c r="DL408" s="1871"/>
      <c r="DM408" s="1871"/>
      <c r="DN408" s="1871"/>
      <c r="DO408" s="1871"/>
      <c r="DP408" s="1871"/>
      <c r="DQ408" s="1871"/>
      <c r="DR408" s="1871"/>
      <c r="DS408" s="1871"/>
      <c r="DT408" s="1871"/>
      <c r="DU408" s="1871"/>
      <c r="DV408" s="1871"/>
      <c r="DW408" s="1871"/>
      <c r="DX408" s="1871"/>
      <c r="DY408" s="1871"/>
      <c r="DZ408" s="1871"/>
      <c r="EA408" s="1871"/>
      <c r="EB408" s="1871"/>
      <c r="EC408" s="1871"/>
      <c r="ED408" s="1871"/>
      <c r="EE408" s="1871"/>
      <c r="EF408" s="1871"/>
      <c r="EG408" s="1871"/>
      <c r="EH408" s="1871"/>
      <c r="EI408" s="1871"/>
      <c r="EJ408" s="1871"/>
      <c r="EK408" s="1871"/>
      <c r="EL408" s="1871"/>
      <c r="EM408" s="1871"/>
      <c r="EN408" s="1871"/>
      <c r="EO408" s="1871"/>
      <c r="EP408" s="1871"/>
      <c r="EQ408" s="1871"/>
      <c r="ER408" s="1871"/>
      <c r="ES408" s="1871"/>
      <c r="ET408" s="1871"/>
      <c r="EU408" s="1871"/>
      <c r="EV408" s="1871"/>
      <c r="EW408" s="1871"/>
      <c r="EX408" s="1871"/>
      <c r="EY408" s="1871"/>
      <c r="EZ408" s="1871"/>
      <c r="FA408" s="1871"/>
      <c r="FB408" s="1871"/>
      <c r="FC408" s="1871"/>
      <c r="FD408" s="1871"/>
      <c r="FE408" s="1871"/>
      <c r="FF408" s="1871"/>
      <c r="FG408" s="1871"/>
      <c r="FH408" s="1871"/>
      <c r="FI408" s="1871"/>
      <c r="FJ408" s="1871"/>
      <c r="FK408" s="1871"/>
      <c r="FL408" s="1871"/>
      <c r="FM408" s="1871"/>
      <c r="FN408" s="1871"/>
      <c r="FO408" s="1871"/>
      <c r="FP408" s="1871"/>
      <c r="FQ408" s="1871"/>
      <c r="FR408" s="1871"/>
      <c r="FS408" s="1871"/>
      <c r="FT408" s="1871"/>
      <c r="FU408" s="1871"/>
      <c r="FV408" s="1871"/>
      <c r="FW408" s="1871"/>
      <c r="FX408" s="1871"/>
      <c r="FY408" s="1871"/>
      <c r="FZ408" s="1871"/>
      <c r="GA408" s="1871"/>
      <c r="GB408" s="1871"/>
      <c r="GC408" s="1871"/>
      <c r="GD408" s="1871"/>
      <c r="GE408" s="1871"/>
      <c r="GF408" s="1871"/>
      <c r="GG408" s="1871"/>
      <c r="GH408" s="1871"/>
      <c r="GI408" s="1871"/>
      <c r="GJ408" s="1871"/>
      <c r="GK408" s="1871"/>
      <c r="GL408" s="1871"/>
      <c r="GM408" s="1871"/>
      <c r="GN408" s="1871"/>
      <c r="GO408" s="1871"/>
      <c r="GP408" s="1871"/>
      <c r="GQ408" s="1871"/>
      <c r="GR408" s="1871"/>
      <c r="GS408" s="1871"/>
      <c r="GT408" s="1871"/>
      <c r="GU408" s="1871"/>
      <c r="GV408" s="1871"/>
      <c r="GW408" s="1871"/>
      <c r="GX408" s="1871"/>
      <c r="GY408" s="1871"/>
      <c r="GZ408" s="1871"/>
      <c r="HA408" s="1871"/>
      <c r="HB408" s="1871"/>
      <c r="HC408" s="1871"/>
      <c r="HD408" s="1871"/>
      <c r="HE408" s="1871"/>
      <c r="HF408" s="1871"/>
      <c r="HG408" s="1871"/>
      <c r="HH408" s="1871"/>
      <c r="HI408" s="1871"/>
      <c r="HJ408" s="1871"/>
      <c r="HK408" s="1871"/>
      <c r="HL408" s="1871"/>
      <c r="HM408" s="1871"/>
      <c r="HN408" s="1871"/>
      <c r="HO408" s="1871"/>
      <c r="HP408" s="1871"/>
      <c r="HQ408" s="1871"/>
      <c r="HR408" s="1871"/>
      <c r="HS408" s="1871"/>
      <c r="HT408" s="1871"/>
      <c r="HU408" s="1871"/>
      <c r="HV408" s="1871"/>
      <c r="HW408" s="1871"/>
      <c r="HX408" s="1871"/>
      <c r="HY408" s="1871"/>
      <c r="HZ408" s="1871"/>
      <c r="IA408" s="1871"/>
      <c r="IB408" s="1871"/>
      <c r="IC408" s="1871"/>
      <c r="ID408" s="1871"/>
      <c r="IE408" s="1871"/>
      <c r="IF408" s="1871"/>
      <c r="IG408" s="1871"/>
      <c r="IH408" s="1871"/>
      <c r="II408" s="1871"/>
      <c r="IJ408" s="1871"/>
      <c r="IK408" s="1871"/>
      <c r="IL408" s="1871"/>
      <c r="IM408" s="1871"/>
      <c r="IN408" s="1871"/>
    </row>
    <row r="409" spans="1:248">
      <c r="A409" s="1870" t="s">
        <v>1933</v>
      </c>
      <c r="B409" s="1879" t="s">
        <v>1934</v>
      </c>
      <c r="C409" s="1880" t="s">
        <v>1935</v>
      </c>
      <c r="D409" s="1897">
        <v>0</v>
      </c>
      <c r="E409" s="1897">
        <v>0</v>
      </c>
      <c r="F409" s="1897">
        <v>0</v>
      </c>
      <c r="G409" s="1897">
        <v>0</v>
      </c>
      <c r="H409" s="1897">
        <v>0</v>
      </c>
      <c r="I409" s="1897">
        <v>0</v>
      </c>
      <c r="J409" s="1897">
        <v>0</v>
      </c>
      <c r="K409" s="1897">
        <v>0</v>
      </c>
      <c r="L409" s="1897">
        <v>0</v>
      </c>
      <c r="M409" s="1899">
        <f t="shared" si="45"/>
        <v>0</v>
      </c>
      <c r="N409" s="1897">
        <v>0</v>
      </c>
      <c r="O409" s="1900">
        <f t="shared" si="46"/>
        <v>0</v>
      </c>
      <c r="P409" s="3290" t="s">
        <v>385</v>
      </c>
      <c r="Q409" s="3290"/>
      <c r="R409" s="1877"/>
      <c r="S409" s="1871"/>
      <c r="T409" s="1871"/>
      <c r="U409" s="1871"/>
      <c r="V409" s="1871"/>
      <c r="W409" s="1871"/>
      <c r="X409" s="1871"/>
      <c r="Y409" s="1871"/>
      <c r="Z409" s="1871"/>
      <c r="AA409" s="1871"/>
      <c r="AB409" s="1871"/>
      <c r="AC409" s="1871"/>
      <c r="AD409" s="1871"/>
      <c r="AE409" s="1871"/>
      <c r="AF409" s="1871"/>
      <c r="AG409" s="1871"/>
      <c r="AH409" s="1871"/>
      <c r="AI409" s="1871"/>
      <c r="AJ409" s="1871"/>
      <c r="AK409" s="1871"/>
      <c r="AL409" s="1871"/>
      <c r="AM409" s="1871"/>
      <c r="AN409" s="1871"/>
      <c r="AO409" s="1871"/>
      <c r="AP409" s="1871"/>
      <c r="AQ409" s="1871"/>
      <c r="AR409" s="1871"/>
      <c r="AS409" s="1871"/>
      <c r="AT409" s="1871"/>
      <c r="AU409" s="1871"/>
      <c r="AV409" s="1871"/>
      <c r="AW409" s="1871"/>
      <c r="AX409" s="1871"/>
      <c r="AY409" s="1871"/>
      <c r="AZ409" s="1871"/>
      <c r="BA409" s="1871"/>
      <c r="BB409" s="1871"/>
      <c r="BC409" s="1871"/>
      <c r="BD409" s="1871"/>
      <c r="BE409" s="1871"/>
      <c r="BF409" s="1871"/>
      <c r="BG409" s="1871"/>
      <c r="BH409" s="1871"/>
      <c r="BI409" s="1871"/>
      <c r="BJ409" s="1871"/>
      <c r="BK409" s="1871"/>
      <c r="BL409" s="1871"/>
      <c r="BM409" s="1871"/>
      <c r="BN409" s="1871"/>
      <c r="BO409" s="1871"/>
      <c r="BP409" s="1871"/>
      <c r="BQ409" s="1871"/>
      <c r="BR409" s="1871"/>
      <c r="BS409" s="1871"/>
      <c r="BT409" s="1871"/>
      <c r="BU409" s="1871"/>
      <c r="BV409" s="1871"/>
      <c r="BW409" s="1871"/>
      <c r="BX409" s="1871"/>
      <c r="BY409" s="1871"/>
      <c r="BZ409" s="1871"/>
      <c r="CA409" s="1871"/>
      <c r="CB409" s="1871"/>
      <c r="CC409" s="1871"/>
      <c r="CD409" s="1871"/>
      <c r="CE409" s="1871"/>
      <c r="CF409" s="1871"/>
      <c r="CG409" s="1871"/>
      <c r="CH409" s="1871"/>
      <c r="CI409" s="1871"/>
      <c r="CJ409" s="1871"/>
      <c r="CK409" s="1871"/>
      <c r="CL409" s="1871"/>
      <c r="CM409" s="1871"/>
      <c r="CN409" s="1871"/>
      <c r="CO409" s="1871"/>
      <c r="CP409" s="1871"/>
      <c r="CQ409" s="1871"/>
      <c r="CR409" s="1871"/>
      <c r="CS409" s="1871"/>
      <c r="CT409" s="1871"/>
      <c r="CU409" s="1871"/>
      <c r="CV409" s="1871"/>
      <c r="CW409" s="1871"/>
      <c r="CX409" s="1871"/>
      <c r="CY409" s="1871"/>
      <c r="CZ409" s="1871"/>
      <c r="DA409" s="1871"/>
      <c r="DB409" s="1871"/>
      <c r="DC409" s="1871"/>
      <c r="DD409" s="1871"/>
      <c r="DE409" s="1871"/>
      <c r="DF409" s="1871"/>
      <c r="DG409" s="1871"/>
      <c r="DH409" s="1871"/>
      <c r="DI409" s="1871"/>
      <c r="DJ409" s="1871"/>
      <c r="DK409" s="1871"/>
      <c r="DL409" s="1871"/>
      <c r="DM409" s="1871"/>
      <c r="DN409" s="1871"/>
      <c r="DO409" s="1871"/>
      <c r="DP409" s="1871"/>
      <c r="DQ409" s="1871"/>
      <c r="DR409" s="1871"/>
      <c r="DS409" s="1871"/>
      <c r="DT409" s="1871"/>
      <c r="DU409" s="1871"/>
      <c r="DV409" s="1871"/>
      <c r="DW409" s="1871"/>
      <c r="DX409" s="1871"/>
      <c r="DY409" s="1871"/>
      <c r="DZ409" s="1871"/>
      <c r="EA409" s="1871"/>
      <c r="EB409" s="1871"/>
      <c r="EC409" s="1871"/>
      <c r="ED409" s="1871"/>
      <c r="EE409" s="1871"/>
      <c r="EF409" s="1871"/>
      <c r="EG409" s="1871"/>
      <c r="EH409" s="1871"/>
      <c r="EI409" s="1871"/>
      <c r="EJ409" s="1871"/>
      <c r="EK409" s="1871"/>
      <c r="EL409" s="1871"/>
      <c r="EM409" s="1871"/>
      <c r="EN409" s="1871"/>
      <c r="EO409" s="1871"/>
      <c r="EP409" s="1871"/>
      <c r="EQ409" s="1871"/>
      <c r="ER409" s="1871"/>
      <c r="ES409" s="1871"/>
      <c r="ET409" s="1871"/>
      <c r="EU409" s="1871"/>
      <c r="EV409" s="1871"/>
      <c r="EW409" s="1871"/>
      <c r="EX409" s="1871"/>
      <c r="EY409" s="1871"/>
      <c r="EZ409" s="1871"/>
      <c r="FA409" s="1871"/>
      <c r="FB409" s="1871"/>
      <c r="FC409" s="1871"/>
      <c r="FD409" s="1871"/>
      <c r="FE409" s="1871"/>
      <c r="FF409" s="1871"/>
      <c r="FG409" s="1871"/>
      <c r="FH409" s="1871"/>
      <c r="FI409" s="1871"/>
      <c r="FJ409" s="1871"/>
      <c r="FK409" s="1871"/>
      <c r="FL409" s="1871"/>
      <c r="FM409" s="1871"/>
      <c r="FN409" s="1871"/>
      <c r="FO409" s="1871"/>
      <c r="FP409" s="1871"/>
      <c r="FQ409" s="1871"/>
      <c r="FR409" s="1871"/>
      <c r="FS409" s="1871"/>
      <c r="FT409" s="1871"/>
      <c r="FU409" s="1871"/>
      <c r="FV409" s="1871"/>
      <c r="FW409" s="1871"/>
      <c r="FX409" s="1871"/>
      <c r="FY409" s="1871"/>
      <c r="FZ409" s="1871"/>
      <c r="GA409" s="1871"/>
      <c r="GB409" s="1871"/>
      <c r="GC409" s="1871"/>
      <c r="GD409" s="1871"/>
      <c r="GE409" s="1871"/>
      <c r="GF409" s="1871"/>
      <c r="GG409" s="1871"/>
      <c r="GH409" s="1871"/>
      <c r="GI409" s="1871"/>
      <c r="GJ409" s="1871"/>
      <c r="GK409" s="1871"/>
      <c r="GL409" s="1871"/>
      <c r="GM409" s="1871"/>
      <c r="GN409" s="1871"/>
      <c r="GO409" s="1871"/>
      <c r="GP409" s="1871"/>
      <c r="GQ409" s="1871"/>
      <c r="GR409" s="1871"/>
      <c r="GS409" s="1871"/>
      <c r="GT409" s="1871"/>
      <c r="GU409" s="1871"/>
      <c r="GV409" s="1871"/>
      <c r="GW409" s="1871"/>
      <c r="GX409" s="1871"/>
      <c r="GY409" s="1871"/>
      <c r="GZ409" s="1871"/>
      <c r="HA409" s="1871"/>
      <c r="HB409" s="1871"/>
      <c r="HC409" s="1871"/>
      <c r="HD409" s="1871"/>
      <c r="HE409" s="1871"/>
      <c r="HF409" s="1871"/>
      <c r="HG409" s="1871"/>
      <c r="HH409" s="1871"/>
      <c r="HI409" s="1871"/>
      <c r="HJ409" s="1871"/>
      <c r="HK409" s="1871"/>
      <c r="HL409" s="1871"/>
      <c r="HM409" s="1871"/>
      <c r="HN409" s="1871"/>
      <c r="HO409" s="1871"/>
      <c r="HP409" s="1871"/>
      <c r="HQ409" s="1871"/>
      <c r="HR409" s="1871"/>
      <c r="HS409" s="1871"/>
      <c r="HT409" s="1871"/>
      <c r="HU409" s="1871"/>
      <c r="HV409" s="1871"/>
      <c r="HW409" s="1871"/>
      <c r="HX409" s="1871"/>
      <c r="HY409" s="1871"/>
      <c r="HZ409" s="1871"/>
      <c r="IA409" s="1871"/>
      <c r="IB409" s="1871"/>
      <c r="IC409" s="1871"/>
      <c r="ID409" s="1871"/>
      <c r="IE409" s="1871"/>
      <c r="IF409" s="1871"/>
      <c r="IG409" s="1871"/>
      <c r="IH409" s="1871"/>
      <c r="II409" s="1871"/>
      <c r="IJ409" s="1871"/>
      <c r="IK409" s="1871"/>
      <c r="IL409" s="1871"/>
      <c r="IM409" s="1871"/>
      <c r="IN409" s="1871"/>
    </row>
    <row r="410" spans="1:248">
      <c r="A410" s="1870" t="s">
        <v>1936</v>
      </c>
      <c r="B410" s="1879" t="s">
        <v>1937</v>
      </c>
      <c r="C410" s="1880" t="s">
        <v>1938</v>
      </c>
      <c r="D410" s="1897">
        <v>0</v>
      </c>
      <c r="E410" s="1897">
        <v>0</v>
      </c>
      <c r="F410" s="1897">
        <v>0</v>
      </c>
      <c r="G410" s="1897">
        <v>0</v>
      </c>
      <c r="H410" s="1897">
        <v>0</v>
      </c>
      <c r="I410" s="1897">
        <v>0</v>
      </c>
      <c r="J410" s="1897">
        <v>0</v>
      </c>
      <c r="K410" s="1897">
        <v>0</v>
      </c>
      <c r="L410" s="1897">
        <v>0</v>
      </c>
      <c r="M410" s="1899">
        <f t="shared" si="45"/>
        <v>0</v>
      </c>
      <c r="N410" s="1897">
        <v>0</v>
      </c>
      <c r="O410" s="1900">
        <f t="shared" si="46"/>
        <v>0</v>
      </c>
      <c r="P410" s="3290" t="s">
        <v>385</v>
      </c>
      <c r="Q410" s="3290"/>
      <c r="R410" s="1877"/>
      <c r="S410" s="1871"/>
      <c r="T410" s="1871"/>
      <c r="U410" s="1871"/>
      <c r="V410" s="1871"/>
      <c r="W410" s="1871"/>
      <c r="X410" s="1871"/>
      <c r="Y410" s="1871"/>
      <c r="Z410" s="1871"/>
      <c r="AA410" s="1871"/>
      <c r="AB410" s="1871"/>
      <c r="AC410" s="1871"/>
      <c r="AD410" s="1871"/>
      <c r="AE410" s="1871"/>
      <c r="AF410" s="1871"/>
      <c r="AG410" s="1871"/>
      <c r="AH410" s="1871"/>
      <c r="AI410" s="1871"/>
      <c r="AJ410" s="1871"/>
      <c r="AK410" s="1871"/>
      <c r="AL410" s="1871"/>
      <c r="AM410" s="1871"/>
      <c r="AN410" s="1871"/>
      <c r="AO410" s="1871"/>
      <c r="AP410" s="1871"/>
      <c r="AQ410" s="1871"/>
      <c r="AR410" s="1871"/>
      <c r="AS410" s="1871"/>
      <c r="AT410" s="1871"/>
      <c r="AU410" s="1871"/>
      <c r="AV410" s="1871"/>
      <c r="AW410" s="1871"/>
      <c r="AX410" s="1871"/>
      <c r="AY410" s="1871"/>
      <c r="AZ410" s="1871"/>
      <c r="BA410" s="1871"/>
      <c r="BB410" s="1871"/>
      <c r="BC410" s="1871"/>
      <c r="BD410" s="1871"/>
      <c r="BE410" s="1871"/>
      <c r="BF410" s="1871"/>
      <c r="BG410" s="1871"/>
      <c r="BH410" s="1871"/>
      <c r="BI410" s="1871"/>
      <c r="BJ410" s="1871"/>
      <c r="BK410" s="1871"/>
      <c r="BL410" s="1871"/>
      <c r="BM410" s="1871"/>
      <c r="BN410" s="1871"/>
      <c r="BO410" s="1871"/>
      <c r="BP410" s="1871"/>
      <c r="BQ410" s="1871"/>
      <c r="BR410" s="1871"/>
      <c r="BS410" s="1871"/>
      <c r="BT410" s="1871"/>
      <c r="BU410" s="1871"/>
      <c r="BV410" s="1871"/>
      <c r="BW410" s="1871"/>
      <c r="BX410" s="1871"/>
      <c r="BY410" s="1871"/>
      <c r="BZ410" s="1871"/>
      <c r="CA410" s="1871"/>
      <c r="CB410" s="1871"/>
      <c r="CC410" s="1871"/>
      <c r="CD410" s="1871"/>
      <c r="CE410" s="1871"/>
      <c r="CF410" s="1871"/>
      <c r="CG410" s="1871"/>
      <c r="CH410" s="1871"/>
      <c r="CI410" s="1871"/>
      <c r="CJ410" s="1871"/>
      <c r="CK410" s="1871"/>
      <c r="CL410" s="1871"/>
      <c r="CM410" s="1871"/>
      <c r="CN410" s="1871"/>
      <c r="CO410" s="1871"/>
      <c r="CP410" s="1871"/>
      <c r="CQ410" s="1871"/>
      <c r="CR410" s="1871"/>
      <c r="CS410" s="1871"/>
      <c r="CT410" s="1871"/>
      <c r="CU410" s="1871"/>
      <c r="CV410" s="1871"/>
      <c r="CW410" s="1871"/>
      <c r="CX410" s="1871"/>
      <c r="CY410" s="1871"/>
      <c r="CZ410" s="1871"/>
      <c r="DA410" s="1871"/>
      <c r="DB410" s="1871"/>
      <c r="DC410" s="1871"/>
      <c r="DD410" s="1871"/>
      <c r="DE410" s="1871"/>
      <c r="DF410" s="1871"/>
      <c r="DG410" s="1871"/>
      <c r="DH410" s="1871"/>
      <c r="DI410" s="1871"/>
      <c r="DJ410" s="1871"/>
      <c r="DK410" s="1871"/>
      <c r="DL410" s="1871"/>
      <c r="DM410" s="1871"/>
      <c r="DN410" s="1871"/>
      <c r="DO410" s="1871"/>
      <c r="DP410" s="1871"/>
      <c r="DQ410" s="1871"/>
      <c r="DR410" s="1871"/>
      <c r="DS410" s="1871"/>
      <c r="DT410" s="1871"/>
      <c r="DU410" s="1871"/>
      <c r="DV410" s="1871"/>
      <c r="DW410" s="1871"/>
      <c r="DX410" s="1871"/>
      <c r="DY410" s="1871"/>
      <c r="DZ410" s="1871"/>
      <c r="EA410" s="1871"/>
      <c r="EB410" s="1871"/>
      <c r="EC410" s="1871"/>
      <c r="ED410" s="1871"/>
      <c r="EE410" s="1871"/>
      <c r="EF410" s="1871"/>
      <c r="EG410" s="1871"/>
      <c r="EH410" s="1871"/>
      <c r="EI410" s="1871"/>
      <c r="EJ410" s="1871"/>
      <c r="EK410" s="1871"/>
      <c r="EL410" s="1871"/>
      <c r="EM410" s="1871"/>
      <c r="EN410" s="1871"/>
      <c r="EO410" s="1871"/>
      <c r="EP410" s="1871"/>
      <c r="EQ410" s="1871"/>
      <c r="ER410" s="1871"/>
      <c r="ES410" s="1871"/>
      <c r="ET410" s="1871"/>
      <c r="EU410" s="1871"/>
      <c r="EV410" s="1871"/>
      <c r="EW410" s="1871"/>
      <c r="EX410" s="1871"/>
      <c r="EY410" s="1871"/>
      <c r="EZ410" s="1871"/>
      <c r="FA410" s="1871"/>
      <c r="FB410" s="1871"/>
      <c r="FC410" s="1871"/>
      <c r="FD410" s="1871"/>
      <c r="FE410" s="1871"/>
      <c r="FF410" s="1871"/>
      <c r="FG410" s="1871"/>
      <c r="FH410" s="1871"/>
      <c r="FI410" s="1871"/>
      <c r="FJ410" s="1871"/>
      <c r="FK410" s="1871"/>
      <c r="FL410" s="1871"/>
      <c r="FM410" s="1871"/>
      <c r="FN410" s="1871"/>
      <c r="FO410" s="1871"/>
      <c r="FP410" s="1871"/>
      <c r="FQ410" s="1871"/>
      <c r="FR410" s="1871"/>
      <c r="FS410" s="1871"/>
      <c r="FT410" s="1871"/>
      <c r="FU410" s="1871"/>
      <c r="FV410" s="1871"/>
      <c r="FW410" s="1871"/>
      <c r="FX410" s="1871"/>
      <c r="FY410" s="1871"/>
      <c r="FZ410" s="1871"/>
      <c r="GA410" s="1871"/>
      <c r="GB410" s="1871"/>
      <c r="GC410" s="1871"/>
      <c r="GD410" s="1871"/>
      <c r="GE410" s="1871"/>
      <c r="GF410" s="1871"/>
      <c r="GG410" s="1871"/>
      <c r="GH410" s="1871"/>
      <c r="GI410" s="1871"/>
      <c r="GJ410" s="1871"/>
      <c r="GK410" s="1871"/>
      <c r="GL410" s="1871"/>
      <c r="GM410" s="1871"/>
      <c r="GN410" s="1871"/>
      <c r="GO410" s="1871"/>
      <c r="GP410" s="1871"/>
      <c r="GQ410" s="1871"/>
      <c r="GR410" s="1871"/>
      <c r="GS410" s="1871"/>
      <c r="GT410" s="1871"/>
      <c r="GU410" s="1871"/>
      <c r="GV410" s="1871"/>
      <c r="GW410" s="1871"/>
      <c r="GX410" s="1871"/>
      <c r="GY410" s="1871"/>
      <c r="GZ410" s="1871"/>
      <c r="HA410" s="1871"/>
      <c r="HB410" s="1871"/>
      <c r="HC410" s="1871"/>
      <c r="HD410" s="1871"/>
      <c r="HE410" s="1871"/>
      <c r="HF410" s="1871"/>
      <c r="HG410" s="1871"/>
      <c r="HH410" s="1871"/>
      <c r="HI410" s="1871"/>
      <c r="HJ410" s="1871"/>
      <c r="HK410" s="1871"/>
      <c r="HL410" s="1871"/>
      <c r="HM410" s="1871"/>
      <c r="HN410" s="1871"/>
      <c r="HO410" s="1871"/>
      <c r="HP410" s="1871"/>
      <c r="HQ410" s="1871"/>
      <c r="HR410" s="1871"/>
      <c r="HS410" s="1871"/>
      <c r="HT410" s="1871"/>
      <c r="HU410" s="1871"/>
      <c r="HV410" s="1871"/>
      <c r="HW410" s="1871"/>
      <c r="HX410" s="1871"/>
      <c r="HY410" s="1871"/>
      <c r="HZ410" s="1871"/>
      <c r="IA410" s="1871"/>
      <c r="IB410" s="1871"/>
      <c r="IC410" s="1871"/>
      <c r="ID410" s="1871"/>
      <c r="IE410" s="1871"/>
      <c r="IF410" s="1871"/>
      <c r="IG410" s="1871"/>
      <c r="IH410" s="1871"/>
      <c r="II410" s="1871"/>
      <c r="IJ410" s="1871"/>
      <c r="IK410" s="1871"/>
      <c r="IL410" s="1871"/>
      <c r="IM410" s="1871"/>
      <c r="IN410" s="1871"/>
    </row>
    <row r="411" spans="1:248">
      <c r="A411" s="1870" t="s">
        <v>1939</v>
      </c>
      <c r="B411" s="1879" t="s">
        <v>1940</v>
      </c>
      <c r="C411" s="1880" t="s">
        <v>1941</v>
      </c>
      <c r="D411" s="1897">
        <v>0</v>
      </c>
      <c r="E411" s="1897">
        <v>0</v>
      </c>
      <c r="F411" s="1897">
        <v>0</v>
      </c>
      <c r="G411" s="1897">
        <v>0</v>
      </c>
      <c r="H411" s="1897">
        <v>0</v>
      </c>
      <c r="I411" s="1897">
        <v>0</v>
      </c>
      <c r="J411" s="1897">
        <v>0</v>
      </c>
      <c r="K411" s="1897">
        <v>0</v>
      </c>
      <c r="L411" s="1897">
        <v>0</v>
      </c>
      <c r="M411" s="1899">
        <f t="shared" si="45"/>
        <v>0</v>
      </c>
      <c r="N411" s="1897">
        <v>0</v>
      </c>
      <c r="O411" s="1900">
        <f t="shared" si="46"/>
        <v>0</v>
      </c>
      <c r="P411" s="3290" t="s">
        <v>385</v>
      </c>
      <c r="Q411" s="3290"/>
      <c r="R411" s="1877"/>
      <c r="S411" s="1871"/>
      <c r="T411" s="1871"/>
      <c r="U411" s="1871"/>
      <c r="V411" s="1871"/>
      <c r="W411" s="1871"/>
      <c r="X411" s="1871"/>
      <c r="Y411" s="1871"/>
      <c r="Z411" s="1871"/>
      <c r="AA411" s="1871"/>
      <c r="AB411" s="1871"/>
      <c r="AC411" s="1871"/>
      <c r="AD411" s="1871"/>
      <c r="AE411" s="1871"/>
      <c r="AF411" s="1871"/>
      <c r="AG411" s="1871"/>
      <c r="AH411" s="1871"/>
      <c r="AI411" s="1871"/>
      <c r="AJ411" s="1871"/>
      <c r="AK411" s="1871"/>
      <c r="AL411" s="1871"/>
      <c r="AM411" s="1871"/>
      <c r="AN411" s="1871"/>
      <c r="AO411" s="1871"/>
      <c r="AP411" s="1871"/>
      <c r="AQ411" s="1871"/>
      <c r="AR411" s="1871"/>
      <c r="AS411" s="1871"/>
      <c r="AT411" s="1871"/>
      <c r="AU411" s="1871"/>
      <c r="AV411" s="1871"/>
      <c r="AW411" s="1871"/>
      <c r="AX411" s="1871"/>
      <c r="AY411" s="1871"/>
      <c r="AZ411" s="1871"/>
      <c r="BA411" s="1871"/>
      <c r="BB411" s="1871"/>
      <c r="BC411" s="1871"/>
      <c r="BD411" s="1871"/>
      <c r="BE411" s="1871"/>
      <c r="BF411" s="1871"/>
      <c r="BG411" s="1871"/>
      <c r="BH411" s="1871"/>
      <c r="BI411" s="1871"/>
      <c r="BJ411" s="1871"/>
      <c r="BK411" s="1871"/>
      <c r="BL411" s="1871"/>
      <c r="BM411" s="1871"/>
      <c r="BN411" s="1871"/>
      <c r="BO411" s="1871"/>
      <c r="BP411" s="1871"/>
      <c r="BQ411" s="1871"/>
      <c r="BR411" s="1871"/>
      <c r="BS411" s="1871"/>
      <c r="BT411" s="1871"/>
      <c r="BU411" s="1871"/>
      <c r="BV411" s="1871"/>
      <c r="BW411" s="1871"/>
      <c r="BX411" s="1871"/>
      <c r="BY411" s="1871"/>
      <c r="BZ411" s="1871"/>
      <c r="CA411" s="1871"/>
      <c r="CB411" s="1871"/>
      <c r="CC411" s="1871"/>
      <c r="CD411" s="1871"/>
      <c r="CE411" s="1871"/>
      <c r="CF411" s="1871"/>
      <c r="CG411" s="1871"/>
      <c r="CH411" s="1871"/>
      <c r="CI411" s="1871"/>
      <c r="CJ411" s="1871"/>
      <c r="CK411" s="1871"/>
      <c r="CL411" s="1871"/>
      <c r="CM411" s="1871"/>
      <c r="CN411" s="1871"/>
      <c r="CO411" s="1871"/>
      <c r="CP411" s="1871"/>
      <c r="CQ411" s="1871"/>
      <c r="CR411" s="1871"/>
      <c r="CS411" s="1871"/>
      <c r="CT411" s="1871"/>
      <c r="CU411" s="1871"/>
      <c r="CV411" s="1871"/>
      <c r="CW411" s="1871"/>
      <c r="CX411" s="1871"/>
      <c r="CY411" s="1871"/>
      <c r="CZ411" s="1871"/>
      <c r="DA411" s="1871"/>
      <c r="DB411" s="1871"/>
      <c r="DC411" s="1871"/>
      <c r="DD411" s="1871"/>
      <c r="DE411" s="1871"/>
      <c r="DF411" s="1871"/>
      <c r="DG411" s="1871"/>
      <c r="DH411" s="1871"/>
      <c r="DI411" s="1871"/>
      <c r="DJ411" s="1871"/>
      <c r="DK411" s="1871"/>
      <c r="DL411" s="1871"/>
      <c r="DM411" s="1871"/>
      <c r="DN411" s="1871"/>
      <c r="DO411" s="1871"/>
      <c r="DP411" s="1871"/>
      <c r="DQ411" s="1871"/>
      <c r="DR411" s="1871"/>
      <c r="DS411" s="1871"/>
      <c r="DT411" s="1871"/>
      <c r="DU411" s="1871"/>
      <c r="DV411" s="1871"/>
      <c r="DW411" s="1871"/>
      <c r="DX411" s="1871"/>
      <c r="DY411" s="1871"/>
      <c r="DZ411" s="1871"/>
      <c r="EA411" s="1871"/>
      <c r="EB411" s="1871"/>
      <c r="EC411" s="1871"/>
      <c r="ED411" s="1871"/>
      <c r="EE411" s="1871"/>
      <c r="EF411" s="1871"/>
      <c r="EG411" s="1871"/>
      <c r="EH411" s="1871"/>
      <c r="EI411" s="1871"/>
      <c r="EJ411" s="1871"/>
      <c r="EK411" s="1871"/>
      <c r="EL411" s="1871"/>
      <c r="EM411" s="1871"/>
      <c r="EN411" s="1871"/>
      <c r="EO411" s="1871"/>
      <c r="EP411" s="1871"/>
      <c r="EQ411" s="1871"/>
      <c r="ER411" s="1871"/>
      <c r="ES411" s="1871"/>
      <c r="ET411" s="1871"/>
      <c r="EU411" s="1871"/>
      <c r="EV411" s="1871"/>
      <c r="EW411" s="1871"/>
      <c r="EX411" s="1871"/>
      <c r="EY411" s="1871"/>
      <c r="EZ411" s="1871"/>
      <c r="FA411" s="1871"/>
      <c r="FB411" s="1871"/>
      <c r="FC411" s="1871"/>
      <c r="FD411" s="1871"/>
      <c r="FE411" s="1871"/>
      <c r="FF411" s="1871"/>
      <c r="FG411" s="1871"/>
      <c r="FH411" s="1871"/>
      <c r="FI411" s="1871"/>
      <c r="FJ411" s="1871"/>
      <c r="FK411" s="1871"/>
      <c r="FL411" s="1871"/>
      <c r="FM411" s="1871"/>
      <c r="FN411" s="1871"/>
      <c r="FO411" s="1871"/>
      <c r="FP411" s="1871"/>
      <c r="FQ411" s="1871"/>
      <c r="FR411" s="1871"/>
      <c r="FS411" s="1871"/>
      <c r="FT411" s="1871"/>
      <c r="FU411" s="1871"/>
      <c r="FV411" s="1871"/>
      <c r="FW411" s="1871"/>
      <c r="FX411" s="1871"/>
      <c r="FY411" s="1871"/>
      <c r="FZ411" s="1871"/>
      <c r="GA411" s="1871"/>
      <c r="GB411" s="1871"/>
      <c r="GC411" s="1871"/>
      <c r="GD411" s="1871"/>
      <c r="GE411" s="1871"/>
      <c r="GF411" s="1871"/>
      <c r="GG411" s="1871"/>
      <c r="GH411" s="1871"/>
      <c r="GI411" s="1871"/>
      <c r="GJ411" s="1871"/>
      <c r="GK411" s="1871"/>
      <c r="GL411" s="1871"/>
      <c r="GM411" s="1871"/>
      <c r="GN411" s="1871"/>
      <c r="GO411" s="1871"/>
      <c r="GP411" s="1871"/>
      <c r="GQ411" s="1871"/>
      <c r="GR411" s="1871"/>
      <c r="GS411" s="1871"/>
      <c r="GT411" s="1871"/>
      <c r="GU411" s="1871"/>
      <c r="GV411" s="1871"/>
      <c r="GW411" s="1871"/>
      <c r="GX411" s="1871"/>
      <c r="GY411" s="1871"/>
      <c r="GZ411" s="1871"/>
      <c r="HA411" s="1871"/>
      <c r="HB411" s="1871"/>
      <c r="HC411" s="1871"/>
      <c r="HD411" s="1871"/>
      <c r="HE411" s="1871"/>
      <c r="HF411" s="1871"/>
      <c r="HG411" s="1871"/>
      <c r="HH411" s="1871"/>
      <c r="HI411" s="1871"/>
      <c r="HJ411" s="1871"/>
      <c r="HK411" s="1871"/>
      <c r="HL411" s="1871"/>
      <c r="HM411" s="1871"/>
      <c r="HN411" s="1871"/>
      <c r="HO411" s="1871"/>
      <c r="HP411" s="1871"/>
      <c r="HQ411" s="1871"/>
      <c r="HR411" s="1871"/>
      <c r="HS411" s="1871"/>
      <c r="HT411" s="1871"/>
      <c r="HU411" s="1871"/>
      <c r="HV411" s="1871"/>
      <c r="HW411" s="1871"/>
      <c r="HX411" s="1871"/>
      <c r="HY411" s="1871"/>
      <c r="HZ411" s="1871"/>
      <c r="IA411" s="1871"/>
      <c r="IB411" s="1871"/>
      <c r="IC411" s="1871"/>
      <c r="ID411" s="1871"/>
      <c r="IE411" s="1871"/>
      <c r="IF411" s="1871"/>
      <c r="IG411" s="1871"/>
      <c r="IH411" s="1871"/>
      <c r="II411" s="1871"/>
      <c r="IJ411" s="1871"/>
      <c r="IK411" s="1871"/>
      <c r="IL411" s="1871"/>
      <c r="IM411" s="1871"/>
      <c r="IN411" s="1871"/>
    </row>
    <row r="412" spans="1:248">
      <c r="A412" s="1870" t="s">
        <v>1942</v>
      </c>
      <c r="B412" s="1879" t="s">
        <v>1943</v>
      </c>
      <c r="C412" s="1880" t="s">
        <v>1944</v>
      </c>
      <c r="D412" s="1897">
        <v>0</v>
      </c>
      <c r="E412" s="1897">
        <v>0</v>
      </c>
      <c r="F412" s="1897">
        <v>0</v>
      </c>
      <c r="G412" s="1897">
        <v>0</v>
      </c>
      <c r="H412" s="1897">
        <v>0</v>
      </c>
      <c r="I412" s="1897">
        <v>0</v>
      </c>
      <c r="J412" s="1897">
        <v>0</v>
      </c>
      <c r="K412" s="1897">
        <v>0</v>
      </c>
      <c r="L412" s="1897">
        <v>0</v>
      </c>
      <c r="M412" s="1899">
        <f t="shared" si="45"/>
        <v>0</v>
      </c>
      <c r="N412" s="1897">
        <v>0</v>
      </c>
      <c r="O412" s="1900">
        <f t="shared" si="46"/>
        <v>0</v>
      </c>
      <c r="P412" s="3290" t="s">
        <v>385</v>
      </c>
      <c r="Q412" s="3290"/>
      <c r="R412" s="1877"/>
      <c r="S412" s="1871"/>
      <c r="T412" s="1871"/>
      <c r="U412" s="1871"/>
      <c r="V412" s="1871"/>
      <c r="W412" s="1871"/>
      <c r="X412" s="1871"/>
      <c r="Y412" s="1871"/>
      <c r="Z412" s="1871"/>
      <c r="AA412" s="1871"/>
      <c r="AB412" s="1871"/>
      <c r="AC412" s="1871"/>
      <c r="AD412" s="1871"/>
      <c r="AE412" s="1871"/>
      <c r="AF412" s="1871"/>
      <c r="AG412" s="1871"/>
      <c r="AH412" s="1871"/>
      <c r="AI412" s="1871"/>
      <c r="AJ412" s="1871"/>
      <c r="AK412" s="1871"/>
      <c r="AL412" s="1871"/>
      <c r="AM412" s="1871"/>
      <c r="AN412" s="1871"/>
      <c r="AO412" s="1871"/>
      <c r="AP412" s="1871"/>
      <c r="AQ412" s="1871"/>
      <c r="AR412" s="1871"/>
      <c r="AS412" s="1871"/>
      <c r="AT412" s="1871"/>
      <c r="AU412" s="1871"/>
      <c r="AV412" s="1871"/>
      <c r="AW412" s="1871"/>
      <c r="AX412" s="1871"/>
      <c r="AY412" s="1871"/>
      <c r="AZ412" s="1871"/>
      <c r="BA412" s="1871"/>
      <c r="BB412" s="1871"/>
      <c r="BC412" s="1871"/>
      <c r="BD412" s="1871"/>
      <c r="BE412" s="1871"/>
      <c r="BF412" s="1871"/>
      <c r="BG412" s="1871"/>
      <c r="BH412" s="1871"/>
      <c r="BI412" s="1871"/>
      <c r="BJ412" s="1871"/>
      <c r="BK412" s="1871"/>
      <c r="BL412" s="1871"/>
      <c r="BM412" s="1871"/>
      <c r="BN412" s="1871"/>
      <c r="BO412" s="1871"/>
      <c r="BP412" s="1871"/>
      <c r="BQ412" s="1871"/>
      <c r="BR412" s="1871"/>
      <c r="BS412" s="1871"/>
      <c r="BT412" s="1871"/>
      <c r="BU412" s="1871"/>
      <c r="BV412" s="1871"/>
      <c r="BW412" s="1871"/>
      <c r="BX412" s="1871"/>
      <c r="BY412" s="1871"/>
      <c r="BZ412" s="1871"/>
      <c r="CA412" s="1871"/>
      <c r="CB412" s="1871"/>
      <c r="CC412" s="1871"/>
      <c r="CD412" s="1871"/>
      <c r="CE412" s="1871"/>
      <c r="CF412" s="1871"/>
      <c r="CG412" s="1871"/>
      <c r="CH412" s="1871"/>
      <c r="CI412" s="1871"/>
      <c r="CJ412" s="1871"/>
      <c r="CK412" s="1871"/>
      <c r="CL412" s="1871"/>
      <c r="CM412" s="1871"/>
      <c r="CN412" s="1871"/>
      <c r="CO412" s="1871"/>
      <c r="CP412" s="1871"/>
      <c r="CQ412" s="1871"/>
      <c r="CR412" s="1871"/>
      <c r="CS412" s="1871"/>
      <c r="CT412" s="1871"/>
      <c r="CU412" s="1871"/>
      <c r="CV412" s="1871"/>
      <c r="CW412" s="1871"/>
      <c r="CX412" s="1871"/>
      <c r="CY412" s="1871"/>
      <c r="CZ412" s="1871"/>
      <c r="DA412" s="1871"/>
      <c r="DB412" s="1871"/>
      <c r="DC412" s="1871"/>
      <c r="DD412" s="1871"/>
      <c r="DE412" s="1871"/>
      <c r="DF412" s="1871"/>
      <c r="DG412" s="1871"/>
      <c r="DH412" s="1871"/>
      <c r="DI412" s="1871"/>
      <c r="DJ412" s="1871"/>
      <c r="DK412" s="1871"/>
      <c r="DL412" s="1871"/>
      <c r="DM412" s="1871"/>
      <c r="DN412" s="1871"/>
      <c r="DO412" s="1871"/>
      <c r="DP412" s="1871"/>
      <c r="DQ412" s="1871"/>
      <c r="DR412" s="1871"/>
      <c r="DS412" s="1871"/>
      <c r="DT412" s="1871"/>
      <c r="DU412" s="1871"/>
      <c r="DV412" s="1871"/>
      <c r="DW412" s="1871"/>
      <c r="DX412" s="1871"/>
      <c r="DY412" s="1871"/>
      <c r="DZ412" s="1871"/>
      <c r="EA412" s="1871"/>
      <c r="EB412" s="1871"/>
      <c r="EC412" s="1871"/>
      <c r="ED412" s="1871"/>
      <c r="EE412" s="1871"/>
      <c r="EF412" s="1871"/>
      <c r="EG412" s="1871"/>
      <c r="EH412" s="1871"/>
      <c r="EI412" s="1871"/>
      <c r="EJ412" s="1871"/>
      <c r="EK412" s="1871"/>
      <c r="EL412" s="1871"/>
      <c r="EM412" s="1871"/>
      <c r="EN412" s="1871"/>
      <c r="EO412" s="1871"/>
      <c r="EP412" s="1871"/>
      <c r="EQ412" s="1871"/>
      <c r="ER412" s="1871"/>
      <c r="ES412" s="1871"/>
      <c r="ET412" s="1871"/>
      <c r="EU412" s="1871"/>
      <c r="EV412" s="1871"/>
      <c r="EW412" s="1871"/>
      <c r="EX412" s="1871"/>
      <c r="EY412" s="1871"/>
      <c r="EZ412" s="1871"/>
      <c r="FA412" s="1871"/>
      <c r="FB412" s="1871"/>
      <c r="FC412" s="1871"/>
      <c r="FD412" s="1871"/>
      <c r="FE412" s="1871"/>
      <c r="FF412" s="1871"/>
      <c r="FG412" s="1871"/>
      <c r="FH412" s="1871"/>
      <c r="FI412" s="1871"/>
      <c r="FJ412" s="1871"/>
      <c r="FK412" s="1871"/>
      <c r="FL412" s="1871"/>
      <c r="FM412" s="1871"/>
      <c r="FN412" s="1871"/>
      <c r="FO412" s="1871"/>
      <c r="FP412" s="1871"/>
      <c r="FQ412" s="1871"/>
      <c r="FR412" s="1871"/>
      <c r="FS412" s="1871"/>
      <c r="FT412" s="1871"/>
      <c r="FU412" s="1871"/>
      <c r="FV412" s="1871"/>
      <c r="FW412" s="1871"/>
      <c r="FX412" s="1871"/>
      <c r="FY412" s="1871"/>
      <c r="FZ412" s="1871"/>
      <c r="GA412" s="1871"/>
      <c r="GB412" s="1871"/>
      <c r="GC412" s="1871"/>
      <c r="GD412" s="1871"/>
      <c r="GE412" s="1871"/>
      <c r="GF412" s="1871"/>
      <c r="GG412" s="1871"/>
      <c r="GH412" s="1871"/>
      <c r="GI412" s="1871"/>
      <c r="GJ412" s="1871"/>
      <c r="GK412" s="1871"/>
      <c r="GL412" s="1871"/>
      <c r="GM412" s="1871"/>
      <c r="GN412" s="1871"/>
      <c r="GO412" s="1871"/>
      <c r="GP412" s="1871"/>
      <c r="GQ412" s="1871"/>
      <c r="GR412" s="1871"/>
      <c r="GS412" s="1871"/>
      <c r="GT412" s="1871"/>
      <c r="GU412" s="1871"/>
      <c r="GV412" s="1871"/>
      <c r="GW412" s="1871"/>
      <c r="GX412" s="1871"/>
      <c r="GY412" s="1871"/>
      <c r="GZ412" s="1871"/>
      <c r="HA412" s="1871"/>
      <c r="HB412" s="1871"/>
      <c r="HC412" s="1871"/>
      <c r="HD412" s="1871"/>
      <c r="HE412" s="1871"/>
      <c r="HF412" s="1871"/>
      <c r="HG412" s="1871"/>
      <c r="HH412" s="1871"/>
      <c r="HI412" s="1871"/>
      <c r="HJ412" s="1871"/>
      <c r="HK412" s="1871"/>
      <c r="HL412" s="1871"/>
      <c r="HM412" s="1871"/>
      <c r="HN412" s="1871"/>
      <c r="HO412" s="1871"/>
      <c r="HP412" s="1871"/>
      <c r="HQ412" s="1871"/>
      <c r="HR412" s="1871"/>
      <c r="HS412" s="1871"/>
      <c r="HT412" s="1871"/>
      <c r="HU412" s="1871"/>
      <c r="HV412" s="1871"/>
      <c r="HW412" s="1871"/>
      <c r="HX412" s="1871"/>
      <c r="HY412" s="1871"/>
      <c r="HZ412" s="1871"/>
      <c r="IA412" s="1871"/>
      <c r="IB412" s="1871"/>
      <c r="IC412" s="1871"/>
      <c r="ID412" s="1871"/>
      <c r="IE412" s="1871"/>
      <c r="IF412" s="1871"/>
      <c r="IG412" s="1871"/>
      <c r="IH412" s="1871"/>
      <c r="II412" s="1871"/>
      <c r="IJ412" s="1871"/>
      <c r="IK412" s="1871"/>
      <c r="IL412" s="1871"/>
      <c r="IM412" s="1871"/>
      <c r="IN412" s="1871"/>
    </row>
    <row r="413" spans="1:248">
      <c r="A413" s="1870" t="s">
        <v>1945</v>
      </c>
      <c r="B413" s="1879" t="s">
        <v>1946</v>
      </c>
      <c r="C413" s="1880" t="s">
        <v>1947</v>
      </c>
      <c r="D413" s="1897">
        <v>0</v>
      </c>
      <c r="E413" s="1897">
        <v>0</v>
      </c>
      <c r="F413" s="1897">
        <v>0</v>
      </c>
      <c r="G413" s="1897">
        <v>0</v>
      </c>
      <c r="H413" s="1897">
        <v>0</v>
      </c>
      <c r="I413" s="1897">
        <v>0</v>
      </c>
      <c r="J413" s="1897">
        <v>0</v>
      </c>
      <c r="K413" s="1897">
        <v>0</v>
      </c>
      <c r="L413" s="1897">
        <v>0</v>
      </c>
      <c r="M413" s="1899">
        <f t="shared" si="45"/>
        <v>0</v>
      </c>
      <c r="N413" s="1897">
        <v>0</v>
      </c>
      <c r="O413" s="1900">
        <f t="shared" si="46"/>
        <v>0</v>
      </c>
      <c r="P413" s="3290" t="s">
        <v>385</v>
      </c>
      <c r="Q413" s="3290"/>
      <c r="R413" s="1877"/>
      <c r="S413" s="1871"/>
      <c r="T413" s="1871"/>
      <c r="U413" s="1871"/>
      <c r="V413" s="1871"/>
      <c r="W413" s="1871"/>
      <c r="X413" s="1871"/>
      <c r="Y413" s="1871"/>
      <c r="Z413" s="1871"/>
      <c r="AA413" s="1871"/>
      <c r="AB413" s="1871"/>
      <c r="AC413" s="1871"/>
      <c r="AD413" s="1871"/>
      <c r="AE413" s="1871"/>
      <c r="AF413" s="1871"/>
      <c r="AG413" s="1871"/>
      <c r="AH413" s="1871"/>
      <c r="AI413" s="1871"/>
      <c r="AJ413" s="1871"/>
      <c r="AK413" s="1871"/>
      <c r="AL413" s="1871"/>
      <c r="AM413" s="1871"/>
      <c r="AN413" s="1871"/>
      <c r="AO413" s="1871"/>
      <c r="AP413" s="1871"/>
      <c r="AQ413" s="1871"/>
      <c r="AR413" s="1871"/>
      <c r="AS413" s="1871"/>
      <c r="AT413" s="1871"/>
      <c r="AU413" s="1871"/>
      <c r="AV413" s="1871"/>
      <c r="AW413" s="1871"/>
      <c r="AX413" s="1871"/>
      <c r="AY413" s="1871"/>
      <c r="AZ413" s="1871"/>
      <c r="BA413" s="1871"/>
      <c r="BB413" s="1871"/>
      <c r="BC413" s="1871"/>
      <c r="BD413" s="1871"/>
      <c r="BE413" s="1871"/>
      <c r="BF413" s="1871"/>
      <c r="BG413" s="1871"/>
      <c r="BH413" s="1871"/>
      <c r="BI413" s="1871"/>
      <c r="BJ413" s="1871"/>
      <c r="BK413" s="1871"/>
      <c r="BL413" s="1871"/>
      <c r="BM413" s="1871"/>
      <c r="BN413" s="1871"/>
      <c r="BO413" s="1871"/>
      <c r="BP413" s="1871"/>
      <c r="BQ413" s="1871"/>
      <c r="BR413" s="1871"/>
      <c r="BS413" s="1871"/>
      <c r="BT413" s="1871"/>
      <c r="BU413" s="1871"/>
      <c r="BV413" s="1871"/>
      <c r="BW413" s="1871"/>
      <c r="BX413" s="1871"/>
      <c r="BY413" s="1871"/>
      <c r="BZ413" s="1871"/>
      <c r="CA413" s="1871"/>
      <c r="CB413" s="1871"/>
      <c r="CC413" s="1871"/>
      <c r="CD413" s="1871"/>
      <c r="CE413" s="1871"/>
      <c r="CF413" s="1871"/>
      <c r="CG413" s="1871"/>
      <c r="CH413" s="1871"/>
      <c r="CI413" s="1871"/>
      <c r="CJ413" s="1871"/>
      <c r="CK413" s="1871"/>
      <c r="CL413" s="1871"/>
      <c r="CM413" s="1871"/>
      <c r="CN413" s="1871"/>
      <c r="CO413" s="1871"/>
      <c r="CP413" s="1871"/>
      <c r="CQ413" s="1871"/>
      <c r="CR413" s="1871"/>
      <c r="CS413" s="1871"/>
      <c r="CT413" s="1871"/>
      <c r="CU413" s="1871"/>
      <c r="CV413" s="1871"/>
      <c r="CW413" s="1871"/>
      <c r="CX413" s="1871"/>
      <c r="CY413" s="1871"/>
      <c r="CZ413" s="1871"/>
      <c r="DA413" s="1871"/>
      <c r="DB413" s="1871"/>
      <c r="DC413" s="1871"/>
      <c r="DD413" s="1871"/>
      <c r="DE413" s="1871"/>
      <c r="DF413" s="1871"/>
      <c r="DG413" s="1871"/>
      <c r="DH413" s="1871"/>
      <c r="DI413" s="1871"/>
      <c r="DJ413" s="1871"/>
      <c r="DK413" s="1871"/>
      <c r="DL413" s="1871"/>
      <c r="DM413" s="1871"/>
      <c r="DN413" s="1871"/>
      <c r="DO413" s="1871"/>
      <c r="DP413" s="1871"/>
      <c r="DQ413" s="1871"/>
      <c r="DR413" s="1871"/>
      <c r="DS413" s="1871"/>
      <c r="DT413" s="1871"/>
      <c r="DU413" s="1871"/>
      <c r="DV413" s="1871"/>
      <c r="DW413" s="1871"/>
      <c r="DX413" s="1871"/>
      <c r="DY413" s="1871"/>
      <c r="DZ413" s="1871"/>
      <c r="EA413" s="1871"/>
      <c r="EB413" s="1871"/>
      <c r="EC413" s="1871"/>
      <c r="ED413" s="1871"/>
      <c r="EE413" s="1871"/>
      <c r="EF413" s="1871"/>
      <c r="EG413" s="1871"/>
      <c r="EH413" s="1871"/>
      <c r="EI413" s="1871"/>
      <c r="EJ413" s="1871"/>
      <c r="EK413" s="1871"/>
      <c r="EL413" s="1871"/>
      <c r="EM413" s="1871"/>
      <c r="EN413" s="1871"/>
      <c r="EO413" s="1871"/>
      <c r="EP413" s="1871"/>
      <c r="EQ413" s="1871"/>
      <c r="ER413" s="1871"/>
      <c r="ES413" s="1871"/>
      <c r="ET413" s="1871"/>
      <c r="EU413" s="1871"/>
      <c r="EV413" s="1871"/>
      <c r="EW413" s="1871"/>
      <c r="EX413" s="1871"/>
      <c r="EY413" s="1871"/>
      <c r="EZ413" s="1871"/>
      <c r="FA413" s="1871"/>
      <c r="FB413" s="1871"/>
      <c r="FC413" s="1871"/>
      <c r="FD413" s="1871"/>
      <c r="FE413" s="1871"/>
      <c r="FF413" s="1871"/>
      <c r="FG413" s="1871"/>
      <c r="FH413" s="1871"/>
      <c r="FI413" s="1871"/>
      <c r="FJ413" s="1871"/>
      <c r="FK413" s="1871"/>
      <c r="FL413" s="1871"/>
      <c r="FM413" s="1871"/>
      <c r="FN413" s="1871"/>
      <c r="FO413" s="1871"/>
      <c r="FP413" s="1871"/>
      <c r="FQ413" s="1871"/>
      <c r="FR413" s="1871"/>
      <c r="FS413" s="1871"/>
      <c r="FT413" s="1871"/>
      <c r="FU413" s="1871"/>
      <c r="FV413" s="1871"/>
      <c r="FW413" s="1871"/>
      <c r="FX413" s="1871"/>
      <c r="FY413" s="1871"/>
      <c r="FZ413" s="1871"/>
      <c r="GA413" s="1871"/>
      <c r="GB413" s="1871"/>
      <c r="GC413" s="1871"/>
      <c r="GD413" s="1871"/>
      <c r="GE413" s="1871"/>
      <c r="GF413" s="1871"/>
      <c r="GG413" s="1871"/>
      <c r="GH413" s="1871"/>
      <c r="GI413" s="1871"/>
      <c r="GJ413" s="1871"/>
      <c r="GK413" s="1871"/>
      <c r="GL413" s="1871"/>
      <c r="GM413" s="1871"/>
      <c r="GN413" s="1871"/>
      <c r="GO413" s="1871"/>
      <c r="GP413" s="1871"/>
      <c r="GQ413" s="1871"/>
      <c r="GR413" s="1871"/>
      <c r="GS413" s="1871"/>
      <c r="GT413" s="1871"/>
      <c r="GU413" s="1871"/>
      <c r="GV413" s="1871"/>
      <c r="GW413" s="1871"/>
      <c r="GX413" s="1871"/>
      <c r="GY413" s="1871"/>
      <c r="GZ413" s="1871"/>
      <c r="HA413" s="1871"/>
      <c r="HB413" s="1871"/>
      <c r="HC413" s="1871"/>
      <c r="HD413" s="1871"/>
      <c r="HE413" s="1871"/>
      <c r="HF413" s="1871"/>
      <c r="HG413" s="1871"/>
      <c r="HH413" s="1871"/>
      <c r="HI413" s="1871"/>
      <c r="HJ413" s="1871"/>
      <c r="HK413" s="1871"/>
      <c r="HL413" s="1871"/>
      <c r="HM413" s="1871"/>
      <c r="HN413" s="1871"/>
      <c r="HO413" s="1871"/>
      <c r="HP413" s="1871"/>
      <c r="HQ413" s="1871"/>
      <c r="HR413" s="1871"/>
      <c r="HS413" s="1871"/>
      <c r="HT413" s="1871"/>
      <c r="HU413" s="1871"/>
      <c r="HV413" s="1871"/>
      <c r="HW413" s="1871"/>
      <c r="HX413" s="1871"/>
      <c r="HY413" s="1871"/>
      <c r="HZ413" s="1871"/>
      <c r="IA413" s="1871"/>
      <c r="IB413" s="1871"/>
      <c r="IC413" s="1871"/>
      <c r="ID413" s="1871"/>
      <c r="IE413" s="1871"/>
      <c r="IF413" s="1871"/>
      <c r="IG413" s="1871"/>
      <c r="IH413" s="1871"/>
      <c r="II413" s="1871"/>
      <c r="IJ413" s="1871"/>
      <c r="IK413" s="1871"/>
      <c r="IL413" s="1871"/>
      <c r="IM413" s="1871"/>
      <c r="IN413" s="1871"/>
    </row>
    <row r="414" spans="1:248">
      <c r="A414" s="1870" t="s">
        <v>1948</v>
      </c>
      <c r="B414" s="1879" t="s">
        <v>1949</v>
      </c>
      <c r="C414" s="1880" t="s">
        <v>1950</v>
      </c>
      <c r="D414" s="1897">
        <v>0</v>
      </c>
      <c r="E414" s="1897">
        <v>0</v>
      </c>
      <c r="F414" s="1897">
        <v>0</v>
      </c>
      <c r="G414" s="1897">
        <v>0</v>
      </c>
      <c r="H414" s="1897">
        <v>0</v>
      </c>
      <c r="I414" s="1897">
        <v>0</v>
      </c>
      <c r="J414" s="1897">
        <v>0</v>
      </c>
      <c r="K414" s="1897">
        <v>0</v>
      </c>
      <c r="L414" s="1897">
        <v>0</v>
      </c>
      <c r="M414" s="1899">
        <f t="shared" si="45"/>
        <v>0</v>
      </c>
      <c r="N414" s="1897">
        <v>0</v>
      </c>
      <c r="O414" s="1900">
        <f t="shared" si="46"/>
        <v>0</v>
      </c>
      <c r="P414" s="3290" t="s">
        <v>385</v>
      </c>
      <c r="Q414" s="3290"/>
      <c r="R414" s="1877"/>
      <c r="S414" s="1871"/>
      <c r="T414" s="1871"/>
      <c r="U414" s="1871"/>
      <c r="V414" s="1871"/>
      <c r="W414" s="1871"/>
      <c r="X414" s="1871"/>
      <c r="Y414" s="1871"/>
      <c r="Z414" s="1871"/>
      <c r="AA414" s="1871"/>
      <c r="AB414" s="1871"/>
      <c r="AC414" s="1871"/>
      <c r="AD414" s="1871"/>
      <c r="AE414" s="1871"/>
      <c r="AF414" s="1871"/>
      <c r="AG414" s="1871"/>
      <c r="AH414" s="1871"/>
      <c r="AI414" s="1871"/>
      <c r="AJ414" s="1871"/>
      <c r="AK414" s="1871"/>
      <c r="AL414" s="1871"/>
      <c r="AM414" s="1871"/>
      <c r="AN414" s="1871"/>
      <c r="AO414" s="1871"/>
      <c r="AP414" s="1871"/>
      <c r="AQ414" s="1871"/>
      <c r="AR414" s="1871"/>
      <c r="AS414" s="1871"/>
      <c r="AT414" s="1871"/>
      <c r="AU414" s="1871"/>
      <c r="AV414" s="1871"/>
      <c r="AW414" s="1871"/>
      <c r="AX414" s="1871"/>
      <c r="AY414" s="1871"/>
      <c r="AZ414" s="1871"/>
      <c r="BA414" s="1871"/>
      <c r="BB414" s="1871"/>
      <c r="BC414" s="1871"/>
      <c r="BD414" s="1871"/>
      <c r="BE414" s="1871"/>
      <c r="BF414" s="1871"/>
      <c r="BG414" s="1871"/>
      <c r="BH414" s="1871"/>
      <c r="BI414" s="1871"/>
      <c r="BJ414" s="1871"/>
      <c r="BK414" s="1871"/>
      <c r="BL414" s="1871"/>
      <c r="BM414" s="1871"/>
      <c r="BN414" s="1871"/>
      <c r="BO414" s="1871"/>
      <c r="BP414" s="1871"/>
      <c r="BQ414" s="1871"/>
      <c r="BR414" s="1871"/>
      <c r="BS414" s="1871"/>
      <c r="BT414" s="1871"/>
      <c r="BU414" s="1871"/>
      <c r="BV414" s="1871"/>
      <c r="BW414" s="1871"/>
      <c r="BX414" s="1871"/>
      <c r="BY414" s="1871"/>
      <c r="BZ414" s="1871"/>
      <c r="CA414" s="1871"/>
      <c r="CB414" s="1871"/>
      <c r="CC414" s="1871"/>
      <c r="CD414" s="1871"/>
      <c r="CE414" s="1871"/>
      <c r="CF414" s="1871"/>
      <c r="CG414" s="1871"/>
      <c r="CH414" s="1871"/>
      <c r="CI414" s="1871"/>
      <c r="CJ414" s="1871"/>
      <c r="CK414" s="1871"/>
      <c r="CL414" s="1871"/>
      <c r="CM414" s="1871"/>
      <c r="CN414" s="1871"/>
      <c r="CO414" s="1871"/>
      <c r="CP414" s="1871"/>
      <c r="CQ414" s="1871"/>
      <c r="CR414" s="1871"/>
      <c r="CS414" s="1871"/>
      <c r="CT414" s="1871"/>
      <c r="CU414" s="1871"/>
      <c r="CV414" s="1871"/>
      <c r="CW414" s="1871"/>
      <c r="CX414" s="1871"/>
      <c r="CY414" s="1871"/>
      <c r="CZ414" s="1871"/>
      <c r="DA414" s="1871"/>
      <c r="DB414" s="1871"/>
      <c r="DC414" s="1871"/>
      <c r="DD414" s="1871"/>
      <c r="DE414" s="1871"/>
      <c r="DF414" s="1871"/>
      <c r="DG414" s="1871"/>
      <c r="DH414" s="1871"/>
      <c r="DI414" s="1871"/>
      <c r="DJ414" s="1871"/>
      <c r="DK414" s="1871"/>
      <c r="DL414" s="1871"/>
      <c r="DM414" s="1871"/>
      <c r="DN414" s="1871"/>
      <c r="DO414" s="1871"/>
      <c r="DP414" s="1871"/>
      <c r="DQ414" s="1871"/>
      <c r="DR414" s="1871"/>
      <c r="DS414" s="1871"/>
      <c r="DT414" s="1871"/>
      <c r="DU414" s="1871"/>
      <c r="DV414" s="1871"/>
      <c r="DW414" s="1871"/>
      <c r="DX414" s="1871"/>
      <c r="DY414" s="1871"/>
      <c r="DZ414" s="1871"/>
      <c r="EA414" s="1871"/>
      <c r="EB414" s="1871"/>
      <c r="EC414" s="1871"/>
      <c r="ED414" s="1871"/>
      <c r="EE414" s="1871"/>
      <c r="EF414" s="1871"/>
      <c r="EG414" s="1871"/>
      <c r="EH414" s="1871"/>
      <c r="EI414" s="1871"/>
      <c r="EJ414" s="1871"/>
      <c r="EK414" s="1871"/>
      <c r="EL414" s="1871"/>
      <c r="EM414" s="1871"/>
      <c r="EN414" s="1871"/>
      <c r="EO414" s="1871"/>
      <c r="EP414" s="1871"/>
      <c r="EQ414" s="1871"/>
      <c r="ER414" s="1871"/>
      <c r="ES414" s="1871"/>
      <c r="ET414" s="1871"/>
      <c r="EU414" s="1871"/>
      <c r="EV414" s="1871"/>
      <c r="EW414" s="1871"/>
      <c r="EX414" s="1871"/>
      <c r="EY414" s="1871"/>
      <c r="EZ414" s="1871"/>
      <c r="FA414" s="1871"/>
      <c r="FB414" s="1871"/>
      <c r="FC414" s="1871"/>
      <c r="FD414" s="1871"/>
      <c r="FE414" s="1871"/>
      <c r="FF414" s="1871"/>
      <c r="FG414" s="1871"/>
      <c r="FH414" s="1871"/>
      <c r="FI414" s="1871"/>
      <c r="FJ414" s="1871"/>
      <c r="FK414" s="1871"/>
      <c r="FL414" s="1871"/>
      <c r="FM414" s="1871"/>
      <c r="FN414" s="1871"/>
      <c r="FO414" s="1871"/>
      <c r="FP414" s="1871"/>
      <c r="FQ414" s="1871"/>
      <c r="FR414" s="1871"/>
      <c r="FS414" s="1871"/>
      <c r="FT414" s="1871"/>
      <c r="FU414" s="1871"/>
      <c r="FV414" s="1871"/>
      <c r="FW414" s="1871"/>
      <c r="FX414" s="1871"/>
      <c r="FY414" s="1871"/>
      <c r="FZ414" s="1871"/>
      <c r="GA414" s="1871"/>
      <c r="GB414" s="1871"/>
      <c r="GC414" s="1871"/>
      <c r="GD414" s="1871"/>
      <c r="GE414" s="1871"/>
      <c r="GF414" s="1871"/>
      <c r="GG414" s="1871"/>
      <c r="GH414" s="1871"/>
      <c r="GI414" s="1871"/>
      <c r="GJ414" s="1871"/>
      <c r="GK414" s="1871"/>
      <c r="GL414" s="1871"/>
      <c r="GM414" s="1871"/>
      <c r="GN414" s="1871"/>
      <c r="GO414" s="1871"/>
      <c r="GP414" s="1871"/>
      <c r="GQ414" s="1871"/>
      <c r="GR414" s="1871"/>
      <c r="GS414" s="1871"/>
      <c r="GT414" s="1871"/>
      <c r="GU414" s="1871"/>
      <c r="GV414" s="1871"/>
      <c r="GW414" s="1871"/>
      <c r="GX414" s="1871"/>
      <c r="GY414" s="1871"/>
      <c r="GZ414" s="1871"/>
      <c r="HA414" s="1871"/>
      <c r="HB414" s="1871"/>
      <c r="HC414" s="1871"/>
      <c r="HD414" s="1871"/>
      <c r="HE414" s="1871"/>
      <c r="HF414" s="1871"/>
      <c r="HG414" s="1871"/>
      <c r="HH414" s="1871"/>
      <c r="HI414" s="1871"/>
      <c r="HJ414" s="1871"/>
      <c r="HK414" s="1871"/>
      <c r="HL414" s="1871"/>
      <c r="HM414" s="1871"/>
      <c r="HN414" s="1871"/>
      <c r="HO414" s="1871"/>
      <c r="HP414" s="1871"/>
      <c r="HQ414" s="1871"/>
      <c r="HR414" s="1871"/>
      <c r="HS414" s="1871"/>
      <c r="HT414" s="1871"/>
      <c r="HU414" s="1871"/>
      <c r="HV414" s="1871"/>
      <c r="HW414" s="1871"/>
      <c r="HX414" s="1871"/>
      <c r="HY414" s="1871"/>
      <c r="HZ414" s="1871"/>
      <c r="IA414" s="1871"/>
      <c r="IB414" s="1871"/>
      <c r="IC414" s="1871"/>
      <c r="ID414" s="1871"/>
      <c r="IE414" s="1871"/>
      <c r="IF414" s="1871"/>
      <c r="IG414" s="1871"/>
      <c r="IH414" s="1871"/>
      <c r="II414" s="1871"/>
      <c r="IJ414" s="1871"/>
      <c r="IK414" s="1871"/>
      <c r="IL414" s="1871"/>
      <c r="IM414" s="1871"/>
      <c r="IN414" s="1871"/>
    </row>
    <row r="415" spans="1:248">
      <c r="A415" s="1870" t="s">
        <v>1951</v>
      </c>
      <c r="B415" s="1879" t="s">
        <v>1952</v>
      </c>
      <c r="C415" s="1880" t="s">
        <v>1953</v>
      </c>
      <c r="D415" s="1897">
        <v>0</v>
      </c>
      <c r="E415" s="1897">
        <v>0</v>
      </c>
      <c r="F415" s="1897">
        <v>0</v>
      </c>
      <c r="G415" s="1897">
        <v>0</v>
      </c>
      <c r="H415" s="1897">
        <v>0</v>
      </c>
      <c r="I415" s="1897">
        <v>0</v>
      </c>
      <c r="J415" s="1897">
        <v>0</v>
      </c>
      <c r="K415" s="1897">
        <v>0</v>
      </c>
      <c r="L415" s="1897">
        <v>0</v>
      </c>
      <c r="M415" s="1899">
        <f t="shared" si="45"/>
        <v>0</v>
      </c>
      <c r="N415" s="1897">
        <v>0</v>
      </c>
      <c r="O415" s="1900">
        <f t="shared" si="46"/>
        <v>0</v>
      </c>
      <c r="P415" s="3290" t="s">
        <v>385</v>
      </c>
      <c r="Q415" s="3290"/>
      <c r="R415" s="1877"/>
      <c r="S415" s="1871"/>
      <c r="T415" s="1871"/>
      <c r="U415" s="1871"/>
      <c r="V415" s="1871"/>
      <c r="W415" s="1871"/>
      <c r="X415" s="1871"/>
      <c r="Y415" s="1871"/>
      <c r="Z415" s="1871"/>
      <c r="AA415" s="1871"/>
      <c r="AB415" s="1871"/>
      <c r="AC415" s="1871"/>
      <c r="AD415" s="1871"/>
      <c r="AE415" s="1871"/>
      <c r="AF415" s="1871"/>
      <c r="AG415" s="1871"/>
      <c r="AH415" s="1871"/>
      <c r="AI415" s="1871"/>
      <c r="AJ415" s="1871"/>
      <c r="AK415" s="1871"/>
      <c r="AL415" s="1871"/>
      <c r="AM415" s="1871"/>
      <c r="AN415" s="1871"/>
      <c r="AO415" s="1871"/>
      <c r="AP415" s="1871"/>
      <c r="AQ415" s="1871"/>
      <c r="AR415" s="1871"/>
      <c r="AS415" s="1871"/>
      <c r="AT415" s="1871"/>
      <c r="AU415" s="1871"/>
      <c r="AV415" s="1871"/>
      <c r="AW415" s="1871"/>
      <c r="AX415" s="1871"/>
      <c r="AY415" s="1871"/>
      <c r="AZ415" s="1871"/>
      <c r="BA415" s="1871"/>
      <c r="BB415" s="1871"/>
      <c r="BC415" s="1871"/>
      <c r="BD415" s="1871"/>
      <c r="BE415" s="1871"/>
      <c r="BF415" s="1871"/>
      <c r="BG415" s="1871"/>
      <c r="BH415" s="1871"/>
      <c r="BI415" s="1871"/>
      <c r="BJ415" s="1871"/>
      <c r="BK415" s="1871"/>
      <c r="BL415" s="1871"/>
      <c r="BM415" s="1871"/>
      <c r="BN415" s="1871"/>
      <c r="BO415" s="1871"/>
      <c r="BP415" s="1871"/>
      <c r="BQ415" s="1871"/>
      <c r="BR415" s="1871"/>
      <c r="BS415" s="1871"/>
      <c r="BT415" s="1871"/>
      <c r="BU415" s="1871"/>
      <c r="BV415" s="1871"/>
      <c r="BW415" s="1871"/>
      <c r="BX415" s="1871"/>
      <c r="BY415" s="1871"/>
      <c r="BZ415" s="1871"/>
      <c r="CA415" s="1871"/>
      <c r="CB415" s="1871"/>
      <c r="CC415" s="1871"/>
      <c r="CD415" s="1871"/>
      <c r="CE415" s="1871"/>
      <c r="CF415" s="1871"/>
      <c r="CG415" s="1871"/>
      <c r="CH415" s="1871"/>
      <c r="CI415" s="1871"/>
      <c r="CJ415" s="1871"/>
      <c r="CK415" s="1871"/>
      <c r="CL415" s="1871"/>
      <c r="CM415" s="1871"/>
      <c r="CN415" s="1871"/>
      <c r="CO415" s="1871"/>
      <c r="CP415" s="1871"/>
      <c r="CQ415" s="1871"/>
      <c r="CR415" s="1871"/>
      <c r="CS415" s="1871"/>
      <c r="CT415" s="1871"/>
      <c r="CU415" s="1871"/>
      <c r="CV415" s="1871"/>
      <c r="CW415" s="1871"/>
      <c r="CX415" s="1871"/>
      <c r="CY415" s="1871"/>
      <c r="CZ415" s="1871"/>
      <c r="DA415" s="1871"/>
      <c r="DB415" s="1871"/>
      <c r="DC415" s="1871"/>
      <c r="DD415" s="1871"/>
      <c r="DE415" s="1871"/>
      <c r="DF415" s="1871"/>
      <c r="DG415" s="1871"/>
      <c r="DH415" s="1871"/>
      <c r="DI415" s="1871"/>
      <c r="DJ415" s="1871"/>
      <c r="DK415" s="1871"/>
      <c r="DL415" s="1871"/>
      <c r="DM415" s="1871"/>
      <c r="DN415" s="1871"/>
      <c r="DO415" s="1871"/>
      <c r="DP415" s="1871"/>
      <c r="DQ415" s="1871"/>
      <c r="DR415" s="1871"/>
      <c r="DS415" s="1871"/>
      <c r="DT415" s="1871"/>
      <c r="DU415" s="1871"/>
      <c r="DV415" s="1871"/>
      <c r="DW415" s="1871"/>
      <c r="DX415" s="1871"/>
      <c r="DY415" s="1871"/>
      <c r="DZ415" s="1871"/>
      <c r="EA415" s="1871"/>
      <c r="EB415" s="1871"/>
      <c r="EC415" s="1871"/>
      <c r="ED415" s="1871"/>
      <c r="EE415" s="1871"/>
      <c r="EF415" s="1871"/>
      <c r="EG415" s="1871"/>
      <c r="EH415" s="1871"/>
      <c r="EI415" s="1871"/>
      <c r="EJ415" s="1871"/>
      <c r="EK415" s="1871"/>
      <c r="EL415" s="1871"/>
      <c r="EM415" s="1871"/>
      <c r="EN415" s="1871"/>
      <c r="EO415" s="1871"/>
      <c r="EP415" s="1871"/>
      <c r="EQ415" s="1871"/>
      <c r="ER415" s="1871"/>
      <c r="ES415" s="1871"/>
      <c r="ET415" s="1871"/>
      <c r="EU415" s="1871"/>
      <c r="EV415" s="1871"/>
      <c r="EW415" s="1871"/>
      <c r="EX415" s="1871"/>
      <c r="EY415" s="1871"/>
      <c r="EZ415" s="1871"/>
      <c r="FA415" s="1871"/>
      <c r="FB415" s="1871"/>
      <c r="FC415" s="1871"/>
      <c r="FD415" s="1871"/>
      <c r="FE415" s="1871"/>
      <c r="FF415" s="1871"/>
      <c r="FG415" s="1871"/>
      <c r="FH415" s="1871"/>
      <c r="FI415" s="1871"/>
      <c r="FJ415" s="1871"/>
      <c r="FK415" s="1871"/>
      <c r="FL415" s="1871"/>
      <c r="FM415" s="1871"/>
      <c r="FN415" s="1871"/>
      <c r="FO415" s="1871"/>
      <c r="FP415" s="1871"/>
      <c r="FQ415" s="1871"/>
      <c r="FR415" s="1871"/>
      <c r="FS415" s="1871"/>
      <c r="FT415" s="1871"/>
      <c r="FU415" s="1871"/>
      <c r="FV415" s="1871"/>
      <c r="FW415" s="1871"/>
      <c r="FX415" s="1871"/>
      <c r="FY415" s="1871"/>
      <c r="FZ415" s="1871"/>
      <c r="GA415" s="1871"/>
      <c r="GB415" s="1871"/>
      <c r="GC415" s="1871"/>
      <c r="GD415" s="1871"/>
      <c r="GE415" s="1871"/>
      <c r="GF415" s="1871"/>
      <c r="GG415" s="1871"/>
      <c r="GH415" s="1871"/>
      <c r="GI415" s="1871"/>
      <c r="GJ415" s="1871"/>
      <c r="GK415" s="1871"/>
      <c r="GL415" s="1871"/>
      <c r="GM415" s="1871"/>
      <c r="GN415" s="1871"/>
      <c r="GO415" s="1871"/>
      <c r="GP415" s="1871"/>
      <c r="GQ415" s="1871"/>
      <c r="GR415" s="1871"/>
      <c r="GS415" s="1871"/>
      <c r="GT415" s="1871"/>
      <c r="GU415" s="1871"/>
      <c r="GV415" s="1871"/>
      <c r="GW415" s="1871"/>
      <c r="GX415" s="1871"/>
      <c r="GY415" s="1871"/>
      <c r="GZ415" s="1871"/>
      <c r="HA415" s="1871"/>
      <c r="HB415" s="1871"/>
      <c r="HC415" s="1871"/>
      <c r="HD415" s="1871"/>
      <c r="HE415" s="1871"/>
      <c r="HF415" s="1871"/>
      <c r="HG415" s="1871"/>
      <c r="HH415" s="1871"/>
      <c r="HI415" s="1871"/>
      <c r="HJ415" s="1871"/>
      <c r="HK415" s="1871"/>
      <c r="HL415" s="1871"/>
      <c r="HM415" s="1871"/>
      <c r="HN415" s="1871"/>
      <c r="HO415" s="1871"/>
      <c r="HP415" s="1871"/>
      <c r="HQ415" s="1871"/>
      <c r="HR415" s="1871"/>
      <c r="HS415" s="1871"/>
      <c r="HT415" s="1871"/>
      <c r="HU415" s="1871"/>
      <c r="HV415" s="1871"/>
      <c r="HW415" s="1871"/>
      <c r="HX415" s="1871"/>
      <c r="HY415" s="1871"/>
      <c r="HZ415" s="1871"/>
      <c r="IA415" s="1871"/>
      <c r="IB415" s="1871"/>
      <c r="IC415" s="1871"/>
      <c r="ID415" s="1871"/>
      <c r="IE415" s="1871"/>
      <c r="IF415" s="1871"/>
      <c r="IG415" s="1871"/>
      <c r="IH415" s="1871"/>
      <c r="II415" s="1871"/>
      <c r="IJ415" s="1871"/>
      <c r="IK415" s="1871"/>
      <c r="IL415" s="1871"/>
      <c r="IM415" s="1871"/>
      <c r="IN415" s="1871"/>
    </row>
    <row r="416" spans="1:248">
      <c r="A416" s="1870" t="s">
        <v>1954</v>
      </c>
      <c r="B416" s="1879" t="s">
        <v>1955</v>
      </c>
      <c r="C416" s="1880" t="s">
        <v>1956</v>
      </c>
      <c r="D416" s="1897">
        <v>0</v>
      </c>
      <c r="E416" s="1897">
        <v>0</v>
      </c>
      <c r="F416" s="1897">
        <v>0</v>
      </c>
      <c r="G416" s="1897">
        <v>0</v>
      </c>
      <c r="H416" s="1897">
        <v>0</v>
      </c>
      <c r="I416" s="1897">
        <v>0</v>
      </c>
      <c r="J416" s="1897">
        <v>0</v>
      </c>
      <c r="K416" s="1897">
        <v>0</v>
      </c>
      <c r="L416" s="1897">
        <v>0</v>
      </c>
      <c r="M416" s="1899">
        <f t="shared" si="45"/>
        <v>0</v>
      </c>
      <c r="N416" s="1897">
        <v>0</v>
      </c>
      <c r="O416" s="1900">
        <f t="shared" si="46"/>
        <v>0</v>
      </c>
      <c r="P416" s="3290" t="s">
        <v>385</v>
      </c>
      <c r="Q416" s="3290"/>
      <c r="R416" s="1877"/>
      <c r="S416" s="1871"/>
      <c r="T416" s="1871"/>
      <c r="U416" s="1871"/>
      <c r="V416" s="1871"/>
      <c r="W416" s="1871"/>
      <c r="X416" s="1871"/>
      <c r="Y416" s="1871"/>
      <c r="Z416" s="1871"/>
      <c r="AA416" s="1871"/>
      <c r="AB416" s="1871"/>
      <c r="AC416" s="1871"/>
      <c r="AD416" s="1871"/>
      <c r="AE416" s="1871"/>
      <c r="AF416" s="1871"/>
      <c r="AG416" s="1871"/>
      <c r="AH416" s="1871"/>
      <c r="AI416" s="1871"/>
      <c r="AJ416" s="1871"/>
      <c r="AK416" s="1871"/>
      <c r="AL416" s="1871"/>
      <c r="AM416" s="1871"/>
      <c r="AN416" s="1871"/>
      <c r="AO416" s="1871"/>
      <c r="AP416" s="1871"/>
      <c r="AQ416" s="1871"/>
      <c r="AR416" s="1871"/>
      <c r="AS416" s="1871"/>
      <c r="AT416" s="1871"/>
      <c r="AU416" s="1871"/>
      <c r="AV416" s="1871"/>
      <c r="AW416" s="1871"/>
      <c r="AX416" s="1871"/>
      <c r="AY416" s="1871"/>
      <c r="AZ416" s="1871"/>
      <c r="BA416" s="1871"/>
      <c r="BB416" s="1871"/>
      <c r="BC416" s="1871"/>
      <c r="BD416" s="1871"/>
      <c r="BE416" s="1871"/>
      <c r="BF416" s="1871"/>
      <c r="BG416" s="1871"/>
      <c r="BH416" s="1871"/>
      <c r="BI416" s="1871"/>
      <c r="BJ416" s="1871"/>
      <c r="BK416" s="1871"/>
      <c r="BL416" s="1871"/>
      <c r="BM416" s="1871"/>
      <c r="BN416" s="1871"/>
      <c r="BO416" s="1871"/>
      <c r="BP416" s="1871"/>
      <c r="BQ416" s="1871"/>
      <c r="BR416" s="1871"/>
      <c r="BS416" s="1871"/>
      <c r="BT416" s="1871"/>
      <c r="BU416" s="1871"/>
      <c r="BV416" s="1871"/>
      <c r="BW416" s="1871"/>
      <c r="BX416" s="1871"/>
      <c r="BY416" s="1871"/>
      <c r="BZ416" s="1871"/>
      <c r="CA416" s="1871"/>
      <c r="CB416" s="1871"/>
      <c r="CC416" s="1871"/>
      <c r="CD416" s="1871"/>
      <c r="CE416" s="1871"/>
      <c r="CF416" s="1871"/>
      <c r="CG416" s="1871"/>
      <c r="CH416" s="1871"/>
      <c r="CI416" s="1871"/>
      <c r="CJ416" s="1871"/>
      <c r="CK416" s="1871"/>
      <c r="CL416" s="1871"/>
      <c r="CM416" s="1871"/>
      <c r="CN416" s="1871"/>
      <c r="CO416" s="1871"/>
      <c r="CP416" s="1871"/>
      <c r="CQ416" s="1871"/>
      <c r="CR416" s="1871"/>
      <c r="CS416" s="1871"/>
      <c r="CT416" s="1871"/>
      <c r="CU416" s="1871"/>
      <c r="CV416" s="1871"/>
      <c r="CW416" s="1871"/>
      <c r="CX416" s="1871"/>
      <c r="CY416" s="1871"/>
      <c r="CZ416" s="1871"/>
      <c r="DA416" s="1871"/>
      <c r="DB416" s="1871"/>
      <c r="DC416" s="1871"/>
      <c r="DD416" s="1871"/>
      <c r="DE416" s="1871"/>
      <c r="DF416" s="1871"/>
      <c r="DG416" s="1871"/>
      <c r="DH416" s="1871"/>
      <c r="DI416" s="1871"/>
      <c r="DJ416" s="1871"/>
      <c r="DK416" s="1871"/>
      <c r="DL416" s="1871"/>
      <c r="DM416" s="1871"/>
      <c r="DN416" s="1871"/>
      <c r="DO416" s="1871"/>
      <c r="DP416" s="1871"/>
      <c r="DQ416" s="1871"/>
      <c r="DR416" s="1871"/>
      <c r="DS416" s="1871"/>
      <c r="DT416" s="1871"/>
      <c r="DU416" s="1871"/>
      <c r="DV416" s="1871"/>
      <c r="DW416" s="1871"/>
      <c r="DX416" s="1871"/>
      <c r="DY416" s="1871"/>
      <c r="DZ416" s="1871"/>
      <c r="EA416" s="1871"/>
      <c r="EB416" s="1871"/>
      <c r="EC416" s="1871"/>
      <c r="ED416" s="1871"/>
      <c r="EE416" s="1871"/>
      <c r="EF416" s="1871"/>
      <c r="EG416" s="1871"/>
      <c r="EH416" s="1871"/>
      <c r="EI416" s="1871"/>
      <c r="EJ416" s="1871"/>
      <c r="EK416" s="1871"/>
      <c r="EL416" s="1871"/>
      <c r="EM416" s="1871"/>
      <c r="EN416" s="1871"/>
      <c r="EO416" s="1871"/>
      <c r="EP416" s="1871"/>
      <c r="EQ416" s="1871"/>
      <c r="ER416" s="1871"/>
      <c r="ES416" s="1871"/>
      <c r="ET416" s="1871"/>
      <c r="EU416" s="1871"/>
      <c r="EV416" s="1871"/>
      <c r="EW416" s="1871"/>
      <c r="EX416" s="1871"/>
      <c r="EY416" s="1871"/>
      <c r="EZ416" s="1871"/>
      <c r="FA416" s="1871"/>
      <c r="FB416" s="1871"/>
      <c r="FC416" s="1871"/>
      <c r="FD416" s="1871"/>
      <c r="FE416" s="1871"/>
      <c r="FF416" s="1871"/>
      <c r="FG416" s="1871"/>
      <c r="FH416" s="1871"/>
      <c r="FI416" s="1871"/>
      <c r="FJ416" s="1871"/>
      <c r="FK416" s="1871"/>
      <c r="FL416" s="1871"/>
      <c r="FM416" s="1871"/>
      <c r="FN416" s="1871"/>
      <c r="FO416" s="1871"/>
      <c r="FP416" s="1871"/>
      <c r="FQ416" s="1871"/>
      <c r="FR416" s="1871"/>
      <c r="FS416" s="1871"/>
      <c r="FT416" s="1871"/>
      <c r="FU416" s="1871"/>
      <c r="FV416" s="1871"/>
      <c r="FW416" s="1871"/>
      <c r="FX416" s="1871"/>
      <c r="FY416" s="1871"/>
      <c r="FZ416" s="1871"/>
      <c r="GA416" s="1871"/>
      <c r="GB416" s="1871"/>
      <c r="GC416" s="1871"/>
      <c r="GD416" s="1871"/>
      <c r="GE416" s="1871"/>
      <c r="GF416" s="1871"/>
      <c r="GG416" s="1871"/>
      <c r="GH416" s="1871"/>
      <c r="GI416" s="1871"/>
      <c r="GJ416" s="1871"/>
      <c r="GK416" s="1871"/>
      <c r="GL416" s="1871"/>
      <c r="GM416" s="1871"/>
      <c r="GN416" s="1871"/>
      <c r="GO416" s="1871"/>
      <c r="GP416" s="1871"/>
      <c r="GQ416" s="1871"/>
      <c r="GR416" s="1871"/>
      <c r="GS416" s="1871"/>
      <c r="GT416" s="1871"/>
      <c r="GU416" s="1871"/>
      <c r="GV416" s="1871"/>
      <c r="GW416" s="1871"/>
      <c r="GX416" s="1871"/>
      <c r="GY416" s="1871"/>
      <c r="GZ416" s="1871"/>
      <c r="HA416" s="1871"/>
      <c r="HB416" s="1871"/>
      <c r="HC416" s="1871"/>
      <c r="HD416" s="1871"/>
      <c r="HE416" s="1871"/>
      <c r="HF416" s="1871"/>
      <c r="HG416" s="1871"/>
      <c r="HH416" s="1871"/>
      <c r="HI416" s="1871"/>
      <c r="HJ416" s="1871"/>
      <c r="HK416" s="1871"/>
      <c r="HL416" s="1871"/>
      <c r="HM416" s="1871"/>
      <c r="HN416" s="1871"/>
      <c r="HO416" s="1871"/>
      <c r="HP416" s="1871"/>
      <c r="HQ416" s="1871"/>
      <c r="HR416" s="1871"/>
      <c r="HS416" s="1871"/>
      <c r="HT416" s="1871"/>
      <c r="HU416" s="1871"/>
      <c r="HV416" s="1871"/>
      <c r="HW416" s="1871"/>
      <c r="HX416" s="1871"/>
      <c r="HY416" s="1871"/>
      <c r="HZ416" s="1871"/>
      <c r="IA416" s="1871"/>
      <c r="IB416" s="1871"/>
      <c r="IC416" s="1871"/>
      <c r="ID416" s="1871"/>
      <c r="IE416" s="1871"/>
      <c r="IF416" s="1871"/>
      <c r="IG416" s="1871"/>
      <c r="IH416" s="1871"/>
      <c r="II416" s="1871"/>
      <c r="IJ416" s="1871"/>
      <c r="IK416" s="1871"/>
      <c r="IL416" s="1871"/>
      <c r="IM416" s="1871"/>
      <c r="IN416" s="1871"/>
    </row>
    <row r="417" spans="1:248">
      <c r="A417" s="1870" t="s">
        <v>1957</v>
      </c>
      <c r="B417" s="1879" t="s">
        <v>1958</v>
      </c>
      <c r="C417" s="1881" t="s">
        <v>1959</v>
      </c>
      <c r="D417" s="1897">
        <v>0</v>
      </c>
      <c r="E417" s="1897">
        <v>0</v>
      </c>
      <c r="F417" s="1897">
        <v>0</v>
      </c>
      <c r="G417" s="1897">
        <v>0</v>
      </c>
      <c r="H417" s="1897">
        <v>0</v>
      </c>
      <c r="I417" s="1897">
        <v>0</v>
      </c>
      <c r="J417" s="1897">
        <v>0</v>
      </c>
      <c r="K417" s="1897">
        <v>0</v>
      </c>
      <c r="L417" s="1897">
        <v>0</v>
      </c>
      <c r="M417" s="1899">
        <f t="shared" si="45"/>
        <v>0</v>
      </c>
      <c r="N417" s="1897">
        <v>0</v>
      </c>
      <c r="O417" s="1900">
        <f t="shared" si="46"/>
        <v>0</v>
      </c>
      <c r="P417" s="3290" t="s">
        <v>385</v>
      </c>
      <c r="Q417" s="3290"/>
      <c r="R417" s="1877"/>
      <c r="S417" s="1871"/>
      <c r="T417" s="1871"/>
      <c r="U417" s="1871"/>
      <c r="V417" s="1871"/>
      <c r="W417" s="1871"/>
      <c r="X417" s="1871"/>
      <c r="Y417" s="1871"/>
      <c r="Z417" s="1871"/>
      <c r="AA417" s="1871"/>
      <c r="AB417" s="1871"/>
      <c r="AC417" s="1871"/>
      <c r="AD417" s="1871"/>
      <c r="AE417" s="1871"/>
      <c r="AF417" s="1871"/>
      <c r="AG417" s="1871"/>
      <c r="AH417" s="1871"/>
      <c r="AI417" s="1871"/>
      <c r="AJ417" s="1871"/>
      <c r="AK417" s="1871"/>
      <c r="AL417" s="1871"/>
      <c r="AM417" s="1871"/>
      <c r="AN417" s="1871"/>
      <c r="AO417" s="1871"/>
      <c r="AP417" s="1871"/>
      <c r="AQ417" s="1871"/>
      <c r="AR417" s="1871"/>
      <c r="AS417" s="1871"/>
      <c r="AT417" s="1871"/>
      <c r="AU417" s="1871"/>
      <c r="AV417" s="1871"/>
      <c r="AW417" s="1871"/>
      <c r="AX417" s="1871"/>
      <c r="AY417" s="1871"/>
      <c r="AZ417" s="1871"/>
      <c r="BA417" s="1871"/>
      <c r="BB417" s="1871"/>
      <c r="BC417" s="1871"/>
      <c r="BD417" s="1871"/>
      <c r="BE417" s="1871"/>
      <c r="BF417" s="1871"/>
      <c r="BG417" s="1871"/>
      <c r="BH417" s="1871"/>
      <c r="BI417" s="1871"/>
      <c r="BJ417" s="1871"/>
      <c r="BK417" s="1871"/>
      <c r="BL417" s="1871"/>
      <c r="BM417" s="1871"/>
      <c r="BN417" s="1871"/>
      <c r="BO417" s="1871"/>
      <c r="BP417" s="1871"/>
      <c r="BQ417" s="1871"/>
      <c r="BR417" s="1871"/>
      <c r="BS417" s="1871"/>
      <c r="BT417" s="1871"/>
      <c r="BU417" s="1871"/>
      <c r="BV417" s="1871"/>
      <c r="BW417" s="1871"/>
      <c r="BX417" s="1871"/>
      <c r="BY417" s="1871"/>
      <c r="BZ417" s="1871"/>
      <c r="CA417" s="1871"/>
      <c r="CB417" s="1871"/>
      <c r="CC417" s="1871"/>
      <c r="CD417" s="1871"/>
      <c r="CE417" s="1871"/>
      <c r="CF417" s="1871"/>
      <c r="CG417" s="1871"/>
      <c r="CH417" s="1871"/>
      <c r="CI417" s="1871"/>
      <c r="CJ417" s="1871"/>
      <c r="CK417" s="1871"/>
      <c r="CL417" s="1871"/>
      <c r="CM417" s="1871"/>
      <c r="CN417" s="1871"/>
      <c r="CO417" s="1871"/>
      <c r="CP417" s="1871"/>
      <c r="CQ417" s="1871"/>
      <c r="CR417" s="1871"/>
      <c r="CS417" s="1871"/>
      <c r="CT417" s="1871"/>
      <c r="CU417" s="1871"/>
      <c r="CV417" s="1871"/>
      <c r="CW417" s="1871"/>
      <c r="CX417" s="1871"/>
      <c r="CY417" s="1871"/>
      <c r="CZ417" s="1871"/>
      <c r="DA417" s="1871"/>
      <c r="DB417" s="1871"/>
      <c r="DC417" s="1871"/>
      <c r="DD417" s="1871"/>
      <c r="DE417" s="1871"/>
      <c r="DF417" s="1871"/>
      <c r="DG417" s="1871"/>
      <c r="DH417" s="1871"/>
      <c r="DI417" s="1871"/>
      <c r="DJ417" s="1871"/>
      <c r="DK417" s="1871"/>
      <c r="DL417" s="1871"/>
      <c r="DM417" s="1871"/>
      <c r="DN417" s="1871"/>
      <c r="DO417" s="1871"/>
      <c r="DP417" s="1871"/>
      <c r="DQ417" s="1871"/>
      <c r="DR417" s="1871"/>
      <c r="DS417" s="1871"/>
      <c r="DT417" s="1871"/>
      <c r="DU417" s="1871"/>
      <c r="DV417" s="1871"/>
      <c r="DW417" s="1871"/>
      <c r="DX417" s="1871"/>
      <c r="DY417" s="1871"/>
      <c r="DZ417" s="1871"/>
      <c r="EA417" s="1871"/>
      <c r="EB417" s="1871"/>
      <c r="EC417" s="1871"/>
      <c r="ED417" s="1871"/>
      <c r="EE417" s="1871"/>
      <c r="EF417" s="1871"/>
      <c r="EG417" s="1871"/>
      <c r="EH417" s="1871"/>
      <c r="EI417" s="1871"/>
      <c r="EJ417" s="1871"/>
      <c r="EK417" s="1871"/>
      <c r="EL417" s="1871"/>
      <c r="EM417" s="1871"/>
      <c r="EN417" s="1871"/>
      <c r="EO417" s="1871"/>
      <c r="EP417" s="1871"/>
      <c r="EQ417" s="1871"/>
      <c r="ER417" s="1871"/>
      <c r="ES417" s="1871"/>
      <c r="ET417" s="1871"/>
      <c r="EU417" s="1871"/>
      <c r="EV417" s="1871"/>
      <c r="EW417" s="1871"/>
      <c r="EX417" s="1871"/>
      <c r="EY417" s="1871"/>
      <c r="EZ417" s="1871"/>
      <c r="FA417" s="1871"/>
      <c r="FB417" s="1871"/>
      <c r="FC417" s="1871"/>
      <c r="FD417" s="1871"/>
      <c r="FE417" s="1871"/>
      <c r="FF417" s="1871"/>
      <c r="FG417" s="1871"/>
      <c r="FH417" s="1871"/>
      <c r="FI417" s="1871"/>
      <c r="FJ417" s="1871"/>
      <c r="FK417" s="1871"/>
      <c r="FL417" s="1871"/>
      <c r="FM417" s="1871"/>
      <c r="FN417" s="1871"/>
      <c r="FO417" s="1871"/>
      <c r="FP417" s="1871"/>
      <c r="FQ417" s="1871"/>
      <c r="FR417" s="1871"/>
      <c r="FS417" s="1871"/>
      <c r="FT417" s="1871"/>
      <c r="FU417" s="1871"/>
      <c r="FV417" s="1871"/>
      <c r="FW417" s="1871"/>
      <c r="FX417" s="1871"/>
      <c r="FY417" s="1871"/>
      <c r="FZ417" s="1871"/>
      <c r="GA417" s="1871"/>
      <c r="GB417" s="1871"/>
      <c r="GC417" s="1871"/>
      <c r="GD417" s="1871"/>
      <c r="GE417" s="1871"/>
      <c r="GF417" s="1871"/>
      <c r="GG417" s="1871"/>
      <c r="GH417" s="1871"/>
      <c r="GI417" s="1871"/>
      <c r="GJ417" s="1871"/>
      <c r="GK417" s="1871"/>
      <c r="GL417" s="1871"/>
      <c r="GM417" s="1871"/>
      <c r="GN417" s="1871"/>
      <c r="GO417" s="1871"/>
      <c r="GP417" s="1871"/>
      <c r="GQ417" s="1871"/>
      <c r="GR417" s="1871"/>
      <c r="GS417" s="1871"/>
      <c r="GT417" s="1871"/>
      <c r="GU417" s="1871"/>
      <c r="GV417" s="1871"/>
      <c r="GW417" s="1871"/>
      <c r="GX417" s="1871"/>
      <c r="GY417" s="1871"/>
      <c r="GZ417" s="1871"/>
      <c r="HA417" s="1871"/>
      <c r="HB417" s="1871"/>
      <c r="HC417" s="1871"/>
      <c r="HD417" s="1871"/>
      <c r="HE417" s="1871"/>
      <c r="HF417" s="1871"/>
      <c r="HG417" s="1871"/>
      <c r="HH417" s="1871"/>
      <c r="HI417" s="1871"/>
      <c r="HJ417" s="1871"/>
      <c r="HK417" s="1871"/>
      <c r="HL417" s="1871"/>
      <c r="HM417" s="1871"/>
      <c r="HN417" s="1871"/>
      <c r="HO417" s="1871"/>
      <c r="HP417" s="1871"/>
      <c r="HQ417" s="1871"/>
      <c r="HR417" s="1871"/>
      <c r="HS417" s="1871"/>
      <c r="HT417" s="1871"/>
      <c r="HU417" s="1871"/>
      <c r="HV417" s="1871"/>
      <c r="HW417" s="1871"/>
      <c r="HX417" s="1871"/>
      <c r="HY417" s="1871"/>
      <c r="HZ417" s="1871"/>
      <c r="IA417" s="1871"/>
      <c r="IB417" s="1871"/>
      <c r="IC417" s="1871"/>
      <c r="ID417" s="1871"/>
      <c r="IE417" s="1871"/>
      <c r="IF417" s="1871"/>
      <c r="IG417" s="1871"/>
      <c r="IH417" s="1871"/>
      <c r="II417" s="1871"/>
      <c r="IJ417" s="1871"/>
      <c r="IK417" s="1871"/>
      <c r="IL417" s="1871"/>
      <c r="IM417" s="1871"/>
      <c r="IN417" s="1871"/>
    </row>
    <row r="418" spans="1:248">
      <c r="A418" s="1870" t="s">
        <v>1960</v>
      </c>
      <c r="B418" s="1879" t="s">
        <v>1961</v>
      </c>
      <c r="C418" s="1880" t="s">
        <v>1962</v>
      </c>
      <c r="D418" s="1897">
        <v>0</v>
      </c>
      <c r="E418" s="1897">
        <v>0</v>
      </c>
      <c r="F418" s="1897">
        <v>0</v>
      </c>
      <c r="G418" s="1897">
        <v>0</v>
      </c>
      <c r="H418" s="1897">
        <v>0</v>
      </c>
      <c r="I418" s="1897">
        <v>0</v>
      </c>
      <c r="J418" s="1897">
        <v>0</v>
      </c>
      <c r="K418" s="1897">
        <v>0</v>
      </c>
      <c r="L418" s="1897">
        <v>0</v>
      </c>
      <c r="M418" s="1899">
        <f t="shared" si="45"/>
        <v>0</v>
      </c>
      <c r="N418" s="1897">
        <v>0</v>
      </c>
      <c r="O418" s="1900">
        <f t="shared" si="46"/>
        <v>0</v>
      </c>
      <c r="P418" s="3290" t="s">
        <v>385</v>
      </c>
      <c r="Q418" s="3290"/>
      <c r="R418" s="1877"/>
      <c r="S418" s="1871"/>
      <c r="T418" s="1871"/>
      <c r="U418" s="1871"/>
      <c r="V418" s="1871"/>
      <c r="W418" s="1871"/>
      <c r="X418" s="1871"/>
      <c r="Y418" s="1871"/>
      <c r="Z418" s="1871"/>
      <c r="AA418" s="1871"/>
      <c r="AB418" s="1871"/>
      <c r="AC418" s="1871"/>
      <c r="AD418" s="1871"/>
      <c r="AE418" s="1871"/>
      <c r="AF418" s="1871"/>
      <c r="AG418" s="1871"/>
      <c r="AH418" s="1871"/>
      <c r="AI418" s="1871"/>
      <c r="AJ418" s="1871"/>
      <c r="AK418" s="1871"/>
      <c r="AL418" s="1871"/>
      <c r="AM418" s="1871"/>
      <c r="AN418" s="1871"/>
      <c r="AO418" s="1871"/>
      <c r="AP418" s="1871"/>
      <c r="AQ418" s="1871"/>
      <c r="AR418" s="1871"/>
      <c r="AS418" s="1871"/>
      <c r="AT418" s="1871"/>
      <c r="AU418" s="1871"/>
      <c r="AV418" s="1871"/>
      <c r="AW418" s="1871"/>
      <c r="AX418" s="1871"/>
      <c r="AY418" s="1871"/>
      <c r="AZ418" s="1871"/>
      <c r="BA418" s="1871"/>
      <c r="BB418" s="1871"/>
      <c r="BC418" s="1871"/>
      <c r="BD418" s="1871"/>
      <c r="BE418" s="1871"/>
      <c r="BF418" s="1871"/>
      <c r="BG418" s="1871"/>
      <c r="BH418" s="1871"/>
      <c r="BI418" s="1871"/>
      <c r="BJ418" s="1871"/>
      <c r="BK418" s="1871"/>
      <c r="BL418" s="1871"/>
      <c r="BM418" s="1871"/>
      <c r="BN418" s="1871"/>
      <c r="BO418" s="1871"/>
      <c r="BP418" s="1871"/>
      <c r="BQ418" s="1871"/>
      <c r="BR418" s="1871"/>
      <c r="BS418" s="1871"/>
      <c r="BT418" s="1871"/>
      <c r="BU418" s="1871"/>
      <c r="BV418" s="1871"/>
      <c r="BW418" s="1871"/>
      <c r="BX418" s="1871"/>
      <c r="BY418" s="1871"/>
      <c r="BZ418" s="1871"/>
      <c r="CA418" s="1871"/>
      <c r="CB418" s="1871"/>
      <c r="CC418" s="1871"/>
      <c r="CD418" s="1871"/>
      <c r="CE418" s="1871"/>
      <c r="CF418" s="1871"/>
      <c r="CG418" s="1871"/>
      <c r="CH418" s="1871"/>
      <c r="CI418" s="1871"/>
      <c r="CJ418" s="1871"/>
      <c r="CK418" s="1871"/>
      <c r="CL418" s="1871"/>
      <c r="CM418" s="1871"/>
      <c r="CN418" s="1871"/>
      <c r="CO418" s="1871"/>
      <c r="CP418" s="1871"/>
      <c r="CQ418" s="1871"/>
      <c r="CR418" s="1871"/>
      <c r="CS418" s="1871"/>
      <c r="CT418" s="1871"/>
      <c r="CU418" s="1871"/>
      <c r="CV418" s="1871"/>
      <c r="CW418" s="1871"/>
      <c r="CX418" s="1871"/>
      <c r="CY418" s="1871"/>
      <c r="CZ418" s="1871"/>
      <c r="DA418" s="1871"/>
      <c r="DB418" s="1871"/>
      <c r="DC418" s="1871"/>
      <c r="DD418" s="1871"/>
      <c r="DE418" s="1871"/>
      <c r="DF418" s="1871"/>
      <c r="DG418" s="1871"/>
      <c r="DH418" s="1871"/>
      <c r="DI418" s="1871"/>
      <c r="DJ418" s="1871"/>
      <c r="DK418" s="1871"/>
      <c r="DL418" s="1871"/>
      <c r="DM418" s="1871"/>
      <c r="DN418" s="1871"/>
      <c r="DO418" s="1871"/>
      <c r="DP418" s="1871"/>
      <c r="DQ418" s="1871"/>
      <c r="DR418" s="1871"/>
      <c r="DS418" s="1871"/>
      <c r="DT418" s="1871"/>
      <c r="DU418" s="1871"/>
      <c r="DV418" s="1871"/>
      <c r="DW418" s="1871"/>
      <c r="DX418" s="1871"/>
      <c r="DY418" s="1871"/>
      <c r="DZ418" s="1871"/>
      <c r="EA418" s="1871"/>
      <c r="EB418" s="1871"/>
      <c r="EC418" s="1871"/>
      <c r="ED418" s="1871"/>
      <c r="EE418" s="1871"/>
      <c r="EF418" s="1871"/>
      <c r="EG418" s="1871"/>
      <c r="EH418" s="1871"/>
      <c r="EI418" s="1871"/>
      <c r="EJ418" s="1871"/>
      <c r="EK418" s="1871"/>
      <c r="EL418" s="1871"/>
      <c r="EM418" s="1871"/>
      <c r="EN418" s="1871"/>
      <c r="EO418" s="1871"/>
      <c r="EP418" s="1871"/>
      <c r="EQ418" s="1871"/>
      <c r="ER418" s="1871"/>
      <c r="ES418" s="1871"/>
      <c r="ET418" s="1871"/>
      <c r="EU418" s="1871"/>
      <c r="EV418" s="1871"/>
      <c r="EW418" s="1871"/>
      <c r="EX418" s="1871"/>
      <c r="EY418" s="1871"/>
      <c r="EZ418" s="1871"/>
      <c r="FA418" s="1871"/>
      <c r="FB418" s="1871"/>
      <c r="FC418" s="1871"/>
      <c r="FD418" s="1871"/>
      <c r="FE418" s="1871"/>
      <c r="FF418" s="1871"/>
      <c r="FG418" s="1871"/>
      <c r="FH418" s="1871"/>
      <c r="FI418" s="1871"/>
      <c r="FJ418" s="1871"/>
      <c r="FK418" s="1871"/>
      <c r="FL418" s="1871"/>
      <c r="FM418" s="1871"/>
      <c r="FN418" s="1871"/>
      <c r="FO418" s="1871"/>
      <c r="FP418" s="1871"/>
      <c r="FQ418" s="1871"/>
      <c r="FR418" s="1871"/>
      <c r="FS418" s="1871"/>
      <c r="FT418" s="1871"/>
      <c r="FU418" s="1871"/>
      <c r="FV418" s="1871"/>
      <c r="FW418" s="1871"/>
      <c r="FX418" s="1871"/>
      <c r="FY418" s="1871"/>
      <c r="FZ418" s="1871"/>
      <c r="GA418" s="1871"/>
      <c r="GB418" s="1871"/>
      <c r="GC418" s="1871"/>
      <c r="GD418" s="1871"/>
      <c r="GE418" s="1871"/>
      <c r="GF418" s="1871"/>
      <c r="GG418" s="1871"/>
      <c r="GH418" s="1871"/>
      <c r="GI418" s="1871"/>
      <c r="GJ418" s="1871"/>
      <c r="GK418" s="1871"/>
      <c r="GL418" s="1871"/>
      <c r="GM418" s="1871"/>
      <c r="GN418" s="1871"/>
      <c r="GO418" s="1871"/>
      <c r="GP418" s="1871"/>
      <c r="GQ418" s="1871"/>
      <c r="GR418" s="1871"/>
      <c r="GS418" s="1871"/>
      <c r="GT418" s="1871"/>
      <c r="GU418" s="1871"/>
      <c r="GV418" s="1871"/>
      <c r="GW418" s="1871"/>
      <c r="GX418" s="1871"/>
      <c r="GY418" s="1871"/>
      <c r="GZ418" s="1871"/>
      <c r="HA418" s="1871"/>
      <c r="HB418" s="1871"/>
      <c r="HC418" s="1871"/>
      <c r="HD418" s="1871"/>
      <c r="HE418" s="1871"/>
      <c r="HF418" s="1871"/>
      <c r="HG418" s="1871"/>
      <c r="HH418" s="1871"/>
      <c r="HI418" s="1871"/>
      <c r="HJ418" s="1871"/>
      <c r="HK418" s="1871"/>
      <c r="HL418" s="1871"/>
      <c r="HM418" s="1871"/>
      <c r="HN418" s="1871"/>
      <c r="HO418" s="1871"/>
      <c r="HP418" s="1871"/>
      <c r="HQ418" s="1871"/>
      <c r="HR418" s="1871"/>
      <c r="HS418" s="1871"/>
      <c r="HT418" s="1871"/>
      <c r="HU418" s="1871"/>
      <c r="HV418" s="1871"/>
      <c r="HW418" s="1871"/>
      <c r="HX418" s="1871"/>
      <c r="HY418" s="1871"/>
      <c r="HZ418" s="1871"/>
      <c r="IA418" s="1871"/>
      <c r="IB418" s="1871"/>
      <c r="IC418" s="1871"/>
      <c r="ID418" s="1871"/>
      <c r="IE418" s="1871"/>
      <c r="IF418" s="1871"/>
      <c r="IG418" s="1871"/>
      <c r="IH418" s="1871"/>
      <c r="II418" s="1871"/>
      <c r="IJ418" s="1871"/>
      <c r="IK418" s="1871"/>
      <c r="IL418" s="1871"/>
      <c r="IM418" s="1871"/>
      <c r="IN418" s="1871"/>
    </row>
    <row r="419" spans="1:248">
      <c r="A419" s="1870" t="s">
        <v>1963</v>
      </c>
      <c r="B419" s="1879" t="s">
        <v>1964</v>
      </c>
      <c r="C419" s="1880" t="s">
        <v>1965</v>
      </c>
      <c r="D419" s="1897">
        <v>0</v>
      </c>
      <c r="E419" s="1897">
        <v>0</v>
      </c>
      <c r="F419" s="1897">
        <v>0</v>
      </c>
      <c r="G419" s="1897">
        <v>0</v>
      </c>
      <c r="H419" s="1897">
        <v>0</v>
      </c>
      <c r="I419" s="1897">
        <v>0</v>
      </c>
      <c r="J419" s="1897">
        <v>0</v>
      </c>
      <c r="K419" s="1897">
        <v>0</v>
      </c>
      <c r="L419" s="1897">
        <v>0</v>
      </c>
      <c r="M419" s="1899">
        <f t="shared" si="45"/>
        <v>0</v>
      </c>
      <c r="N419" s="1897">
        <v>0</v>
      </c>
      <c r="O419" s="1900">
        <f t="shared" si="46"/>
        <v>0</v>
      </c>
      <c r="P419" s="3290" t="s">
        <v>385</v>
      </c>
      <c r="Q419" s="3290"/>
      <c r="R419" s="1877"/>
      <c r="S419" s="1871"/>
      <c r="T419" s="1871"/>
      <c r="U419" s="1871"/>
      <c r="V419" s="1871"/>
      <c r="W419" s="1871"/>
      <c r="X419" s="1871"/>
      <c r="Y419" s="1871"/>
      <c r="Z419" s="1871"/>
      <c r="AA419" s="1871"/>
      <c r="AB419" s="1871"/>
      <c r="AC419" s="1871"/>
      <c r="AD419" s="1871"/>
      <c r="AE419" s="1871"/>
      <c r="AF419" s="1871"/>
      <c r="AG419" s="1871"/>
      <c r="AH419" s="1871"/>
      <c r="AI419" s="1871"/>
      <c r="AJ419" s="1871"/>
      <c r="AK419" s="1871"/>
      <c r="AL419" s="1871"/>
      <c r="AM419" s="1871"/>
      <c r="AN419" s="1871"/>
      <c r="AO419" s="1871"/>
      <c r="AP419" s="1871"/>
      <c r="AQ419" s="1871"/>
      <c r="AR419" s="1871"/>
      <c r="AS419" s="1871"/>
      <c r="AT419" s="1871"/>
      <c r="AU419" s="1871"/>
      <c r="AV419" s="1871"/>
      <c r="AW419" s="1871"/>
      <c r="AX419" s="1871"/>
      <c r="AY419" s="1871"/>
      <c r="AZ419" s="1871"/>
      <c r="BA419" s="1871"/>
      <c r="BB419" s="1871"/>
      <c r="BC419" s="1871"/>
      <c r="BD419" s="1871"/>
      <c r="BE419" s="1871"/>
      <c r="BF419" s="1871"/>
      <c r="BG419" s="1871"/>
      <c r="BH419" s="1871"/>
      <c r="BI419" s="1871"/>
      <c r="BJ419" s="1871"/>
      <c r="BK419" s="1871"/>
      <c r="BL419" s="1871"/>
      <c r="BM419" s="1871"/>
      <c r="BN419" s="1871"/>
      <c r="BO419" s="1871"/>
      <c r="BP419" s="1871"/>
      <c r="BQ419" s="1871"/>
      <c r="BR419" s="1871"/>
      <c r="BS419" s="1871"/>
      <c r="BT419" s="1871"/>
      <c r="BU419" s="1871"/>
      <c r="BV419" s="1871"/>
      <c r="BW419" s="1871"/>
      <c r="BX419" s="1871"/>
      <c r="BY419" s="1871"/>
      <c r="BZ419" s="1871"/>
      <c r="CA419" s="1871"/>
      <c r="CB419" s="1871"/>
      <c r="CC419" s="1871"/>
      <c r="CD419" s="1871"/>
      <c r="CE419" s="1871"/>
      <c r="CF419" s="1871"/>
      <c r="CG419" s="1871"/>
      <c r="CH419" s="1871"/>
      <c r="CI419" s="1871"/>
      <c r="CJ419" s="1871"/>
      <c r="CK419" s="1871"/>
      <c r="CL419" s="1871"/>
      <c r="CM419" s="1871"/>
      <c r="CN419" s="1871"/>
      <c r="CO419" s="1871"/>
      <c r="CP419" s="1871"/>
      <c r="CQ419" s="1871"/>
      <c r="CR419" s="1871"/>
      <c r="CS419" s="1871"/>
      <c r="CT419" s="1871"/>
      <c r="CU419" s="1871"/>
      <c r="CV419" s="1871"/>
      <c r="CW419" s="1871"/>
      <c r="CX419" s="1871"/>
      <c r="CY419" s="1871"/>
      <c r="CZ419" s="1871"/>
      <c r="DA419" s="1871"/>
      <c r="DB419" s="1871"/>
      <c r="DC419" s="1871"/>
      <c r="DD419" s="1871"/>
      <c r="DE419" s="1871"/>
      <c r="DF419" s="1871"/>
      <c r="DG419" s="1871"/>
      <c r="DH419" s="1871"/>
      <c r="DI419" s="1871"/>
      <c r="DJ419" s="1871"/>
      <c r="DK419" s="1871"/>
      <c r="DL419" s="1871"/>
      <c r="DM419" s="1871"/>
      <c r="DN419" s="1871"/>
      <c r="DO419" s="1871"/>
      <c r="DP419" s="1871"/>
      <c r="DQ419" s="1871"/>
      <c r="DR419" s="1871"/>
      <c r="DS419" s="1871"/>
      <c r="DT419" s="1871"/>
      <c r="DU419" s="1871"/>
      <c r="DV419" s="1871"/>
      <c r="DW419" s="1871"/>
      <c r="DX419" s="1871"/>
      <c r="DY419" s="1871"/>
      <c r="DZ419" s="1871"/>
      <c r="EA419" s="1871"/>
      <c r="EB419" s="1871"/>
      <c r="EC419" s="1871"/>
      <c r="ED419" s="1871"/>
      <c r="EE419" s="1871"/>
      <c r="EF419" s="1871"/>
      <c r="EG419" s="1871"/>
      <c r="EH419" s="1871"/>
      <c r="EI419" s="1871"/>
      <c r="EJ419" s="1871"/>
      <c r="EK419" s="1871"/>
      <c r="EL419" s="1871"/>
      <c r="EM419" s="1871"/>
      <c r="EN419" s="1871"/>
      <c r="EO419" s="1871"/>
      <c r="EP419" s="1871"/>
      <c r="EQ419" s="1871"/>
      <c r="ER419" s="1871"/>
      <c r="ES419" s="1871"/>
      <c r="ET419" s="1871"/>
      <c r="EU419" s="1871"/>
      <c r="EV419" s="1871"/>
      <c r="EW419" s="1871"/>
      <c r="EX419" s="1871"/>
      <c r="EY419" s="1871"/>
      <c r="EZ419" s="1871"/>
      <c r="FA419" s="1871"/>
      <c r="FB419" s="1871"/>
      <c r="FC419" s="1871"/>
      <c r="FD419" s="1871"/>
      <c r="FE419" s="1871"/>
      <c r="FF419" s="1871"/>
      <c r="FG419" s="1871"/>
      <c r="FH419" s="1871"/>
      <c r="FI419" s="1871"/>
      <c r="FJ419" s="1871"/>
      <c r="FK419" s="1871"/>
      <c r="FL419" s="1871"/>
      <c r="FM419" s="1871"/>
      <c r="FN419" s="1871"/>
      <c r="FO419" s="1871"/>
      <c r="FP419" s="1871"/>
      <c r="FQ419" s="1871"/>
      <c r="FR419" s="1871"/>
      <c r="FS419" s="1871"/>
      <c r="FT419" s="1871"/>
      <c r="FU419" s="1871"/>
      <c r="FV419" s="1871"/>
      <c r="FW419" s="1871"/>
      <c r="FX419" s="1871"/>
      <c r="FY419" s="1871"/>
      <c r="FZ419" s="1871"/>
      <c r="GA419" s="1871"/>
      <c r="GB419" s="1871"/>
      <c r="GC419" s="1871"/>
      <c r="GD419" s="1871"/>
      <c r="GE419" s="1871"/>
      <c r="GF419" s="1871"/>
      <c r="GG419" s="1871"/>
      <c r="GH419" s="1871"/>
      <c r="GI419" s="1871"/>
      <c r="GJ419" s="1871"/>
      <c r="GK419" s="1871"/>
      <c r="GL419" s="1871"/>
      <c r="GM419" s="1871"/>
      <c r="GN419" s="1871"/>
      <c r="GO419" s="1871"/>
      <c r="GP419" s="1871"/>
      <c r="GQ419" s="1871"/>
      <c r="GR419" s="1871"/>
      <c r="GS419" s="1871"/>
      <c r="GT419" s="1871"/>
      <c r="GU419" s="1871"/>
      <c r="GV419" s="1871"/>
      <c r="GW419" s="1871"/>
      <c r="GX419" s="1871"/>
      <c r="GY419" s="1871"/>
      <c r="GZ419" s="1871"/>
      <c r="HA419" s="1871"/>
      <c r="HB419" s="1871"/>
      <c r="HC419" s="1871"/>
      <c r="HD419" s="1871"/>
      <c r="HE419" s="1871"/>
      <c r="HF419" s="1871"/>
      <c r="HG419" s="1871"/>
      <c r="HH419" s="1871"/>
      <c r="HI419" s="1871"/>
      <c r="HJ419" s="1871"/>
      <c r="HK419" s="1871"/>
      <c r="HL419" s="1871"/>
      <c r="HM419" s="1871"/>
      <c r="HN419" s="1871"/>
      <c r="HO419" s="1871"/>
      <c r="HP419" s="1871"/>
      <c r="HQ419" s="1871"/>
      <c r="HR419" s="1871"/>
      <c r="HS419" s="1871"/>
      <c r="HT419" s="1871"/>
      <c r="HU419" s="1871"/>
      <c r="HV419" s="1871"/>
      <c r="HW419" s="1871"/>
      <c r="HX419" s="1871"/>
      <c r="HY419" s="1871"/>
      <c r="HZ419" s="1871"/>
      <c r="IA419" s="1871"/>
      <c r="IB419" s="1871"/>
      <c r="IC419" s="1871"/>
      <c r="ID419" s="1871"/>
      <c r="IE419" s="1871"/>
      <c r="IF419" s="1871"/>
      <c r="IG419" s="1871"/>
      <c r="IH419" s="1871"/>
      <c r="II419" s="1871"/>
      <c r="IJ419" s="1871"/>
      <c r="IK419" s="1871"/>
      <c r="IL419" s="1871"/>
      <c r="IM419" s="1871"/>
      <c r="IN419" s="1871"/>
    </row>
    <row r="420" spans="1:248">
      <c r="A420" s="1870" t="s">
        <v>1966</v>
      </c>
      <c r="B420" s="1879" t="s">
        <v>1967</v>
      </c>
      <c r="C420" s="1880" t="s">
        <v>1968</v>
      </c>
      <c r="D420" s="1897">
        <v>0</v>
      </c>
      <c r="E420" s="1897">
        <v>0</v>
      </c>
      <c r="F420" s="1897">
        <v>0</v>
      </c>
      <c r="G420" s="1897">
        <v>0</v>
      </c>
      <c r="H420" s="1897">
        <v>0</v>
      </c>
      <c r="I420" s="1897">
        <v>0</v>
      </c>
      <c r="J420" s="1897">
        <v>0</v>
      </c>
      <c r="K420" s="1897">
        <v>0</v>
      </c>
      <c r="L420" s="1897">
        <v>0</v>
      </c>
      <c r="M420" s="1899">
        <f t="shared" si="45"/>
        <v>0</v>
      </c>
      <c r="N420" s="1897">
        <v>0</v>
      </c>
      <c r="O420" s="1900">
        <f t="shared" si="46"/>
        <v>0</v>
      </c>
      <c r="P420" s="3290" t="s">
        <v>385</v>
      </c>
      <c r="Q420" s="3290"/>
      <c r="R420" s="1877"/>
      <c r="S420" s="1871"/>
      <c r="T420" s="1871"/>
      <c r="U420" s="1871"/>
      <c r="V420" s="1871"/>
      <c r="W420" s="1871"/>
      <c r="X420" s="1871"/>
      <c r="Y420" s="1871"/>
      <c r="Z420" s="1871"/>
      <c r="AA420" s="1871"/>
      <c r="AB420" s="1871"/>
      <c r="AC420" s="1871"/>
      <c r="AD420" s="1871"/>
      <c r="AE420" s="1871"/>
      <c r="AF420" s="1871"/>
      <c r="AG420" s="1871"/>
      <c r="AH420" s="1871"/>
      <c r="AI420" s="1871"/>
      <c r="AJ420" s="1871"/>
      <c r="AK420" s="1871"/>
      <c r="AL420" s="1871"/>
      <c r="AM420" s="1871"/>
      <c r="AN420" s="1871"/>
      <c r="AO420" s="1871"/>
      <c r="AP420" s="1871"/>
      <c r="AQ420" s="1871"/>
      <c r="AR420" s="1871"/>
      <c r="AS420" s="1871"/>
      <c r="AT420" s="1871"/>
      <c r="AU420" s="1871"/>
      <c r="AV420" s="1871"/>
      <c r="AW420" s="1871"/>
      <c r="AX420" s="1871"/>
      <c r="AY420" s="1871"/>
      <c r="AZ420" s="1871"/>
      <c r="BA420" s="1871"/>
      <c r="BB420" s="1871"/>
      <c r="BC420" s="1871"/>
      <c r="BD420" s="1871"/>
      <c r="BE420" s="1871"/>
      <c r="BF420" s="1871"/>
      <c r="BG420" s="1871"/>
      <c r="BH420" s="1871"/>
      <c r="BI420" s="1871"/>
      <c r="BJ420" s="1871"/>
      <c r="BK420" s="1871"/>
      <c r="BL420" s="1871"/>
      <c r="BM420" s="1871"/>
      <c r="BN420" s="1871"/>
      <c r="BO420" s="1871"/>
      <c r="BP420" s="1871"/>
      <c r="BQ420" s="1871"/>
      <c r="BR420" s="1871"/>
      <c r="BS420" s="1871"/>
      <c r="BT420" s="1871"/>
      <c r="BU420" s="1871"/>
      <c r="BV420" s="1871"/>
      <c r="BW420" s="1871"/>
      <c r="BX420" s="1871"/>
      <c r="BY420" s="1871"/>
      <c r="BZ420" s="1871"/>
      <c r="CA420" s="1871"/>
      <c r="CB420" s="1871"/>
      <c r="CC420" s="1871"/>
      <c r="CD420" s="1871"/>
      <c r="CE420" s="1871"/>
      <c r="CF420" s="1871"/>
      <c r="CG420" s="1871"/>
      <c r="CH420" s="1871"/>
      <c r="CI420" s="1871"/>
      <c r="CJ420" s="1871"/>
      <c r="CK420" s="1871"/>
      <c r="CL420" s="1871"/>
      <c r="CM420" s="1871"/>
      <c r="CN420" s="1871"/>
      <c r="CO420" s="1871"/>
      <c r="CP420" s="1871"/>
      <c r="CQ420" s="1871"/>
      <c r="CR420" s="1871"/>
      <c r="CS420" s="1871"/>
      <c r="CT420" s="1871"/>
      <c r="CU420" s="1871"/>
      <c r="CV420" s="1871"/>
      <c r="CW420" s="1871"/>
      <c r="CX420" s="1871"/>
      <c r="CY420" s="1871"/>
      <c r="CZ420" s="1871"/>
      <c r="DA420" s="1871"/>
      <c r="DB420" s="1871"/>
      <c r="DC420" s="1871"/>
      <c r="DD420" s="1871"/>
      <c r="DE420" s="1871"/>
      <c r="DF420" s="1871"/>
      <c r="DG420" s="1871"/>
      <c r="DH420" s="1871"/>
      <c r="DI420" s="1871"/>
      <c r="DJ420" s="1871"/>
      <c r="DK420" s="1871"/>
      <c r="DL420" s="1871"/>
      <c r="DM420" s="1871"/>
      <c r="DN420" s="1871"/>
      <c r="DO420" s="1871"/>
      <c r="DP420" s="1871"/>
      <c r="DQ420" s="1871"/>
      <c r="DR420" s="1871"/>
      <c r="DS420" s="1871"/>
      <c r="DT420" s="1871"/>
      <c r="DU420" s="1871"/>
      <c r="DV420" s="1871"/>
      <c r="DW420" s="1871"/>
      <c r="DX420" s="1871"/>
      <c r="DY420" s="1871"/>
      <c r="DZ420" s="1871"/>
      <c r="EA420" s="1871"/>
      <c r="EB420" s="1871"/>
      <c r="EC420" s="1871"/>
      <c r="ED420" s="1871"/>
      <c r="EE420" s="1871"/>
      <c r="EF420" s="1871"/>
      <c r="EG420" s="1871"/>
      <c r="EH420" s="1871"/>
      <c r="EI420" s="1871"/>
      <c r="EJ420" s="1871"/>
      <c r="EK420" s="1871"/>
      <c r="EL420" s="1871"/>
      <c r="EM420" s="1871"/>
      <c r="EN420" s="1871"/>
      <c r="EO420" s="1871"/>
      <c r="EP420" s="1871"/>
      <c r="EQ420" s="1871"/>
      <c r="ER420" s="1871"/>
      <c r="ES420" s="1871"/>
      <c r="ET420" s="1871"/>
      <c r="EU420" s="1871"/>
      <c r="EV420" s="1871"/>
      <c r="EW420" s="1871"/>
      <c r="EX420" s="1871"/>
      <c r="EY420" s="1871"/>
      <c r="EZ420" s="1871"/>
      <c r="FA420" s="1871"/>
      <c r="FB420" s="1871"/>
      <c r="FC420" s="1871"/>
      <c r="FD420" s="1871"/>
      <c r="FE420" s="1871"/>
      <c r="FF420" s="1871"/>
      <c r="FG420" s="1871"/>
      <c r="FH420" s="1871"/>
      <c r="FI420" s="1871"/>
      <c r="FJ420" s="1871"/>
      <c r="FK420" s="1871"/>
      <c r="FL420" s="1871"/>
      <c r="FM420" s="1871"/>
      <c r="FN420" s="1871"/>
      <c r="FO420" s="1871"/>
      <c r="FP420" s="1871"/>
      <c r="FQ420" s="1871"/>
      <c r="FR420" s="1871"/>
      <c r="FS420" s="1871"/>
      <c r="FT420" s="1871"/>
      <c r="FU420" s="1871"/>
      <c r="FV420" s="1871"/>
      <c r="FW420" s="1871"/>
      <c r="FX420" s="1871"/>
      <c r="FY420" s="1871"/>
      <c r="FZ420" s="1871"/>
      <c r="GA420" s="1871"/>
      <c r="GB420" s="1871"/>
      <c r="GC420" s="1871"/>
      <c r="GD420" s="1871"/>
      <c r="GE420" s="1871"/>
      <c r="GF420" s="1871"/>
      <c r="GG420" s="1871"/>
      <c r="GH420" s="1871"/>
      <c r="GI420" s="1871"/>
      <c r="GJ420" s="1871"/>
      <c r="GK420" s="1871"/>
      <c r="GL420" s="1871"/>
      <c r="GM420" s="1871"/>
      <c r="GN420" s="1871"/>
      <c r="GO420" s="1871"/>
      <c r="GP420" s="1871"/>
      <c r="GQ420" s="1871"/>
      <c r="GR420" s="1871"/>
      <c r="GS420" s="1871"/>
      <c r="GT420" s="1871"/>
      <c r="GU420" s="1871"/>
      <c r="GV420" s="1871"/>
      <c r="GW420" s="1871"/>
      <c r="GX420" s="1871"/>
      <c r="GY420" s="1871"/>
      <c r="GZ420" s="1871"/>
      <c r="HA420" s="1871"/>
      <c r="HB420" s="1871"/>
      <c r="HC420" s="1871"/>
      <c r="HD420" s="1871"/>
      <c r="HE420" s="1871"/>
      <c r="HF420" s="1871"/>
      <c r="HG420" s="1871"/>
      <c r="HH420" s="1871"/>
      <c r="HI420" s="1871"/>
      <c r="HJ420" s="1871"/>
      <c r="HK420" s="1871"/>
      <c r="HL420" s="1871"/>
      <c r="HM420" s="1871"/>
      <c r="HN420" s="1871"/>
      <c r="HO420" s="1871"/>
      <c r="HP420" s="1871"/>
      <c r="HQ420" s="1871"/>
      <c r="HR420" s="1871"/>
      <c r="HS420" s="1871"/>
      <c r="HT420" s="1871"/>
      <c r="HU420" s="1871"/>
      <c r="HV420" s="1871"/>
      <c r="HW420" s="1871"/>
      <c r="HX420" s="1871"/>
      <c r="HY420" s="1871"/>
      <c r="HZ420" s="1871"/>
      <c r="IA420" s="1871"/>
      <c r="IB420" s="1871"/>
      <c r="IC420" s="1871"/>
      <c r="ID420" s="1871"/>
      <c r="IE420" s="1871"/>
      <c r="IF420" s="1871"/>
      <c r="IG420" s="1871"/>
      <c r="IH420" s="1871"/>
      <c r="II420" s="1871"/>
      <c r="IJ420" s="1871"/>
      <c r="IK420" s="1871"/>
      <c r="IL420" s="1871"/>
      <c r="IM420" s="1871"/>
      <c r="IN420" s="1871"/>
    </row>
    <row r="421" spans="1:248">
      <c r="A421" s="1870"/>
      <c r="B421" s="1879" t="s">
        <v>1969</v>
      </c>
      <c r="C421" s="1880" t="s">
        <v>1970</v>
      </c>
      <c r="D421" s="1897">
        <v>0</v>
      </c>
      <c r="E421" s="1897">
        <v>0</v>
      </c>
      <c r="F421" s="1897">
        <v>0</v>
      </c>
      <c r="G421" s="1897">
        <v>0</v>
      </c>
      <c r="H421" s="1897">
        <v>0</v>
      </c>
      <c r="I421" s="1897">
        <v>0</v>
      </c>
      <c r="J421" s="1897">
        <v>0</v>
      </c>
      <c r="K421" s="1897">
        <v>0</v>
      </c>
      <c r="L421" s="1897">
        <v>0</v>
      </c>
      <c r="M421" s="1899">
        <f t="shared" si="45"/>
        <v>0</v>
      </c>
      <c r="N421" s="1897">
        <v>0</v>
      </c>
      <c r="O421" s="1900">
        <f t="shared" si="46"/>
        <v>0</v>
      </c>
      <c r="P421" s="3290" t="s">
        <v>385</v>
      </c>
      <c r="Q421" s="3290"/>
      <c r="R421" s="1877"/>
      <c r="S421" s="1871"/>
      <c r="T421" s="1871"/>
      <c r="U421" s="1871"/>
      <c r="V421" s="1871"/>
      <c r="W421" s="1871"/>
      <c r="X421" s="1871"/>
      <c r="Y421" s="1871"/>
      <c r="Z421" s="1871"/>
      <c r="AA421" s="1871"/>
      <c r="AB421" s="1871"/>
      <c r="AC421" s="1871"/>
      <c r="AD421" s="1871"/>
      <c r="AE421" s="1871"/>
      <c r="AF421" s="1871"/>
      <c r="AG421" s="1871"/>
      <c r="AH421" s="1871"/>
      <c r="AI421" s="1871"/>
      <c r="AJ421" s="1871"/>
      <c r="AK421" s="1871"/>
      <c r="AL421" s="1871"/>
      <c r="AM421" s="1871"/>
      <c r="AN421" s="1871"/>
      <c r="AO421" s="1871"/>
      <c r="AP421" s="1871"/>
      <c r="AQ421" s="1871"/>
      <c r="AR421" s="1871"/>
      <c r="AS421" s="1871"/>
      <c r="AT421" s="1871"/>
      <c r="AU421" s="1871"/>
      <c r="AV421" s="1871"/>
      <c r="AW421" s="1871"/>
      <c r="AX421" s="1871"/>
      <c r="AY421" s="1871"/>
      <c r="AZ421" s="1871"/>
      <c r="BA421" s="1871"/>
      <c r="BB421" s="1871"/>
      <c r="BC421" s="1871"/>
      <c r="BD421" s="1871"/>
      <c r="BE421" s="1871"/>
      <c r="BF421" s="1871"/>
      <c r="BG421" s="1871"/>
      <c r="BH421" s="1871"/>
      <c r="BI421" s="1871"/>
      <c r="BJ421" s="1871"/>
      <c r="BK421" s="1871"/>
      <c r="BL421" s="1871"/>
      <c r="BM421" s="1871"/>
      <c r="BN421" s="1871"/>
      <c r="BO421" s="1871"/>
      <c r="BP421" s="1871"/>
      <c r="BQ421" s="1871"/>
      <c r="BR421" s="1871"/>
      <c r="BS421" s="1871"/>
      <c r="BT421" s="1871"/>
      <c r="BU421" s="1871"/>
      <c r="BV421" s="1871"/>
      <c r="BW421" s="1871"/>
      <c r="BX421" s="1871"/>
      <c r="BY421" s="1871"/>
      <c r="BZ421" s="1871"/>
      <c r="CA421" s="1871"/>
      <c r="CB421" s="1871"/>
      <c r="CC421" s="1871"/>
      <c r="CD421" s="1871"/>
      <c r="CE421" s="1871"/>
      <c r="CF421" s="1871"/>
      <c r="CG421" s="1871"/>
      <c r="CH421" s="1871"/>
      <c r="CI421" s="1871"/>
      <c r="CJ421" s="1871"/>
      <c r="CK421" s="1871"/>
      <c r="CL421" s="1871"/>
      <c r="CM421" s="1871"/>
      <c r="CN421" s="1871"/>
      <c r="CO421" s="1871"/>
      <c r="CP421" s="1871"/>
      <c r="CQ421" s="1871"/>
      <c r="CR421" s="1871"/>
      <c r="CS421" s="1871"/>
      <c r="CT421" s="1871"/>
      <c r="CU421" s="1871"/>
      <c r="CV421" s="1871"/>
      <c r="CW421" s="1871"/>
      <c r="CX421" s="1871"/>
      <c r="CY421" s="1871"/>
      <c r="CZ421" s="1871"/>
      <c r="DA421" s="1871"/>
      <c r="DB421" s="1871"/>
      <c r="DC421" s="1871"/>
      <c r="DD421" s="1871"/>
      <c r="DE421" s="1871"/>
      <c r="DF421" s="1871"/>
      <c r="DG421" s="1871"/>
      <c r="DH421" s="1871"/>
      <c r="DI421" s="1871"/>
      <c r="DJ421" s="1871"/>
      <c r="DK421" s="1871"/>
      <c r="DL421" s="1871"/>
      <c r="DM421" s="1871"/>
      <c r="DN421" s="1871"/>
      <c r="DO421" s="1871"/>
      <c r="DP421" s="1871"/>
      <c r="DQ421" s="1871"/>
      <c r="DR421" s="1871"/>
      <c r="DS421" s="1871"/>
      <c r="DT421" s="1871"/>
      <c r="DU421" s="1871"/>
      <c r="DV421" s="1871"/>
      <c r="DW421" s="1871"/>
      <c r="DX421" s="1871"/>
      <c r="DY421" s="1871"/>
      <c r="DZ421" s="1871"/>
      <c r="EA421" s="1871"/>
      <c r="EB421" s="1871"/>
      <c r="EC421" s="1871"/>
      <c r="ED421" s="1871"/>
      <c r="EE421" s="1871"/>
      <c r="EF421" s="1871"/>
      <c r="EG421" s="1871"/>
      <c r="EH421" s="1871"/>
      <c r="EI421" s="1871"/>
      <c r="EJ421" s="1871"/>
      <c r="EK421" s="1871"/>
      <c r="EL421" s="1871"/>
      <c r="EM421" s="1871"/>
      <c r="EN421" s="1871"/>
      <c r="EO421" s="1871"/>
      <c r="EP421" s="1871"/>
      <c r="EQ421" s="1871"/>
      <c r="ER421" s="1871"/>
      <c r="ES421" s="1871"/>
      <c r="ET421" s="1871"/>
      <c r="EU421" s="1871"/>
      <c r="EV421" s="1871"/>
      <c r="EW421" s="1871"/>
      <c r="EX421" s="1871"/>
      <c r="EY421" s="1871"/>
      <c r="EZ421" s="1871"/>
      <c r="FA421" s="1871"/>
      <c r="FB421" s="1871"/>
      <c r="FC421" s="1871"/>
      <c r="FD421" s="1871"/>
      <c r="FE421" s="1871"/>
      <c r="FF421" s="1871"/>
      <c r="FG421" s="1871"/>
      <c r="FH421" s="1871"/>
      <c r="FI421" s="1871"/>
      <c r="FJ421" s="1871"/>
      <c r="FK421" s="1871"/>
      <c r="FL421" s="1871"/>
      <c r="FM421" s="1871"/>
      <c r="FN421" s="1871"/>
      <c r="FO421" s="1871"/>
      <c r="FP421" s="1871"/>
      <c r="FQ421" s="1871"/>
      <c r="FR421" s="1871"/>
      <c r="FS421" s="1871"/>
      <c r="FT421" s="1871"/>
      <c r="FU421" s="1871"/>
      <c r="FV421" s="1871"/>
      <c r="FW421" s="1871"/>
      <c r="FX421" s="1871"/>
      <c r="FY421" s="1871"/>
      <c r="FZ421" s="1871"/>
      <c r="GA421" s="1871"/>
      <c r="GB421" s="1871"/>
      <c r="GC421" s="1871"/>
      <c r="GD421" s="1871"/>
      <c r="GE421" s="1871"/>
      <c r="GF421" s="1871"/>
      <c r="GG421" s="1871"/>
      <c r="GH421" s="1871"/>
      <c r="GI421" s="1871"/>
      <c r="GJ421" s="1871"/>
      <c r="GK421" s="1871"/>
      <c r="GL421" s="1871"/>
      <c r="GM421" s="1871"/>
      <c r="GN421" s="1871"/>
      <c r="GO421" s="1871"/>
      <c r="GP421" s="1871"/>
      <c r="GQ421" s="1871"/>
      <c r="GR421" s="1871"/>
      <c r="GS421" s="1871"/>
      <c r="GT421" s="1871"/>
      <c r="GU421" s="1871"/>
      <c r="GV421" s="1871"/>
      <c r="GW421" s="1871"/>
      <c r="GX421" s="1871"/>
      <c r="GY421" s="1871"/>
      <c r="GZ421" s="1871"/>
      <c r="HA421" s="1871"/>
      <c r="HB421" s="1871"/>
      <c r="HC421" s="1871"/>
      <c r="HD421" s="1871"/>
      <c r="HE421" s="1871"/>
      <c r="HF421" s="1871"/>
      <c r="HG421" s="1871"/>
      <c r="HH421" s="1871"/>
      <c r="HI421" s="1871"/>
      <c r="HJ421" s="1871"/>
      <c r="HK421" s="1871"/>
      <c r="HL421" s="1871"/>
      <c r="HM421" s="1871"/>
      <c r="HN421" s="1871"/>
      <c r="HO421" s="1871"/>
      <c r="HP421" s="1871"/>
      <c r="HQ421" s="1871"/>
      <c r="HR421" s="1871"/>
      <c r="HS421" s="1871"/>
      <c r="HT421" s="1871"/>
      <c r="HU421" s="1871"/>
      <c r="HV421" s="1871"/>
      <c r="HW421" s="1871"/>
      <c r="HX421" s="1871"/>
      <c r="HY421" s="1871"/>
      <c r="HZ421" s="1871"/>
      <c r="IA421" s="1871"/>
      <c r="IB421" s="1871"/>
      <c r="IC421" s="1871"/>
      <c r="ID421" s="1871"/>
      <c r="IE421" s="1871"/>
      <c r="IF421" s="1871"/>
      <c r="IG421" s="1871"/>
      <c r="IH421" s="1871"/>
      <c r="II421" s="1871"/>
      <c r="IJ421" s="1871"/>
      <c r="IK421" s="1871"/>
      <c r="IL421" s="1871"/>
      <c r="IM421" s="1871"/>
      <c r="IN421" s="1871"/>
    </row>
    <row r="422" spans="1:248">
      <c r="A422" s="1870" t="s">
        <v>1971</v>
      </c>
      <c r="B422" s="1879" t="s">
        <v>1972</v>
      </c>
      <c r="C422" s="1881" t="s">
        <v>1973</v>
      </c>
      <c r="D422" s="1897">
        <v>0</v>
      </c>
      <c r="E422" s="1897">
        <v>0</v>
      </c>
      <c r="F422" s="1897">
        <v>0</v>
      </c>
      <c r="G422" s="1897">
        <v>0</v>
      </c>
      <c r="H422" s="1897">
        <v>0</v>
      </c>
      <c r="I422" s="1897">
        <v>0</v>
      </c>
      <c r="J422" s="1897">
        <v>0</v>
      </c>
      <c r="K422" s="1897">
        <v>0</v>
      </c>
      <c r="L422" s="1897">
        <v>0</v>
      </c>
      <c r="M422" s="1899">
        <f t="shared" si="45"/>
        <v>0</v>
      </c>
      <c r="N422" s="1897">
        <v>0</v>
      </c>
      <c r="O422" s="1900">
        <f t="shared" si="46"/>
        <v>0</v>
      </c>
      <c r="P422" s="3290" t="s">
        <v>385</v>
      </c>
      <c r="Q422" s="3290"/>
      <c r="R422" s="1877"/>
      <c r="S422" s="1871"/>
      <c r="T422" s="1871"/>
      <c r="U422" s="1871"/>
      <c r="V422" s="1871"/>
      <c r="W422" s="1871"/>
      <c r="X422" s="1871"/>
      <c r="Y422" s="1871"/>
      <c r="Z422" s="1871"/>
      <c r="AA422" s="1871"/>
      <c r="AB422" s="1871"/>
      <c r="AC422" s="1871"/>
      <c r="AD422" s="1871"/>
      <c r="AE422" s="1871"/>
      <c r="AF422" s="1871"/>
      <c r="AG422" s="1871"/>
      <c r="AH422" s="1871"/>
      <c r="AI422" s="1871"/>
      <c r="AJ422" s="1871"/>
      <c r="AK422" s="1871"/>
      <c r="AL422" s="1871"/>
      <c r="AM422" s="1871"/>
      <c r="AN422" s="1871"/>
      <c r="AO422" s="1871"/>
      <c r="AP422" s="1871"/>
      <c r="AQ422" s="1871"/>
      <c r="AR422" s="1871"/>
      <c r="AS422" s="1871"/>
      <c r="AT422" s="1871"/>
      <c r="AU422" s="1871"/>
      <c r="AV422" s="1871"/>
      <c r="AW422" s="1871"/>
      <c r="AX422" s="1871"/>
      <c r="AY422" s="1871"/>
      <c r="AZ422" s="1871"/>
      <c r="BA422" s="1871"/>
      <c r="BB422" s="1871"/>
      <c r="BC422" s="1871"/>
      <c r="BD422" s="1871"/>
      <c r="BE422" s="1871"/>
      <c r="BF422" s="1871"/>
      <c r="BG422" s="1871"/>
      <c r="BH422" s="1871"/>
      <c r="BI422" s="1871"/>
      <c r="BJ422" s="1871"/>
      <c r="BK422" s="1871"/>
      <c r="BL422" s="1871"/>
      <c r="BM422" s="1871"/>
      <c r="BN422" s="1871"/>
      <c r="BO422" s="1871"/>
      <c r="BP422" s="1871"/>
      <c r="BQ422" s="1871"/>
      <c r="BR422" s="1871"/>
      <c r="BS422" s="1871"/>
      <c r="BT422" s="1871"/>
      <c r="BU422" s="1871"/>
      <c r="BV422" s="1871"/>
      <c r="BW422" s="1871"/>
      <c r="BX422" s="1871"/>
      <c r="BY422" s="1871"/>
      <c r="BZ422" s="1871"/>
      <c r="CA422" s="1871"/>
      <c r="CB422" s="1871"/>
      <c r="CC422" s="1871"/>
      <c r="CD422" s="1871"/>
      <c r="CE422" s="1871"/>
      <c r="CF422" s="1871"/>
      <c r="CG422" s="1871"/>
      <c r="CH422" s="1871"/>
      <c r="CI422" s="1871"/>
      <c r="CJ422" s="1871"/>
      <c r="CK422" s="1871"/>
      <c r="CL422" s="1871"/>
      <c r="CM422" s="1871"/>
      <c r="CN422" s="1871"/>
      <c r="CO422" s="1871"/>
      <c r="CP422" s="1871"/>
      <c r="CQ422" s="1871"/>
      <c r="CR422" s="1871"/>
      <c r="CS422" s="1871"/>
      <c r="CT422" s="1871"/>
      <c r="CU422" s="1871"/>
      <c r="CV422" s="1871"/>
      <c r="CW422" s="1871"/>
      <c r="CX422" s="1871"/>
      <c r="CY422" s="1871"/>
      <c r="CZ422" s="1871"/>
      <c r="DA422" s="1871"/>
      <c r="DB422" s="1871"/>
      <c r="DC422" s="1871"/>
      <c r="DD422" s="1871"/>
      <c r="DE422" s="1871"/>
      <c r="DF422" s="1871"/>
      <c r="DG422" s="1871"/>
      <c r="DH422" s="1871"/>
      <c r="DI422" s="1871"/>
      <c r="DJ422" s="1871"/>
      <c r="DK422" s="1871"/>
      <c r="DL422" s="1871"/>
      <c r="DM422" s="1871"/>
      <c r="DN422" s="1871"/>
      <c r="DO422" s="1871"/>
      <c r="DP422" s="1871"/>
      <c r="DQ422" s="1871"/>
      <c r="DR422" s="1871"/>
      <c r="DS422" s="1871"/>
      <c r="DT422" s="1871"/>
      <c r="DU422" s="1871"/>
      <c r="DV422" s="1871"/>
      <c r="DW422" s="1871"/>
      <c r="DX422" s="1871"/>
      <c r="DY422" s="1871"/>
      <c r="DZ422" s="1871"/>
      <c r="EA422" s="1871"/>
      <c r="EB422" s="1871"/>
      <c r="EC422" s="1871"/>
      <c r="ED422" s="1871"/>
      <c r="EE422" s="1871"/>
      <c r="EF422" s="1871"/>
      <c r="EG422" s="1871"/>
      <c r="EH422" s="1871"/>
      <c r="EI422" s="1871"/>
      <c r="EJ422" s="1871"/>
      <c r="EK422" s="1871"/>
      <c r="EL422" s="1871"/>
      <c r="EM422" s="1871"/>
      <c r="EN422" s="1871"/>
      <c r="EO422" s="1871"/>
      <c r="EP422" s="1871"/>
      <c r="EQ422" s="1871"/>
      <c r="ER422" s="1871"/>
      <c r="ES422" s="1871"/>
      <c r="ET422" s="1871"/>
      <c r="EU422" s="1871"/>
      <c r="EV422" s="1871"/>
      <c r="EW422" s="1871"/>
      <c r="EX422" s="1871"/>
      <c r="EY422" s="1871"/>
      <c r="EZ422" s="1871"/>
      <c r="FA422" s="1871"/>
      <c r="FB422" s="1871"/>
      <c r="FC422" s="1871"/>
      <c r="FD422" s="1871"/>
      <c r="FE422" s="1871"/>
      <c r="FF422" s="1871"/>
      <c r="FG422" s="1871"/>
      <c r="FH422" s="1871"/>
      <c r="FI422" s="1871"/>
      <c r="FJ422" s="1871"/>
      <c r="FK422" s="1871"/>
      <c r="FL422" s="1871"/>
      <c r="FM422" s="1871"/>
      <c r="FN422" s="1871"/>
      <c r="FO422" s="1871"/>
      <c r="FP422" s="1871"/>
      <c r="FQ422" s="1871"/>
      <c r="FR422" s="1871"/>
      <c r="FS422" s="1871"/>
      <c r="FT422" s="1871"/>
      <c r="FU422" s="1871"/>
      <c r="FV422" s="1871"/>
      <c r="FW422" s="1871"/>
      <c r="FX422" s="1871"/>
      <c r="FY422" s="1871"/>
      <c r="FZ422" s="1871"/>
      <c r="GA422" s="1871"/>
      <c r="GB422" s="1871"/>
      <c r="GC422" s="1871"/>
      <c r="GD422" s="1871"/>
      <c r="GE422" s="1871"/>
      <c r="GF422" s="1871"/>
      <c r="GG422" s="1871"/>
      <c r="GH422" s="1871"/>
      <c r="GI422" s="1871"/>
      <c r="GJ422" s="1871"/>
      <c r="GK422" s="1871"/>
      <c r="GL422" s="1871"/>
      <c r="GM422" s="1871"/>
      <c r="GN422" s="1871"/>
      <c r="GO422" s="1871"/>
      <c r="GP422" s="1871"/>
      <c r="GQ422" s="1871"/>
      <c r="GR422" s="1871"/>
      <c r="GS422" s="1871"/>
      <c r="GT422" s="1871"/>
      <c r="GU422" s="1871"/>
      <c r="GV422" s="1871"/>
      <c r="GW422" s="1871"/>
      <c r="GX422" s="1871"/>
      <c r="GY422" s="1871"/>
      <c r="GZ422" s="1871"/>
      <c r="HA422" s="1871"/>
      <c r="HB422" s="1871"/>
      <c r="HC422" s="1871"/>
      <c r="HD422" s="1871"/>
      <c r="HE422" s="1871"/>
      <c r="HF422" s="1871"/>
      <c r="HG422" s="1871"/>
      <c r="HH422" s="1871"/>
      <c r="HI422" s="1871"/>
      <c r="HJ422" s="1871"/>
      <c r="HK422" s="1871"/>
      <c r="HL422" s="1871"/>
      <c r="HM422" s="1871"/>
      <c r="HN422" s="1871"/>
      <c r="HO422" s="1871"/>
      <c r="HP422" s="1871"/>
      <c r="HQ422" s="1871"/>
      <c r="HR422" s="1871"/>
      <c r="HS422" s="1871"/>
      <c r="HT422" s="1871"/>
      <c r="HU422" s="1871"/>
      <c r="HV422" s="1871"/>
      <c r="HW422" s="1871"/>
      <c r="HX422" s="1871"/>
      <c r="HY422" s="1871"/>
      <c r="HZ422" s="1871"/>
      <c r="IA422" s="1871"/>
      <c r="IB422" s="1871"/>
      <c r="IC422" s="1871"/>
      <c r="ID422" s="1871"/>
      <c r="IE422" s="1871"/>
      <c r="IF422" s="1871"/>
      <c r="IG422" s="1871"/>
      <c r="IH422" s="1871"/>
      <c r="II422" s="1871"/>
      <c r="IJ422" s="1871"/>
      <c r="IK422" s="1871"/>
      <c r="IL422" s="1871"/>
      <c r="IM422" s="1871"/>
      <c r="IN422" s="1871"/>
    </row>
    <row r="423" spans="1:248">
      <c r="A423" s="1870" t="s">
        <v>1974</v>
      </c>
      <c r="B423" s="1879" t="s">
        <v>1975</v>
      </c>
      <c r="C423" s="1880" t="s">
        <v>1976</v>
      </c>
      <c r="D423" s="1897">
        <v>0</v>
      </c>
      <c r="E423" s="1897">
        <v>0</v>
      </c>
      <c r="F423" s="1897">
        <v>0</v>
      </c>
      <c r="G423" s="1897">
        <v>0</v>
      </c>
      <c r="H423" s="1897">
        <v>0</v>
      </c>
      <c r="I423" s="1897">
        <v>0</v>
      </c>
      <c r="J423" s="1897">
        <v>0</v>
      </c>
      <c r="K423" s="1897">
        <v>0</v>
      </c>
      <c r="L423" s="1897">
        <v>0</v>
      </c>
      <c r="M423" s="1899">
        <f t="shared" si="45"/>
        <v>0</v>
      </c>
      <c r="N423" s="1897">
        <v>0</v>
      </c>
      <c r="O423" s="1900">
        <f t="shared" si="46"/>
        <v>0</v>
      </c>
      <c r="P423" s="3290" t="s">
        <v>385</v>
      </c>
      <c r="Q423" s="3290"/>
      <c r="R423" s="1877"/>
      <c r="S423" s="1871"/>
      <c r="T423" s="1871"/>
      <c r="U423" s="1871"/>
      <c r="V423" s="1871"/>
      <c r="W423" s="1871"/>
      <c r="X423" s="1871"/>
      <c r="Y423" s="1871"/>
      <c r="Z423" s="1871"/>
      <c r="AA423" s="1871"/>
      <c r="AB423" s="1871"/>
      <c r="AC423" s="1871"/>
      <c r="AD423" s="1871"/>
      <c r="AE423" s="1871"/>
      <c r="AF423" s="1871"/>
      <c r="AG423" s="1871"/>
      <c r="AH423" s="1871"/>
      <c r="AI423" s="1871"/>
      <c r="AJ423" s="1871"/>
      <c r="AK423" s="1871"/>
      <c r="AL423" s="1871"/>
      <c r="AM423" s="1871"/>
      <c r="AN423" s="1871"/>
      <c r="AO423" s="1871"/>
      <c r="AP423" s="1871"/>
      <c r="AQ423" s="1871"/>
      <c r="AR423" s="1871"/>
      <c r="AS423" s="1871"/>
      <c r="AT423" s="1871"/>
      <c r="AU423" s="1871"/>
      <c r="AV423" s="1871"/>
      <c r="AW423" s="1871"/>
      <c r="AX423" s="1871"/>
      <c r="AY423" s="1871"/>
      <c r="AZ423" s="1871"/>
      <c r="BA423" s="1871"/>
      <c r="BB423" s="1871"/>
      <c r="BC423" s="1871"/>
      <c r="BD423" s="1871"/>
      <c r="BE423" s="1871"/>
      <c r="BF423" s="1871"/>
      <c r="BG423" s="1871"/>
      <c r="BH423" s="1871"/>
      <c r="BI423" s="1871"/>
      <c r="BJ423" s="1871"/>
      <c r="BK423" s="1871"/>
      <c r="BL423" s="1871"/>
      <c r="BM423" s="1871"/>
      <c r="BN423" s="1871"/>
      <c r="BO423" s="1871"/>
      <c r="BP423" s="1871"/>
      <c r="BQ423" s="1871"/>
      <c r="BR423" s="1871"/>
      <c r="BS423" s="1871"/>
      <c r="BT423" s="1871"/>
      <c r="BU423" s="1871"/>
      <c r="BV423" s="1871"/>
      <c r="BW423" s="1871"/>
      <c r="BX423" s="1871"/>
      <c r="BY423" s="1871"/>
      <c r="BZ423" s="1871"/>
      <c r="CA423" s="1871"/>
      <c r="CB423" s="1871"/>
      <c r="CC423" s="1871"/>
      <c r="CD423" s="1871"/>
      <c r="CE423" s="1871"/>
      <c r="CF423" s="1871"/>
      <c r="CG423" s="1871"/>
      <c r="CH423" s="1871"/>
      <c r="CI423" s="1871"/>
      <c r="CJ423" s="1871"/>
      <c r="CK423" s="1871"/>
      <c r="CL423" s="1871"/>
      <c r="CM423" s="1871"/>
      <c r="CN423" s="1871"/>
      <c r="CO423" s="1871"/>
      <c r="CP423" s="1871"/>
      <c r="CQ423" s="1871"/>
      <c r="CR423" s="1871"/>
      <c r="CS423" s="1871"/>
      <c r="CT423" s="1871"/>
      <c r="CU423" s="1871"/>
      <c r="CV423" s="1871"/>
      <c r="CW423" s="1871"/>
      <c r="CX423" s="1871"/>
      <c r="CY423" s="1871"/>
      <c r="CZ423" s="1871"/>
      <c r="DA423" s="1871"/>
      <c r="DB423" s="1871"/>
      <c r="DC423" s="1871"/>
      <c r="DD423" s="1871"/>
      <c r="DE423" s="1871"/>
      <c r="DF423" s="1871"/>
      <c r="DG423" s="1871"/>
      <c r="DH423" s="1871"/>
      <c r="DI423" s="1871"/>
      <c r="DJ423" s="1871"/>
      <c r="DK423" s="1871"/>
      <c r="DL423" s="1871"/>
      <c r="DM423" s="1871"/>
      <c r="DN423" s="1871"/>
      <c r="DO423" s="1871"/>
      <c r="DP423" s="1871"/>
      <c r="DQ423" s="1871"/>
      <c r="DR423" s="1871"/>
      <c r="DS423" s="1871"/>
      <c r="DT423" s="1871"/>
      <c r="DU423" s="1871"/>
      <c r="DV423" s="1871"/>
      <c r="DW423" s="1871"/>
      <c r="DX423" s="1871"/>
      <c r="DY423" s="1871"/>
      <c r="DZ423" s="1871"/>
      <c r="EA423" s="1871"/>
      <c r="EB423" s="1871"/>
      <c r="EC423" s="1871"/>
      <c r="ED423" s="1871"/>
      <c r="EE423" s="1871"/>
      <c r="EF423" s="1871"/>
      <c r="EG423" s="1871"/>
      <c r="EH423" s="1871"/>
      <c r="EI423" s="1871"/>
      <c r="EJ423" s="1871"/>
      <c r="EK423" s="1871"/>
      <c r="EL423" s="1871"/>
      <c r="EM423" s="1871"/>
      <c r="EN423" s="1871"/>
      <c r="EO423" s="1871"/>
      <c r="EP423" s="1871"/>
      <c r="EQ423" s="1871"/>
      <c r="ER423" s="1871"/>
      <c r="ES423" s="1871"/>
      <c r="ET423" s="1871"/>
      <c r="EU423" s="1871"/>
      <c r="EV423" s="1871"/>
      <c r="EW423" s="1871"/>
      <c r="EX423" s="1871"/>
      <c r="EY423" s="1871"/>
      <c r="EZ423" s="1871"/>
      <c r="FA423" s="1871"/>
      <c r="FB423" s="1871"/>
      <c r="FC423" s="1871"/>
      <c r="FD423" s="1871"/>
      <c r="FE423" s="1871"/>
      <c r="FF423" s="1871"/>
      <c r="FG423" s="1871"/>
      <c r="FH423" s="1871"/>
      <c r="FI423" s="1871"/>
      <c r="FJ423" s="1871"/>
      <c r="FK423" s="1871"/>
      <c r="FL423" s="1871"/>
      <c r="FM423" s="1871"/>
      <c r="FN423" s="1871"/>
      <c r="FO423" s="1871"/>
      <c r="FP423" s="1871"/>
      <c r="FQ423" s="1871"/>
      <c r="FR423" s="1871"/>
      <c r="FS423" s="1871"/>
      <c r="FT423" s="1871"/>
      <c r="FU423" s="1871"/>
      <c r="FV423" s="1871"/>
      <c r="FW423" s="1871"/>
      <c r="FX423" s="1871"/>
      <c r="FY423" s="1871"/>
      <c r="FZ423" s="1871"/>
      <c r="GA423" s="1871"/>
      <c r="GB423" s="1871"/>
      <c r="GC423" s="1871"/>
      <c r="GD423" s="1871"/>
      <c r="GE423" s="1871"/>
      <c r="GF423" s="1871"/>
      <c r="GG423" s="1871"/>
      <c r="GH423" s="1871"/>
      <c r="GI423" s="1871"/>
      <c r="GJ423" s="1871"/>
      <c r="GK423" s="1871"/>
      <c r="GL423" s="1871"/>
      <c r="GM423" s="1871"/>
      <c r="GN423" s="1871"/>
      <c r="GO423" s="1871"/>
      <c r="GP423" s="1871"/>
      <c r="GQ423" s="1871"/>
      <c r="GR423" s="1871"/>
      <c r="GS423" s="1871"/>
      <c r="GT423" s="1871"/>
      <c r="GU423" s="1871"/>
      <c r="GV423" s="1871"/>
      <c r="GW423" s="1871"/>
      <c r="GX423" s="1871"/>
      <c r="GY423" s="1871"/>
      <c r="GZ423" s="1871"/>
      <c r="HA423" s="1871"/>
      <c r="HB423" s="1871"/>
      <c r="HC423" s="1871"/>
      <c r="HD423" s="1871"/>
      <c r="HE423" s="1871"/>
      <c r="HF423" s="1871"/>
      <c r="HG423" s="1871"/>
      <c r="HH423" s="1871"/>
      <c r="HI423" s="1871"/>
      <c r="HJ423" s="1871"/>
      <c r="HK423" s="1871"/>
      <c r="HL423" s="1871"/>
      <c r="HM423" s="1871"/>
      <c r="HN423" s="1871"/>
      <c r="HO423" s="1871"/>
      <c r="HP423" s="1871"/>
      <c r="HQ423" s="1871"/>
      <c r="HR423" s="1871"/>
      <c r="HS423" s="1871"/>
      <c r="HT423" s="1871"/>
      <c r="HU423" s="1871"/>
      <c r="HV423" s="1871"/>
      <c r="HW423" s="1871"/>
      <c r="HX423" s="1871"/>
      <c r="HY423" s="1871"/>
      <c r="HZ423" s="1871"/>
      <c r="IA423" s="1871"/>
      <c r="IB423" s="1871"/>
      <c r="IC423" s="1871"/>
      <c r="ID423" s="1871"/>
      <c r="IE423" s="1871"/>
      <c r="IF423" s="1871"/>
      <c r="IG423" s="1871"/>
      <c r="IH423" s="1871"/>
      <c r="II423" s="1871"/>
      <c r="IJ423" s="1871"/>
      <c r="IK423" s="1871"/>
      <c r="IL423" s="1871"/>
      <c r="IM423" s="1871"/>
      <c r="IN423" s="1871"/>
    </row>
    <row r="424" spans="1:248">
      <c r="A424" s="1870" t="s">
        <v>1977</v>
      </c>
      <c r="B424" s="1879" t="s">
        <v>1978</v>
      </c>
      <c r="C424" s="1880" t="s">
        <v>1979</v>
      </c>
      <c r="D424" s="1897">
        <v>0</v>
      </c>
      <c r="E424" s="1897">
        <v>0</v>
      </c>
      <c r="F424" s="1897">
        <v>0</v>
      </c>
      <c r="G424" s="1897">
        <v>0</v>
      </c>
      <c r="H424" s="1897">
        <v>0</v>
      </c>
      <c r="I424" s="1897">
        <v>0</v>
      </c>
      <c r="J424" s="1897">
        <v>0</v>
      </c>
      <c r="K424" s="1897">
        <v>0</v>
      </c>
      <c r="L424" s="1897">
        <v>0</v>
      </c>
      <c r="M424" s="1899">
        <f t="shared" si="45"/>
        <v>0</v>
      </c>
      <c r="N424" s="1897">
        <v>0</v>
      </c>
      <c r="O424" s="1900">
        <f t="shared" si="46"/>
        <v>0</v>
      </c>
      <c r="P424" s="3290" t="s">
        <v>385</v>
      </c>
      <c r="Q424" s="3290"/>
      <c r="R424" s="1877"/>
      <c r="S424" s="1871"/>
      <c r="T424" s="1871"/>
      <c r="U424" s="1871"/>
      <c r="V424" s="1871"/>
      <c r="W424" s="1871"/>
      <c r="X424" s="1871"/>
      <c r="Y424" s="1871"/>
      <c r="Z424" s="1871"/>
      <c r="AA424" s="1871"/>
      <c r="AB424" s="1871"/>
      <c r="AC424" s="1871"/>
      <c r="AD424" s="1871"/>
      <c r="AE424" s="1871"/>
      <c r="AF424" s="1871"/>
      <c r="AG424" s="1871"/>
      <c r="AH424" s="1871"/>
      <c r="AI424" s="1871"/>
      <c r="AJ424" s="1871"/>
      <c r="AK424" s="1871"/>
      <c r="AL424" s="1871"/>
      <c r="AM424" s="1871"/>
      <c r="AN424" s="1871"/>
      <c r="AO424" s="1871"/>
      <c r="AP424" s="1871"/>
      <c r="AQ424" s="1871"/>
      <c r="AR424" s="1871"/>
      <c r="AS424" s="1871"/>
      <c r="AT424" s="1871"/>
      <c r="AU424" s="1871"/>
      <c r="AV424" s="1871"/>
      <c r="AW424" s="1871"/>
      <c r="AX424" s="1871"/>
      <c r="AY424" s="1871"/>
      <c r="AZ424" s="1871"/>
      <c r="BA424" s="1871"/>
      <c r="BB424" s="1871"/>
      <c r="BC424" s="1871"/>
      <c r="BD424" s="1871"/>
      <c r="BE424" s="1871"/>
      <c r="BF424" s="1871"/>
      <c r="BG424" s="1871"/>
      <c r="BH424" s="1871"/>
      <c r="BI424" s="1871"/>
      <c r="BJ424" s="1871"/>
      <c r="BK424" s="1871"/>
      <c r="BL424" s="1871"/>
      <c r="BM424" s="1871"/>
      <c r="BN424" s="1871"/>
      <c r="BO424" s="1871"/>
      <c r="BP424" s="1871"/>
      <c r="BQ424" s="1871"/>
      <c r="BR424" s="1871"/>
      <c r="BS424" s="1871"/>
      <c r="BT424" s="1871"/>
      <c r="BU424" s="1871"/>
      <c r="BV424" s="1871"/>
      <c r="BW424" s="1871"/>
      <c r="BX424" s="1871"/>
      <c r="BY424" s="1871"/>
      <c r="BZ424" s="1871"/>
      <c r="CA424" s="1871"/>
      <c r="CB424" s="1871"/>
      <c r="CC424" s="1871"/>
      <c r="CD424" s="1871"/>
      <c r="CE424" s="1871"/>
      <c r="CF424" s="1871"/>
      <c r="CG424" s="1871"/>
      <c r="CH424" s="1871"/>
      <c r="CI424" s="1871"/>
      <c r="CJ424" s="1871"/>
      <c r="CK424" s="1871"/>
      <c r="CL424" s="1871"/>
      <c r="CM424" s="1871"/>
      <c r="CN424" s="1871"/>
      <c r="CO424" s="1871"/>
      <c r="CP424" s="1871"/>
      <c r="CQ424" s="1871"/>
      <c r="CR424" s="1871"/>
      <c r="CS424" s="1871"/>
      <c r="CT424" s="1871"/>
      <c r="CU424" s="1871"/>
      <c r="CV424" s="1871"/>
      <c r="CW424" s="1871"/>
      <c r="CX424" s="1871"/>
      <c r="CY424" s="1871"/>
      <c r="CZ424" s="1871"/>
      <c r="DA424" s="1871"/>
      <c r="DB424" s="1871"/>
      <c r="DC424" s="1871"/>
      <c r="DD424" s="1871"/>
      <c r="DE424" s="1871"/>
      <c r="DF424" s="1871"/>
      <c r="DG424" s="1871"/>
      <c r="DH424" s="1871"/>
      <c r="DI424" s="1871"/>
      <c r="DJ424" s="1871"/>
      <c r="DK424" s="1871"/>
      <c r="DL424" s="1871"/>
      <c r="DM424" s="1871"/>
      <c r="DN424" s="1871"/>
      <c r="DO424" s="1871"/>
      <c r="DP424" s="1871"/>
      <c r="DQ424" s="1871"/>
      <c r="DR424" s="1871"/>
      <c r="DS424" s="1871"/>
      <c r="DT424" s="1871"/>
      <c r="DU424" s="1871"/>
      <c r="DV424" s="1871"/>
      <c r="DW424" s="1871"/>
      <c r="DX424" s="1871"/>
      <c r="DY424" s="1871"/>
      <c r="DZ424" s="1871"/>
      <c r="EA424" s="1871"/>
      <c r="EB424" s="1871"/>
      <c r="EC424" s="1871"/>
      <c r="ED424" s="1871"/>
      <c r="EE424" s="1871"/>
      <c r="EF424" s="1871"/>
      <c r="EG424" s="1871"/>
      <c r="EH424" s="1871"/>
      <c r="EI424" s="1871"/>
      <c r="EJ424" s="1871"/>
      <c r="EK424" s="1871"/>
      <c r="EL424" s="1871"/>
      <c r="EM424" s="1871"/>
      <c r="EN424" s="1871"/>
      <c r="EO424" s="1871"/>
      <c r="EP424" s="1871"/>
      <c r="EQ424" s="1871"/>
      <c r="ER424" s="1871"/>
      <c r="ES424" s="1871"/>
      <c r="ET424" s="1871"/>
      <c r="EU424" s="1871"/>
      <c r="EV424" s="1871"/>
      <c r="EW424" s="1871"/>
      <c r="EX424" s="1871"/>
      <c r="EY424" s="1871"/>
      <c r="EZ424" s="1871"/>
      <c r="FA424" s="1871"/>
      <c r="FB424" s="1871"/>
      <c r="FC424" s="1871"/>
      <c r="FD424" s="1871"/>
      <c r="FE424" s="1871"/>
      <c r="FF424" s="1871"/>
      <c r="FG424" s="1871"/>
      <c r="FH424" s="1871"/>
      <c r="FI424" s="1871"/>
      <c r="FJ424" s="1871"/>
      <c r="FK424" s="1871"/>
      <c r="FL424" s="1871"/>
      <c r="FM424" s="1871"/>
      <c r="FN424" s="1871"/>
      <c r="FO424" s="1871"/>
      <c r="FP424" s="1871"/>
      <c r="FQ424" s="1871"/>
      <c r="FR424" s="1871"/>
      <c r="FS424" s="1871"/>
      <c r="FT424" s="1871"/>
      <c r="FU424" s="1871"/>
      <c r="FV424" s="1871"/>
      <c r="FW424" s="1871"/>
      <c r="FX424" s="1871"/>
      <c r="FY424" s="1871"/>
      <c r="FZ424" s="1871"/>
      <c r="GA424" s="1871"/>
      <c r="GB424" s="1871"/>
      <c r="GC424" s="1871"/>
      <c r="GD424" s="1871"/>
      <c r="GE424" s="1871"/>
      <c r="GF424" s="1871"/>
      <c r="GG424" s="1871"/>
      <c r="GH424" s="1871"/>
      <c r="GI424" s="1871"/>
      <c r="GJ424" s="1871"/>
      <c r="GK424" s="1871"/>
      <c r="GL424" s="1871"/>
      <c r="GM424" s="1871"/>
      <c r="GN424" s="1871"/>
      <c r="GO424" s="1871"/>
      <c r="GP424" s="1871"/>
      <c r="GQ424" s="1871"/>
      <c r="GR424" s="1871"/>
      <c r="GS424" s="1871"/>
      <c r="GT424" s="1871"/>
      <c r="GU424" s="1871"/>
      <c r="GV424" s="1871"/>
      <c r="GW424" s="1871"/>
      <c r="GX424" s="1871"/>
      <c r="GY424" s="1871"/>
      <c r="GZ424" s="1871"/>
      <c r="HA424" s="1871"/>
      <c r="HB424" s="1871"/>
      <c r="HC424" s="1871"/>
      <c r="HD424" s="1871"/>
      <c r="HE424" s="1871"/>
      <c r="HF424" s="1871"/>
      <c r="HG424" s="1871"/>
      <c r="HH424" s="1871"/>
      <c r="HI424" s="1871"/>
      <c r="HJ424" s="1871"/>
      <c r="HK424" s="1871"/>
      <c r="HL424" s="1871"/>
      <c r="HM424" s="1871"/>
      <c r="HN424" s="1871"/>
      <c r="HO424" s="1871"/>
      <c r="HP424" s="1871"/>
      <c r="HQ424" s="1871"/>
      <c r="HR424" s="1871"/>
      <c r="HS424" s="1871"/>
      <c r="HT424" s="1871"/>
      <c r="HU424" s="1871"/>
      <c r="HV424" s="1871"/>
      <c r="HW424" s="1871"/>
      <c r="HX424" s="1871"/>
      <c r="HY424" s="1871"/>
      <c r="HZ424" s="1871"/>
      <c r="IA424" s="1871"/>
      <c r="IB424" s="1871"/>
      <c r="IC424" s="1871"/>
      <c r="ID424" s="1871"/>
      <c r="IE424" s="1871"/>
      <c r="IF424" s="1871"/>
      <c r="IG424" s="1871"/>
      <c r="IH424" s="1871"/>
      <c r="II424" s="1871"/>
      <c r="IJ424" s="1871"/>
      <c r="IK424" s="1871"/>
      <c r="IL424" s="1871"/>
      <c r="IM424" s="1871"/>
      <c r="IN424" s="1871"/>
    </row>
    <row r="425" spans="1:248" s="1871" customFormat="1">
      <c r="A425" s="1870"/>
      <c r="B425" s="1876" t="s">
        <v>1858</v>
      </c>
      <c r="C425" s="1881" t="s">
        <v>1980</v>
      </c>
      <c r="D425" s="1897">
        <v>0</v>
      </c>
      <c r="E425" s="1897">
        <v>0</v>
      </c>
      <c r="F425" s="1897">
        <v>0</v>
      </c>
      <c r="G425" s="1897">
        <v>0</v>
      </c>
      <c r="H425" s="1897">
        <v>0</v>
      </c>
      <c r="I425" s="1897">
        <v>0</v>
      </c>
      <c r="J425" s="1897">
        <v>0</v>
      </c>
      <c r="K425" s="1897">
        <v>0</v>
      </c>
      <c r="L425" s="1897">
        <v>0</v>
      </c>
      <c r="M425" s="1899">
        <f>SUM(D425:L425)</f>
        <v>0</v>
      </c>
      <c r="N425" s="1897">
        <v>0</v>
      </c>
      <c r="O425" s="1900">
        <f>SUM(M425:N425)</f>
        <v>0</v>
      </c>
      <c r="P425" s="3290" t="s">
        <v>385</v>
      </c>
      <c r="Q425" s="3559"/>
      <c r="R425" s="1877"/>
    </row>
    <row r="426" spans="1:248">
      <c r="A426" s="1870" t="s">
        <v>1981</v>
      </c>
      <c r="B426" s="1879" t="s">
        <v>1982</v>
      </c>
      <c r="C426" s="1881" t="s">
        <v>1983</v>
      </c>
      <c r="D426" s="1897">
        <v>0</v>
      </c>
      <c r="E426" s="1897">
        <v>0</v>
      </c>
      <c r="F426" s="1897">
        <v>0</v>
      </c>
      <c r="G426" s="1897">
        <v>0</v>
      </c>
      <c r="H426" s="1897">
        <v>0</v>
      </c>
      <c r="I426" s="1897">
        <v>0</v>
      </c>
      <c r="J426" s="1897">
        <v>0</v>
      </c>
      <c r="K426" s="1897">
        <v>0</v>
      </c>
      <c r="L426" s="1897">
        <v>0</v>
      </c>
      <c r="M426" s="1899">
        <f t="shared" si="45"/>
        <v>0</v>
      </c>
      <c r="N426" s="1897">
        <v>0</v>
      </c>
      <c r="O426" s="1900">
        <f t="shared" si="46"/>
        <v>0</v>
      </c>
      <c r="P426" s="3290" t="s">
        <v>385</v>
      </c>
      <c r="Q426" s="3290"/>
      <c r="R426" s="1877"/>
      <c r="S426" s="1871"/>
      <c r="T426" s="1871"/>
      <c r="U426" s="1871"/>
      <c r="V426" s="1871"/>
      <c r="W426" s="1871"/>
      <c r="X426" s="1871"/>
      <c r="Y426" s="1871"/>
      <c r="Z426" s="1871"/>
      <c r="AA426" s="1871"/>
      <c r="AB426" s="1871"/>
      <c r="AC426" s="1871"/>
      <c r="AD426" s="1871"/>
      <c r="AE426" s="1871"/>
      <c r="AF426" s="1871"/>
      <c r="AG426" s="1871"/>
      <c r="AH426" s="1871"/>
      <c r="AI426" s="1871"/>
      <c r="AJ426" s="1871"/>
      <c r="AK426" s="1871"/>
      <c r="AL426" s="1871"/>
      <c r="AM426" s="1871"/>
      <c r="AN426" s="1871"/>
      <c r="AO426" s="1871"/>
      <c r="AP426" s="1871"/>
      <c r="AQ426" s="1871"/>
      <c r="AR426" s="1871"/>
      <c r="AS426" s="1871"/>
      <c r="AT426" s="1871"/>
      <c r="AU426" s="1871"/>
      <c r="AV426" s="1871"/>
      <c r="AW426" s="1871"/>
      <c r="AX426" s="1871"/>
      <c r="AY426" s="1871"/>
      <c r="AZ426" s="1871"/>
      <c r="BA426" s="1871"/>
      <c r="BB426" s="1871"/>
      <c r="BC426" s="1871"/>
      <c r="BD426" s="1871"/>
      <c r="BE426" s="1871"/>
      <c r="BF426" s="1871"/>
      <c r="BG426" s="1871"/>
      <c r="BH426" s="1871"/>
      <c r="BI426" s="1871"/>
      <c r="BJ426" s="1871"/>
      <c r="BK426" s="1871"/>
      <c r="BL426" s="1871"/>
      <c r="BM426" s="1871"/>
      <c r="BN426" s="1871"/>
      <c r="BO426" s="1871"/>
      <c r="BP426" s="1871"/>
      <c r="BQ426" s="1871"/>
      <c r="BR426" s="1871"/>
      <c r="BS426" s="1871"/>
      <c r="BT426" s="1871"/>
      <c r="BU426" s="1871"/>
      <c r="BV426" s="1871"/>
      <c r="BW426" s="1871"/>
      <c r="BX426" s="1871"/>
      <c r="BY426" s="1871"/>
      <c r="BZ426" s="1871"/>
      <c r="CA426" s="1871"/>
      <c r="CB426" s="1871"/>
      <c r="CC426" s="1871"/>
      <c r="CD426" s="1871"/>
      <c r="CE426" s="1871"/>
      <c r="CF426" s="1871"/>
      <c r="CG426" s="1871"/>
      <c r="CH426" s="1871"/>
      <c r="CI426" s="1871"/>
      <c r="CJ426" s="1871"/>
      <c r="CK426" s="1871"/>
      <c r="CL426" s="1871"/>
      <c r="CM426" s="1871"/>
      <c r="CN426" s="1871"/>
      <c r="CO426" s="1871"/>
      <c r="CP426" s="1871"/>
      <c r="CQ426" s="1871"/>
      <c r="CR426" s="1871"/>
      <c r="CS426" s="1871"/>
      <c r="CT426" s="1871"/>
      <c r="CU426" s="1871"/>
      <c r="CV426" s="1871"/>
      <c r="CW426" s="1871"/>
      <c r="CX426" s="1871"/>
      <c r="CY426" s="1871"/>
      <c r="CZ426" s="1871"/>
      <c r="DA426" s="1871"/>
      <c r="DB426" s="1871"/>
      <c r="DC426" s="1871"/>
      <c r="DD426" s="1871"/>
      <c r="DE426" s="1871"/>
      <c r="DF426" s="1871"/>
      <c r="DG426" s="1871"/>
      <c r="DH426" s="1871"/>
      <c r="DI426" s="1871"/>
      <c r="DJ426" s="1871"/>
      <c r="DK426" s="1871"/>
      <c r="DL426" s="1871"/>
      <c r="DM426" s="1871"/>
      <c r="DN426" s="1871"/>
      <c r="DO426" s="1871"/>
      <c r="DP426" s="1871"/>
      <c r="DQ426" s="1871"/>
      <c r="DR426" s="1871"/>
      <c r="DS426" s="1871"/>
      <c r="DT426" s="1871"/>
      <c r="DU426" s="1871"/>
      <c r="DV426" s="1871"/>
      <c r="DW426" s="1871"/>
      <c r="DX426" s="1871"/>
      <c r="DY426" s="1871"/>
      <c r="DZ426" s="1871"/>
      <c r="EA426" s="1871"/>
      <c r="EB426" s="1871"/>
      <c r="EC426" s="1871"/>
      <c r="ED426" s="1871"/>
      <c r="EE426" s="1871"/>
      <c r="EF426" s="1871"/>
      <c r="EG426" s="1871"/>
      <c r="EH426" s="1871"/>
      <c r="EI426" s="1871"/>
      <c r="EJ426" s="1871"/>
      <c r="EK426" s="1871"/>
      <c r="EL426" s="1871"/>
      <c r="EM426" s="1871"/>
      <c r="EN426" s="1871"/>
      <c r="EO426" s="1871"/>
      <c r="EP426" s="1871"/>
      <c r="EQ426" s="1871"/>
      <c r="ER426" s="1871"/>
      <c r="ES426" s="1871"/>
      <c r="ET426" s="1871"/>
      <c r="EU426" s="1871"/>
      <c r="EV426" s="1871"/>
      <c r="EW426" s="1871"/>
      <c r="EX426" s="1871"/>
      <c r="EY426" s="1871"/>
      <c r="EZ426" s="1871"/>
      <c r="FA426" s="1871"/>
      <c r="FB426" s="1871"/>
      <c r="FC426" s="1871"/>
      <c r="FD426" s="1871"/>
      <c r="FE426" s="1871"/>
      <c r="FF426" s="1871"/>
      <c r="FG426" s="1871"/>
      <c r="FH426" s="1871"/>
      <c r="FI426" s="1871"/>
      <c r="FJ426" s="1871"/>
      <c r="FK426" s="1871"/>
      <c r="FL426" s="1871"/>
      <c r="FM426" s="1871"/>
      <c r="FN426" s="1871"/>
      <c r="FO426" s="1871"/>
      <c r="FP426" s="1871"/>
      <c r="FQ426" s="1871"/>
      <c r="FR426" s="1871"/>
      <c r="FS426" s="1871"/>
      <c r="FT426" s="1871"/>
      <c r="FU426" s="1871"/>
      <c r="FV426" s="1871"/>
      <c r="FW426" s="1871"/>
      <c r="FX426" s="1871"/>
      <c r="FY426" s="1871"/>
      <c r="FZ426" s="1871"/>
      <c r="GA426" s="1871"/>
      <c r="GB426" s="1871"/>
      <c r="GC426" s="1871"/>
      <c r="GD426" s="1871"/>
      <c r="GE426" s="1871"/>
      <c r="GF426" s="1871"/>
      <c r="GG426" s="1871"/>
      <c r="GH426" s="1871"/>
      <c r="GI426" s="1871"/>
      <c r="GJ426" s="1871"/>
      <c r="GK426" s="1871"/>
      <c r="GL426" s="1871"/>
      <c r="GM426" s="1871"/>
      <c r="GN426" s="1871"/>
      <c r="GO426" s="1871"/>
      <c r="GP426" s="1871"/>
      <c r="GQ426" s="1871"/>
      <c r="GR426" s="1871"/>
      <c r="GS426" s="1871"/>
      <c r="GT426" s="1871"/>
      <c r="GU426" s="1871"/>
      <c r="GV426" s="1871"/>
      <c r="GW426" s="1871"/>
      <c r="GX426" s="1871"/>
      <c r="GY426" s="1871"/>
      <c r="GZ426" s="1871"/>
      <c r="HA426" s="1871"/>
      <c r="HB426" s="1871"/>
      <c r="HC426" s="1871"/>
      <c r="HD426" s="1871"/>
      <c r="HE426" s="1871"/>
      <c r="HF426" s="1871"/>
      <c r="HG426" s="1871"/>
      <c r="HH426" s="1871"/>
      <c r="HI426" s="1871"/>
      <c r="HJ426" s="1871"/>
      <c r="HK426" s="1871"/>
      <c r="HL426" s="1871"/>
      <c r="HM426" s="1871"/>
      <c r="HN426" s="1871"/>
      <c r="HO426" s="1871"/>
      <c r="HP426" s="1871"/>
      <c r="HQ426" s="1871"/>
      <c r="HR426" s="1871"/>
      <c r="HS426" s="1871"/>
      <c r="HT426" s="1871"/>
      <c r="HU426" s="1871"/>
      <c r="HV426" s="1871"/>
      <c r="HW426" s="1871"/>
      <c r="HX426" s="1871"/>
      <c r="HY426" s="1871"/>
      <c r="HZ426" s="1871"/>
      <c r="IA426" s="1871"/>
      <c r="IB426" s="1871"/>
      <c r="IC426" s="1871"/>
      <c r="ID426" s="1871"/>
      <c r="IE426" s="1871"/>
      <c r="IF426" s="1871"/>
      <c r="IG426" s="1871"/>
      <c r="IH426" s="1871"/>
      <c r="II426" s="1871"/>
      <c r="IJ426" s="1871"/>
      <c r="IK426" s="1871"/>
      <c r="IL426" s="1871"/>
      <c r="IM426" s="1871"/>
      <c r="IN426" s="1871"/>
    </row>
    <row r="427" spans="1:248">
      <c r="A427" s="1870" t="s">
        <v>1984</v>
      </c>
      <c r="B427" s="1879" t="s">
        <v>1985</v>
      </c>
      <c r="C427" s="1881" t="s">
        <v>1986</v>
      </c>
      <c r="D427" s="1897">
        <v>0</v>
      </c>
      <c r="E427" s="1897">
        <v>0</v>
      </c>
      <c r="F427" s="1897">
        <v>0</v>
      </c>
      <c r="G427" s="1897">
        <v>0</v>
      </c>
      <c r="H427" s="1897">
        <v>0</v>
      </c>
      <c r="I427" s="1897">
        <v>0</v>
      </c>
      <c r="J427" s="1897">
        <v>0</v>
      </c>
      <c r="K427" s="1897">
        <v>0</v>
      </c>
      <c r="L427" s="1897">
        <v>0</v>
      </c>
      <c r="M427" s="1899">
        <f t="shared" si="45"/>
        <v>0</v>
      </c>
      <c r="N427" s="1897">
        <v>0</v>
      </c>
      <c r="O427" s="1900">
        <f t="shared" si="46"/>
        <v>0</v>
      </c>
      <c r="P427" s="3290" t="s">
        <v>385</v>
      </c>
      <c r="Q427" s="3290"/>
      <c r="R427" s="1877"/>
      <c r="S427" s="1871"/>
      <c r="T427" s="1871"/>
      <c r="U427" s="1871"/>
      <c r="V427" s="1871"/>
      <c r="W427" s="1871"/>
      <c r="X427" s="1871"/>
      <c r="Y427" s="1871"/>
      <c r="Z427" s="1871"/>
      <c r="AA427" s="1871"/>
      <c r="AB427" s="1871"/>
      <c r="AC427" s="1871"/>
      <c r="AD427" s="1871"/>
      <c r="AE427" s="1871"/>
      <c r="AF427" s="1871"/>
      <c r="AG427" s="1871"/>
      <c r="AH427" s="1871"/>
      <c r="AI427" s="1871"/>
      <c r="AJ427" s="1871"/>
      <c r="AK427" s="1871"/>
      <c r="AL427" s="1871"/>
      <c r="AM427" s="1871"/>
      <c r="AN427" s="1871"/>
      <c r="AO427" s="1871"/>
      <c r="AP427" s="1871"/>
      <c r="AQ427" s="1871"/>
      <c r="AR427" s="1871"/>
      <c r="AS427" s="1871"/>
      <c r="AT427" s="1871"/>
      <c r="AU427" s="1871"/>
      <c r="AV427" s="1871"/>
      <c r="AW427" s="1871"/>
      <c r="AX427" s="1871"/>
      <c r="AY427" s="1871"/>
      <c r="AZ427" s="1871"/>
      <c r="BA427" s="1871"/>
      <c r="BB427" s="1871"/>
      <c r="BC427" s="1871"/>
      <c r="BD427" s="1871"/>
      <c r="BE427" s="1871"/>
      <c r="BF427" s="1871"/>
      <c r="BG427" s="1871"/>
      <c r="BH427" s="1871"/>
      <c r="BI427" s="1871"/>
      <c r="BJ427" s="1871"/>
      <c r="BK427" s="1871"/>
      <c r="BL427" s="1871"/>
      <c r="BM427" s="1871"/>
      <c r="BN427" s="1871"/>
      <c r="BO427" s="1871"/>
      <c r="BP427" s="1871"/>
      <c r="BQ427" s="1871"/>
      <c r="BR427" s="1871"/>
      <c r="BS427" s="1871"/>
      <c r="BT427" s="1871"/>
      <c r="BU427" s="1871"/>
      <c r="BV427" s="1871"/>
      <c r="BW427" s="1871"/>
      <c r="BX427" s="1871"/>
      <c r="BY427" s="1871"/>
      <c r="BZ427" s="1871"/>
      <c r="CA427" s="1871"/>
      <c r="CB427" s="1871"/>
      <c r="CC427" s="1871"/>
      <c r="CD427" s="1871"/>
      <c r="CE427" s="1871"/>
      <c r="CF427" s="1871"/>
      <c r="CG427" s="1871"/>
      <c r="CH427" s="1871"/>
      <c r="CI427" s="1871"/>
      <c r="CJ427" s="1871"/>
      <c r="CK427" s="1871"/>
      <c r="CL427" s="1871"/>
      <c r="CM427" s="1871"/>
      <c r="CN427" s="1871"/>
      <c r="CO427" s="1871"/>
      <c r="CP427" s="1871"/>
      <c r="CQ427" s="1871"/>
      <c r="CR427" s="1871"/>
      <c r="CS427" s="1871"/>
      <c r="CT427" s="1871"/>
      <c r="CU427" s="1871"/>
      <c r="CV427" s="1871"/>
      <c r="CW427" s="1871"/>
      <c r="CX427" s="1871"/>
      <c r="CY427" s="1871"/>
      <c r="CZ427" s="1871"/>
      <c r="DA427" s="1871"/>
      <c r="DB427" s="1871"/>
      <c r="DC427" s="1871"/>
      <c r="DD427" s="1871"/>
      <c r="DE427" s="1871"/>
      <c r="DF427" s="1871"/>
      <c r="DG427" s="1871"/>
      <c r="DH427" s="1871"/>
      <c r="DI427" s="1871"/>
      <c r="DJ427" s="1871"/>
      <c r="DK427" s="1871"/>
      <c r="DL427" s="1871"/>
      <c r="DM427" s="1871"/>
      <c r="DN427" s="1871"/>
      <c r="DO427" s="1871"/>
      <c r="DP427" s="1871"/>
      <c r="DQ427" s="1871"/>
      <c r="DR427" s="1871"/>
      <c r="DS427" s="1871"/>
      <c r="DT427" s="1871"/>
      <c r="DU427" s="1871"/>
      <c r="DV427" s="1871"/>
      <c r="DW427" s="1871"/>
      <c r="DX427" s="1871"/>
      <c r="DY427" s="1871"/>
      <c r="DZ427" s="1871"/>
      <c r="EA427" s="1871"/>
      <c r="EB427" s="1871"/>
      <c r="EC427" s="1871"/>
      <c r="ED427" s="1871"/>
      <c r="EE427" s="1871"/>
      <c r="EF427" s="1871"/>
      <c r="EG427" s="1871"/>
      <c r="EH427" s="1871"/>
      <c r="EI427" s="1871"/>
      <c r="EJ427" s="1871"/>
      <c r="EK427" s="1871"/>
      <c r="EL427" s="1871"/>
      <c r="EM427" s="1871"/>
      <c r="EN427" s="1871"/>
      <c r="EO427" s="1871"/>
      <c r="EP427" s="1871"/>
      <c r="EQ427" s="1871"/>
      <c r="ER427" s="1871"/>
      <c r="ES427" s="1871"/>
      <c r="ET427" s="1871"/>
      <c r="EU427" s="1871"/>
      <c r="EV427" s="1871"/>
      <c r="EW427" s="1871"/>
      <c r="EX427" s="1871"/>
      <c r="EY427" s="1871"/>
      <c r="EZ427" s="1871"/>
      <c r="FA427" s="1871"/>
      <c r="FB427" s="1871"/>
      <c r="FC427" s="1871"/>
      <c r="FD427" s="1871"/>
      <c r="FE427" s="1871"/>
      <c r="FF427" s="1871"/>
      <c r="FG427" s="1871"/>
      <c r="FH427" s="1871"/>
      <c r="FI427" s="1871"/>
      <c r="FJ427" s="1871"/>
      <c r="FK427" s="1871"/>
      <c r="FL427" s="1871"/>
      <c r="FM427" s="1871"/>
      <c r="FN427" s="1871"/>
      <c r="FO427" s="1871"/>
      <c r="FP427" s="1871"/>
      <c r="FQ427" s="1871"/>
      <c r="FR427" s="1871"/>
      <c r="FS427" s="1871"/>
      <c r="FT427" s="1871"/>
      <c r="FU427" s="1871"/>
      <c r="FV427" s="1871"/>
      <c r="FW427" s="1871"/>
      <c r="FX427" s="1871"/>
      <c r="FY427" s="1871"/>
      <c r="FZ427" s="1871"/>
      <c r="GA427" s="1871"/>
      <c r="GB427" s="1871"/>
      <c r="GC427" s="1871"/>
      <c r="GD427" s="1871"/>
      <c r="GE427" s="1871"/>
      <c r="GF427" s="1871"/>
      <c r="GG427" s="1871"/>
      <c r="GH427" s="1871"/>
      <c r="GI427" s="1871"/>
      <c r="GJ427" s="1871"/>
      <c r="GK427" s="1871"/>
      <c r="GL427" s="1871"/>
      <c r="GM427" s="1871"/>
      <c r="GN427" s="1871"/>
      <c r="GO427" s="1871"/>
      <c r="GP427" s="1871"/>
      <c r="GQ427" s="1871"/>
      <c r="GR427" s="1871"/>
      <c r="GS427" s="1871"/>
      <c r="GT427" s="1871"/>
      <c r="GU427" s="1871"/>
      <c r="GV427" s="1871"/>
      <c r="GW427" s="1871"/>
      <c r="GX427" s="1871"/>
      <c r="GY427" s="1871"/>
      <c r="GZ427" s="1871"/>
      <c r="HA427" s="1871"/>
      <c r="HB427" s="1871"/>
      <c r="HC427" s="1871"/>
      <c r="HD427" s="1871"/>
      <c r="HE427" s="1871"/>
      <c r="HF427" s="1871"/>
      <c r="HG427" s="1871"/>
      <c r="HH427" s="1871"/>
      <c r="HI427" s="1871"/>
      <c r="HJ427" s="1871"/>
      <c r="HK427" s="1871"/>
      <c r="HL427" s="1871"/>
      <c r="HM427" s="1871"/>
      <c r="HN427" s="1871"/>
      <c r="HO427" s="1871"/>
      <c r="HP427" s="1871"/>
      <c r="HQ427" s="1871"/>
      <c r="HR427" s="1871"/>
      <c r="HS427" s="1871"/>
      <c r="HT427" s="1871"/>
      <c r="HU427" s="1871"/>
      <c r="HV427" s="1871"/>
      <c r="HW427" s="1871"/>
      <c r="HX427" s="1871"/>
      <c r="HY427" s="1871"/>
      <c r="HZ427" s="1871"/>
      <c r="IA427" s="1871"/>
      <c r="IB427" s="1871"/>
      <c r="IC427" s="1871"/>
      <c r="ID427" s="1871"/>
      <c r="IE427" s="1871"/>
      <c r="IF427" s="1871"/>
      <c r="IG427" s="1871"/>
      <c r="IH427" s="1871"/>
      <c r="II427" s="1871"/>
      <c r="IJ427" s="1871"/>
      <c r="IK427" s="1871"/>
      <c r="IL427" s="1871"/>
      <c r="IM427" s="1871"/>
      <c r="IN427" s="1871"/>
    </row>
    <row r="428" spans="1:248" s="1871" customFormat="1">
      <c r="A428" s="1870" t="s">
        <v>1987</v>
      </c>
      <c r="B428" s="2037" t="s">
        <v>1988</v>
      </c>
      <c r="C428" s="2038" t="s">
        <v>1989</v>
      </c>
      <c r="D428" s="1897">
        <v>0</v>
      </c>
      <c r="E428" s="1897">
        <v>0</v>
      </c>
      <c r="F428" s="1897">
        <v>0</v>
      </c>
      <c r="G428" s="1897">
        <v>0</v>
      </c>
      <c r="H428" s="1897">
        <v>0</v>
      </c>
      <c r="I428" s="1897">
        <v>0</v>
      </c>
      <c r="J428" s="1897">
        <v>0</v>
      </c>
      <c r="K428" s="1897">
        <v>0</v>
      </c>
      <c r="L428" s="1897">
        <v>0</v>
      </c>
      <c r="M428" s="1899">
        <f>SUM(D428:L428)</f>
        <v>0</v>
      </c>
      <c r="N428" s="1897">
        <v>0</v>
      </c>
      <c r="O428" s="1900">
        <f>SUM(M428:N428)</f>
        <v>0</v>
      </c>
      <c r="P428" s="3290" t="s">
        <v>385</v>
      </c>
      <c r="Q428" s="3290"/>
      <c r="R428" s="1877"/>
    </row>
    <row r="429" spans="1:248" s="504" customFormat="1">
      <c r="A429" s="1870" t="s">
        <v>1990</v>
      </c>
      <c r="B429" s="1879" t="s">
        <v>1991</v>
      </c>
      <c r="C429" s="1881" t="s">
        <v>1992</v>
      </c>
      <c r="D429" s="1897">
        <v>0</v>
      </c>
      <c r="E429" s="1897">
        <v>0</v>
      </c>
      <c r="F429" s="1897">
        <v>0</v>
      </c>
      <c r="G429" s="1897">
        <v>0</v>
      </c>
      <c r="H429" s="1897">
        <v>0</v>
      </c>
      <c r="I429" s="1897">
        <v>0</v>
      </c>
      <c r="J429" s="1897">
        <v>0</v>
      </c>
      <c r="K429" s="1897">
        <v>0</v>
      </c>
      <c r="L429" s="1897">
        <v>0</v>
      </c>
      <c r="M429" s="1899">
        <f t="shared" si="45"/>
        <v>0</v>
      </c>
      <c r="N429" s="1897">
        <v>0</v>
      </c>
      <c r="O429" s="1900">
        <f t="shared" si="46"/>
        <v>0</v>
      </c>
      <c r="P429" s="3290" t="s">
        <v>385</v>
      </c>
      <c r="Q429" s="3290"/>
      <c r="R429" s="1877"/>
    </row>
    <row r="430" spans="1:248" s="504" customFormat="1">
      <c r="A430" s="1870" t="s">
        <v>1993</v>
      </c>
      <c r="B430" s="1879" t="s">
        <v>1994</v>
      </c>
      <c r="C430" s="1881" t="s">
        <v>1995</v>
      </c>
      <c r="D430" s="1897">
        <v>0</v>
      </c>
      <c r="E430" s="1897">
        <v>0</v>
      </c>
      <c r="F430" s="1897">
        <v>0</v>
      </c>
      <c r="G430" s="1897">
        <v>0</v>
      </c>
      <c r="H430" s="1897">
        <v>0</v>
      </c>
      <c r="I430" s="1897">
        <v>0</v>
      </c>
      <c r="J430" s="1897">
        <v>0</v>
      </c>
      <c r="K430" s="1897">
        <v>0</v>
      </c>
      <c r="L430" s="1897">
        <v>0</v>
      </c>
      <c r="M430" s="1899">
        <f t="shared" si="45"/>
        <v>0</v>
      </c>
      <c r="N430" s="1897">
        <v>0</v>
      </c>
      <c r="O430" s="1900">
        <f t="shared" si="46"/>
        <v>0</v>
      </c>
      <c r="P430" s="3290" t="s">
        <v>385</v>
      </c>
      <c r="Q430" s="3290"/>
      <c r="R430" s="1877"/>
    </row>
    <row r="431" spans="1:248" s="504" customFormat="1">
      <c r="A431" s="1870" t="s">
        <v>1996</v>
      </c>
      <c r="B431" s="1879" t="s">
        <v>1997</v>
      </c>
      <c r="C431" s="1881" t="s">
        <v>1998</v>
      </c>
      <c r="D431" s="1897">
        <v>0</v>
      </c>
      <c r="E431" s="1897">
        <v>0</v>
      </c>
      <c r="F431" s="1897">
        <v>0</v>
      </c>
      <c r="G431" s="1897">
        <v>0</v>
      </c>
      <c r="H431" s="1897">
        <v>0</v>
      </c>
      <c r="I431" s="1897">
        <v>0</v>
      </c>
      <c r="J431" s="1897">
        <v>0</v>
      </c>
      <c r="K431" s="1897">
        <v>0</v>
      </c>
      <c r="L431" s="1897">
        <v>0</v>
      </c>
      <c r="M431" s="1899">
        <f t="shared" si="45"/>
        <v>0</v>
      </c>
      <c r="N431" s="1897">
        <v>0</v>
      </c>
      <c r="O431" s="1900">
        <f t="shared" si="46"/>
        <v>0</v>
      </c>
      <c r="P431" s="3290" t="s">
        <v>385</v>
      </c>
      <c r="Q431" s="3290"/>
      <c r="R431" s="1877"/>
    </row>
    <row r="432" spans="1:248" s="504" customFormat="1">
      <c r="A432" s="1870" t="s">
        <v>1999</v>
      </c>
      <c r="B432" s="1879" t="s">
        <v>2000</v>
      </c>
      <c r="C432" s="1881" t="s">
        <v>2001</v>
      </c>
      <c r="D432" s="1897">
        <v>0</v>
      </c>
      <c r="E432" s="1897">
        <v>0</v>
      </c>
      <c r="F432" s="1897">
        <v>0</v>
      </c>
      <c r="G432" s="1897">
        <v>0</v>
      </c>
      <c r="H432" s="1897">
        <v>0</v>
      </c>
      <c r="I432" s="1897">
        <v>0</v>
      </c>
      <c r="J432" s="1897">
        <v>0</v>
      </c>
      <c r="K432" s="1897">
        <v>0</v>
      </c>
      <c r="L432" s="1897">
        <v>0</v>
      </c>
      <c r="M432" s="1899">
        <f t="shared" si="45"/>
        <v>0</v>
      </c>
      <c r="N432" s="1897">
        <v>0</v>
      </c>
      <c r="O432" s="1900">
        <f t="shared" si="46"/>
        <v>0</v>
      </c>
      <c r="P432" s="3290" t="s">
        <v>385</v>
      </c>
      <c r="Q432" s="3290"/>
      <c r="R432" s="1877"/>
    </row>
    <row r="433" spans="1:18" s="504" customFormat="1">
      <c r="A433" s="1870" t="s">
        <v>2002</v>
      </c>
      <c r="B433" s="1879" t="s">
        <v>2003</v>
      </c>
      <c r="C433" s="1881" t="s">
        <v>2004</v>
      </c>
      <c r="D433" s="1897">
        <v>0</v>
      </c>
      <c r="E433" s="1897">
        <v>0</v>
      </c>
      <c r="F433" s="1897">
        <v>0</v>
      </c>
      <c r="G433" s="1897">
        <v>0</v>
      </c>
      <c r="H433" s="1897">
        <v>0</v>
      </c>
      <c r="I433" s="1897">
        <v>0</v>
      </c>
      <c r="J433" s="1897">
        <v>0</v>
      </c>
      <c r="K433" s="1897">
        <v>0</v>
      </c>
      <c r="L433" s="1897">
        <v>0</v>
      </c>
      <c r="M433" s="1899">
        <f t="shared" si="45"/>
        <v>0</v>
      </c>
      <c r="N433" s="1897">
        <v>0</v>
      </c>
      <c r="O433" s="1900">
        <f t="shared" si="46"/>
        <v>0</v>
      </c>
      <c r="P433" s="3290" t="s">
        <v>385</v>
      </c>
      <c r="Q433" s="3290"/>
      <c r="R433" s="1877"/>
    </row>
    <row r="434" spans="1:18">
      <c r="A434" s="1870" t="s">
        <v>2005</v>
      </c>
      <c r="B434" s="1879" t="s">
        <v>2006</v>
      </c>
      <c r="C434" s="1881" t="s">
        <v>2007</v>
      </c>
      <c r="D434" s="1897">
        <v>0</v>
      </c>
      <c r="E434" s="1897">
        <v>0</v>
      </c>
      <c r="F434" s="1897">
        <v>0</v>
      </c>
      <c r="G434" s="1897">
        <v>0</v>
      </c>
      <c r="H434" s="1897">
        <v>0</v>
      </c>
      <c r="I434" s="1897">
        <v>0</v>
      </c>
      <c r="J434" s="1897">
        <v>0</v>
      </c>
      <c r="K434" s="1897">
        <v>0</v>
      </c>
      <c r="L434" s="1897">
        <v>0</v>
      </c>
      <c r="M434" s="1899">
        <f t="shared" si="45"/>
        <v>0</v>
      </c>
      <c r="N434" s="1897">
        <v>0</v>
      </c>
      <c r="O434" s="1900">
        <f t="shared" si="46"/>
        <v>0</v>
      </c>
      <c r="P434" s="3290" t="s">
        <v>385</v>
      </c>
      <c r="Q434" s="3290"/>
      <c r="R434" s="1877"/>
    </row>
    <row r="435" spans="1:18">
      <c r="A435" s="1870" t="s">
        <v>2008</v>
      </c>
      <c r="B435" s="1879" t="s">
        <v>2009</v>
      </c>
      <c r="C435" s="1881" t="s">
        <v>2010</v>
      </c>
      <c r="D435" s="1897">
        <v>0</v>
      </c>
      <c r="E435" s="1897">
        <v>0</v>
      </c>
      <c r="F435" s="1897">
        <v>0</v>
      </c>
      <c r="G435" s="1897">
        <v>0</v>
      </c>
      <c r="H435" s="1897">
        <v>0</v>
      </c>
      <c r="I435" s="1897">
        <v>0</v>
      </c>
      <c r="J435" s="1897">
        <v>0</v>
      </c>
      <c r="K435" s="1897">
        <v>0</v>
      </c>
      <c r="L435" s="1897">
        <v>0</v>
      </c>
      <c r="M435" s="1899">
        <f>SUM(D435:L435)</f>
        <v>0</v>
      </c>
      <c r="N435" s="1897">
        <v>0</v>
      </c>
      <c r="O435" s="1900">
        <f>SUM(M435:N435)</f>
        <v>0</v>
      </c>
      <c r="P435" s="3290" t="s">
        <v>385</v>
      </c>
      <c r="Q435" s="3290"/>
      <c r="R435" s="1877"/>
    </row>
    <row r="436" spans="1:18">
      <c r="A436" s="1870"/>
      <c r="B436" s="514"/>
      <c r="C436" s="1880"/>
      <c r="D436" s="3726"/>
      <c r="E436" s="3726"/>
      <c r="F436" s="3726"/>
      <c r="G436" s="3726"/>
      <c r="H436" s="3726"/>
      <c r="I436" s="3726"/>
      <c r="J436" s="3726"/>
      <c r="K436" s="3726"/>
      <c r="L436" s="3726"/>
      <c r="M436" s="3726"/>
      <c r="N436" s="3726"/>
      <c r="O436" s="3726"/>
      <c r="P436" s="3290"/>
      <c r="Q436" s="3290"/>
      <c r="R436" s="1877"/>
    </row>
    <row r="437" spans="1:18">
      <c r="A437" s="1870"/>
      <c r="B437" s="510" t="s">
        <v>2011</v>
      </c>
      <c r="C437" s="1880"/>
      <c r="D437" s="1901">
        <f>SUM(D387:D435)</f>
        <v>0</v>
      </c>
      <c r="E437" s="1901">
        <f>SUM(E387:E435)</f>
        <v>0</v>
      </c>
      <c r="F437" s="1901">
        <f t="shared" ref="F437:N437" si="47">SUM(F387:F435)</f>
        <v>0</v>
      </c>
      <c r="G437" s="1901">
        <f t="shared" si="47"/>
        <v>0</v>
      </c>
      <c r="H437" s="1901">
        <f t="shared" si="47"/>
        <v>0</v>
      </c>
      <c r="I437" s="1901">
        <f t="shared" si="47"/>
        <v>0</v>
      </c>
      <c r="J437" s="1901">
        <f t="shared" si="47"/>
        <v>0</v>
      </c>
      <c r="K437" s="1901">
        <f t="shared" si="47"/>
        <v>0</v>
      </c>
      <c r="L437" s="1901">
        <f t="shared" si="47"/>
        <v>0</v>
      </c>
      <c r="M437" s="1901">
        <f t="shared" si="47"/>
        <v>0</v>
      </c>
      <c r="N437" s="1901">
        <f t="shared" si="47"/>
        <v>0</v>
      </c>
      <c r="O437" s="1901">
        <f>SUM(M437:N437)</f>
        <v>0</v>
      </c>
      <c r="P437" s="3290"/>
      <c r="Q437" s="3290"/>
      <c r="R437" s="1877"/>
    </row>
    <row r="438" spans="1:18">
      <c r="A438" s="1870"/>
      <c r="B438" s="514"/>
      <c r="C438" s="1880"/>
      <c r="D438" s="3727"/>
      <c r="E438" s="3727"/>
      <c r="F438" s="3727"/>
      <c r="G438" s="3727"/>
      <c r="H438" s="3727"/>
      <c r="I438" s="3727"/>
      <c r="J438" s="3727"/>
      <c r="K438" s="3727"/>
      <c r="L438" s="3727"/>
      <c r="M438" s="3735"/>
      <c r="N438" s="3727"/>
      <c r="O438" s="3736"/>
      <c r="P438" s="3290"/>
      <c r="Q438" s="3290"/>
      <c r="R438" s="1877"/>
    </row>
    <row r="439" spans="1:18">
      <c r="A439" s="1870"/>
      <c r="B439" s="3732" t="s">
        <v>2012</v>
      </c>
      <c r="C439" s="3730"/>
      <c r="D439" s="1902"/>
      <c r="E439" s="1902"/>
      <c r="F439" s="1902"/>
      <c r="G439" s="1902"/>
      <c r="H439" s="1902"/>
      <c r="I439" s="1902"/>
      <c r="J439" s="1902"/>
      <c r="K439" s="1902"/>
      <c r="L439" s="1902"/>
      <c r="M439" s="1899"/>
      <c r="N439" s="1902"/>
      <c r="O439" s="1907"/>
      <c r="P439" s="3290"/>
      <c r="Q439" s="3290"/>
      <c r="R439" s="1877"/>
    </row>
    <row r="440" spans="1:18">
      <c r="A440" s="1870"/>
      <c r="B440" s="3734"/>
      <c r="C440" s="3725"/>
      <c r="D440" s="1902"/>
      <c r="E440" s="1902"/>
      <c r="F440" s="1902"/>
      <c r="G440" s="1902"/>
      <c r="H440" s="1902"/>
      <c r="I440" s="1902"/>
      <c r="J440" s="1902"/>
      <c r="K440" s="1902"/>
      <c r="L440" s="1902"/>
      <c r="M440" s="1899"/>
      <c r="N440" s="1902"/>
      <c r="O440" s="1907"/>
      <c r="P440" s="3290"/>
      <c r="Q440" s="3290"/>
      <c r="R440" s="1877"/>
    </row>
    <row r="441" spans="1:18">
      <c r="A441" s="1870"/>
      <c r="B441" s="1879" t="s">
        <v>2013</v>
      </c>
      <c r="C441" s="642" t="s">
        <v>2014</v>
      </c>
      <c r="D441" s="1897">
        <v>0</v>
      </c>
      <c r="E441" s="1897">
        <v>0</v>
      </c>
      <c r="F441" s="1897">
        <v>0</v>
      </c>
      <c r="G441" s="1897">
        <v>0</v>
      </c>
      <c r="H441" s="1897">
        <v>0</v>
      </c>
      <c r="I441" s="1897">
        <v>0</v>
      </c>
      <c r="J441" s="1897">
        <v>0</v>
      </c>
      <c r="K441" s="1897">
        <v>0</v>
      </c>
      <c r="L441" s="1897">
        <v>0</v>
      </c>
      <c r="M441" s="1899">
        <f>SUM(D441:L441)</f>
        <v>0</v>
      </c>
      <c r="N441" s="1897">
        <v>0</v>
      </c>
      <c r="O441" s="1907">
        <f>SUM(M441:N441)</f>
        <v>0</v>
      </c>
      <c r="P441" s="3290"/>
      <c r="Q441" s="3290"/>
      <c r="R441" s="1877"/>
    </row>
    <row r="442" spans="1:18">
      <c r="A442" s="1870" t="s">
        <v>2015</v>
      </c>
      <c r="B442" s="1879" t="s">
        <v>2016</v>
      </c>
      <c r="C442" s="1880" t="s">
        <v>2017</v>
      </c>
      <c r="D442" s="1897">
        <v>0</v>
      </c>
      <c r="E442" s="1897">
        <v>0</v>
      </c>
      <c r="F442" s="1897">
        <v>0</v>
      </c>
      <c r="G442" s="1897">
        <v>0</v>
      </c>
      <c r="H442" s="1897">
        <v>0</v>
      </c>
      <c r="I442" s="1897">
        <v>0</v>
      </c>
      <c r="J442" s="1897">
        <v>0</v>
      </c>
      <c r="K442" s="1897">
        <v>0</v>
      </c>
      <c r="L442" s="1897">
        <v>0</v>
      </c>
      <c r="M442" s="1899">
        <f t="shared" ref="M442:M504" si="48">SUM(D442:L442)</f>
        <v>0</v>
      </c>
      <c r="N442" s="1897">
        <v>0</v>
      </c>
      <c r="O442" s="1907">
        <f t="shared" ref="O442:O503" si="49">SUM(M442:N442)</f>
        <v>0</v>
      </c>
      <c r="P442" s="3290" t="s">
        <v>393</v>
      </c>
      <c r="Q442" s="3290"/>
      <c r="R442" s="1877"/>
    </row>
    <row r="443" spans="1:18">
      <c r="A443" s="1870" t="s">
        <v>2018</v>
      </c>
      <c r="B443" s="1879" t="s">
        <v>2019</v>
      </c>
      <c r="C443" s="1880" t="s">
        <v>2020</v>
      </c>
      <c r="D443" s="1897">
        <v>0</v>
      </c>
      <c r="E443" s="1897">
        <v>0</v>
      </c>
      <c r="F443" s="1897">
        <v>0</v>
      </c>
      <c r="G443" s="1897">
        <v>0</v>
      </c>
      <c r="H443" s="1897">
        <v>0</v>
      </c>
      <c r="I443" s="1897">
        <v>0</v>
      </c>
      <c r="J443" s="1897">
        <v>0</v>
      </c>
      <c r="K443" s="1897">
        <v>0</v>
      </c>
      <c r="L443" s="1897">
        <v>0</v>
      </c>
      <c r="M443" s="1899">
        <f t="shared" si="48"/>
        <v>0</v>
      </c>
      <c r="N443" s="1897">
        <v>0</v>
      </c>
      <c r="O443" s="1907">
        <f t="shared" si="49"/>
        <v>0</v>
      </c>
      <c r="P443" s="3290" t="s">
        <v>393</v>
      </c>
      <c r="Q443" s="3290"/>
      <c r="R443" s="1877"/>
    </row>
    <row r="444" spans="1:18">
      <c r="A444" s="1870" t="s">
        <v>2021</v>
      </c>
      <c r="B444" s="1879" t="s">
        <v>2022</v>
      </c>
      <c r="C444" s="1880" t="s">
        <v>2023</v>
      </c>
      <c r="D444" s="1897">
        <v>0</v>
      </c>
      <c r="E444" s="1897">
        <v>0</v>
      </c>
      <c r="F444" s="1897">
        <v>0</v>
      </c>
      <c r="G444" s="1897">
        <v>0</v>
      </c>
      <c r="H444" s="1897">
        <v>0</v>
      </c>
      <c r="I444" s="1897">
        <v>0</v>
      </c>
      <c r="J444" s="1897">
        <v>0</v>
      </c>
      <c r="K444" s="1897">
        <v>0</v>
      </c>
      <c r="L444" s="1897">
        <v>0</v>
      </c>
      <c r="M444" s="1899">
        <f t="shared" si="48"/>
        <v>0</v>
      </c>
      <c r="N444" s="1897">
        <v>0</v>
      </c>
      <c r="O444" s="1907">
        <f t="shared" si="49"/>
        <v>0</v>
      </c>
      <c r="P444" s="3290" t="s">
        <v>389</v>
      </c>
      <c r="Q444" s="3290"/>
      <c r="R444" s="1877"/>
    </row>
    <row r="445" spans="1:18">
      <c r="A445" s="1870" t="s">
        <v>2024</v>
      </c>
      <c r="B445" s="1879" t="s">
        <v>2025</v>
      </c>
      <c r="C445" s="1880" t="s">
        <v>2026</v>
      </c>
      <c r="D445" s="1897">
        <v>0</v>
      </c>
      <c r="E445" s="1897">
        <v>0</v>
      </c>
      <c r="F445" s="1897">
        <v>0</v>
      </c>
      <c r="G445" s="1897">
        <v>0</v>
      </c>
      <c r="H445" s="1897">
        <v>0</v>
      </c>
      <c r="I445" s="1897">
        <v>0</v>
      </c>
      <c r="J445" s="1897">
        <v>0</v>
      </c>
      <c r="K445" s="1897">
        <v>0</v>
      </c>
      <c r="L445" s="1897">
        <v>0</v>
      </c>
      <c r="M445" s="1899">
        <f t="shared" si="48"/>
        <v>0</v>
      </c>
      <c r="N445" s="1897">
        <v>0</v>
      </c>
      <c r="O445" s="1907">
        <f t="shared" si="49"/>
        <v>0</v>
      </c>
      <c r="P445" s="3290" t="s">
        <v>393</v>
      </c>
      <c r="Q445" s="3290"/>
      <c r="R445" s="1877"/>
    </row>
    <row r="446" spans="1:18">
      <c r="A446" s="1870" t="s">
        <v>2027</v>
      </c>
      <c r="B446" s="1879" t="s">
        <v>2028</v>
      </c>
      <c r="C446" s="1880" t="s">
        <v>2029</v>
      </c>
      <c r="D446" s="1897">
        <v>0</v>
      </c>
      <c r="E446" s="1897">
        <v>0</v>
      </c>
      <c r="F446" s="1897">
        <v>0</v>
      </c>
      <c r="G446" s="1897">
        <v>0</v>
      </c>
      <c r="H446" s="1897">
        <v>0</v>
      </c>
      <c r="I446" s="1897">
        <v>0</v>
      </c>
      <c r="J446" s="1897">
        <v>0</v>
      </c>
      <c r="K446" s="1897">
        <v>0</v>
      </c>
      <c r="L446" s="1897">
        <v>0</v>
      </c>
      <c r="M446" s="1899">
        <f t="shared" si="48"/>
        <v>0</v>
      </c>
      <c r="N446" s="1897">
        <v>0</v>
      </c>
      <c r="O446" s="1907">
        <f t="shared" si="49"/>
        <v>0</v>
      </c>
      <c r="P446" s="3290" t="s">
        <v>393</v>
      </c>
      <c r="Q446" s="3290"/>
      <c r="R446" s="1877"/>
    </row>
    <row r="447" spans="1:18">
      <c r="A447" s="1870" t="s">
        <v>2030</v>
      </c>
      <c r="B447" s="1876" t="s">
        <v>2031</v>
      </c>
      <c r="C447" s="1881" t="s">
        <v>2032</v>
      </c>
      <c r="D447" s="1897">
        <v>0</v>
      </c>
      <c r="E447" s="1897">
        <v>0</v>
      </c>
      <c r="F447" s="1897">
        <v>0</v>
      </c>
      <c r="G447" s="1897">
        <v>0</v>
      </c>
      <c r="H447" s="1897">
        <v>0</v>
      </c>
      <c r="I447" s="1897">
        <v>0</v>
      </c>
      <c r="J447" s="1897">
        <v>0</v>
      </c>
      <c r="K447" s="1897">
        <v>0</v>
      </c>
      <c r="L447" s="1897">
        <v>0</v>
      </c>
      <c r="M447" s="1899">
        <f t="shared" si="48"/>
        <v>0</v>
      </c>
      <c r="N447" s="1897">
        <v>0</v>
      </c>
      <c r="O447" s="1907">
        <f t="shared" si="49"/>
        <v>0</v>
      </c>
      <c r="P447" s="3290" t="s">
        <v>393</v>
      </c>
      <c r="Q447" s="3290"/>
      <c r="R447" s="1877"/>
    </row>
    <row r="448" spans="1:18" s="1871" customFormat="1">
      <c r="A448" s="1870"/>
      <c r="B448" s="1876" t="s">
        <v>2033</v>
      </c>
      <c r="C448" s="1881" t="s">
        <v>2034</v>
      </c>
      <c r="D448" s="1897">
        <v>0</v>
      </c>
      <c r="E448" s="1897">
        <v>0</v>
      </c>
      <c r="F448" s="1897">
        <v>0</v>
      </c>
      <c r="G448" s="1897">
        <v>0</v>
      </c>
      <c r="H448" s="1897">
        <v>0</v>
      </c>
      <c r="I448" s="1897">
        <v>0</v>
      </c>
      <c r="J448" s="1897">
        <v>0</v>
      </c>
      <c r="K448" s="1897">
        <v>0</v>
      </c>
      <c r="L448" s="1897">
        <v>0</v>
      </c>
      <c r="M448" s="1899">
        <f t="shared" si="48"/>
        <v>0</v>
      </c>
      <c r="N448" s="1897">
        <v>0</v>
      </c>
      <c r="O448" s="1907">
        <f t="shared" si="49"/>
        <v>0</v>
      </c>
      <c r="P448" s="3290" t="s">
        <v>393</v>
      </c>
      <c r="Q448" s="3559"/>
      <c r="R448" s="1877"/>
    </row>
    <row r="449" spans="1:18" s="1871" customFormat="1">
      <c r="A449" s="1870" t="s">
        <v>2035</v>
      </c>
      <c r="B449" s="2037" t="s">
        <v>2036</v>
      </c>
      <c r="C449" s="2038" t="s">
        <v>2037</v>
      </c>
      <c r="D449" s="1897">
        <v>0</v>
      </c>
      <c r="E449" s="1897">
        <v>0</v>
      </c>
      <c r="F449" s="1897">
        <v>0</v>
      </c>
      <c r="G449" s="1897">
        <v>0</v>
      </c>
      <c r="H449" s="1897">
        <v>0</v>
      </c>
      <c r="I449" s="1897">
        <v>0</v>
      </c>
      <c r="J449" s="1897">
        <v>0</v>
      </c>
      <c r="K449" s="1897">
        <v>0</v>
      </c>
      <c r="L449" s="1897">
        <v>0</v>
      </c>
      <c r="M449" s="1899">
        <f>SUM(D449:L449)</f>
        <v>0</v>
      </c>
      <c r="N449" s="1897">
        <v>0</v>
      </c>
      <c r="O449" s="1907">
        <f>SUM(M449:N449)</f>
        <v>0</v>
      </c>
      <c r="P449" s="3290" t="s">
        <v>393</v>
      </c>
      <c r="Q449" s="3290"/>
      <c r="R449" s="1877"/>
    </row>
    <row r="450" spans="1:18">
      <c r="A450" s="1870" t="s">
        <v>2038</v>
      </c>
      <c r="B450" s="1879" t="s">
        <v>2039</v>
      </c>
      <c r="C450" s="1880" t="s">
        <v>2040</v>
      </c>
      <c r="D450" s="1897">
        <v>0</v>
      </c>
      <c r="E450" s="1897">
        <v>0</v>
      </c>
      <c r="F450" s="1897">
        <v>0</v>
      </c>
      <c r="G450" s="1897">
        <v>0</v>
      </c>
      <c r="H450" s="1897">
        <v>0</v>
      </c>
      <c r="I450" s="1897">
        <v>0</v>
      </c>
      <c r="J450" s="1897">
        <v>0</v>
      </c>
      <c r="K450" s="1897">
        <v>0</v>
      </c>
      <c r="L450" s="1897">
        <v>0</v>
      </c>
      <c r="M450" s="1899">
        <f t="shared" si="48"/>
        <v>0</v>
      </c>
      <c r="N450" s="1897">
        <v>0</v>
      </c>
      <c r="O450" s="1907">
        <f t="shared" si="49"/>
        <v>0</v>
      </c>
      <c r="P450" s="3290" t="s">
        <v>393</v>
      </c>
      <c r="Q450" s="3290"/>
      <c r="R450" s="1877"/>
    </row>
    <row r="451" spans="1:18">
      <c r="A451" s="1870" t="s">
        <v>2041</v>
      </c>
      <c r="B451" s="1879" t="s">
        <v>2042</v>
      </c>
      <c r="C451" s="1880" t="s">
        <v>2043</v>
      </c>
      <c r="D451" s="1897">
        <v>0</v>
      </c>
      <c r="E451" s="1897">
        <v>0</v>
      </c>
      <c r="F451" s="1897">
        <v>0</v>
      </c>
      <c r="G451" s="1897">
        <v>0</v>
      </c>
      <c r="H451" s="1897">
        <v>0</v>
      </c>
      <c r="I451" s="1897">
        <v>0</v>
      </c>
      <c r="J451" s="1897">
        <v>0</v>
      </c>
      <c r="K451" s="1897">
        <v>0</v>
      </c>
      <c r="L451" s="1897">
        <v>0</v>
      </c>
      <c r="M451" s="1899">
        <f t="shared" si="48"/>
        <v>0</v>
      </c>
      <c r="N451" s="1897">
        <v>0</v>
      </c>
      <c r="O451" s="1907">
        <f t="shared" si="49"/>
        <v>0</v>
      </c>
      <c r="P451" s="3290" t="s">
        <v>393</v>
      </c>
      <c r="Q451" s="3290"/>
      <c r="R451" s="1877"/>
    </row>
    <row r="452" spans="1:18">
      <c r="A452" s="1870" t="s">
        <v>2044</v>
      </c>
      <c r="B452" s="1879" t="s">
        <v>2045</v>
      </c>
      <c r="C452" s="1880" t="s">
        <v>2046</v>
      </c>
      <c r="D452" s="1897">
        <v>0</v>
      </c>
      <c r="E452" s="1897">
        <v>0</v>
      </c>
      <c r="F452" s="1897">
        <v>0</v>
      </c>
      <c r="G452" s="1897">
        <v>0</v>
      </c>
      <c r="H452" s="1897">
        <v>0</v>
      </c>
      <c r="I452" s="1897">
        <v>0</v>
      </c>
      <c r="J452" s="1897">
        <v>0</v>
      </c>
      <c r="K452" s="1897">
        <v>0</v>
      </c>
      <c r="L452" s="1897">
        <v>0</v>
      </c>
      <c r="M452" s="1899">
        <f t="shared" si="48"/>
        <v>0</v>
      </c>
      <c r="N452" s="1897">
        <v>0</v>
      </c>
      <c r="O452" s="1907">
        <f t="shared" si="49"/>
        <v>0</v>
      </c>
      <c r="P452" s="3290" t="s">
        <v>393</v>
      </c>
      <c r="Q452" s="3290"/>
      <c r="R452" s="1877"/>
    </row>
    <row r="453" spans="1:18">
      <c r="A453" s="1870" t="s">
        <v>2047</v>
      </c>
      <c r="B453" s="1879" t="s">
        <v>2048</v>
      </c>
      <c r="C453" s="1880" t="s">
        <v>2049</v>
      </c>
      <c r="D453" s="1897">
        <v>0</v>
      </c>
      <c r="E453" s="1897">
        <v>0</v>
      </c>
      <c r="F453" s="1897">
        <v>0</v>
      </c>
      <c r="G453" s="1897">
        <v>0</v>
      </c>
      <c r="H453" s="1897">
        <v>0</v>
      </c>
      <c r="I453" s="1897">
        <v>0</v>
      </c>
      <c r="J453" s="1897">
        <v>0</v>
      </c>
      <c r="K453" s="1897">
        <v>0</v>
      </c>
      <c r="L453" s="1897">
        <v>0</v>
      </c>
      <c r="M453" s="1899">
        <f t="shared" si="48"/>
        <v>0</v>
      </c>
      <c r="N453" s="1897">
        <v>0</v>
      </c>
      <c r="O453" s="1907">
        <f t="shared" si="49"/>
        <v>0</v>
      </c>
      <c r="P453" s="3290" t="s">
        <v>393</v>
      </c>
      <c r="Q453" s="3290"/>
      <c r="R453" s="1877"/>
    </row>
    <row r="454" spans="1:18">
      <c r="A454" s="1870" t="s">
        <v>2050</v>
      </c>
      <c r="B454" s="1879" t="s">
        <v>2051</v>
      </c>
      <c r="C454" s="1880" t="s">
        <v>2052</v>
      </c>
      <c r="D454" s="1897">
        <v>0</v>
      </c>
      <c r="E454" s="1897">
        <v>0</v>
      </c>
      <c r="F454" s="1897">
        <v>0</v>
      </c>
      <c r="G454" s="1897">
        <v>0</v>
      </c>
      <c r="H454" s="1897">
        <v>0</v>
      </c>
      <c r="I454" s="1897">
        <v>0</v>
      </c>
      <c r="J454" s="1897">
        <v>0</v>
      </c>
      <c r="K454" s="1897">
        <v>0</v>
      </c>
      <c r="L454" s="1897">
        <v>0</v>
      </c>
      <c r="M454" s="1899">
        <f t="shared" si="48"/>
        <v>0</v>
      </c>
      <c r="N454" s="1897">
        <v>0</v>
      </c>
      <c r="O454" s="1907">
        <f t="shared" si="49"/>
        <v>0</v>
      </c>
      <c r="P454" s="3290" t="s">
        <v>393</v>
      </c>
      <c r="Q454" s="3290"/>
      <c r="R454" s="1877"/>
    </row>
    <row r="455" spans="1:18">
      <c r="A455" s="1870" t="s">
        <v>2053</v>
      </c>
      <c r="B455" s="1879" t="s">
        <v>2054</v>
      </c>
      <c r="C455" s="1880" t="s">
        <v>2055</v>
      </c>
      <c r="D455" s="1897">
        <v>0</v>
      </c>
      <c r="E455" s="1897">
        <v>0</v>
      </c>
      <c r="F455" s="1897">
        <v>0</v>
      </c>
      <c r="G455" s="1897">
        <v>0</v>
      </c>
      <c r="H455" s="1897">
        <v>0</v>
      </c>
      <c r="I455" s="1897">
        <v>0</v>
      </c>
      <c r="J455" s="1897">
        <v>0</v>
      </c>
      <c r="K455" s="1897">
        <v>0</v>
      </c>
      <c r="L455" s="1897">
        <v>0</v>
      </c>
      <c r="M455" s="1899">
        <f t="shared" si="48"/>
        <v>0</v>
      </c>
      <c r="N455" s="1897">
        <v>0</v>
      </c>
      <c r="O455" s="1907">
        <f t="shared" si="49"/>
        <v>0</v>
      </c>
      <c r="P455" s="3290" t="s">
        <v>393</v>
      </c>
      <c r="Q455" s="3290"/>
      <c r="R455" s="1877"/>
    </row>
    <row r="456" spans="1:18">
      <c r="A456" s="1870"/>
      <c r="B456" s="1876" t="s">
        <v>2056</v>
      </c>
      <c r="C456" s="1880" t="s">
        <v>2057</v>
      </c>
      <c r="D456" s="1897">
        <v>0</v>
      </c>
      <c r="E456" s="1897">
        <v>0</v>
      </c>
      <c r="F456" s="1897">
        <v>0</v>
      </c>
      <c r="G456" s="1897">
        <v>0</v>
      </c>
      <c r="H456" s="1897">
        <v>0</v>
      </c>
      <c r="I456" s="1897">
        <v>0</v>
      </c>
      <c r="J456" s="1897">
        <v>0</v>
      </c>
      <c r="K456" s="1897">
        <v>0</v>
      </c>
      <c r="L456" s="1897">
        <v>0</v>
      </c>
      <c r="M456" s="1899">
        <f t="shared" si="48"/>
        <v>0</v>
      </c>
      <c r="N456" s="1897">
        <v>0</v>
      </c>
      <c r="O456" s="1907">
        <f t="shared" si="49"/>
        <v>0</v>
      </c>
      <c r="P456" s="3290" t="s">
        <v>393</v>
      </c>
      <c r="Q456" s="3290"/>
      <c r="R456" s="1877"/>
    </row>
    <row r="457" spans="1:18">
      <c r="A457" s="1870" t="s">
        <v>2058</v>
      </c>
      <c r="B457" s="1879" t="s">
        <v>2059</v>
      </c>
      <c r="C457" s="1880" t="s">
        <v>2060</v>
      </c>
      <c r="D457" s="1897">
        <v>0</v>
      </c>
      <c r="E457" s="1897">
        <v>0</v>
      </c>
      <c r="F457" s="1897">
        <v>0</v>
      </c>
      <c r="G457" s="1897">
        <v>0</v>
      </c>
      <c r="H457" s="1897">
        <v>0</v>
      </c>
      <c r="I457" s="1897">
        <v>0</v>
      </c>
      <c r="J457" s="1897">
        <v>0</v>
      </c>
      <c r="K457" s="1897">
        <v>0</v>
      </c>
      <c r="L457" s="1897">
        <v>0</v>
      </c>
      <c r="M457" s="1899">
        <f t="shared" si="48"/>
        <v>0</v>
      </c>
      <c r="N457" s="1897">
        <v>0</v>
      </c>
      <c r="O457" s="1907">
        <f t="shared" si="49"/>
        <v>0</v>
      </c>
      <c r="P457" s="3290" t="s">
        <v>393</v>
      </c>
      <c r="Q457" s="3290"/>
      <c r="R457" s="1877"/>
    </row>
    <row r="458" spans="1:18" s="1871" customFormat="1">
      <c r="A458" s="1870" t="s">
        <v>2061</v>
      </c>
      <c r="B458" s="2037" t="s">
        <v>2062</v>
      </c>
      <c r="C458" s="2038" t="s">
        <v>2063</v>
      </c>
      <c r="D458" s="1897">
        <v>0</v>
      </c>
      <c r="E458" s="1897">
        <v>0</v>
      </c>
      <c r="F458" s="1897">
        <v>0</v>
      </c>
      <c r="G458" s="1897">
        <v>0</v>
      </c>
      <c r="H458" s="1897">
        <v>0</v>
      </c>
      <c r="I458" s="1897">
        <v>0</v>
      </c>
      <c r="J458" s="1897">
        <v>0</v>
      </c>
      <c r="K458" s="1897">
        <v>0</v>
      </c>
      <c r="L458" s="1897">
        <v>0</v>
      </c>
      <c r="M458" s="1899">
        <f>SUM(D458:L458)</f>
        <v>0</v>
      </c>
      <c r="N458" s="1897">
        <v>0</v>
      </c>
      <c r="O458" s="1907">
        <f>SUM(M458:N458)</f>
        <v>0</v>
      </c>
      <c r="P458" s="3290" t="s">
        <v>389</v>
      </c>
      <c r="Q458" s="3290"/>
      <c r="R458" s="1877"/>
    </row>
    <row r="459" spans="1:18">
      <c r="A459" s="1870" t="s">
        <v>2064</v>
      </c>
      <c r="B459" s="1879" t="s">
        <v>2065</v>
      </c>
      <c r="C459" s="1880" t="s">
        <v>2066</v>
      </c>
      <c r="D459" s="1897">
        <v>0</v>
      </c>
      <c r="E459" s="1897">
        <v>0</v>
      </c>
      <c r="F459" s="1897">
        <v>0</v>
      </c>
      <c r="G459" s="1897">
        <v>0</v>
      </c>
      <c r="H459" s="1897">
        <v>0</v>
      </c>
      <c r="I459" s="1897">
        <v>0</v>
      </c>
      <c r="J459" s="1897">
        <v>0</v>
      </c>
      <c r="K459" s="1897">
        <v>0</v>
      </c>
      <c r="L459" s="1897">
        <v>0</v>
      </c>
      <c r="M459" s="1899">
        <f t="shared" si="48"/>
        <v>0</v>
      </c>
      <c r="N459" s="1897">
        <v>0</v>
      </c>
      <c r="O459" s="1907">
        <f t="shared" si="49"/>
        <v>0</v>
      </c>
      <c r="P459" s="3290" t="s">
        <v>389</v>
      </c>
      <c r="Q459" s="3290"/>
      <c r="R459" s="1877"/>
    </row>
    <row r="460" spans="1:18">
      <c r="A460" s="1870" t="s">
        <v>2067</v>
      </c>
      <c r="B460" s="1879" t="s">
        <v>2068</v>
      </c>
      <c r="C460" s="1880" t="s">
        <v>2069</v>
      </c>
      <c r="D460" s="1897">
        <v>0</v>
      </c>
      <c r="E460" s="1897">
        <v>0</v>
      </c>
      <c r="F460" s="1897">
        <v>0</v>
      </c>
      <c r="G460" s="1897">
        <v>0</v>
      </c>
      <c r="H460" s="1897">
        <v>0</v>
      </c>
      <c r="I460" s="1897">
        <v>0</v>
      </c>
      <c r="J460" s="1897">
        <v>0</v>
      </c>
      <c r="K460" s="1897">
        <v>0</v>
      </c>
      <c r="L460" s="1897">
        <v>0</v>
      </c>
      <c r="M460" s="1899">
        <f t="shared" si="48"/>
        <v>0</v>
      </c>
      <c r="N460" s="1897">
        <v>0</v>
      </c>
      <c r="O460" s="1907">
        <f t="shared" si="49"/>
        <v>0</v>
      </c>
      <c r="P460" s="3290" t="s">
        <v>389</v>
      </c>
      <c r="Q460" s="3290"/>
      <c r="R460" s="1877"/>
    </row>
    <row r="461" spans="1:18">
      <c r="A461" s="1870" t="s">
        <v>2070</v>
      </c>
      <c r="B461" s="1879" t="s">
        <v>2071</v>
      </c>
      <c r="C461" s="1880" t="s">
        <v>2072</v>
      </c>
      <c r="D461" s="1897">
        <v>0</v>
      </c>
      <c r="E461" s="1897">
        <v>0</v>
      </c>
      <c r="F461" s="1897">
        <v>0</v>
      </c>
      <c r="G461" s="1897">
        <v>0</v>
      </c>
      <c r="H461" s="1897">
        <v>0</v>
      </c>
      <c r="I461" s="1897">
        <v>0</v>
      </c>
      <c r="J461" s="1897">
        <v>0</v>
      </c>
      <c r="K461" s="1897">
        <v>0</v>
      </c>
      <c r="L461" s="1897">
        <v>0</v>
      </c>
      <c r="M461" s="1899">
        <f t="shared" si="48"/>
        <v>0</v>
      </c>
      <c r="N461" s="1897">
        <v>0</v>
      </c>
      <c r="O461" s="1907">
        <f t="shared" si="49"/>
        <v>0</v>
      </c>
      <c r="P461" s="3290" t="s">
        <v>389</v>
      </c>
      <c r="Q461" s="3290"/>
      <c r="R461" s="1877"/>
    </row>
    <row r="462" spans="1:18">
      <c r="A462" s="1870" t="s">
        <v>2073</v>
      </c>
      <c r="B462" s="1879" t="s">
        <v>2074</v>
      </c>
      <c r="C462" s="1880" t="s">
        <v>2075</v>
      </c>
      <c r="D462" s="1897">
        <v>0</v>
      </c>
      <c r="E462" s="1897">
        <v>0</v>
      </c>
      <c r="F462" s="1897">
        <v>0</v>
      </c>
      <c r="G462" s="1897">
        <v>0</v>
      </c>
      <c r="H462" s="1897">
        <v>0</v>
      </c>
      <c r="I462" s="1897">
        <v>0</v>
      </c>
      <c r="J462" s="1897">
        <v>0</v>
      </c>
      <c r="K462" s="1897">
        <v>0</v>
      </c>
      <c r="L462" s="1897">
        <v>0</v>
      </c>
      <c r="M462" s="1899">
        <f t="shared" si="48"/>
        <v>0</v>
      </c>
      <c r="N462" s="1897">
        <v>0</v>
      </c>
      <c r="O462" s="1907">
        <f t="shared" si="49"/>
        <v>0</v>
      </c>
      <c r="P462" s="3290" t="s">
        <v>389</v>
      </c>
      <c r="Q462" s="3290"/>
      <c r="R462" s="1877"/>
    </row>
    <row r="463" spans="1:18">
      <c r="A463" s="1870" t="s">
        <v>2076</v>
      </c>
      <c r="B463" s="1879" t="s">
        <v>2077</v>
      </c>
      <c r="C463" s="1880" t="s">
        <v>2078</v>
      </c>
      <c r="D463" s="1897">
        <v>0</v>
      </c>
      <c r="E463" s="1897">
        <v>0</v>
      </c>
      <c r="F463" s="1897">
        <v>0</v>
      </c>
      <c r="G463" s="1897">
        <v>0</v>
      </c>
      <c r="H463" s="1897">
        <v>0</v>
      </c>
      <c r="I463" s="1897">
        <v>0</v>
      </c>
      <c r="J463" s="1897">
        <v>0</v>
      </c>
      <c r="K463" s="1897">
        <v>0</v>
      </c>
      <c r="L463" s="1897">
        <v>0</v>
      </c>
      <c r="M463" s="1899">
        <f t="shared" si="48"/>
        <v>0</v>
      </c>
      <c r="N463" s="1897">
        <v>0</v>
      </c>
      <c r="O463" s="1907">
        <f t="shared" si="49"/>
        <v>0</v>
      </c>
      <c r="P463" s="3290" t="s">
        <v>389</v>
      </c>
      <c r="Q463" s="3290"/>
      <c r="R463" s="1877"/>
    </row>
    <row r="464" spans="1:18">
      <c r="A464" s="1870" t="s">
        <v>2079</v>
      </c>
      <c r="B464" s="1879" t="s">
        <v>2080</v>
      </c>
      <c r="C464" s="1880" t="s">
        <v>2081</v>
      </c>
      <c r="D464" s="1897">
        <v>0</v>
      </c>
      <c r="E464" s="1897">
        <v>0</v>
      </c>
      <c r="F464" s="1897">
        <v>0</v>
      </c>
      <c r="G464" s="1897">
        <v>0</v>
      </c>
      <c r="H464" s="1897">
        <v>0</v>
      </c>
      <c r="I464" s="1897">
        <v>0</v>
      </c>
      <c r="J464" s="1897">
        <v>0</v>
      </c>
      <c r="K464" s="1897">
        <v>0</v>
      </c>
      <c r="L464" s="1897">
        <v>0</v>
      </c>
      <c r="M464" s="1899">
        <f t="shared" si="48"/>
        <v>0</v>
      </c>
      <c r="N464" s="1897">
        <v>0</v>
      </c>
      <c r="O464" s="1907">
        <f t="shared" si="49"/>
        <v>0</v>
      </c>
      <c r="P464" s="3290" t="s">
        <v>389</v>
      </c>
      <c r="Q464" s="3290"/>
      <c r="R464" s="1877"/>
    </row>
    <row r="465" spans="1:18">
      <c r="A465" s="1870" t="s">
        <v>2082</v>
      </c>
      <c r="B465" s="1879" t="s">
        <v>2083</v>
      </c>
      <c r="C465" s="1880" t="s">
        <v>2084</v>
      </c>
      <c r="D465" s="1897">
        <v>0</v>
      </c>
      <c r="E465" s="1897">
        <v>0</v>
      </c>
      <c r="F465" s="1897">
        <v>0</v>
      </c>
      <c r="G465" s="1897">
        <v>0</v>
      </c>
      <c r="H465" s="1897">
        <v>0</v>
      </c>
      <c r="I465" s="1897">
        <v>0</v>
      </c>
      <c r="J465" s="1897">
        <v>0</v>
      </c>
      <c r="K465" s="1897">
        <v>0</v>
      </c>
      <c r="L465" s="1897">
        <v>0</v>
      </c>
      <c r="M465" s="1899">
        <f t="shared" si="48"/>
        <v>0</v>
      </c>
      <c r="N465" s="1897">
        <v>0</v>
      </c>
      <c r="O465" s="1907">
        <f t="shared" si="49"/>
        <v>0</v>
      </c>
      <c r="P465" s="3290" t="s">
        <v>389</v>
      </c>
      <c r="Q465" s="3290"/>
      <c r="R465" s="1877"/>
    </row>
    <row r="466" spans="1:18">
      <c r="A466" s="1870" t="s">
        <v>2085</v>
      </c>
      <c r="B466" s="1879" t="s">
        <v>2086</v>
      </c>
      <c r="C466" s="1880" t="s">
        <v>2087</v>
      </c>
      <c r="D466" s="1897">
        <v>0</v>
      </c>
      <c r="E466" s="1897">
        <v>0</v>
      </c>
      <c r="F466" s="1897">
        <v>0</v>
      </c>
      <c r="G466" s="1897">
        <v>0</v>
      </c>
      <c r="H466" s="1897">
        <v>0</v>
      </c>
      <c r="I466" s="1897">
        <v>0</v>
      </c>
      <c r="J466" s="1897">
        <v>0</v>
      </c>
      <c r="K466" s="1897">
        <v>0</v>
      </c>
      <c r="L466" s="1897">
        <v>0</v>
      </c>
      <c r="M466" s="1899">
        <f t="shared" si="48"/>
        <v>0</v>
      </c>
      <c r="N466" s="1897">
        <v>0</v>
      </c>
      <c r="O466" s="1907">
        <f t="shared" si="49"/>
        <v>0</v>
      </c>
      <c r="P466" s="3290" t="s">
        <v>391</v>
      </c>
      <c r="Q466" s="3290"/>
      <c r="R466" s="1877"/>
    </row>
    <row r="467" spans="1:18">
      <c r="A467" s="1870" t="s">
        <v>2088</v>
      </c>
      <c r="B467" s="1876" t="s">
        <v>2089</v>
      </c>
      <c r="C467" s="1881" t="s">
        <v>2090</v>
      </c>
      <c r="D467" s="1897">
        <v>0</v>
      </c>
      <c r="E467" s="1897">
        <v>0</v>
      </c>
      <c r="F467" s="1897">
        <v>0</v>
      </c>
      <c r="G467" s="1897">
        <v>0</v>
      </c>
      <c r="H467" s="1897">
        <v>0</v>
      </c>
      <c r="I467" s="1897">
        <v>0</v>
      </c>
      <c r="J467" s="1897">
        <v>0</v>
      </c>
      <c r="K467" s="1897">
        <v>0</v>
      </c>
      <c r="L467" s="1897">
        <v>0</v>
      </c>
      <c r="M467" s="1899">
        <f t="shared" si="48"/>
        <v>0</v>
      </c>
      <c r="N467" s="1897">
        <v>0</v>
      </c>
      <c r="O467" s="1907">
        <f t="shared" si="49"/>
        <v>0</v>
      </c>
      <c r="P467" s="3290" t="s">
        <v>391</v>
      </c>
      <c r="Q467" s="3290"/>
      <c r="R467" s="1877"/>
    </row>
    <row r="468" spans="1:18">
      <c r="A468" s="1870" t="s">
        <v>2091</v>
      </c>
      <c r="B468" s="1876" t="s">
        <v>2092</v>
      </c>
      <c r="C468" s="1881" t="s">
        <v>2093</v>
      </c>
      <c r="D468" s="1897">
        <v>0</v>
      </c>
      <c r="E468" s="1897">
        <v>0</v>
      </c>
      <c r="F468" s="1897">
        <v>0</v>
      </c>
      <c r="G468" s="1897">
        <v>0</v>
      </c>
      <c r="H468" s="1897">
        <v>0</v>
      </c>
      <c r="I468" s="1897">
        <v>0</v>
      </c>
      <c r="J468" s="1897">
        <v>0</v>
      </c>
      <c r="K468" s="1897">
        <v>0</v>
      </c>
      <c r="L468" s="1897">
        <v>0</v>
      </c>
      <c r="M468" s="1899">
        <f t="shared" si="48"/>
        <v>0</v>
      </c>
      <c r="N468" s="1897">
        <v>0</v>
      </c>
      <c r="O468" s="1907">
        <f t="shared" si="49"/>
        <v>0</v>
      </c>
      <c r="P468" s="3290" t="s">
        <v>391</v>
      </c>
      <c r="Q468" s="3290"/>
      <c r="R468" s="1877"/>
    </row>
    <row r="469" spans="1:18">
      <c r="A469" s="1870" t="s">
        <v>2094</v>
      </c>
      <c r="B469" s="1879" t="s">
        <v>2095</v>
      </c>
      <c r="C469" s="1880" t="s">
        <v>2096</v>
      </c>
      <c r="D469" s="1897">
        <v>0</v>
      </c>
      <c r="E469" s="1897">
        <v>0</v>
      </c>
      <c r="F469" s="1897">
        <v>0</v>
      </c>
      <c r="G469" s="1897">
        <v>0</v>
      </c>
      <c r="H469" s="1897">
        <v>0</v>
      </c>
      <c r="I469" s="1897">
        <v>0</v>
      </c>
      <c r="J469" s="1897">
        <v>0</v>
      </c>
      <c r="K469" s="1897">
        <v>0</v>
      </c>
      <c r="L469" s="1897">
        <v>0</v>
      </c>
      <c r="M469" s="1899">
        <f t="shared" si="48"/>
        <v>0</v>
      </c>
      <c r="N469" s="1897">
        <v>0</v>
      </c>
      <c r="O469" s="1907">
        <f t="shared" si="49"/>
        <v>0</v>
      </c>
      <c r="P469" s="3290" t="s">
        <v>391</v>
      </c>
      <c r="Q469" s="3290"/>
      <c r="R469" s="1877"/>
    </row>
    <row r="470" spans="1:18">
      <c r="A470" s="1870" t="s">
        <v>2097</v>
      </c>
      <c r="B470" s="1879" t="s">
        <v>2098</v>
      </c>
      <c r="C470" s="1880" t="s">
        <v>2099</v>
      </c>
      <c r="D470" s="1897">
        <v>0</v>
      </c>
      <c r="E470" s="1897">
        <v>0</v>
      </c>
      <c r="F470" s="1897">
        <v>0</v>
      </c>
      <c r="G470" s="1897">
        <v>0</v>
      </c>
      <c r="H470" s="1897">
        <v>0</v>
      </c>
      <c r="I470" s="1897">
        <v>0</v>
      </c>
      <c r="J470" s="1897">
        <v>0</v>
      </c>
      <c r="K470" s="1897">
        <v>0</v>
      </c>
      <c r="L470" s="1897">
        <v>0</v>
      </c>
      <c r="M470" s="1899">
        <f t="shared" si="48"/>
        <v>0</v>
      </c>
      <c r="N470" s="1897">
        <v>0</v>
      </c>
      <c r="O470" s="1907">
        <f t="shared" si="49"/>
        <v>0</v>
      </c>
      <c r="P470" s="3290" t="s">
        <v>395</v>
      </c>
      <c r="Q470" s="3290"/>
      <c r="R470" s="1877"/>
    </row>
    <row r="471" spans="1:18">
      <c r="A471" s="1870" t="s">
        <v>2100</v>
      </c>
      <c r="B471" s="1879" t="s">
        <v>2101</v>
      </c>
      <c r="C471" s="1880" t="s">
        <v>2102</v>
      </c>
      <c r="D471" s="1897">
        <v>0</v>
      </c>
      <c r="E471" s="1897">
        <v>0</v>
      </c>
      <c r="F471" s="1897">
        <v>0</v>
      </c>
      <c r="G471" s="1897">
        <v>0</v>
      </c>
      <c r="H471" s="1897">
        <v>0</v>
      </c>
      <c r="I471" s="1897">
        <v>0</v>
      </c>
      <c r="J471" s="1897">
        <v>0</v>
      </c>
      <c r="K471" s="1897">
        <v>0</v>
      </c>
      <c r="L471" s="1897">
        <v>0</v>
      </c>
      <c r="M471" s="1899">
        <f t="shared" si="48"/>
        <v>0</v>
      </c>
      <c r="N471" s="1897">
        <v>0</v>
      </c>
      <c r="O471" s="1907">
        <f t="shared" si="49"/>
        <v>0</v>
      </c>
      <c r="P471" s="3290" t="s">
        <v>395</v>
      </c>
      <c r="Q471" s="3290"/>
      <c r="R471" s="1877"/>
    </row>
    <row r="472" spans="1:18">
      <c r="A472" s="1870" t="s">
        <v>2103</v>
      </c>
      <c r="B472" s="1879" t="s">
        <v>2104</v>
      </c>
      <c r="C472" s="1880" t="s">
        <v>2105</v>
      </c>
      <c r="D472" s="1897">
        <v>0</v>
      </c>
      <c r="E472" s="1897">
        <v>0</v>
      </c>
      <c r="F472" s="1897">
        <v>0</v>
      </c>
      <c r="G472" s="1897">
        <v>0</v>
      </c>
      <c r="H472" s="1897">
        <v>0</v>
      </c>
      <c r="I472" s="1897">
        <v>0</v>
      </c>
      <c r="J472" s="1897">
        <v>0</v>
      </c>
      <c r="K472" s="1897">
        <v>0</v>
      </c>
      <c r="L472" s="1897">
        <v>0</v>
      </c>
      <c r="M472" s="1899">
        <f t="shared" si="48"/>
        <v>0</v>
      </c>
      <c r="N472" s="1897">
        <v>0</v>
      </c>
      <c r="O472" s="1907">
        <f t="shared" si="49"/>
        <v>0</v>
      </c>
      <c r="P472" s="3290" t="s">
        <v>395</v>
      </c>
      <c r="Q472" s="3290"/>
      <c r="R472" s="1877"/>
    </row>
    <row r="473" spans="1:18">
      <c r="A473" s="1870" t="s">
        <v>2106</v>
      </c>
      <c r="B473" s="1879" t="s">
        <v>2107</v>
      </c>
      <c r="C473" s="1880" t="s">
        <v>2108</v>
      </c>
      <c r="D473" s="1897">
        <v>0</v>
      </c>
      <c r="E473" s="1897">
        <v>0</v>
      </c>
      <c r="F473" s="1897">
        <v>0</v>
      </c>
      <c r="G473" s="1897">
        <v>0</v>
      </c>
      <c r="H473" s="1897">
        <v>0</v>
      </c>
      <c r="I473" s="1897">
        <v>0</v>
      </c>
      <c r="J473" s="1897">
        <v>0</v>
      </c>
      <c r="K473" s="1897">
        <v>0</v>
      </c>
      <c r="L473" s="1897">
        <v>0</v>
      </c>
      <c r="M473" s="1899">
        <f t="shared" si="48"/>
        <v>0</v>
      </c>
      <c r="N473" s="1897">
        <v>0</v>
      </c>
      <c r="O473" s="1907">
        <f t="shared" si="49"/>
        <v>0</v>
      </c>
      <c r="P473" s="3290" t="s">
        <v>395</v>
      </c>
      <c r="Q473" s="3290"/>
      <c r="R473" s="1877"/>
    </row>
    <row r="474" spans="1:18" s="1871" customFormat="1">
      <c r="A474" s="1870" t="s">
        <v>2109</v>
      </c>
      <c r="B474" s="2037" t="s">
        <v>2110</v>
      </c>
      <c r="C474" s="2038" t="s">
        <v>2111</v>
      </c>
      <c r="D474" s="1897">
        <v>0</v>
      </c>
      <c r="E474" s="1897">
        <v>0</v>
      </c>
      <c r="F474" s="1897">
        <v>0</v>
      </c>
      <c r="G474" s="1897">
        <v>0</v>
      </c>
      <c r="H474" s="1897">
        <v>0</v>
      </c>
      <c r="I474" s="1897">
        <v>0</v>
      </c>
      <c r="J474" s="1897">
        <v>0</v>
      </c>
      <c r="K474" s="1897">
        <v>0</v>
      </c>
      <c r="L474" s="1897">
        <v>0</v>
      </c>
      <c r="M474" s="1899">
        <f>SUM(D474:L474)</f>
        <v>0</v>
      </c>
      <c r="N474" s="1897">
        <v>0</v>
      </c>
      <c r="O474" s="1907">
        <f>SUM(M474:N474)</f>
        <v>0</v>
      </c>
      <c r="P474" s="3290" t="s">
        <v>395</v>
      </c>
      <c r="Q474" s="3290"/>
      <c r="R474" s="1877"/>
    </row>
    <row r="475" spans="1:18">
      <c r="A475" s="1870" t="s">
        <v>2112</v>
      </c>
      <c r="B475" s="1879" t="s">
        <v>2113</v>
      </c>
      <c r="C475" s="641" t="s">
        <v>2114</v>
      </c>
      <c r="D475" s="1897">
        <v>0</v>
      </c>
      <c r="E475" s="1897">
        <v>0</v>
      </c>
      <c r="F475" s="1897">
        <v>0</v>
      </c>
      <c r="G475" s="1897">
        <v>0</v>
      </c>
      <c r="H475" s="1897">
        <v>0</v>
      </c>
      <c r="I475" s="1897">
        <v>0</v>
      </c>
      <c r="J475" s="1897">
        <v>0</v>
      </c>
      <c r="K475" s="1897">
        <v>0</v>
      </c>
      <c r="L475" s="1897">
        <v>0</v>
      </c>
      <c r="M475" s="1899">
        <f t="shared" si="48"/>
        <v>0</v>
      </c>
      <c r="N475" s="1897">
        <v>0</v>
      </c>
      <c r="O475" s="1907">
        <f t="shared" si="49"/>
        <v>0</v>
      </c>
      <c r="P475" s="3290" t="s">
        <v>395</v>
      </c>
      <c r="Q475" s="3290"/>
      <c r="R475" s="1877"/>
    </row>
    <row r="476" spans="1:18">
      <c r="A476" s="1870" t="s">
        <v>2115</v>
      </c>
      <c r="B476" s="1879" t="s">
        <v>2116</v>
      </c>
      <c r="C476" s="641" t="s">
        <v>2117</v>
      </c>
      <c r="D476" s="1897">
        <v>0</v>
      </c>
      <c r="E476" s="1897">
        <v>0</v>
      </c>
      <c r="F476" s="1897">
        <v>0</v>
      </c>
      <c r="G476" s="1897">
        <v>0</v>
      </c>
      <c r="H476" s="1897">
        <v>0</v>
      </c>
      <c r="I476" s="1897">
        <v>0</v>
      </c>
      <c r="J476" s="1897">
        <v>0</v>
      </c>
      <c r="K476" s="1897">
        <v>0</v>
      </c>
      <c r="L476" s="1897">
        <v>0</v>
      </c>
      <c r="M476" s="1899">
        <f t="shared" si="48"/>
        <v>0</v>
      </c>
      <c r="N476" s="1897">
        <v>0</v>
      </c>
      <c r="O476" s="1907">
        <f t="shared" si="49"/>
        <v>0</v>
      </c>
      <c r="P476" s="3290" t="s">
        <v>395</v>
      </c>
      <c r="Q476" s="3290"/>
      <c r="R476" s="1877"/>
    </row>
    <row r="477" spans="1:18">
      <c r="A477" s="1870" t="s">
        <v>2118</v>
      </c>
      <c r="B477" s="1879" t="s">
        <v>2119</v>
      </c>
      <c r="C477" s="641" t="s">
        <v>2120</v>
      </c>
      <c r="D477" s="1897">
        <v>0</v>
      </c>
      <c r="E477" s="1897">
        <v>0</v>
      </c>
      <c r="F477" s="1897">
        <v>0</v>
      </c>
      <c r="G477" s="1897">
        <v>0</v>
      </c>
      <c r="H477" s="1897">
        <v>0</v>
      </c>
      <c r="I477" s="1897">
        <v>0</v>
      </c>
      <c r="J477" s="1897">
        <v>0</v>
      </c>
      <c r="K477" s="1897">
        <v>0</v>
      </c>
      <c r="L477" s="1897">
        <v>0</v>
      </c>
      <c r="M477" s="1899">
        <f t="shared" si="48"/>
        <v>0</v>
      </c>
      <c r="N477" s="1897">
        <v>0</v>
      </c>
      <c r="O477" s="1907">
        <f t="shared" si="49"/>
        <v>0</v>
      </c>
      <c r="P477" s="3290" t="s">
        <v>395</v>
      </c>
      <c r="Q477" s="3290"/>
      <c r="R477" s="1877"/>
    </row>
    <row r="478" spans="1:18">
      <c r="A478" s="1870" t="s">
        <v>2121</v>
      </c>
      <c r="B478" s="1879" t="s">
        <v>2122</v>
      </c>
      <c r="C478" s="641" t="s">
        <v>2123</v>
      </c>
      <c r="D478" s="1897">
        <v>0</v>
      </c>
      <c r="E478" s="1897">
        <v>0</v>
      </c>
      <c r="F478" s="1897">
        <v>0</v>
      </c>
      <c r="G478" s="1897">
        <v>0</v>
      </c>
      <c r="H478" s="1897">
        <v>0</v>
      </c>
      <c r="I478" s="1897">
        <v>0</v>
      </c>
      <c r="J478" s="1897">
        <v>0</v>
      </c>
      <c r="K478" s="1897">
        <v>0</v>
      </c>
      <c r="L478" s="1897">
        <v>0</v>
      </c>
      <c r="M478" s="1899">
        <f t="shared" si="48"/>
        <v>0</v>
      </c>
      <c r="N478" s="1897">
        <v>0</v>
      </c>
      <c r="O478" s="1907">
        <f t="shared" si="49"/>
        <v>0</v>
      </c>
      <c r="P478" s="3290" t="s">
        <v>395</v>
      </c>
      <c r="Q478" s="3290"/>
      <c r="R478" s="1877"/>
    </row>
    <row r="479" spans="1:18">
      <c r="A479" s="1870" t="s">
        <v>2124</v>
      </c>
      <c r="B479" s="1879" t="s">
        <v>2125</v>
      </c>
      <c r="C479" s="641" t="s">
        <v>2126</v>
      </c>
      <c r="D479" s="1897">
        <v>0</v>
      </c>
      <c r="E479" s="1897">
        <v>0</v>
      </c>
      <c r="F479" s="1897">
        <v>0</v>
      </c>
      <c r="G479" s="1897">
        <v>0</v>
      </c>
      <c r="H479" s="1897">
        <v>0</v>
      </c>
      <c r="I479" s="1897">
        <v>0</v>
      </c>
      <c r="J479" s="1897">
        <v>0</v>
      </c>
      <c r="K479" s="1897">
        <v>0</v>
      </c>
      <c r="L479" s="1897">
        <v>0</v>
      </c>
      <c r="M479" s="1899">
        <f t="shared" si="48"/>
        <v>0</v>
      </c>
      <c r="N479" s="1897">
        <v>0</v>
      </c>
      <c r="O479" s="1907">
        <f t="shared" si="49"/>
        <v>0</v>
      </c>
      <c r="P479" s="3290" t="s">
        <v>395</v>
      </c>
      <c r="Q479" s="3290"/>
      <c r="R479" s="1877"/>
    </row>
    <row r="480" spans="1:18">
      <c r="A480" s="1870" t="s">
        <v>2127</v>
      </c>
      <c r="B480" s="1879" t="s">
        <v>2128</v>
      </c>
      <c r="C480" s="641" t="s">
        <v>2129</v>
      </c>
      <c r="D480" s="1897">
        <v>0</v>
      </c>
      <c r="E480" s="1897">
        <v>0</v>
      </c>
      <c r="F480" s="1897">
        <v>0</v>
      </c>
      <c r="G480" s="1897">
        <v>0</v>
      </c>
      <c r="H480" s="1897">
        <v>0</v>
      </c>
      <c r="I480" s="1897">
        <v>0</v>
      </c>
      <c r="J480" s="1897">
        <v>0</v>
      </c>
      <c r="K480" s="1897">
        <v>0</v>
      </c>
      <c r="L480" s="1897">
        <v>0</v>
      </c>
      <c r="M480" s="1899">
        <f t="shared" si="48"/>
        <v>0</v>
      </c>
      <c r="N480" s="1897">
        <v>0</v>
      </c>
      <c r="O480" s="1907">
        <f t="shared" si="49"/>
        <v>0</v>
      </c>
      <c r="P480" s="3290" t="s">
        <v>395</v>
      </c>
      <c r="Q480" s="3290"/>
      <c r="R480" s="1877"/>
    </row>
    <row r="481" spans="1:18">
      <c r="A481" s="1870" t="s">
        <v>2130</v>
      </c>
      <c r="B481" s="1879" t="s">
        <v>2131</v>
      </c>
      <c r="C481" s="1880" t="s">
        <v>2132</v>
      </c>
      <c r="D481" s="1897">
        <v>0</v>
      </c>
      <c r="E481" s="1897">
        <v>0</v>
      </c>
      <c r="F481" s="1897">
        <v>0</v>
      </c>
      <c r="G481" s="1897">
        <v>0</v>
      </c>
      <c r="H481" s="1897">
        <v>0</v>
      </c>
      <c r="I481" s="1897">
        <v>0</v>
      </c>
      <c r="J481" s="1897">
        <v>0</v>
      </c>
      <c r="K481" s="1897">
        <v>0</v>
      </c>
      <c r="L481" s="1897">
        <v>0</v>
      </c>
      <c r="M481" s="1899">
        <f t="shared" si="48"/>
        <v>0</v>
      </c>
      <c r="N481" s="1897">
        <v>0</v>
      </c>
      <c r="O481" s="1907">
        <f t="shared" si="49"/>
        <v>0</v>
      </c>
      <c r="P481" s="3290" t="s">
        <v>395</v>
      </c>
      <c r="Q481" s="3290"/>
      <c r="R481" s="1877"/>
    </row>
    <row r="482" spans="1:18">
      <c r="A482" s="1870" t="s">
        <v>2133</v>
      </c>
      <c r="B482" s="1879" t="s">
        <v>2134</v>
      </c>
      <c r="C482" s="1880" t="s">
        <v>2135</v>
      </c>
      <c r="D482" s="1897">
        <v>0</v>
      </c>
      <c r="E482" s="1897">
        <v>0</v>
      </c>
      <c r="F482" s="1897">
        <v>0</v>
      </c>
      <c r="G482" s="1897">
        <v>0</v>
      </c>
      <c r="H482" s="1897">
        <v>0</v>
      </c>
      <c r="I482" s="1897">
        <v>0</v>
      </c>
      <c r="J482" s="1897">
        <v>0</v>
      </c>
      <c r="K482" s="1897">
        <v>0</v>
      </c>
      <c r="L482" s="1897">
        <v>0</v>
      </c>
      <c r="M482" s="1899">
        <f t="shared" si="48"/>
        <v>0</v>
      </c>
      <c r="N482" s="1897">
        <f>-M482</f>
        <v>0</v>
      </c>
      <c r="O482" s="2030">
        <f t="shared" si="49"/>
        <v>0</v>
      </c>
      <c r="P482" s="3292" t="s">
        <v>1035</v>
      </c>
      <c r="Q482" s="3290"/>
      <c r="R482" s="1877"/>
    </row>
    <row r="483" spans="1:18">
      <c r="A483" s="1870" t="s">
        <v>2136</v>
      </c>
      <c r="B483" s="1879" t="s">
        <v>2137</v>
      </c>
      <c r="C483" s="1880" t="s">
        <v>2138</v>
      </c>
      <c r="D483" s="1897">
        <v>0</v>
      </c>
      <c r="E483" s="1897">
        <v>0</v>
      </c>
      <c r="F483" s="1897">
        <v>0</v>
      </c>
      <c r="G483" s="1897">
        <v>0</v>
      </c>
      <c r="H483" s="1897">
        <v>0</v>
      </c>
      <c r="I483" s="1897">
        <v>0</v>
      </c>
      <c r="J483" s="1897">
        <v>0</v>
      </c>
      <c r="K483" s="1897">
        <v>0</v>
      </c>
      <c r="L483" s="1897">
        <v>0</v>
      </c>
      <c r="M483" s="1899">
        <f t="shared" si="48"/>
        <v>0</v>
      </c>
      <c r="N483" s="1897">
        <v>0</v>
      </c>
      <c r="O483" s="1907">
        <f t="shared" si="49"/>
        <v>0</v>
      </c>
      <c r="P483" s="3290" t="s">
        <v>393</v>
      </c>
      <c r="Q483" s="3290"/>
      <c r="R483" s="1877"/>
    </row>
    <row r="484" spans="1:18">
      <c r="A484" s="1870" t="s">
        <v>2139</v>
      </c>
      <c r="B484" s="1879" t="s">
        <v>2140</v>
      </c>
      <c r="C484" s="1880" t="s">
        <v>2141</v>
      </c>
      <c r="D484" s="1897">
        <v>0</v>
      </c>
      <c r="E484" s="1897">
        <v>0</v>
      </c>
      <c r="F484" s="1897">
        <v>0</v>
      </c>
      <c r="G484" s="1897">
        <v>0</v>
      </c>
      <c r="H484" s="1897">
        <v>0</v>
      </c>
      <c r="I484" s="1897">
        <v>0</v>
      </c>
      <c r="J484" s="1897">
        <v>0</v>
      </c>
      <c r="K484" s="1897">
        <v>0</v>
      </c>
      <c r="L484" s="1897">
        <v>0</v>
      </c>
      <c r="M484" s="1899">
        <f t="shared" si="48"/>
        <v>0</v>
      </c>
      <c r="N484" s="2036">
        <f>-SRECNP!F11-SRECNP!F17</f>
        <v>0</v>
      </c>
      <c r="O484" s="1907">
        <f t="shared" si="49"/>
        <v>0</v>
      </c>
      <c r="P484" s="3290" t="s">
        <v>387</v>
      </c>
      <c r="Q484" s="3290"/>
      <c r="R484" s="1877"/>
    </row>
    <row r="485" spans="1:18">
      <c r="A485" s="1870" t="s">
        <v>2142</v>
      </c>
      <c r="B485" s="1879" t="s">
        <v>2143</v>
      </c>
      <c r="C485" s="1881" t="s">
        <v>2144</v>
      </c>
      <c r="D485" s="1897">
        <v>0</v>
      </c>
      <c r="E485" s="1897">
        <v>0</v>
      </c>
      <c r="F485" s="1897">
        <v>0</v>
      </c>
      <c r="G485" s="1897">
        <v>0</v>
      </c>
      <c r="H485" s="1897">
        <v>0</v>
      </c>
      <c r="I485" s="1897">
        <v>0</v>
      </c>
      <c r="J485" s="1897">
        <v>0</v>
      </c>
      <c r="K485" s="1897">
        <v>0</v>
      </c>
      <c r="L485" s="1897">
        <v>0</v>
      </c>
      <c r="M485" s="1899">
        <f t="shared" si="48"/>
        <v>0</v>
      </c>
      <c r="N485" s="1897">
        <v>0</v>
      </c>
      <c r="O485" s="1907">
        <f t="shared" si="49"/>
        <v>0</v>
      </c>
      <c r="P485" s="3290" t="s">
        <v>417</v>
      </c>
      <c r="Q485" s="3290"/>
      <c r="R485" s="1877"/>
    </row>
    <row r="486" spans="1:18">
      <c r="A486" s="1870" t="s">
        <v>2145</v>
      </c>
      <c r="B486" s="1879" t="s">
        <v>2146</v>
      </c>
      <c r="C486" s="1881" t="s">
        <v>2147</v>
      </c>
      <c r="D486" s="1897">
        <v>0</v>
      </c>
      <c r="E486" s="1897">
        <v>0</v>
      </c>
      <c r="F486" s="1897">
        <v>0</v>
      </c>
      <c r="G486" s="1897">
        <v>0</v>
      </c>
      <c r="H486" s="1897">
        <v>0</v>
      </c>
      <c r="I486" s="1897">
        <v>0</v>
      </c>
      <c r="J486" s="1897">
        <v>0</v>
      </c>
      <c r="K486" s="1897">
        <v>0</v>
      </c>
      <c r="L486" s="1897">
        <v>0</v>
      </c>
      <c r="M486" s="1899">
        <f t="shared" si="48"/>
        <v>0</v>
      </c>
      <c r="N486" s="1897">
        <v>0</v>
      </c>
      <c r="O486" s="1907">
        <f t="shared" si="49"/>
        <v>0</v>
      </c>
      <c r="P486" s="3290" t="s">
        <v>393</v>
      </c>
      <c r="Q486" s="3290"/>
      <c r="R486" s="1877"/>
    </row>
    <row r="487" spans="1:18">
      <c r="A487" s="1870" t="s">
        <v>2148</v>
      </c>
      <c r="B487" s="1879" t="s">
        <v>2149</v>
      </c>
      <c r="C487" s="1881" t="s">
        <v>2150</v>
      </c>
      <c r="D487" s="1897">
        <v>0</v>
      </c>
      <c r="E487" s="1897">
        <v>0</v>
      </c>
      <c r="F487" s="1897">
        <v>0</v>
      </c>
      <c r="G487" s="1897">
        <v>0</v>
      </c>
      <c r="H487" s="1897">
        <v>0</v>
      </c>
      <c r="I487" s="1897">
        <v>0</v>
      </c>
      <c r="J487" s="1897">
        <v>0</v>
      </c>
      <c r="K487" s="1897">
        <v>0</v>
      </c>
      <c r="L487" s="1897">
        <v>0</v>
      </c>
      <c r="M487" s="1899">
        <f t="shared" si="48"/>
        <v>0</v>
      </c>
      <c r="N487" s="1897"/>
      <c r="O487" s="1907">
        <f t="shared" si="49"/>
        <v>0</v>
      </c>
      <c r="P487" s="3290"/>
      <c r="Q487" s="3290"/>
      <c r="R487" s="1877"/>
    </row>
    <row r="488" spans="1:18">
      <c r="A488" s="1870" t="s">
        <v>2151</v>
      </c>
      <c r="B488" s="1879" t="s">
        <v>2152</v>
      </c>
      <c r="C488" s="1881" t="s">
        <v>2153</v>
      </c>
      <c r="D488" s="1897">
        <v>0</v>
      </c>
      <c r="E488" s="1897">
        <v>0</v>
      </c>
      <c r="F488" s="1897">
        <v>0</v>
      </c>
      <c r="G488" s="1897">
        <v>0</v>
      </c>
      <c r="H488" s="1897">
        <v>0</v>
      </c>
      <c r="I488" s="1897">
        <v>0</v>
      </c>
      <c r="J488" s="1897">
        <v>0</v>
      </c>
      <c r="K488" s="1897">
        <v>0</v>
      </c>
      <c r="L488" s="1897">
        <v>0</v>
      </c>
      <c r="M488" s="1899">
        <f t="shared" si="48"/>
        <v>0</v>
      </c>
      <c r="N488" s="1897">
        <f t="shared" ref="N488:N501" si="50">-M488</f>
        <v>0</v>
      </c>
      <c r="O488" s="2030">
        <f t="shared" si="49"/>
        <v>0</v>
      </c>
      <c r="P488" s="3292" t="s">
        <v>1035</v>
      </c>
      <c r="Q488" s="3290"/>
      <c r="R488" s="1877"/>
    </row>
    <row r="489" spans="1:18">
      <c r="A489" s="1870" t="s">
        <v>2154</v>
      </c>
      <c r="B489" s="1879" t="s">
        <v>2155</v>
      </c>
      <c r="C489" s="1881" t="s">
        <v>2156</v>
      </c>
      <c r="D489" s="1897">
        <v>0</v>
      </c>
      <c r="E489" s="1897">
        <v>0</v>
      </c>
      <c r="F489" s="1897">
        <v>0</v>
      </c>
      <c r="G489" s="1897">
        <v>0</v>
      </c>
      <c r="H489" s="1897">
        <v>0</v>
      </c>
      <c r="I489" s="1897">
        <v>0</v>
      </c>
      <c r="J489" s="1897">
        <v>0</v>
      </c>
      <c r="K489" s="1897">
        <v>0</v>
      </c>
      <c r="L489" s="1897">
        <v>0</v>
      </c>
      <c r="M489" s="1899">
        <f t="shared" si="48"/>
        <v>0</v>
      </c>
      <c r="N489" s="1897">
        <f t="shared" si="50"/>
        <v>0</v>
      </c>
      <c r="O489" s="2030">
        <f t="shared" si="49"/>
        <v>0</v>
      </c>
      <c r="P489" s="3292" t="s">
        <v>1035</v>
      </c>
      <c r="Q489" s="3290"/>
      <c r="R489" s="1877"/>
    </row>
    <row r="490" spans="1:18">
      <c r="A490" s="1870" t="s">
        <v>2157</v>
      </c>
      <c r="B490" s="1879" t="s">
        <v>2158</v>
      </c>
      <c r="C490" s="1881" t="s">
        <v>2159</v>
      </c>
      <c r="D490" s="1897">
        <v>0</v>
      </c>
      <c r="E490" s="1897">
        <v>0</v>
      </c>
      <c r="F490" s="1897">
        <v>0</v>
      </c>
      <c r="G490" s="1897">
        <v>0</v>
      </c>
      <c r="H490" s="1897">
        <v>0</v>
      </c>
      <c r="I490" s="1897">
        <v>0</v>
      </c>
      <c r="J490" s="1897">
        <v>0</v>
      </c>
      <c r="K490" s="1897">
        <v>0</v>
      </c>
      <c r="L490" s="1897">
        <v>0</v>
      </c>
      <c r="M490" s="1899">
        <f t="shared" si="48"/>
        <v>0</v>
      </c>
      <c r="N490" s="1897">
        <f t="shared" si="50"/>
        <v>0</v>
      </c>
      <c r="O490" s="2030">
        <f t="shared" si="49"/>
        <v>0</v>
      </c>
      <c r="P490" s="3292" t="s">
        <v>1035</v>
      </c>
      <c r="Q490" s="3290"/>
      <c r="R490" s="1877"/>
    </row>
    <row r="491" spans="1:18">
      <c r="A491" s="1870" t="s">
        <v>2160</v>
      </c>
      <c r="B491" s="1879" t="s">
        <v>2161</v>
      </c>
      <c r="C491" s="1881" t="s">
        <v>2162</v>
      </c>
      <c r="D491" s="1897">
        <v>0</v>
      </c>
      <c r="E491" s="1897">
        <v>0</v>
      </c>
      <c r="F491" s="1897">
        <v>0</v>
      </c>
      <c r="G491" s="1897">
        <v>0</v>
      </c>
      <c r="H491" s="1897">
        <v>0</v>
      </c>
      <c r="I491" s="1897">
        <v>0</v>
      </c>
      <c r="J491" s="1897">
        <v>0</v>
      </c>
      <c r="K491" s="1897">
        <v>0</v>
      </c>
      <c r="L491" s="1897">
        <v>0</v>
      </c>
      <c r="M491" s="1899">
        <f t="shared" si="48"/>
        <v>0</v>
      </c>
      <c r="N491" s="1897">
        <f t="shared" si="50"/>
        <v>0</v>
      </c>
      <c r="O491" s="2030">
        <f t="shared" si="49"/>
        <v>0</v>
      </c>
      <c r="P491" s="3292" t="s">
        <v>1035</v>
      </c>
      <c r="Q491" s="3290"/>
      <c r="R491" s="1877"/>
    </row>
    <row r="492" spans="1:18">
      <c r="A492" s="1870" t="s">
        <v>2163</v>
      </c>
      <c r="B492" s="1879" t="s">
        <v>2164</v>
      </c>
      <c r="C492" s="1881" t="s">
        <v>2165</v>
      </c>
      <c r="D492" s="1897">
        <v>0</v>
      </c>
      <c r="E492" s="1897">
        <v>0</v>
      </c>
      <c r="F492" s="1897">
        <v>0</v>
      </c>
      <c r="G492" s="1897">
        <v>0</v>
      </c>
      <c r="H492" s="1897">
        <v>0</v>
      </c>
      <c r="I492" s="1897">
        <v>0</v>
      </c>
      <c r="J492" s="1897">
        <v>0</v>
      </c>
      <c r="K492" s="1897">
        <v>0</v>
      </c>
      <c r="L492" s="1897">
        <v>0</v>
      </c>
      <c r="M492" s="1899">
        <f t="shared" si="48"/>
        <v>0</v>
      </c>
      <c r="N492" s="1897">
        <f t="shared" si="50"/>
        <v>0</v>
      </c>
      <c r="O492" s="2030">
        <f t="shared" si="49"/>
        <v>0</v>
      </c>
      <c r="P492" s="3292" t="s">
        <v>1035</v>
      </c>
      <c r="Q492" s="3290"/>
      <c r="R492" s="1877"/>
    </row>
    <row r="493" spans="1:18">
      <c r="A493" s="1870" t="s">
        <v>2166</v>
      </c>
      <c r="B493" s="1879" t="s">
        <v>2167</v>
      </c>
      <c r="C493" s="1881" t="s">
        <v>2168</v>
      </c>
      <c r="D493" s="1897">
        <v>0</v>
      </c>
      <c r="E493" s="1897">
        <v>0</v>
      </c>
      <c r="F493" s="1897">
        <v>0</v>
      </c>
      <c r="G493" s="1897">
        <v>0</v>
      </c>
      <c r="H493" s="1897">
        <v>0</v>
      </c>
      <c r="I493" s="1897">
        <v>0</v>
      </c>
      <c r="J493" s="1897">
        <v>0</v>
      </c>
      <c r="K493" s="1897">
        <v>0</v>
      </c>
      <c r="L493" s="1897">
        <v>0</v>
      </c>
      <c r="M493" s="1899">
        <f t="shared" si="48"/>
        <v>0</v>
      </c>
      <c r="N493" s="1897">
        <f t="shared" si="50"/>
        <v>0</v>
      </c>
      <c r="O493" s="2030">
        <f t="shared" si="49"/>
        <v>0</v>
      </c>
      <c r="P493" s="3292" t="s">
        <v>1035</v>
      </c>
      <c r="Q493" s="3290"/>
      <c r="R493" s="1877"/>
    </row>
    <row r="494" spans="1:18">
      <c r="A494" s="1870" t="s">
        <v>2169</v>
      </c>
      <c r="B494" s="1879" t="s">
        <v>2170</v>
      </c>
      <c r="C494" s="1881" t="s">
        <v>2171</v>
      </c>
      <c r="D494" s="1897">
        <v>0</v>
      </c>
      <c r="E494" s="1897">
        <v>0</v>
      </c>
      <c r="F494" s="1897">
        <v>0</v>
      </c>
      <c r="G494" s="1897">
        <v>0</v>
      </c>
      <c r="H494" s="1897">
        <v>0</v>
      </c>
      <c r="I494" s="1897">
        <v>0</v>
      </c>
      <c r="J494" s="1897">
        <v>0</v>
      </c>
      <c r="K494" s="1897">
        <v>0</v>
      </c>
      <c r="L494" s="1897">
        <v>0</v>
      </c>
      <c r="M494" s="1899">
        <f t="shared" si="48"/>
        <v>0</v>
      </c>
      <c r="N494" s="1897">
        <f t="shared" si="50"/>
        <v>0</v>
      </c>
      <c r="O494" s="2030">
        <f t="shared" si="49"/>
        <v>0</v>
      </c>
      <c r="P494" s="3292" t="s">
        <v>1035</v>
      </c>
      <c r="Q494" s="3290"/>
      <c r="R494" s="518"/>
    </row>
    <row r="495" spans="1:18">
      <c r="A495" s="1870" t="s">
        <v>2172</v>
      </c>
      <c r="B495" s="1879" t="s">
        <v>2173</v>
      </c>
      <c r="C495" s="1881" t="s">
        <v>2174</v>
      </c>
      <c r="D495" s="1897">
        <v>0</v>
      </c>
      <c r="E495" s="1897">
        <v>0</v>
      </c>
      <c r="F495" s="1897">
        <v>0</v>
      </c>
      <c r="G495" s="1897">
        <v>0</v>
      </c>
      <c r="H495" s="1897">
        <v>0</v>
      </c>
      <c r="I495" s="1897">
        <v>0</v>
      </c>
      <c r="J495" s="1897">
        <v>0</v>
      </c>
      <c r="K495" s="1897">
        <v>0</v>
      </c>
      <c r="L495" s="1897">
        <v>0</v>
      </c>
      <c r="M495" s="1899">
        <f t="shared" si="48"/>
        <v>0</v>
      </c>
      <c r="N495" s="1897">
        <f t="shared" si="50"/>
        <v>0</v>
      </c>
      <c r="O495" s="2030">
        <f t="shared" si="49"/>
        <v>0</v>
      </c>
      <c r="P495" s="3292" t="s">
        <v>1035</v>
      </c>
      <c r="Q495" s="3290"/>
      <c r="R495" s="1877"/>
    </row>
    <row r="496" spans="1:18">
      <c r="A496" s="1870" t="s">
        <v>2175</v>
      </c>
      <c r="B496" s="1879" t="s">
        <v>2176</v>
      </c>
      <c r="C496" s="1881" t="s">
        <v>2177</v>
      </c>
      <c r="D496" s="1897">
        <v>0</v>
      </c>
      <c r="E496" s="1897">
        <v>0</v>
      </c>
      <c r="F496" s="1897">
        <v>0</v>
      </c>
      <c r="G496" s="1897">
        <v>0</v>
      </c>
      <c r="H496" s="1897">
        <v>0</v>
      </c>
      <c r="I496" s="1897">
        <v>0</v>
      </c>
      <c r="J496" s="1897">
        <v>0</v>
      </c>
      <c r="K496" s="1897">
        <v>0</v>
      </c>
      <c r="L496" s="1897">
        <v>0</v>
      </c>
      <c r="M496" s="1899">
        <f t="shared" si="48"/>
        <v>0</v>
      </c>
      <c r="N496" s="1897">
        <f t="shared" si="50"/>
        <v>0</v>
      </c>
      <c r="O496" s="2030">
        <f t="shared" si="49"/>
        <v>0</v>
      </c>
      <c r="P496" s="3292" t="s">
        <v>1035</v>
      </c>
      <c r="Q496" s="3290"/>
      <c r="R496" s="1877"/>
    </row>
    <row r="497" spans="1:18">
      <c r="A497" s="1870" t="s">
        <v>2178</v>
      </c>
      <c r="B497" s="1879" t="s">
        <v>2179</v>
      </c>
      <c r="C497" s="1881" t="s">
        <v>2180</v>
      </c>
      <c r="D497" s="1897">
        <v>0</v>
      </c>
      <c r="E497" s="1897">
        <v>0</v>
      </c>
      <c r="F497" s="1897">
        <v>0</v>
      </c>
      <c r="G497" s="1897">
        <v>0</v>
      </c>
      <c r="H497" s="1897">
        <v>0</v>
      </c>
      <c r="I497" s="1897">
        <v>0</v>
      </c>
      <c r="J497" s="1897">
        <v>0</v>
      </c>
      <c r="K497" s="1897">
        <v>0</v>
      </c>
      <c r="L497" s="1897">
        <v>0</v>
      </c>
      <c r="M497" s="1899">
        <f t="shared" si="48"/>
        <v>0</v>
      </c>
      <c r="N497" s="1897">
        <f t="shared" si="50"/>
        <v>0</v>
      </c>
      <c r="O497" s="2030">
        <f t="shared" si="49"/>
        <v>0</v>
      </c>
      <c r="P497" s="3292" t="s">
        <v>1035</v>
      </c>
      <c r="Q497" s="3290"/>
      <c r="R497" s="1877"/>
    </row>
    <row r="498" spans="1:18" ht="15" customHeight="1">
      <c r="A498" s="1870" t="s">
        <v>2181</v>
      </c>
      <c r="B498" s="1879" t="s">
        <v>2182</v>
      </c>
      <c r="C498" s="1881" t="s">
        <v>2183</v>
      </c>
      <c r="D498" s="1897">
        <v>0</v>
      </c>
      <c r="E498" s="1897">
        <v>0</v>
      </c>
      <c r="F498" s="1897">
        <v>0</v>
      </c>
      <c r="G498" s="1897">
        <v>0</v>
      </c>
      <c r="H498" s="1897">
        <v>0</v>
      </c>
      <c r="I498" s="1897">
        <v>0</v>
      </c>
      <c r="J498" s="1897">
        <v>0</v>
      </c>
      <c r="K498" s="1897">
        <v>0</v>
      </c>
      <c r="L498" s="1897">
        <v>0</v>
      </c>
      <c r="M498" s="1899">
        <f t="shared" si="48"/>
        <v>0</v>
      </c>
      <c r="N498" s="1897">
        <f t="shared" si="50"/>
        <v>0</v>
      </c>
      <c r="O498" s="2030">
        <f t="shared" si="49"/>
        <v>0</v>
      </c>
      <c r="P498" s="3292" t="s">
        <v>1035</v>
      </c>
      <c r="Q498" s="3290"/>
      <c r="R498" s="1877"/>
    </row>
    <row r="499" spans="1:18">
      <c r="A499" s="1870" t="s">
        <v>2184</v>
      </c>
      <c r="B499" s="1879" t="s">
        <v>2185</v>
      </c>
      <c r="C499" s="1881" t="s">
        <v>2186</v>
      </c>
      <c r="D499" s="1897">
        <v>0</v>
      </c>
      <c r="E499" s="1897">
        <v>0</v>
      </c>
      <c r="F499" s="1897">
        <v>0</v>
      </c>
      <c r="G499" s="1897">
        <v>0</v>
      </c>
      <c r="H499" s="1897">
        <v>0</v>
      </c>
      <c r="I499" s="1897">
        <v>0</v>
      </c>
      <c r="J499" s="1897">
        <v>0</v>
      </c>
      <c r="K499" s="1897">
        <v>0</v>
      </c>
      <c r="L499" s="1897">
        <v>0</v>
      </c>
      <c r="M499" s="1899">
        <f t="shared" si="48"/>
        <v>0</v>
      </c>
      <c r="N499" s="1897">
        <f t="shared" si="50"/>
        <v>0</v>
      </c>
      <c r="O499" s="2030">
        <f t="shared" si="49"/>
        <v>0</v>
      </c>
      <c r="P499" s="3292" t="s">
        <v>1035</v>
      </c>
      <c r="Q499" s="3290"/>
      <c r="R499" s="1877"/>
    </row>
    <row r="500" spans="1:18" s="1871" customFormat="1" ht="15.75" customHeight="1">
      <c r="A500" s="1870" t="s">
        <v>2187</v>
      </c>
      <c r="B500" s="1879" t="s">
        <v>2188</v>
      </c>
      <c r="C500" s="1881" t="s">
        <v>2189</v>
      </c>
      <c r="D500" s="1897">
        <v>0</v>
      </c>
      <c r="E500" s="1897">
        <v>0</v>
      </c>
      <c r="F500" s="1897">
        <v>0</v>
      </c>
      <c r="G500" s="1897">
        <v>0</v>
      </c>
      <c r="H500" s="1897">
        <v>0</v>
      </c>
      <c r="I500" s="1897">
        <v>0</v>
      </c>
      <c r="J500" s="1897">
        <v>0</v>
      </c>
      <c r="K500" s="1897">
        <v>0</v>
      </c>
      <c r="L500" s="1897">
        <v>0</v>
      </c>
      <c r="M500" s="1899">
        <f t="shared" si="48"/>
        <v>0</v>
      </c>
      <c r="N500" s="1897">
        <f t="shared" si="50"/>
        <v>0</v>
      </c>
      <c r="O500" s="2030">
        <f t="shared" si="49"/>
        <v>0</v>
      </c>
      <c r="P500" s="3292" t="s">
        <v>1035</v>
      </c>
      <c r="Q500" s="3290"/>
      <c r="R500" s="1877"/>
    </row>
    <row r="501" spans="1:18">
      <c r="A501" s="1870" t="s">
        <v>2190</v>
      </c>
      <c r="B501" s="1879" t="s">
        <v>2191</v>
      </c>
      <c r="C501" s="1881" t="s">
        <v>2192</v>
      </c>
      <c r="D501" s="1897">
        <v>0</v>
      </c>
      <c r="E501" s="1897">
        <v>0</v>
      </c>
      <c r="F501" s="1897">
        <v>0</v>
      </c>
      <c r="G501" s="1897">
        <v>0</v>
      </c>
      <c r="H501" s="1897">
        <v>0</v>
      </c>
      <c r="I501" s="1897">
        <v>0</v>
      </c>
      <c r="J501" s="1897">
        <v>0</v>
      </c>
      <c r="K501" s="1897">
        <v>0</v>
      </c>
      <c r="L501" s="1897">
        <v>0</v>
      </c>
      <c r="M501" s="1899">
        <f t="shared" si="48"/>
        <v>0</v>
      </c>
      <c r="N501" s="1897">
        <f t="shared" si="50"/>
        <v>0</v>
      </c>
      <c r="O501" s="2030">
        <f t="shared" si="49"/>
        <v>0</v>
      </c>
      <c r="P501" s="3292" t="s">
        <v>1035</v>
      </c>
      <c r="Q501" s="3290"/>
      <c r="R501" s="1877"/>
    </row>
    <row r="502" spans="1:18">
      <c r="A502" s="1870" t="s">
        <v>2193</v>
      </c>
      <c r="B502" s="1879" t="s">
        <v>2194</v>
      </c>
      <c r="C502" s="1881" t="s">
        <v>2195</v>
      </c>
      <c r="D502" s="1897">
        <v>0</v>
      </c>
      <c r="E502" s="1897">
        <v>0</v>
      </c>
      <c r="F502" s="1897">
        <v>0</v>
      </c>
      <c r="G502" s="1897">
        <v>0</v>
      </c>
      <c r="H502" s="1897">
        <v>0</v>
      </c>
      <c r="I502" s="1897">
        <v>0</v>
      </c>
      <c r="J502" s="1897">
        <v>0</v>
      </c>
      <c r="K502" s="1897">
        <v>0</v>
      </c>
      <c r="L502" s="1897">
        <v>0</v>
      </c>
      <c r="M502" s="1899">
        <f t="shared" si="48"/>
        <v>0</v>
      </c>
      <c r="N502" s="1897">
        <v>0</v>
      </c>
      <c r="O502" s="1907">
        <f t="shared" si="49"/>
        <v>0</v>
      </c>
      <c r="P502" s="3290" t="s">
        <v>397</v>
      </c>
      <c r="Q502" s="3290"/>
      <c r="R502" s="1877"/>
    </row>
    <row r="503" spans="1:18">
      <c r="A503" s="1870" t="s">
        <v>2196</v>
      </c>
      <c r="B503" s="1879" t="s">
        <v>2197</v>
      </c>
      <c r="C503" s="1881" t="s">
        <v>2198</v>
      </c>
      <c r="D503" s="1897">
        <v>0</v>
      </c>
      <c r="E503" s="1897">
        <v>0</v>
      </c>
      <c r="F503" s="1897">
        <v>0</v>
      </c>
      <c r="G503" s="1897">
        <v>0</v>
      </c>
      <c r="H503" s="1897">
        <v>0</v>
      </c>
      <c r="I503" s="1897">
        <v>0</v>
      </c>
      <c r="J503" s="1897">
        <v>0</v>
      </c>
      <c r="K503" s="1897">
        <v>0</v>
      </c>
      <c r="L503" s="1897">
        <v>0</v>
      </c>
      <c r="M503" s="1899">
        <f t="shared" si="48"/>
        <v>0</v>
      </c>
      <c r="N503" s="1897">
        <v>0</v>
      </c>
      <c r="O503" s="1907">
        <f t="shared" si="49"/>
        <v>0</v>
      </c>
      <c r="P503" s="3290" t="s">
        <v>393</v>
      </c>
      <c r="Q503" s="3290"/>
      <c r="R503" s="1877"/>
    </row>
    <row r="504" spans="1:18" s="1871" customFormat="1">
      <c r="A504" s="1870"/>
      <c r="B504" s="1879" t="s">
        <v>4050</v>
      </c>
      <c r="C504" s="1881" t="s">
        <v>4049</v>
      </c>
      <c r="D504" s="1897">
        <v>0</v>
      </c>
      <c r="E504" s="1897">
        <v>0</v>
      </c>
      <c r="F504" s="1897">
        <v>0</v>
      </c>
      <c r="G504" s="1897">
        <v>0</v>
      </c>
      <c r="H504" s="1897">
        <v>0</v>
      </c>
      <c r="I504" s="1897">
        <v>0</v>
      </c>
      <c r="J504" s="1897">
        <v>0</v>
      </c>
      <c r="K504" s="1897">
        <v>0</v>
      </c>
      <c r="L504" s="1897">
        <v>0</v>
      </c>
      <c r="M504" s="1899">
        <f t="shared" si="48"/>
        <v>0</v>
      </c>
      <c r="N504" s="1897">
        <f t="shared" ref="N504" si="51">-M504</f>
        <v>0</v>
      </c>
      <c r="O504" s="2026">
        <f t="shared" ref="O504" si="52">SUM(M504:N504)</f>
        <v>0</v>
      </c>
      <c r="P504" s="3292" t="s">
        <v>1035</v>
      </c>
      <c r="Q504" s="3290"/>
      <c r="R504" s="1877"/>
    </row>
    <row r="505" spans="1:18">
      <c r="A505" s="1870" t="s">
        <v>2199</v>
      </c>
      <c r="B505" s="1879" t="s">
        <v>1858</v>
      </c>
      <c r="C505" s="1880" t="s">
        <v>2200</v>
      </c>
      <c r="D505" s="1897">
        <v>0</v>
      </c>
      <c r="E505" s="1897">
        <v>0</v>
      </c>
      <c r="F505" s="1897">
        <v>0</v>
      </c>
      <c r="G505" s="1897">
        <v>0</v>
      </c>
      <c r="H505" s="1897">
        <v>0</v>
      </c>
      <c r="I505" s="1897">
        <v>0</v>
      </c>
      <c r="J505" s="1897">
        <v>0</v>
      </c>
      <c r="K505" s="1897">
        <v>0</v>
      </c>
      <c r="L505" s="1897">
        <v>0</v>
      </c>
      <c r="M505" s="1899">
        <f>SUM(D505:L505)</f>
        <v>0</v>
      </c>
      <c r="N505" s="1897">
        <v>0</v>
      </c>
      <c r="O505" s="1907">
        <f>SUM(M505:N505)</f>
        <v>0</v>
      </c>
      <c r="P505" s="3290" t="s">
        <v>393</v>
      </c>
      <c r="Q505" s="3290"/>
      <c r="R505" s="1877"/>
    </row>
    <row r="506" spans="1:18">
      <c r="A506" s="1870"/>
      <c r="B506" s="514"/>
      <c r="C506" s="1880"/>
      <c r="D506" s="3726"/>
      <c r="E506" s="3726"/>
      <c r="F506" s="3726"/>
      <c r="G506" s="3726"/>
      <c r="H506" s="3726"/>
      <c r="I506" s="3726"/>
      <c r="J506" s="3726"/>
      <c r="K506" s="3726"/>
      <c r="L506" s="3726"/>
      <c r="M506" s="3726"/>
      <c r="N506" s="3726"/>
      <c r="O506" s="3726"/>
      <c r="P506" s="3290"/>
      <c r="Q506" s="3290"/>
      <c r="R506" s="1877"/>
    </row>
    <row r="507" spans="1:18">
      <c r="A507" s="1870"/>
      <c r="B507" s="510" t="s">
        <v>2201</v>
      </c>
      <c r="C507" s="1880"/>
      <c r="D507" s="1901">
        <f t="shared" ref="D507:N507" si="53">SUM(D441:D505)</f>
        <v>0</v>
      </c>
      <c r="E507" s="1901">
        <f t="shared" si="53"/>
        <v>0</v>
      </c>
      <c r="F507" s="1901">
        <f t="shared" si="53"/>
        <v>0</v>
      </c>
      <c r="G507" s="1901">
        <f t="shared" si="53"/>
        <v>0</v>
      </c>
      <c r="H507" s="1901">
        <f t="shared" si="53"/>
        <v>0</v>
      </c>
      <c r="I507" s="1901">
        <f t="shared" si="53"/>
        <v>0</v>
      </c>
      <c r="J507" s="1901">
        <f t="shared" si="53"/>
        <v>0</v>
      </c>
      <c r="K507" s="1901">
        <f t="shared" si="53"/>
        <v>0</v>
      </c>
      <c r="L507" s="1901">
        <f t="shared" si="53"/>
        <v>0</v>
      </c>
      <c r="M507" s="1901">
        <f t="shared" si="53"/>
        <v>0</v>
      </c>
      <c r="N507" s="1901">
        <f t="shared" si="53"/>
        <v>0</v>
      </c>
      <c r="O507" s="1901">
        <f>SUM(M507:N507)</f>
        <v>0</v>
      </c>
      <c r="P507" s="3290"/>
      <c r="Q507" s="3290"/>
      <c r="R507" s="1877"/>
    </row>
    <row r="508" spans="1:18">
      <c r="A508" s="1870"/>
      <c r="B508" s="514"/>
      <c r="C508" s="1880"/>
      <c r="D508" s="3727"/>
      <c r="E508" s="3727"/>
      <c r="F508" s="3727"/>
      <c r="G508" s="3727"/>
      <c r="H508" s="3727"/>
      <c r="I508" s="3727"/>
      <c r="J508" s="3727"/>
      <c r="K508" s="3727"/>
      <c r="L508" s="3727"/>
      <c r="M508" s="3727"/>
      <c r="N508" s="3727"/>
      <c r="O508" s="3728"/>
      <c r="P508" s="3290"/>
      <c r="Q508" s="3290"/>
      <c r="R508" s="1877"/>
    </row>
    <row r="509" spans="1:18">
      <c r="A509" s="1870"/>
      <c r="B509" s="3732" t="s">
        <v>2202</v>
      </c>
      <c r="C509" s="3730"/>
      <c r="D509" s="1902"/>
      <c r="E509" s="1902"/>
      <c r="F509" s="1902"/>
      <c r="G509" s="1902" t="s">
        <v>1792</v>
      </c>
      <c r="H509" s="1902" t="s">
        <v>1792</v>
      </c>
      <c r="I509" s="1902"/>
      <c r="J509" s="1902" t="s">
        <v>1792</v>
      </c>
      <c r="K509" s="1902"/>
      <c r="L509" s="1902" t="s">
        <v>1792</v>
      </c>
      <c r="M509" s="1902" t="s">
        <v>1792</v>
      </c>
      <c r="N509" s="1902" t="s">
        <v>1792</v>
      </c>
      <c r="O509" s="1900"/>
      <c r="P509" s="3290"/>
      <c r="Q509" s="3290"/>
      <c r="R509" s="1877"/>
    </row>
    <row r="510" spans="1:18">
      <c r="A510" s="1870"/>
      <c r="B510" s="3734"/>
      <c r="C510" s="3725"/>
      <c r="D510" s="1902"/>
      <c r="E510" s="1902"/>
      <c r="F510" s="1902"/>
      <c r="G510" s="1902"/>
      <c r="H510" s="1902"/>
      <c r="I510" s="1902"/>
      <c r="J510" s="1902"/>
      <c r="K510" s="1902"/>
      <c r="L510" s="1902"/>
      <c r="M510" s="1902"/>
      <c r="N510" s="1902"/>
      <c r="O510" s="1900"/>
      <c r="P510" s="3290"/>
      <c r="Q510" s="3290"/>
      <c r="R510" s="519"/>
    </row>
    <row r="511" spans="1:18">
      <c r="A511" s="1870"/>
      <c r="B511" s="1879" t="s">
        <v>2203</v>
      </c>
      <c r="C511" s="642" t="s">
        <v>2204</v>
      </c>
      <c r="D511" s="1897">
        <v>0</v>
      </c>
      <c r="E511" s="1897">
        <v>0</v>
      </c>
      <c r="F511" s="1897">
        <v>0</v>
      </c>
      <c r="G511" s="1897">
        <v>0</v>
      </c>
      <c r="H511" s="1897">
        <v>0</v>
      </c>
      <c r="I511" s="1897">
        <v>0</v>
      </c>
      <c r="J511" s="1897">
        <v>0</v>
      </c>
      <c r="K511" s="1897">
        <v>0</v>
      </c>
      <c r="L511" s="1897">
        <v>0</v>
      </c>
      <c r="M511" s="1899">
        <f>SUM(D511:L511)</f>
        <v>0</v>
      </c>
      <c r="N511" s="1897">
        <v>0</v>
      </c>
      <c r="O511" s="1900">
        <f>SUM(M511:N511)</f>
        <v>0</v>
      </c>
      <c r="P511" s="3290"/>
      <c r="Q511" s="3290"/>
      <c r="R511" s="1877"/>
    </row>
    <row r="512" spans="1:18">
      <c r="A512" s="1870" t="s">
        <v>2205</v>
      </c>
      <c r="B512" s="1879" t="s">
        <v>2206</v>
      </c>
      <c r="C512" s="1881" t="s">
        <v>2207</v>
      </c>
      <c r="D512" s="1897">
        <v>0</v>
      </c>
      <c r="E512" s="1897">
        <v>0</v>
      </c>
      <c r="F512" s="1897">
        <v>0</v>
      </c>
      <c r="G512" s="1897">
        <v>0</v>
      </c>
      <c r="H512" s="1897">
        <v>0</v>
      </c>
      <c r="I512" s="1897">
        <v>0</v>
      </c>
      <c r="J512" s="1897">
        <v>0</v>
      </c>
      <c r="K512" s="1897">
        <v>0</v>
      </c>
      <c r="L512" s="1897">
        <v>0</v>
      </c>
      <c r="M512" s="1899">
        <f t="shared" ref="M512:M527" si="54">SUM(D512:L512)</f>
        <v>0</v>
      </c>
      <c r="N512" s="1897">
        <v>0</v>
      </c>
      <c r="O512" s="1900">
        <f t="shared" ref="O512:O527" si="55">SUM(M512:N512)</f>
        <v>0</v>
      </c>
      <c r="P512" s="3290" t="s">
        <v>395</v>
      </c>
      <c r="Q512" s="3290"/>
      <c r="R512" s="1877"/>
    </row>
    <row r="513" spans="1:18">
      <c r="A513" s="1870" t="s">
        <v>2208</v>
      </c>
      <c r="B513" s="1879" t="s">
        <v>2209</v>
      </c>
      <c r="C513" s="1881" t="s">
        <v>2210</v>
      </c>
      <c r="D513" s="1897">
        <v>0</v>
      </c>
      <c r="E513" s="1897">
        <v>0</v>
      </c>
      <c r="F513" s="1897">
        <v>0</v>
      </c>
      <c r="G513" s="1897">
        <v>0</v>
      </c>
      <c r="H513" s="1897">
        <v>0</v>
      </c>
      <c r="I513" s="1897">
        <v>0</v>
      </c>
      <c r="J513" s="1897">
        <v>0</v>
      </c>
      <c r="K513" s="1897">
        <v>0</v>
      </c>
      <c r="L513" s="1897">
        <v>0</v>
      </c>
      <c r="M513" s="1899">
        <f t="shared" si="54"/>
        <v>0</v>
      </c>
      <c r="N513" s="1897">
        <v>0</v>
      </c>
      <c r="O513" s="1900">
        <f t="shared" si="55"/>
        <v>0</v>
      </c>
      <c r="P513" s="3290" t="s">
        <v>395</v>
      </c>
      <c r="Q513" s="3290"/>
      <c r="R513" s="1877"/>
    </row>
    <row r="514" spans="1:18" s="1871" customFormat="1">
      <c r="A514" s="1870"/>
      <c r="B514" s="2037" t="s">
        <v>2211</v>
      </c>
      <c r="C514" s="2038" t="s">
        <v>2212</v>
      </c>
      <c r="D514" s="1897">
        <v>0</v>
      </c>
      <c r="E514" s="1897">
        <v>0</v>
      </c>
      <c r="F514" s="1897">
        <v>0</v>
      </c>
      <c r="G514" s="1897">
        <v>0</v>
      </c>
      <c r="H514" s="1897">
        <v>0</v>
      </c>
      <c r="I514" s="1897">
        <v>0</v>
      </c>
      <c r="J514" s="1897">
        <v>0</v>
      </c>
      <c r="K514" s="1897">
        <v>0</v>
      </c>
      <c r="L514" s="1897">
        <v>0</v>
      </c>
      <c r="M514" s="1899">
        <f>SUM(D514:L514)</f>
        <v>0</v>
      </c>
      <c r="N514" s="1897">
        <v>0</v>
      </c>
      <c r="O514" s="1900">
        <f>SUM(M514:N514)</f>
        <v>0</v>
      </c>
      <c r="P514" s="3290" t="s">
        <v>2213</v>
      </c>
      <c r="Q514" s="3290"/>
      <c r="R514" s="1877"/>
    </row>
    <row r="515" spans="1:18" s="509" customFormat="1">
      <c r="B515" s="1879" t="s">
        <v>2214</v>
      </c>
      <c r="C515" s="1881" t="s">
        <v>2215</v>
      </c>
      <c r="D515" s="1897">
        <v>0</v>
      </c>
      <c r="E515" s="1897">
        <v>0</v>
      </c>
      <c r="F515" s="1897">
        <v>0</v>
      </c>
      <c r="G515" s="1897">
        <v>0</v>
      </c>
      <c r="H515" s="1897">
        <v>0</v>
      </c>
      <c r="I515" s="1897">
        <v>0</v>
      </c>
      <c r="J515" s="1897">
        <v>0</v>
      </c>
      <c r="K515" s="1897">
        <v>0</v>
      </c>
      <c r="L515" s="1897">
        <v>0</v>
      </c>
      <c r="M515" s="1899">
        <f t="shared" si="54"/>
        <v>0</v>
      </c>
      <c r="N515" s="1897">
        <v>0</v>
      </c>
      <c r="O515" s="1900">
        <f t="shared" si="55"/>
        <v>0</v>
      </c>
      <c r="P515" s="3737"/>
      <c r="Q515" s="3290"/>
      <c r="R515" s="1877"/>
    </row>
    <row r="516" spans="1:18">
      <c r="A516" s="1870" t="s">
        <v>2216</v>
      </c>
      <c r="B516" s="1879" t="s">
        <v>2217</v>
      </c>
      <c r="C516" s="1881" t="s">
        <v>2218</v>
      </c>
      <c r="D516" s="1897">
        <v>0</v>
      </c>
      <c r="E516" s="1897">
        <v>0</v>
      </c>
      <c r="F516" s="1897">
        <v>0</v>
      </c>
      <c r="G516" s="1897">
        <v>0</v>
      </c>
      <c r="H516" s="1897">
        <v>0</v>
      </c>
      <c r="I516" s="1897">
        <v>0</v>
      </c>
      <c r="J516" s="1897">
        <v>0</v>
      </c>
      <c r="K516" s="1897">
        <v>0</v>
      </c>
      <c r="L516" s="1897">
        <v>0</v>
      </c>
      <c r="M516" s="1899">
        <f t="shared" si="54"/>
        <v>0</v>
      </c>
      <c r="N516" s="1897">
        <v>0</v>
      </c>
      <c r="O516" s="1900">
        <f t="shared" si="55"/>
        <v>0</v>
      </c>
      <c r="P516" s="3738" t="s">
        <v>2219</v>
      </c>
      <c r="Q516" s="3290"/>
      <c r="R516" s="1877"/>
    </row>
    <row r="517" spans="1:18">
      <c r="A517" s="1870"/>
      <c r="B517" s="1879" t="s">
        <v>2220</v>
      </c>
      <c r="C517" s="1881" t="s">
        <v>2221</v>
      </c>
      <c r="D517" s="1897">
        <v>0</v>
      </c>
      <c r="E517" s="1897">
        <v>0</v>
      </c>
      <c r="F517" s="1897">
        <v>0</v>
      </c>
      <c r="G517" s="1897">
        <v>0</v>
      </c>
      <c r="H517" s="1897">
        <v>0</v>
      </c>
      <c r="I517" s="1897">
        <v>0</v>
      </c>
      <c r="J517" s="1897">
        <v>0</v>
      </c>
      <c r="K517" s="1897">
        <v>0</v>
      </c>
      <c r="L517" s="1897">
        <v>0</v>
      </c>
      <c r="M517" s="1899">
        <f t="shared" si="54"/>
        <v>0</v>
      </c>
      <c r="N517" s="1897">
        <v>0</v>
      </c>
      <c r="O517" s="1900">
        <f t="shared" si="55"/>
        <v>0</v>
      </c>
      <c r="P517" s="3738" t="s">
        <v>2222</v>
      </c>
      <c r="Q517" s="3290"/>
      <c r="R517" s="1877"/>
    </row>
    <row r="518" spans="1:18">
      <c r="A518" s="1870" t="s">
        <v>2223</v>
      </c>
      <c r="B518" s="1879" t="s">
        <v>2224</v>
      </c>
      <c r="C518" s="1881" t="s">
        <v>2225</v>
      </c>
      <c r="D518" s="1897">
        <v>0</v>
      </c>
      <c r="E518" s="1897">
        <v>0</v>
      </c>
      <c r="F518" s="1897">
        <v>0</v>
      </c>
      <c r="G518" s="1897">
        <v>0</v>
      </c>
      <c r="H518" s="1897">
        <v>0</v>
      </c>
      <c r="I518" s="1897">
        <v>0</v>
      </c>
      <c r="J518" s="1897">
        <v>0</v>
      </c>
      <c r="K518" s="1897">
        <v>0</v>
      </c>
      <c r="L518" s="1897">
        <v>0</v>
      </c>
      <c r="M518" s="1899">
        <f t="shared" si="54"/>
        <v>0</v>
      </c>
      <c r="N518" s="1897">
        <v>0</v>
      </c>
      <c r="O518" s="1900">
        <f t="shared" si="55"/>
        <v>0</v>
      </c>
      <c r="P518" s="3738"/>
      <c r="Q518" s="3290"/>
      <c r="R518" s="1877"/>
    </row>
    <row r="519" spans="1:18">
      <c r="A519" s="1870" t="s">
        <v>2226</v>
      </c>
      <c r="B519" s="1879" t="s">
        <v>2227</v>
      </c>
      <c r="C519" s="1881" t="s">
        <v>2228</v>
      </c>
      <c r="D519" s="1897">
        <v>0</v>
      </c>
      <c r="E519" s="1897">
        <v>0</v>
      </c>
      <c r="F519" s="1897">
        <v>0</v>
      </c>
      <c r="G519" s="1897">
        <v>0</v>
      </c>
      <c r="H519" s="1897">
        <v>0</v>
      </c>
      <c r="I519" s="1897">
        <v>0</v>
      </c>
      <c r="J519" s="1897">
        <v>0</v>
      </c>
      <c r="K519" s="1897">
        <v>0</v>
      </c>
      <c r="L519" s="1897">
        <v>0</v>
      </c>
      <c r="M519" s="1899">
        <f t="shared" si="54"/>
        <v>0</v>
      </c>
      <c r="N519" s="1897">
        <v>0</v>
      </c>
      <c r="O519" s="1900">
        <f t="shared" si="55"/>
        <v>0</v>
      </c>
      <c r="P519" s="3738"/>
      <c r="Q519" s="3290"/>
      <c r="R519" s="1877"/>
    </row>
    <row r="520" spans="1:18">
      <c r="A520" s="1870" t="s">
        <v>2229</v>
      </c>
      <c r="B520" s="1879" t="s">
        <v>2230</v>
      </c>
      <c r="C520" s="1881" t="s">
        <v>2231</v>
      </c>
      <c r="D520" s="1897">
        <v>0</v>
      </c>
      <c r="E520" s="1897">
        <v>0</v>
      </c>
      <c r="F520" s="1897">
        <v>0</v>
      </c>
      <c r="G520" s="1897">
        <v>0</v>
      </c>
      <c r="H520" s="1897">
        <v>0</v>
      </c>
      <c r="I520" s="1897">
        <v>0</v>
      </c>
      <c r="J520" s="1897">
        <v>0</v>
      </c>
      <c r="K520" s="1897">
        <v>0</v>
      </c>
      <c r="L520" s="1897">
        <v>0</v>
      </c>
      <c r="M520" s="1899">
        <f t="shared" si="54"/>
        <v>0</v>
      </c>
      <c r="N520" s="1897">
        <v>0</v>
      </c>
      <c r="O520" s="1900">
        <f t="shared" si="55"/>
        <v>0</v>
      </c>
      <c r="P520" s="3738"/>
      <c r="Q520" s="3290"/>
      <c r="R520" s="1877"/>
    </row>
    <row r="521" spans="1:18">
      <c r="A521" s="1870" t="s">
        <v>2232</v>
      </c>
      <c r="B521" s="1879" t="s">
        <v>2233</v>
      </c>
      <c r="C521" s="1881" t="s">
        <v>2234</v>
      </c>
      <c r="D521" s="1897">
        <v>0</v>
      </c>
      <c r="E521" s="1897">
        <v>0</v>
      </c>
      <c r="F521" s="1897">
        <v>0</v>
      </c>
      <c r="G521" s="1897">
        <v>0</v>
      </c>
      <c r="H521" s="1897">
        <v>0</v>
      </c>
      <c r="I521" s="1897">
        <v>0</v>
      </c>
      <c r="J521" s="1897">
        <v>0</v>
      </c>
      <c r="K521" s="1897">
        <v>0</v>
      </c>
      <c r="L521" s="1897">
        <v>0</v>
      </c>
      <c r="M521" s="1899">
        <f t="shared" si="54"/>
        <v>0</v>
      </c>
      <c r="N521" s="1897">
        <v>0</v>
      </c>
      <c r="O521" s="1900">
        <f t="shared" si="55"/>
        <v>0</v>
      </c>
      <c r="P521" s="3738"/>
      <c r="Q521" s="3290"/>
      <c r="R521" s="1877"/>
    </row>
    <row r="522" spans="1:18">
      <c r="A522" s="1870"/>
      <c r="B522" s="1879" t="s">
        <v>2235</v>
      </c>
      <c r="C522" s="1881" t="s">
        <v>2236</v>
      </c>
      <c r="D522" s="1897">
        <v>0</v>
      </c>
      <c r="E522" s="1897">
        <v>0</v>
      </c>
      <c r="F522" s="1897">
        <v>0</v>
      </c>
      <c r="G522" s="1897">
        <v>0</v>
      </c>
      <c r="H522" s="1897">
        <v>0</v>
      </c>
      <c r="I522" s="1897">
        <v>0</v>
      </c>
      <c r="J522" s="1897">
        <v>0</v>
      </c>
      <c r="K522" s="1897">
        <v>0</v>
      </c>
      <c r="L522" s="1897">
        <v>0</v>
      </c>
      <c r="M522" s="1899">
        <f t="shared" si="54"/>
        <v>0</v>
      </c>
      <c r="N522" s="1897">
        <v>0</v>
      </c>
      <c r="O522" s="1900">
        <f t="shared" si="55"/>
        <v>0</v>
      </c>
      <c r="P522" s="3738"/>
      <c r="Q522" s="3290"/>
      <c r="R522" s="1877"/>
    </row>
    <row r="523" spans="1:18" s="1871" customFormat="1">
      <c r="A523" s="1870"/>
      <c r="B523" s="1876" t="s">
        <v>2237</v>
      </c>
      <c r="C523" s="1881" t="s">
        <v>2238</v>
      </c>
      <c r="D523" s="1897">
        <v>0</v>
      </c>
      <c r="E523" s="1897">
        <v>0</v>
      </c>
      <c r="F523" s="1897">
        <v>0</v>
      </c>
      <c r="G523" s="1897">
        <v>0</v>
      </c>
      <c r="H523" s="1897">
        <v>0</v>
      </c>
      <c r="I523" s="1897">
        <v>0</v>
      </c>
      <c r="J523" s="1897">
        <v>0</v>
      </c>
      <c r="K523" s="1897">
        <v>0</v>
      </c>
      <c r="L523" s="1897">
        <v>0</v>
      </c>
      <c r="M523" s="1899">
        <f t="shared" si="54"/>
        <v>0</v>
      </c>
      <c r="N523" s="1897">
        <v>0</v>
      </c>
      <c r="O523" s="1900">
        <f t="shared" si="55"/>
        <v>0</v>
      </c>
      <c r="P523" s="3738"/>
      <c r="Q523" s="3559"/>
      <c r="R523" s="1877"/>
    </row>
    <row r="524" spans="1:18">
      <c r="A524" s="1870" t="s">
        <v>2239</v>
      </c>
      <c r="B524" s="1879" t="s">
        <v>2240</v>
      </c>
      <c r="C524" s="1880" t="s">
        <v>2241</v>
      </c>
      <c r="D524" s="1897">
        <v>0</v>
      </c>
      <c r="E524" s="1897">
        <v>0</v>
      </c>
      <c r="F524" s="1897">
        <v>0</v>
      </c>
      <c r="G524" s="1897">
        <v>0</v>
      </c>
      <c r="H524" s="1897">
        <v>0</v>
      </c>
      <c r="I524" s="1897">
        <v>0</v>
      </c>
      <c r="J524" s="1897">
        <v>0</v>
      </c>
      <c r="K524" s="1897">
        <v>0</v>
      </c>
      <c r="L524" s="1897">
        <v>0</v>
      </c>
      <c r="M524" s="1899">
        <f t="shared" si="54"/>
        <v>0</v>
      </c>
      <c r="N524" s="1897">
        <v>0</v>
      </c>
      <c r="O524" s="1900">
        <f t="shared" si="55"/>
        <v>0</v>
      </c>
      <c r="P524" s="3738"/>
      <c r="Q524" s="3290"/>
      <c r="R524" s="1877"/>
    </row>
    <row r="525" spans="1:18">
      <c r="A525" s="1870" t="s">
        <v>2242</v>
      </c>
      <c r="B525" s="636" t="s">
        <v>2243</v>
      </c>
      <c r="C525" s="1881" t="s">
        <v>2244</v>
      </c>
      <c r="D525" s="1897">
        <v>0</v>
      </c>
      <c r="E525" s="1897">
        <v>0</v>
      </c>
      <c r="F525" s="1897">
        <v>0</v>
      </c>
      <c r="G525" s="1897">
        <v>0</v>
      </c>
      <c r="H525" s="1897">
        <v>0</v>
      </c>
      <c r="I525" s="1897">
        <v>0</v>
      </c>
      <c r="J525" s="1897">
        <v>0</v>
      </c>
      <c r="K525" s="1897">
        <v>0</v>
      </c>
      <c r="L525" s="1897">
        <v>0</v>
      </c>
      <c r="M525" s="1899">
        <f t="shared" si="54"/>
        <v>0</v>
      </c>
      <c r="N525" s="1897">
        <v>0</v>
      </c>
      <c r="O525" s="1900">
        <f t="shared" si="55"/>
        <v>0</v>
      </c>
      <c r="P525" s="3290" t="s">
        <v>395</v>
      </c>
      <c r="Q525" s="3290"/>
      <c r="R525" s="1877"/>
    </row>
    <row r="526" spans="1:18">
      <c r="A526" s="1870" t="s">
        <v>2245</v>
      </c>
      <c r="B526" s="1879" t="s">
        <v>454</v>
      </c>
      <c r="C526" s="1880" t="s">
        <v>2246</v>
      </c>
      <c r="D526" s="1897">
        <v>0</v>
      </c>
      <c r="E526" s="1897">
        <v>0</v>
      </c>
      <c r="F526" s="1897">
        <v>0</v>
      </c>
      <c r="G526" s="1897">
        <v>0</v>
      </c>
      <c r="H526" s="1897">
        <v>0</v>
      </c>
      <c r="I526" s="1897">
        <v>0</v>
      </c>
      <c r="J526" s="1897">
        <v>0</v>
      </c>
      <c r="K526" s="1897">
        <v>0</v>
      </c>
      <c r="L526" s="1897">
        <v>0</v>
      </c>
      <c r="M526" s="1899">
        <f t="shared" si="54"/>
        <v>0</v>
      </c>
      <c r="N526" s="1897">
        <v>0</v>
      </c>
      <c r="O526" s="1900">
        <f t="shared" si="55"/>
        <v>0</v>
      </c>
      <c r="P526" s="3738"/>
      <c r="Q526" s="3290"/>
      <c r="R526" s="1877"/>
    </row>
    <row r="527" spans="1:18">
      <c r="A527" s="1870" t="s">
        <v>2247</v>
      </c>
      <c r="B527" s="1879" t="s">
        <v>2248</v>
      </c>
      <c r="C527" s="1880" t="s">
        <v>2249</v>
      </c>
      <c r="D527" s="1897">
        <v>0</v>
      </c>
      <c r="E527" s="1897">
        <v>0</v>
      </c>
      <c r="F527" s="1897">
        <v>0</v>
      </c>
      <c r="G527" s="1897">
        <v>0</v>
      </c>
      <c r="H527" s="1897">
        <v>0</v>
      </c>
      <c r="I527" s="1897">
        <v>0</v>
      </c>
      <c r="J527" s="1897">
        <v>0</v>
      </c>
      <c r="K527" s="1897">
        <v>0</v>
      </c>
      <c r="L527" s="1897">
        <v>0</v>
      </c>
      <c r="M527" s="1899">
        <f t="shared" si="54"/>
        <v>0</v>
      </c>
      <c r="N527" s="1897">
        <v>0</v>
      </c>
      <c r="O527" s="1900">
        <f t="shared" si="55"/>
        <v>0</v>
      </c>
      <c r="P527" s="3738"/>
      <c r="Q527" s="3290"/>
      <c r="R527" s="1877"/>
    </row>
    <row r="528" spans="1:18">
      <c r="A528" s="1870" t="s">
        <v>2250</v>
      </c>
      <c r="B528" s="1879" t="s">
        <v>1074</v>
      </c>
      <c r="C528" s="1881" t="s">
        <v>2251</v>
      </c>
      <c r="D528" s="1897">
        <v>0</v>
      </c>
      <c r="E528" s="1897">
        <v>0</v>
      </c>
      <c r="F528" s="1897">
        <v>0</v>
      </c>
      <c r="G528" s="1897">
        <v>0</v>
      </c>
      <c r="H528" s="1897">
        <v>0</v>
      </c>
      <c r="I528" s="1897">
        <v>0</v>
      </c>
      <c r="J528" s="1897">
        <v>0</v>
      </c>
      <c r="K528" s="1897">
        <v>0</v>
      </c>
      <c r="L528" s="1897">
        <v>0</v>
      </c>
      <c r="M528" s="1899">
        <f>SUM(D528:L528)</f>
        <v>0</v>
      </c>
      <c r="N528" s="1897">
        <v>0</v>
      </c>
      <c r="O528" s="1900">
        <f>SUM(M528:N528)</f>
        <v>0</v>
      </c>
      <c r="P528" s="3738"/>
      <c r="Q528" s="3290"/>
      <c r="R528" s="1877"/>
    </row>
    <row r="529" spans="1:18">
      <c r="A529" s="1870"/>
      <c r="B529" s="514"/>
      <c r="C529" s="1880"/>
      <c r="D529" s="3726"/>
      <c r="E529" s="3726"/>
      <c r="F529" s="3726"/>
      <c r="G529" s="3726"/>
      <c r="H529" s="3726"/>
      <c r="I529" s="3726"/>
      <c r="J529" s="3726"/>
      <c r="K529" s="3726"/>
      <c r="L529" s="3726"/>
      <c r="M529" s="3726"/>
      <c r="N529" s="3726"/>
      <c r="O529" s="3726"/>
      <c r="P529" s="3290"/>
      <c r="Q529" s="3290"/>
      <c r="R529" s="1877"/>
    </row>
    <row r="530" spans="1:18" ht="12.75" thickBot="1">
      <c r="A530" s="1870"/>
      <c r="B530" s="510" t="s">
        <v>2252</v>
      </c>
      <c r="C530" s="1880"/>
      <c r="D530" s="1901">
        <f>SUM(D511:D528)</f>
        <v>0</v>
      </c>
      <c r="E530" s="1901">
        <f t="shared" ref="E530:N530" si="56">SUM(E511:E528)</f>
        <v>0</v>
      </c>
      <c r="F530" s="1901">
        <f t="shared" si="56"/>
        <v>0</v>
      </c>
      <c r="G530" s="1901">
        <f t="shared" si="56"/>
        <v>0</v>
      </c>
      <c r="H530" s="1901">
        <f t="shared" si="56"/>
        <v>0</v>
      </c>
      <c r="I530" s="1901">
        <f t="shared" si="56"/>
        <v>0</v>
      </c>
      <c r="J530" s="1901">
        <f t="shared" si="56"/>
        <v>0</v>
      </c>
      <c r="K530" s="1901">
        <f t="shared" si="56"/>
        <v>0</v>
      </c>
      <c r="L530" s="1901">
        <f t="shared" si="56"/>
        <v>0</v>
      </c>
      <c r="M530" s="1901">
        <f t="shared" si="56"/>
        <v>0</v>
      </c>
      <c r="N530" s="1901">
        <f t="shared" si="56"/>
        <v>0</v>
      </c>
      <c r="O530" s="1901">
        <f>SUM(M530:N530)</f>
        <v>0</v>
      </c>
      <c r="P530" s="3290"/>
      <c r="Q530" s="3290"/>
      <c r="R530" s="1877"/>
    </row>
    <row r="531" spans="1:18">
      <c r="A531" s="1870"/>
      <c r="B531" s="508"/>
      <c r="C531" s="1880"/>
      <c r="D531" s="1908"/>
      <c r="E531" s="1908"/>
      <c r="F531" s="1908"/>
      <c r="G531" s="1908"/>
      <c r="H531" s="1908"/>
      <c r="I531" s="1908"/>
      <c r="J531" s="1908"/>
      <c r="K531" s="1908"/>
      <c r="L531" s="1908"/>
      <c r="M531" s="1908"/>
      <c r="N531" s="1908"/>
      <c r="O531" s="1908"/>
      <c r="P531" s="3290"/>
      <c r="Q531" s="3290"/>
      <c r="R531" s="1877"/>
    </row>
    <row r="532" spans="1:18">
      <c r="A532" s="1870"/>
      <c r="B532" s="510" t="s">
        <v>2253</v>
      </c>
      <c r="D532" s="1909">
        <f t="shared" ref="D532:N532" si="57">SUM(D437+D507+D530)</f>
        <v>0</v>
      </c>
      <c r="E532" s="1909">
        <f t="shared" si="57"/>
        <v>0</v>
      </c>
      <c r="F532" s="1909">
        <f t="shared" si="57"/>
        <v>0</v>
      </c>
      <c r="G532" s="1909">
        <f t="shared" si="57"/>
        <v>0</v>
      </c>
      <c r="H532" s="1909">
        <f t="shared" si="57"/>
        <v>0</v>
      </c>
      <c r="I532" s="1909">
        <f t="shared" si="57"/>
        <v>0</v>
      </c>
      <c r="J532" s="1909">
        <f t="shared" si="57"/>
        <v>0</v>
      </c>
      <c r="K532" s="1909">
        <f t="shared" si="57"/>
        <v>0</v>
      </c>
      <c r="L532" s="1909">
        <f t="shared" si="57"/>
        <v>0</v>
      </c>
      <c r="M532" s="1909">
        <f t="shared" si="57"/>
        <v>0</v>
      </c>
      <c r="N532" s="1909">
        <f t="shared" si="57"/>
        <v>0</v>
      </c>
      <c r="O532" s="1909">
        <f>SUM(M532:N532)</f>
        <v>0</v>
      </c>
      <c r="P532" s="3290"/>
      <c r="Q532" s="3290"/>
      <c r="R532" s="1877"/>
    </row>
    <row r="533" spans="1:18" s="504" customFormat="1">
      <c r="A533" s="1870"/>
      <c r="B533" s="520" t="s">
        <v>2254</v>
      </c>
      <c r="C533" s="645"/>
      <c r="D533" s="3739">
        <f t="shared" ref="D533:M533" si="58">D383-D532</f>
        <v>0</v>
      </c>
      <c r="E533" s="3739">
        <f t="shared" si="58"/>
        <v>0</v>
      </c>
      <c r="F533" s="3739">
        <f t="shared" si="58"/>
        <v>0</v>
      </c>
      <c r="G533" s="3739">
        <f t="shared" si="58"/>
        <v>0</v>
      </c>
      <c r="H533" s="3739">
        <f t="shared" si="58"/>
        <v>0</v>
      </c>
      <c r="I533" s="3739">
        <f t="shared" si="58"/>
        <v>0</v>
      </c>
      <c r="J533" s="3739">
        <f t="shared" si="58"/>
        <v>0</v>
      </c>
      <c r="K533" s="3739">
        <f t="shared" si="58"/>
        <v>0</v>
      </c>
      <c r="L533" s="3739">
        <f t="shared" si="58"/>
        <v>0</v>
      </c>
      <c r="M533" s="3739">
        <f t="shared" si="58"/>
        <v>0</v>
      </c>
      <c r="N533" s="3740">
        <f>N383-N532+N181</f>
        <v>0</v>
      </c>
      <c r="O533" s="3739">
        <f>O383-O532</f>
        <v>0</v>
      </c>
      <c r="P533" s="3741" t="s">
        <v>2255</v>
      </c>
      <c r="Q533" s="3290"/>
      <c r="R533" s="1877"/>
    </row>
    <row r="534" spans="1:18" s="504" customFormat="1">
      <c r="A534" s="1870"/>
      <c r="B534" s="521"/>
      <c r="C534" s="645"/>
      <c r="D534" s="1910"/>
      <c r="E534" s="1910"/>
      <c r="F534" s="1910"/>
      <c r="G534" s="1910"/>
      <c r="H534" s="1910"/>
      <c r="I534" s="1910"/>
      <c r="J534" s="1910"/>
      <c r="K534" s="1910"/>
      <c r="L534" s="1910"/>
      <c r="M534" s="1910"/>
      <c r="N534" s="1910"/>
      <c r="O534" s="808"/>
      <c r="P534" s="3742"/>
      <c r="Q534" s="3290"/>
      <c r="R534" s="1871"/>
    </row>
    <row r="535" spans="1:18" s="504" customFormat="1">
      <c r="A535" s="1870"/>
      <c r="B535" s="521"/>
      <c r="C535" s="645"/>
      <c r="D535" s="1910"/>
      <c r="E535" s="1910"/>
      <c r="F535" s="1910"/>
      <c r="G535" s="1910"/>
      <c r="H535" s="1910"/>
      <c r="I535" s="1910"/>
      <c r="J535" s="1910"/>
      <c r="K535" s="1910"/>
      <c r="L535" s="1910"/>
      <c r="M535" s="1910"/>
      <c r="N535" s="1910"/>
      <c r="O535" s="808"/>
      <c r="P535" s="3742"/>
      <c r="Q535" s="3290"/>
      <c r="R535" s="1871"/>
    </row>
    <row r="536" spans="1:18">
      <c r="A536" s="1870"/>
      <c r="B536" s="3743"/>
      <c r="C536" s="3744"/>
      <c r="D536" s="3745"/>
      <c r="E536" s="1911"/>
      <c r="F536" s="1911"/>
      <c r="G536" s="1911"/>
      <c r="H536" s="1911"/>
      <c r="I536" s="1911"/>
      <c r="J536" s="1911"/>
      <c r="K536" s="1911"/>
      <c r="L536" s="1911"/>
      <c r="M536" s="1911"/>
      <c r="N536" s="1911"/>
      <c r="O536" s="1912"/>
      <c r="P536" s="3290"/>
      <c r="Q536" s="3290"/>
      <c r="R536" s="1871"/>
    </row>
    <row r="537" spans="1:18">
      <c r="A537" s="1870"/>
      <c r="B537" s="522" t="s">
        <v>1792</v>
      </c>
      <c r="C537" s="646" t="s">
        <v>1792</v>
      </c>
      <c r="D537" s="1913" t="s">
        <v>2256</v>
      </c>
      <c r="E537" s="1911"/>
      <c r="F537" s="1911"/>
      <c r="G537" s="1911"/>
      <c r="H537" s="1911"/>
      <c r="I537" s="1911"/>
      <c r="J537" s="1911"/>
      <c r="K537" s="1911"/>
      <c r="L537" s="1911"/>
      <c r="M537" s="1911"/>
      <c r="N537" s="1911"/>
      <c r="O537" s="1912"/>
      <c r="P537" s="3290"/>
      <c r="Q537" s="3290"/>
      <c r="R537" s="1871"/>
    </row>
    <row r="538" spans="1:18">
      <c r="A538" s="1870"/>
      <c r="B538" s="522"/>
      <c r="C538" s="646" t="s">
        <v>2257</v>
      </c>
      <c r="D538" s="1913" t="s">
        <v>2258</v>
      </c>
      <c r="E538" s="1911"/>
      <c r="F538" s="1911"/>
      <c r="G538" s="1911"/>
      <c r="H538" s="1911"/>
      <c r="I538" s="1911"/>
      <c r="J538" s="1911"/>
      <c r="K538" s="1911"/>
      <c r="L538" s="1911"/>
      <c r="M538" s="1911"/>
      <c r="N538" s="1911"/>
      <c r="O538" s="1912"/>
      <c r="P538" s="3290"/>
      <c r="Q538" s="3290"/>
      <c r="R538" s="1871"/>
    </row>
    <row r="539" spans="1:18">
      <c r="A539" s="1870"/>
      <c r="B539" s="523" t="s">
        <v>2259</v>
      </c>
      <c r="C539" s="647" t="s">
        <v>2260</v>
      </c>
      <c r="D539" s="1914" t="s">
        <v>2261</v>
      </c>
      <c r="E539" s="1915"/>
      <c r="F539" s="1915"/>
      <c r="G539" s="1915"/>
      <c r="H539" s="1915"/>
      <c r="I539" s="1915"/>
      <c r="J539" s="1915"/>
      <c r="K539" s="1915"/>
      <c r="L539" s="1915"/>
      <c r="M539" s="1915"/>
      <c r="N539" s="1915"/>
      <c r="O539" s="1912"/>
      <c r="P539" s="3290"/>
      <c r="Q539" s="3290"/>
      <c r="R539" s="1871"/>
    </row>
    <row r="540" spans="1:18">
      <c r="A540" s="1870"/>
      <c r="B540" s="514"/>
      <c r="C540" s="648"/>
      <c r="D540" s="1902"/>
      <c r="E540" s="1902"/>
      <c r="F540" s="1902"/>
      <c r="G540" s="1902"/>
      <c r="H540" s="1902"/>
      <c r="I540" s="1902"/>
      <c r="J540" s="1902"/>
      <c r="K540" s="1902"/>
      <c r="L540" s="1902"/>
      <c r="M540" s="1902"/>
      <c r="N540" s="1916"/>
      <c r="O540" s="3728"/>
      <c r="P540" s="3290"/>
      <c r="Q540" s="3290"/>
      <c r="R540" s="1871"/>
    </row>
    <row r="541" spans="1:18" ht="14.25">
      <c r="A541" s="1870"/>
      <c r="B541" s="1879" t="s">
        <v>1355</v>
      </c>
      <c r="C541" s="1880" t="s">
        <v>1356</v>
      </c>
      <c r="D541" s="1897">
        <v>0</v>
      </c>
      <c r="E541" s="1897">
        <v>0</v>
      </c>
      <c r="F541" s="1897">
        <v>0</v>
      </c>
      <c r="G541" s="1897">
        <v>0</v>
      </c>
      <c r="H541" s="1897">
        <v>0</v>
      </c>
      <c r="I541" s="1897">
        <v>0</v>
      </c>
      <c r="J541" s="1897">
        <v>0</v>
      </c>
      <c r="K541" s="1897">
        <v>0</v>
      </c>
      <c r="L541" s="1897">
        <v>0</v>
      </c>
      <c r="M541" s="1899">
        <f>SUM(D541:L541)</f>
        <v>0</v>
      </c>
      <c r="N541" s="1897">
        <v>0</v>
      </c>
      <c r="O541" s="1900">
        <f>SUM(M541:N541)</f>
        <v>0</v>
      </c>
      <c r="P541" s="3746" t="s">
        <v>2262</v>
      </c>
      <c r="Q541" s="3290"/>
      <c r="R541" s="1871"/>
    </row>
    <row r="542" spans="1:18">
      <c r="A542" s="1870"/>
      <c r="B542" s="1879" t="s">
        <v>1358</v>
      </c>
      <c r="C542" s="1880" t="s">
        <v>1359</v>
      </c>
      <c r="D542" s="1897">
        <v>0</v>
      </c>
      <c r="E542" s="1897">
        <v>0</v>
      </c>
      <c r="F542" s="1897">
        <v>0</v>
      </c>
      <c r="G542" s="1897">
        <v>0</v>
      </c>
      <c r="H542" s="1897">
        <v>0</v>
      </c>
      <c r="I542" s="1897">
        <v>0</v>
      </c>
      <c r="J542" s="1897">
        <v>0</v>
      </c>
      <c r="K542" s="1897">
        <v>0</v>
      </c>
      <c r="L542" s="1897">
        <v>0</v>
      </c>
      <c r="M542" s="1899">
        <f t="shared" ref="M542:M550" si="59">SUM(D542:L542)</f>
        <v>0</v>
      </c>
      <c r="N542" s="1897">
        <v>0</v>
      </c>
      <c r="O542" s="1900">
        <f t="shared" ref="O542:O550" si="60">SUM(M542:N542)</f>
        <v>0</v>
      </c>
      <c r="P542" s="3290" t="s">
        <v>2263</v>
      </c>
      <c r="Q542" s="3290"/>
      <c r="R542" s="1871"/>
    </row>
    <row r="543" spans="1:18">
      <c r="A543" s="1870"/>
      <c r="B543" s="1879" t="s">
        <v>1361</v>
      </c>
      <c r="C543" s="1880" t="s">
        <v>1362</v>
      </c>
      <c r="D543" s="1897">
        <v>0</v>
      </c>
      <c r="E543" s="1897">
        <v>0</v>
      </c>
      <c r="F543" s="1897">
        <v>0</v>
      </c>
      <c r="G543" s="1897">
        <v>0</v>
      </c>
      <c r="H543" s="1897">
        <v>0</v>
      </c>
      <c r="I543" s="1897">
        <v>0</v>
      </c>
      <c r="J543" s="1897">
        <v>0</v>
      </c>
      <c r="K543" s="1897">
        <v>0</v>
      </c>
      <c r="L543" s="1897">
        <v>0</v>
      </c>
      <c r="M543" s="1899">
        <f t="shared" si="59"/>
        <v>0</v>
      </c>
      <c r="N543" s="1897">
        <v>0</v>
      </c>
      <c r="O543" s="1900">
        <f t="shared" si="60"/>
        <v>0</v>
      </c>
      <c r="P543" s="3290" t="s">
        <v>2264</v>
      </c>
      <c r="Q543" s="3290"/>
      <c r="R543" s="1871"/>
    </row>
    <row r="544" spans="1:18">
      <c r="A544" s="1870"/>
      <c r="B544" s="1879" t="s">
        <v>1364</v>
      </c>
      <c r="C544" s="1880" t="s">
        <v>1365</v>
      </c>
      <c r="D544" s="1897">
        <v>0</v>
      </c>
      <c r="E544" s="1897">
        <v>0</v>
      </c>
      <c r="F544" s="1897">
        <v>0</v>
      </c>
      <c r="G544" s="1897">
        <v>0</v>
      </c>
      <c r="H544" s="1897">
        <v>0</v>
      </c>
      <c r="I544" s="1897">
        <v>0</v>
      </c>
      <c r="J544" s="1897">
        <v>0</v>
      </c>
      <c r="K544" s="1897">
        <v>0</v>
      </c>
      <c r="L544" s="1897">
        <v>0</v>
      </c>
      <c r="M544" s="1899">
        <f t="shared" si="59"/>
        <v>0</v>
      </c>
      <c r="N544" s="1897">
        <v>0</v>
      </c>
      <c r="O544" s="1900">
        <f t="shared" si="60"/>
        <v>0</v>
      </c>
      <c r="P544" s="3290" t="s">
        <v>2265</v>
      </c>
      <c r="Q544" s="3290"/>
      <c r="R544" s="504"/>
    </row>
    <row r="545" spans="1:18">
      <c r="A545" s="1870"/>
      <c r="B545" s="1879" t="s">
        <v>1367</v>
      </c>
      <c r="C545" s="1880" t="s">
        <v>1368</v>
      </c>
      <c r="D545" s="1897">
        <v>0</v>
      </c>
      <c r="E545" s="1897">
        <v>0</v>
      </c>
      <c r="F545" s="1897">
        <v>0</v>
      </c>
      <c r="G545" s="1897">
        <v>0</v>
      </c>
      <c r="H545" s="1897">
        <v>0</v>
      </c>
      <c r="I545" s="1897">
        <v>0</v>
      </c>
      <c r="J545" s="1897">
        <v>0</v>
      </c>
      <c r="K545" s="1897">
        <v>0</v>
      </c>
      <c r="L545" s="1897">
        <v>0</v>
      </c>
      <c r="M545" s="1899">
        <f t="shared" si="59"/>
        <v>0</v>
      </c>
      <c r="N545" s="1897">
        <v>0</v>
      </c>
      <c r="O545" s="1900">
        <f t="shared" si="60"/>
        <v>0</v>
      </c>
      <c r="P545" s="3290" t="s">
        <v>2266</v>
      </c>
      <c r="Q545" s="3290"/>
      <c r="R545" s="504"/>
    </row>
    <row r="546" spans="1:18">
      <c r="A546" s="1870"/>
      <c r="B546" s="1879" t="s">
        <v>1370</v>
      </c>
      <c r="C546" s="1880" t="s">
        <v>1371</v>
      </c>
      <c r="D546" s="1897">
        <v>0</v>
      </c>
      <c r="E546" s="1897">
        <v>0</v>
      </c>
      <c r="F546" s="1897">
        <v>0</v>
      </c>
      <c r="G546" s="1897">
        <v>0</v>
      </c>
      <c r="H546" s="1897">
        <v>0</v>
      </c>
      <c r="I546" s="1897">
        <v>0</v>
      </c>
      <c r="J546" s="1897">
        <v>0</v>
      </c>
      <c r="K546" s="1897">
        <v>0</v>
      </c>
      <c r="L546" s="1897">
        <v>0</v>
      </c>
      <c r="M546" s="1899">
        <f t="shared" si="59"/>
        <v>0</v>
      </c>
      <c r="N546" s="1897">
        <v>0</v>
      </c>
      <c r="O546" s="1900">
        <f t="shared" si="60"/>
        <v>0</v>
      </c>
      <c r="P546" s="3290" t="s">
        <v>2267</v>
      </c>
      <c r="Q546" s="3290"/>
      <c r="R546" s="504"/>
    </row>
    <row r="547" spans="1:18">
      <c r="A547" s="1870"/>
      <c r="B547" s="1879" t="s">
        <v>1373</v>
      </c>
      <c r="C547" s="1880" t="s">
        <v>1374</v>
      </c>
      <c r="D547" s="1897">
        <v>0</v>
      </c>
      <c r="E547" s="1897">
        <v>0</v>
      </c>
      <c r="F547" s="1897">
        <v>0</v>
      </c>
      <c r="G547" s="1897">
        <v>0</v>
      </c>
      <c r="H547" s="1897">
        <v>0</v>
      </c>
      <c r="I547" s="1897">
        <v>0</v>
      </c>
      <c r="J547" s="1897">
        <v>0</v>
      </c>
      <c r="K547" s="1897">
        <v>0</v>
      </c>
      <c r="L547" s="1897">
        <v>0</v>
      </c>
      <c r="M547" s="1899">
        <f t="shared" si="59"/>
        <v>0</v>
      </c>
      <c r="N547" s="1897">
        <v>0</v>
      </c>
      <c r="O547" s="1900">
        <f t="shared" si="60"/>
        <v>0</v>
      </c>
      <c r="P547" s="3290" t="s">
        <v>2268</v>
      </c>
      <c r="Q547" s="3290"/>
    </row>
    <row r="548" spans="1:18">
      <c r="A548" s="1870"/>
      <c r="B548" s="1879" t="s">
        <v>1379</v>
      </c>
      <c r="C548" s="1880" t="s">
        <v>1380</v>
      </c>
      <c r="D548" s="1897">
        <v>0</v>
      </c>
      <c r="E548" s="1897">
        <v>0</v>
      </c>
      <c r="F548" s="1897">
        <v>0</v>
      </c>
      <c r="G548" s="1897">
        <v>0</v>
      </c>
      <c r="H548" s="1897">
        <v>0</v>
      </c>
      <c r="I548" s="1897">
        <v>0</v>
      </c>
      <c r="J548" s="1897">
        <v>0</v>
      </c>
      <c r="K548" s="1897">
        <v>0</v>
      </c>
      <c r="L548" s="1897">
        <v>0</v>
      </c>
      <c r="M548" s="1899">
        <f t="shared" si="59"/>
        <v>0</v>
      </c>
      <c r="N548" s="1897">
        <v>0</v>
      </c>
      <c r="O548" s="1900">
        <f t="shared" si="60"/>
        <v>0</v>
      </c>
      <c r="P548" s="3290"/>
      <c r="Q548" s="3290"/>
    </row>
    <row r="549" spans="1:18">
      <c r="A549" s="1871"/>
      <c r="B549" s="1879" t="s">
        <v>1382</v>
      </c>
      <c r="C549" s="1880" t="s">
        <v>1383</v>
      </c>
      <c r="D549" s="1897">
        <v>0</v>
      </c>
      <c r="E549" s="1897">
        <v>0</v>
      </c>
      <c r="F549" s="1897">
        <v>0</v>
      </c>
      <c r="G549" s="1897">
        <v>0</v>
      </c>
      <c r="H549" s="1897">
        <v>0</v>
      </c>
      <c r="I549" s="1897">
        <v>0</v>
      </c>
      <c r="J549" s="1897">
        <v>0</v>
      </c>
      <c r="K549" s="1897">
        <v>0</v>
      </c>
      <c r="L549" s="1897">
        <v>0</v>
      </c>
      <c r="M549" s="1899">
        <f t="shared" si="59"/>
        <v>0</v>
      </c>
      <c r="N549" s="1897">
        <v>0</v>
      </c>
      <c r="O549" s="1900">
        <f t="shared" si="60"/>
        <v>0</v>
      </c>
      <c r="P549" s="3290"/>
      <c r="Q549" s="3290"/>
    </row>
    <row r="550" spans="1:18">
      <c r="A550" s="1871"/>
      <c r="B550" s="1879" t="s">
        <v>1385</v>
      </c>
      <c r="C550" s="1880" t="s">
        <v>251</v>
      </c>
      <c r="D550" s="1897">
        <v>0</v>
      </c>
      <c r="E550" s="1897">
        <v>0</v>
      </c>
      <c r="F550" s="1897">
        <v>0</v>
      </c>
      <c r="G550" s="1897">
        <v>0</v>
      </c>
      <c r="H550" s="1897">
        <v>0</v>
      </c>
      <c r="I550" s="1897">
        <v>0</v>
      </c>
      <c r="J550" s="1897">
        <v>0</v>
      </c>
      <c r="K550" s="1897">
        <v>0</v>
      </c>
      <c r="L550" s="1897">
        <v>0</v>
      </c>
      <c r="M550" s="1899">
        <f t="shared" si="59"/>
        <v>0</v>
      </c>
      <c r="N550" s="1897">
        <v>0</v>
      </c>
      <c r="O550" s="1900">
        <f t="shared" si="60"/>
        <v>0</v>
      </c>
      <c r="P550" s="3290"/>
      <c r="Q550" s="3290"/>
    </row>
    <row r="551" spans="1:18">
      <c r="A551" s="1871"/>
      <c r="B551" s="1879" t="s">
        <v>1408</v>
      </c>
      <c r="C551" s="1880" t="s">
        <v>1409</v>
      </c>
      <c r="D551" s="1897">
        <v>0</v>
      </c>
      <c r="E551" s="1897">
        <v>0</v>
      </c>
      <c r="F551" s="1897">
        <v>0</v>
      </c>
      <c r="G551" s="1897">
        <v>0</v>
      </c>
      <c r="H551" s="1897">
        <v>0</v>
      </c>
      <c r="I551" s="1897">
        <v>0</v>
      </c>
      <c r="J551" s="1897">
        <v>0</v>
      </c>
      <c r="K551" s="1897">
        <v>0</v>
      </c>
      <c r="L551" s="1897">
        <v>0</v>
      </c>
      <c r="M551" s="1899">
        <f>SUM(D551:L551)</f>
        <v>0</v>
      </c>
      <c r="N551" s="1897">
        <v>0</v>
      </c>
      <c r="O551" s="1900">
        <f>SUM(M551:N551)</f>
        <v>0</v>
      </c>
      <c r="P551" s="3290" t="s">
        <v>95</v>
      </c>
      <c r="Q551" s="3290"/>
    </row>
    <row r="552" spans="1:18">
      <c r="A552" s="1871"/>
      <c r="B552" s="517" t="s">
        <v>2269</v>
      </c>
      <c r="C552" s="1880"/>
      <c r="D552" s="3726">
        <f>SUM(D541:D551)</f>
        <v>0</v>
      </c>
      <c r="E552" s="3726">
        <f>SUM(E541:E551)</f>
        <v>0</v>
      </c>
      <c r="F552" s="3726">
        <f t="shared" ref="F552:N552" si="61">SUM(F541:F551)</f>
        <v>0</v>
      </c>
      <c r="G552" s="3726">
        <f t="shared" si="61"/>
        <v>0</v>
      </c>
      <c r="H552" s="3726">
        <f t="shared" si="61"/>
        <v>0</v>
      </c>
      <c r="I552" s="3726">
        <f t="shared" si="61"/>
        <v>0</v>
      </c>
      <c r="J552" s="3726">
        <f t="shared" si="61"/>
        <v>0</v>
      </c>
      <c r="K552" s="3726">
        <f t="shared" si="61"/>
        <v>0</v>
      </c>
      <c r="L552" s="3726">
        <f t="shared" si="61"/>
        <v>0</v>
      </c>
      <c r="M552" s="3726">
        <f t="shared" si="61"/>
        <v>0</v>
      </c>
      <c r="N552" s="3726">
        <f t="shared" si="61"/>
        <v>0</v>
      </c>
      <c r="O552" s="3726">
        <f>SUM(M552:N552)</f>
        <v>0</v>
      </c>
      <c r="P552" s="3290"/>
      <c r="Q552" s="3290"/>
    </row>
    <row r="553" spans="1:18">
      <c r="A553" s="1871"/>
      <c r="B553" s="1879" t="s">
        <v>2270</v>
      </c>
      <c r="C553" s="1880" t="s">
        <v>1377</v>
      </c>
      <c r="D553" s="1897">
        <f>-SUM(D149:D155)-D108-D109-D110-D111-D106+D83+D84+D85-D112-D107-D105-D130-D131</f>
        <v>0</v>
      </c>
      <c r="E553" s="1897">
        <v>0</v>
      </c>
      <c r="F553" s="1897">
        <v>0</v>
      </c>
      <c r="G553" s="1897">
        <v>0</v>
      </c>
      <c r="H553" s="1897">
        <v>0</v>
      </c>
      <c r="I553" s="1897">
        <v>0</v>
      </c>
      <c r="J553" s="1897">
        <v>0</v>
      </c>
      <c r="K553" s="1897">
        <v>0</v>
      </c>
      <c r="L553" s="1897">
        <v>0</v>
      </c>
      <c r="M553" s="1899">
        <f>SUM(D553:L553)</f>
        <v>0</v>
      </c>
      <c r="N553" s="1897">
        <v>0</v>
      </c>
      <c r="O553" s="1900">
        <f>SUM(M553:N553)</f>
        <v>0</v>
      </c>
      <c r="P553" s="3290"/>
      <c r="Q553" s="3290"/>
    </row>
    <row r="554" spans="1:18" ht="12.75" thickBot="1">
      <c r="A554" s="1871"/>
      <c r="B554" s="517" t="s">
        <v>2271</v>
      </c>
      <c r="C554" s="1880"/>
      <c r="D554" s="3726">
        <f>D552+D553</f>
        <v>0</v>
      </c>
      <c r="E554" s="3726">
        <f>E552+E553</f>
        <v>0</v>
      </c>
      <c r="F554" s="3726">
        <f t="shared" ref="F554:O554" si="62">F552+F553</f>
        <v>0</v>
      </c>
      <c r="G554" s="3726">
        <f t="shared" si="62"/>
        <v>0</v>
      </c>
      <c r="H554" s="3726">
        <f t="shared" si="62"/>
        <v>0</v>
      </c>
      <c r="I554" s="3726">
        <f t="shared" si="62"/>
        <v>0</v>
      </c>
      <c r="J554" s="3726">
        <f t="shared" si="62"/>
        <v>0</v>
      </c>
      <c r="K554" s="3726">
        <f t="shared" si="62"/>
        <v>0</v>
      </c>
      <c r="L554" s="3726">
        <f t="shared" si="62"/>
        <v>0</v>
      </c>
      <c r="M554" s="3726">
        <f t="shared" si="62"/>
        <v>0</v>
      </c>
      <c r="N554" s="3726">
        <f t="shared" si="62"/>
        <v>0</v>
      </c>
      <c r="O554" s="3564">
        <f t="shared" si="62"/>
        <v>0</v>
      </c>
      <c r="P554" s="3290"/>
      <c r="Q554" s="3290"/>
    </row>
    <row r="555" spans="1:18" ht="12.75" thickTop="1">
      <c r="A555" s="1871"/>
      <c r="B555" s="514"/>
      <c r="C555" s="1880"/>
      <c r="D555" s="524"/>
      <c r="E555" s="524"/>
      <c r="F555" s="524"/>
      <c r="G555" s="524"/>
      <c r="H555" s="524"/>
      <c r="I555" s="524"/>
      <c r="J555" s="524"/>
      <c r="K555" s="524"/>
      <c r="L555" s="524"/>
      <c r="M555" s="524"/>
      <c r="N555" s="524"/>
      <c r="O555" s="659"/>
      <c r="Q555" s="302"/>
    </row>
    <row r="556" spans="1:18">
      <c r="A556" s="1871"/>
      <c r="B556" s="514" t="s">
        <v>2272</v>
      </c>
      <c r="C556" s="1880"/>
      <c r="D556" s="525"/>
      <c r="E556" s="525"/>
      <c r="F556" s="525"/>
      <c r="G556" s="525"/>
      <c r="H556" s="525"/>
      <c r="I556" s="526"/>
      <c r="J556" s="526"/>
      <c r="K556" s="526"/>
      <c r="L556" s="526"/>
      <c r="M556" s="526"/>
      <c r="N556" s="526"/>
      <c r="Q556" s="302"/>
    </row>
    <row r="557" spans="1:18" ht="12.75" thickBot="1">
      <c r="A557" s="1871"/>
      <c r="B557" s="637" t="s">
        <v>2273</v>
      </c>
      <c r="C557" s="649"/>
      <c r="D557" s="527">
        <f>+D181-D167</f>
        <v>0</v>
      </c>
      <c r="E557" s="528" t="s">
        <v>2274</v>
      </c>
      <c r="F557" s="525"/>
      <c r="G557" s="525"/>
      <c r="H557" s="525"/>
      <c r="I557" s="525"/>
      <c r="J557" s="525"/>
      <c r="K557" s="525"/>
      <c r="L557" s="525"/>
      <c r="M557" s="525"/>
      <c r="N557" s="525"/>
      <c r="Q557" s="302"/>
    </row>
    <row r="558" spans="1:18">
      <c r="A558" s="1871"/>
      <c r="B558" s="637" t="s">
        <v>2275</v>
      </c>
      <c r="C558" s="649"/>
      <c r="D558" s="3565">
        <v>0</v>
      </c>
      <c r="E558" s="1203"/>
      <c r="F558" s="4140">
        <f>D532/365</f>
        <v>0</v>
      </c>
      <c r="G558" s="4141" t="s">
        <v>4211</v>
      </c>
      <c r="H558" s="4142"/>
      <c r="I558" s="525"/>
      <c r="J558" s="525"/>
      <c r="K558" s="525"/>
      <c r="L558" s="525"/>
      <c r="M558" s="525"/>
      <c r="N558" s="525"/>
      <c r="Q558" s="302"/>
    </row>
    <row r="559" spans="1:18">
      <c r="A559" s="1871"/>
      <c r="B559" s="637" t="s">
        <v>2276</v>
      </c>
      <c r="C559" s="649"/>
      <c r="D559" s="3565">
        <v>0</v>
      </c>
      <c r="E559" s="1203"/>
      <c r="F559" s="4143"/>
      <c r="G559" s="4144"/>
      <c r="H559" s="4145"/>
      <c r="I559" s="525"/>
      <c r="J559" s="525"/>
      <c r="K559" s="525"/>
      <c r="L559" s="525"/>
      <c r="M559" s="525"/>
      <c r="N559" s="525"/>
      <c r="Q559" s="302"/>
    </row>
    <row r="560" spans="1:18">
      <c r="A560" s="1871"/>
      <c r="B560" s="637" t="s">
        <v>2277</v>
      </c>
      <c r="C560" s="649"/>
      <c r="D560" s="3566">
        <f>+D557+D558+D559</f>
        <v>0</v>
      </c>
      <c r="E560" s="1203"/>
      <c r="F560" s="4143">
        <f>SUM(D6:D15)+D31+D33</f>
        <v>0</v>
      </c>
      <c r="G560" s="4144" t="s">
        <v>4212</v>
      </c>
      <c r="H560" s="4145"/>
      <c r="I560" s="525"/>
      <c r="J560" s="525"/>
      <c r="K560" s="525"/>
      <c r="L560" s="525"/>
      <c r="M560" s="525"/>
      <c r="N560" s="525"/>
      <c r="Q560" s="302"/>
    </row>
    <row r="561" spans="1:17" ht="12.75" thickBot="1">
      <c r="A561" s="1871"/>
      <c r="B561" s="637" t="s">
        <v>2278</v>
      </c>
      <c r="C561" s="649"/>
      <c r="D561" s="3566">
        <f>D383</f>
        <v>0</v>
      </c>
      <c r="E561" s="1203"/>
      <c r="F561" s="4146" t="e">
        <f>F560/F558</f>
        <v>#DIV/0!</v>
      </c>
      <c r="G561" s="4147" t="s">
        <v>4213</v>
      </c>
      <c r="H561" s="4148"/>
      <c r="I561" s="525"/>
      <c r="J561" s="525"/>
      <c r="K561" s="525"/>
      <c r="L561" s="525"/>
      <c r="M561" s="525"/>
      <c r="N561" s="525"/>
      <c r="Q561" s="302"/>
    </row>
    <row r="562" spans="1:17">
      <c r="A562" s="1871"/>
      <c r="B562" s="637" t="s">
        <v>2279</v>
      </c>
      <c r="C562" s="649"/>
      <c r="D562" s="3566">
        <f>D560+D561</f>
        <v>0</v>
      </c>
      <c r="E562" s="1203"/>
      <c r="F562" s="525"/>
      <c r="G562" s="525"/>
      <c r="H562" s="525"/>
      <c r="I562" s="525"/>
      <c r="J562" s="525"/>
      <c r="K562" s="525"/>
      <c r="L562" s="525"/>
      <c r="M562" s="525"/>
      <c r="N562" s="525"/>
      <c r="Q562" s="302"/>
    </row>
    <row r="563" spans="1:17" ht="15">
      <c r="A563" s="1871"/>
      <c r="B563" s="637"/>
      <c r="C563" s="650"/>
      <c r="D563" s="3566"/>
      <c r="E563" s="1203"/>
      <c r="F563" s="1863" t="s">
        <v>2280</v>
      </c>
      <c r="G563" s="525"/>
      <c r="H563" s="525"/>
      <c r="I563" s="525"/>
      <c r="J563" s="525"/>
      <c r="K563" s="525"/>
      <c r="L563" s="525"/>
      <c r="M563" s="525"/>
      <c r="N563" s="525"/>
      <c r="Q563" s="302"/>
    </row>
    <row r="564" spans="1:17" ht="15">
      <c r="A564" s="1871"/>
      <c r="B564" s="637" t="s">
        <v>2281</v>
      </c>
      <c r="C564" s="650"/>
      <c r="D564" s="1280">
        <f>IF(D550=0,0,(D550+D542+D543+D544+D545+D546+D547+D548)/D562)</f>
        <v>0</v>
      </c>
      <c r="E564" s="1203"/>
      <c r="F564" s="1612" t="s">
        <v>2282</v>
      </c>
      <c r="G564" s="525"/>
      <c r="H564" s="525"/>
      <c r="I564" s="525"/>
      <c r="J564" s="525"/>
      <c r="K564" s="525"/>
      <c r="L564" s="525"/>
      <c r="M564" s="525"/>
      <c r="N564" s="525"/>
      <c r="Q564" s="1871"/>
    </row>
    <row r="567" spans="1:17" ht="12.75" thickBot="1">
      <c r="A567" s="1870"/>
      <c r="D567" s="1869"/>
      <c r="E567" s="1869"/>
      <c r="F567" s="1869"/>
      <c r="G567" s="1869"/>
      <c r="H567" s="1869"/>
      <c r="I567" s="1869"/>
      <c r="J567" s="1869"/>
      <c r="K567" s="1869"/>
      <c r="L567" s="1869"/>
      <c r="M567" s="1869"/>
      <c r="N567" s="1869"/>
      <c r="Q567" s="1871"/>
    </row>
    <row r="568" spans="1:17" ht="12.75" thickBot="1">
      <c r="A568" s="2581" t="s">
        <v>2283</v>
      </c>
      <c r="B568" s="2582"/>
      <c r="C568" s="2582"/>
      <c r="D568" s="2582"/>
      <c r="E568" s="2582"/>
      <c r="F568" s="2582"/>
      <c r="G568" s="2582"/>
      <c r="H568" s="2582"/>
      <c r="I568" s="2582"/>
      <c r="J568" s="2582"/>
      <c r="K568" s="2582"/>
      <c r="L568" s="2582"/>
      <c r="M568" s="2582"/>
      <c r="N568" s="2582"/>
      <c r="O568" s="660"/>
      <c r="Q568" s="1871"/>
    </row>
    <row r="569" spans="1:17" ht="12.75" thickBot="1">
      <c r="A569" s="529"/>
      <c r="B569" s="2577" t="s">
        <v>2284</v>
      </c>
      <c r="C569" s="2578"/>
      <c r="D569" s="1878"/>
      <c r="E569" s="1878"/>
      <c r="F569" s="1878"/>
      <c r="G569" s="1878"/>
      <c r="H569" s="1878"/>
      <c r="I569" s="1878"/>
      <c r="J569" s="1878"/>
      <c r="K569" s="1878"/>
      <c r="L569" s="1878"/>
      <c r="M569" s="1878"/>
      <c r="N569" s="1878"/>
      <c r="Q569" s="1871"/>
    </row>
    <row r="570" spans="1:17">
      <c r="A570" s="529"/>
      <c r="B570" s="531"/>
      <c r="C570" s="651"/>
      <c r="D570" s="1878"/>
      <c r="E570" s="1878"/>
      <c r="F570" s="1878"/>
      <c r="G570" s="1878"/>
      <c r="H570" s="1878"/>
      <c r="I570" s="1878"/>
      <c r="J570" s="1878"/>
      <c r="K570" s="1878"/>
      <c r="L570" s="1878"/>
      <c r="M570" s="1878"/>
      <c r="N570" s="1878"/>
      <c r="Q570" s="1871"/>
    </row>
    <row r="571" spans="1:17">
      <c r="A571" s="529"/>
      <c r="B571" s="532"/>
      <c r="C571" s="649"/>
      <c r="D571" s="1878">
        <f>+D181-D167</f>
        <v>0</v>
      </c>
      <c r="E571" s="661" t="s">
        <v>2285</v>
      </c>
      <c r="F571" s="533"/>
      <c r="G571" s="661"/>
      <c r="H571" s="661"/>
      <c r="I571" s="661"/>
      <c r="J571" s="661"/>
      <c r="K571" s="661"/>
      <c r="L571" s="1878"/>
      <c r="M571" s="1878"/>
      <c r="N571" s="1878"/>
      <c r="Q571" s="1871"/>
    </row>
    <row r="572" spans="1:17">
      <c r="A572" s="529"/>
      <c r="B572" s="532"/>
      <c r="C572" s="652"/>
      <c r="D572" s="1878"/>
      <c r="E572" s="661"/>
      <c r="F572" s="533"/>
      <c r="G572" s="661"/>
      <c r="H572" s="661"/>
      <c r="I572" s="661"/>
      <c r="J572" s="661"/>
      <c r="K572" s="661"/>
      <c r="L572" s="1878"/>
      <c r="M572" s="1878"/>
      <c r="N572" s="1878"/>
      <c r="Q572" s="1871"/>
    </row>
    <row r="573" spans="1:17">
      <c r="A573" s="529"/>
      <c r="B573" s="532"/>
      <c r="C573" s="649"/>
      <c r="D573" s="1878">
        <f>+D571-D560</f>
        <v>0</v>
      </c>
      <c r="E573" s="661" t="s">
        <v>2286</v>
      </c>
      <c r="F573" s="533"/>
      <c r="G573" s="661"/>
      <c r="H573" s="661"/>
      <c r="I573" s="661"/>
      <c r="J573" s="661"/>
      <c r="K573" s="661"/>
      <c r="L573" s="1878"/>
      <c r="M573" s="1878"/>
      <c r="N573" s="1878"/>
      <c r="Q573" s="1871"/>
    </row>
    <row r="574" spans="1:17">
      <c r="A574" s="529"/>
      <c r="B574" s="532"/>
      <c r="C574" s="652"/>
      <c r="D574" s="1878"/>
      <c r="E574" s="661"/>
      <c r="F574" s="533"/>
      <c r="G574" s="661"/>
      <c r="H574" s="661"/>
      <c r="I574" s="661"/>
      <c r="J574" s="661"/>
      <c r="K574" s="661"/>
      <c r="L574" s="1878"/>
      <c r="M574" s="1878"/>
      <c r="N574" s="1878"/>
      <c r="Q574" s="1871"/>
    </row>
    <row r="575" spans="1:17">
      <c r="A575" s="534"/>
      <c r="B575" s="535"/>
      <c r="C575" s="649"/>
      <c r="D575" s="1878">
        <f>+D571-D557</f>
        <v>0</v>
      </c>
      <c r="E575" s="661" t="s">
        <v>2287</v>
      </c>
      <c r="F575" s="533"/>
      <c r="G575" s="661"/>
      <c r="H575" s="661"/>
      <c r="I575" s="661"/>
      <c r="J575" s="661"/>
      <c r="K575" s="661"/>
      <c r="L575" s="1878"/>
      <c r="M575" s="1878"/>
      <c r="N575" s="1878"/>
      <c r="Q575" s="1871"/>
    </row>
    <row r="576" spans="1:17">
      <c r="A576" s="534"/>
      <c r="B576" s="536"/>
      <c r="C576" s="653"/>
      <c r="D576" s="1878"/>
      <c r="E576" s="1878"/>
      <c r="F576" s="661"/>
      <c r="G576" s="661"/>
      <c r="H576" s="661"/>
      <c r="I576" s="661"/>
      <c r="J576" s="661"/>
      <c r="K576" s="661"/>
      <c r="L576" s="1878"/>
      <c r="M576" s="1878"/>
      <c r="N576" s="1878"/>
      <c r="Q576" s="1871"/>
    </row>
    <row r="577" spans="1:18" ht="12.75" thickBot="1">
      <c r="A577" s="529"/>
      <c r="B577" s="536"/>
      <c r="C577" s="653"/>
      <c r="D577" s="1878"/>
      <c r="E577" s="662"/>
      <c r="F577" s="663"/>
      <c r="G577" s="663"/>
      <c r="H577" s="663"/>
      <c r="I577" s="663"/>
      <c r="J577" s="663"/>
      <c r="K577" s="663"/>
      <c r="L577" s="1878"/>
      <c r="M577" s="1878"/>
      <c r="N577" s="1878"/>
      <c r="Q577" s="1826"/>
    </row>
    <row r="578" spans="1:18" ht="12.75" thickBot="1">
      <c r="A578" s="1870"/>
      <c r="B578" s="2579" t="s">
        <v>2288</v>
      </c>
      <c r="C578" s="2580"/>
      <c r="D578" s="1882"/>
      <c r="E578" s="1882"/>
      <c r="F578" s="1882"/>
      <c r="G578" s="1882"/>
      <c r="H578" s="1882"/>
      <c r="I578" s="1882"/>
      <c r="J578" s="1882"/>
      <c r="K578" s="1882"/>
      <c r="L578" s="1882"/>
      <c r="M578" s="1882"/>
      <c r="N578" s="1882"/>
      <c r="Q578" s="530"/>
    </row>
    <row r="579" spans="1:18">
      <c r="A579" s="1870"/>
      <c r="B579" s="539"/>
      <c r="C579" s="654"/>
      <c r="D579" s="1882"/>
      <c r="E579" s="1882"/>
      <c r="F579" s="1882"/>
      <c r="G579" s="1882"/>
      <c r="H579" s="1882"/>
      <c r="I579" s="1882"/>
      <c r="J579" s="1882"/>
      <c r="K579" s="1882"/>
      <c r="L579" s="1882"/>
      <c r="M579" s="1882"/>
      <c r="N579" s="1882"/>
      <c r="Q579" s="530"/>
      <c r="R579" s="1871"/>
    </row>
    <row r="580" spans="1:18">
      <c r="A580" s="1870"/>
      <c r="B580" s="540" t="s">
        <v>2289</v>
      </c>
      <c r="C580" s="655"/>
      <c r="D580" s="1882">
        <f t="shared" ref="D580:O580" si="63">+D89</f>
        <v>0</v>
      </c>
      <c r="E580" s="1882">
        <f t="shared" si="63"/>
        <v>0</v>
      </c>
      <c r="F580" s="1882">
        <f t="shared" si="63"/>
        <v>0</v>
      </c>
      <c r="G580" s="1882">
        <f t="shared" si="63"/>
        <v>0</v>
      </c>
      <c r="H580" s="1882">
        <f t="shared" si="63"/>
        <v>0</v>
      </c>
      <c r="I580" s="1882">
        <f t="shared" si="63"/>
        <v>0</v>
      </c>
      <c r="J580" s="1882">
        <f t="shared" si="63"/>
        <v>0</v>
      </c>
      <c r="K580" s="1882">
        <f t="shared" si="63"/>
        <v>0</v>
      </c>
      <c r="L580" s="1882">
        <f t="shared" si="63"/>
        <v>0</v>
      </c>
      <c r="M580" s="1882">
        <f t="shared" si="63"/>
        <v>0</v>
      </c>
      <c r="N580" s="1882">
        <f t="shared" si="63"/>
        <v>0</v>
      </c>
      <c r="O580" s="1882">
        <f t="shared" si="63"/>
        <v>0</v>
      </c>
      <c r="Q580" s="530"/>
      <c r="R580" s="1877"/>
    </row>
    <row r="581" spans="1:18">
      <c r="A581" s="1871"/>
      <c r="B581" s="540"/>
      <c r="C581" s="656"/>
      <c r="D581" s="1882"/>
      <c r="E581" s="1882"/>
      <c r="F581" s="1882"/>
      <c r="G581" s="1882"/>
      <c r="H581" s="1882"/>
      <c r="I581" s="1882"/>
      <c r="J581" s="1882"/>
      <c r="K581" s="1882"/>
      <c r="L581" s="1882"/>
      <c r="M581" s="1882"/>
      <c r="N581" s="1882"/>
      <c r="O581" s="1882"/>
      <c r="Q581" s="530"/>
      <c r="R581" s="1877"/>
    </row>
    <row r="582" spans="1:18">
      <c r="A582" s="1871"/>
      <c r="B582" s="540" t="s">
        <v>2290</v>
      </c>
      <c r="C582" s="655"/>
      <c r="D582" s="1882">
        <f t="shared" ref="D582:O582" si="64">+D156</f>
        <v>0</v>
      </c>
      <c r="E582" s="1882">
        <f t="shared" si="64"/>
        <v>0</v>
      </c>
      <c r="F582" s="1882">
        <f t="shared" si="64"/>
        <v>0</v>
      </c>
      <c r="G582" s="1882">
        <f t="shared" si="64"/>
        <v>0</v>
      </c>
      <c r="H582" s="1882">
        <f t="shared" si="64"/>
        <v>0</v>
      </c>
      <c r="I582" s="1882">
        <f t="shared" si="64"/>
        <v>0</v>
      </c>
      <c r="J582" s="1882">
        <f t="shared" si="64"/>
        <v>0</v>
      </c>
      <c r="K582" s="1882">
        <f t="shared" si="64"/>
        <v>0</v>
      </c>
      <c r="L582" s="1882">
        <f t="shared" si="64"/>
        <v>0</v>
      </c>
      <c r="M582" s="1882">
        <f t="shared" si="64"/>
        <v>0</v>
      </c>
      <c r="N582" s="1882">
        <f t="shared" si="64"/>
        <v>0</v>
      </c>
      <c r="O582" s="1882">
        <f t="shared" si="64"/>
        <v>0</v>
      </c>
      <c r="Q582" s="530"/>
      <c r="R582" s="1877"/>
    </row>
    <row r="583" spans="1:18">
      <c r="A583" s="1871"/>
      <c r="B583" s="541"/>
      <c r="C583" s="656"/>
      <c r="D583" s="1882"/>
      <c r="E583" s="1882"/>
      <c r="F583" s="1882"/>
      <c r="G583" s="1882"/>
      <c r="H583" s="1882"/>
      <c r="I583" s="1882"/>
      <c r="J583" s="1882"/>
      <c r="K583" s="1882"/>
      <c r="L583" s="1882"/>
      <c r="M583" s="1882"/>
      <c r="N583" s="1882"/>
      <c r="O583" s="1882"/>
      <c r="Q583" s="530"/>
      <c r="R583" s="1877"/>
    </row>
    <row r="584" spans="1:18">
      <c r="A584" s="1871"/>
      <c r="B584" s="540" t="s">
        <v>2291</v>
      </c>
      <c r="C584" s="655"/>
      <c r="D584" s="1882">
        <f>+D554</f>
        <v>0</v>
      </c>
      <c r="E584" s="1882">
        <f t="shared" ref="E584:O584" si="65">+E554</f>
        <v>0</v>
      </c>
      <c r="F584" s="1882">
        <f t="shared" si="65"/>
        <v>0</v>
      </c>
      <c r="G584" s="1882">
        <f t="shared" si="65"/>
        <v>0</v>
      </c>
      <c r="H584" s="1882">
        <f t="shared" si="65"/>
        <v>0</v>
      </c>
      <c r="I584" s="1882">
        <f t="shared" si="65"/>
        <v>0</v>
      </c>
      <c r="J584" s="1882">
        <f t="shared" si="65"/>
        <v>0</v>
      </c>
      <c r="K584" s="1882">
        <f t="shared" si="65"/>
        <v>0</v>
      </c>
      <c r="L584" s="1882">
        <f t="shared" si="65"/>
        <v>0</v>
      </c>
      <c r="M584" s="1882">
        <f t="shared" si="65"/>
        <v>0</v>
      </c>
      <c r="N584" s="1882">
        <f t="shared" si="65"/>
        <v>0</v>
      </c>
      <c r="O584" s="1882">
        <f t="shared" si="65"/>
        <v>0</v>
      </c>
      <c r="Q584" s="530"/>
      <c r="R584" s="1877"/>
    </row>
    <row r="585" spans="1:18">
      <c r="A585" s="1871"/>
      <c r="B585" s="540"/>
      <c r="C585" s="656"/>
      <c r="D585" s="1882"/>
      <c r="E585" s="1882"/>
      <c r="F585" s="1882"/>
      <c r="G585" s="1882"/>
      <c r="H585" s="1882"/>
      <c r="I585" s="1882"/>
      <c r="J585" s="1882"/>
      <c r="K585" s="1882"/>
      <c r="L585" s="1882"/>
      <c r="M585" s="1882"/>
      <c r="N585" s="1882"/>
      <c r="O585" s="1882"/>
      <c r="Q585" s="530"/>
      <c r="R585" s="1877"/>
    </row>
    <row r="586" spans="1:18">
      <c r="A586" s="1871"/>
      <c r="B586" s="542" t="s">
        <v>2292</v>
      </c>
      <c r="C586" s="657"/>
      <c r="D586" s="1882">
        <f>+D580-(D582+D584)</f>
        <v>0</v>
      </c>
      <c r="E586" s="1882">
        <f t="shared" ref="E586:O586" si="66">+E580-(E582+E584)</f>
        <v>0</v>
      </c>
      <c r="F586" s="1882">
        <f t="shared" si="66"/>
        <v>0</v>
      </c>
      <c r="G586" s="1882">
        <f t="shared" si="66"/>
        <v>0</v>
      </c>
      <c r="H586" s="1882">
        <f t="shared" si="66"/>
        <v>0</v>
      </c>
      <c r="I586" s="1882">
        <f t="shared" si="66"/>
        <v>0</v>
      </c>
      <c r="J586" s="1882">
        <f t="shared" si="66"/>
        <v>0</v>
      </c>
      <c r="K586" s="1882">
        <f t="shared" si="66"/>
        <v>0</v>
      </c>
      <c r="L586" s="1882">
        <f t="shared" si="66"/>
        <v>0</v>
      </c>
      <c r="M586" s="1882">
        <f t="shared" si="66"/>
        <v>0</v>
      </c>
      <c r="N586" s="1882">
        <f t="shared" si="66"/>
        <v>0</v>
      </c>
      <c r="O586" s="1882">
        <f t="shared" si="66"/>
        <v>0</v>
      </c>
      <c r="Q586" s="530"/>
      <c r="R586" s="1877"/>
    </row>
    <row r="587" spans="1:18" ht="12.75" thickBot="1">
      <c r="A587" s="1871"/>
      <c r="B587" s="543"/>
      <c r="C587" s="641"/>
      <c r="D587" s="1882"/>
      <c r="E587" s="1882"/>
      <c r="F587" s="1882"/>
      <c r="G587" s="1882"/>
      <c r="H587" s="1882"/>
      <c r="I587" s="1882"/>
      <c r="J587" s="1882"/>
      <c r="K587" s="1882"/>
      <c r="L587" s="1882"/>
      <c r="M587" s="1882"/>
      <c r="N587" s="1882"/>
      <c r="O587" s="1882"/>
      <c r="Q587" s="537"/>
      <c r="R587" s="1877"/>
    </row>
    <row r="588" spans="1:18" ht="12" customHeight="1">
      <c r="A588" s="1871"/>
      <c r="B588" s="2588" t="s">
        <v>2293</v>
      </c>
      <c r="C588" s="2586"/>
      <c r="D588" s="1869">
        <f t="shared" ref="D588:O588" si="67">+D89-D156-D181-D383+D532</f>
        <v>0</v>
      </c>
      <c r="E588" s="1869">
        <f t="shared" si="67"/>
        <v>0</v>
      </c>
      <c r="F588" s="1869">
        <f t="shared" si="67"/>
        <v>0</v>
      </c>
      <c r="G588" s="1869">
        <f t="shared" si="67"/>
        <v>0</v>
      </c>
      <c r="H588" s="1869">
        <f t="shared" si="67"/>
        <v>0</v>
      </c>
      <c r="I588" s="1869">
        <f t="shared" si="67"/>
        <v>0</v>
      </c>
      <c r="J588" s="1869">
        <f t="shared" si="67"/>
        <v>0</v>
      </c>
      <c r="K588" s="1869">
        <f t="shared" si="67"/>
        <v>0</v>
      </c>
      <c r="L588" s="1869">
        <f t="shared" si="67"/>
        <v>0</v>
      </c>
      <c r="M588" s="1869">
        <f t="shared" si="67"/>
        <v>0</v>
      </c>
      <c r="N588" s="1869">
        <f t="shared" si="67"/>
        <v>0</v>
      </c>
      <c r="O588" s="1869">
        <f t="shared" si="67"/>
        <v>0</v>
      </c>
      <c r="Q588" s="537"/>
      <c r="R588" s="1877"/>
    </row>
    <row r="589" spans="1:18">
      <c r="A589" s="1871"/>
      <c r="B589" s="2589"/>
      <c r="C589" s="2587"/>
      <c r="D589" s="1869"/>
      <c r="E589" s="1869"/>
      <c r="F589" s="1869"/>
      <c r="G589" s="1869"/>
      <c r="H589" s="1869"/>
      <c r="I589" s="1869"/>
      <c r="J589" s="1869"/>
      <c r="K589" s="1869"/>
      <c r="L589" s="1869"/>
      <c r="M589" s="1869"/>
      <c r="N589" s="1869"/>
      <c r="Q589" s="538"/>
      <c r="R589" s="538"/>
    </row>
    <row r="590" spans="1:18">
      <c r="A590" s="1871"/>
      <c r="B590" s="1871" t="s">
        <v>109</v>
      </c>
      <c r="C590" s="1871"/>
      <c r="D590" s="306"/>
      <c r="E590" s="306"/>
      <c r="F590" s="306"/>
      <c r="G590" s="306"/>
      <c r="H590" s="306"/>
      <c r="I590" s="306"/>
      <c r="J590" s="306"/>
      <c r="K590" s="306"/>
      <c r="L590" s="306"/>
      <c r="M590" s="306"/>
      <c r="N590" s="306"/>
      <c r="O590" s="664"/>
      <c r="Q590" s="538"/>
      <c r="R590" s="538"/>
    </row>
    <row r="591" spans="1:18">
      <c r="A591" s="1871"/>
      <c r="D591" s="306"/>
      <c r="E591" s="306"/>
      <c r="F591" s="306"/>
      <c r="G591" s="306"/>
      <c r="H591" s="306"/>
      <c r="I591" s="306"/>
      <c r="J591" s="306"/>
      <c r="K591" s="306"/>
      <c r="L591" s="306"/>
      <c r="M591" s="306"/>
      <c r="N591" s="306"/>
      <c r="O591" s="664"/>
      <c r="Q591" s="538"/>
      <c r="R591" s="504"/>
    </row>
    <row r="592" spans="1:18">
      <c r="A592" s="1871"/>
      <c r="D592" s="306"/>
      <c r="E592" s="306"/>
      <c r="F592" s="306"/>
      <c r="G592" s="306"/>
      <c r="H592" s="306"/>
      <c r="I592" s="306"/>
      <c r="J592" s="306"/>
      <c r="K592" s="306"/>
      <c r="L592" s="306"/>
      <c r="M592" s="306"/>
      <c r="N592" s="306"/>
      <c r="O592" s="664"/>
      <c r="Q592" s="538"/>
      <c r="R592" s="504"/>
    </row>
    <row r="593" spans="1:18">
      <c r="A593" s="1871"/>
      <c r="D593" s="306"/>
      <c r="E593" s="306"/>
      <c r="F593" s="306"/>
      <c r="G593" s="306"/>
      <c r="H593" s="306"/>
      <c r="I593" s="306"/>
      <c r="J593" s="306"/>
      <c r="K593" s="306"/>
      <c r="L593" s="306"/>
      <c r="M593" s="306"/>
      <c r="N593" s="306"/>
      <c r="O593" s="664"/>
      <c r="Q593" s="538"/>
      <c r="R593" s="504"/>
    </row>
    <row r="594" spans="1:18">
      <c r="A594" s="1871"/>
      <c r="D594" s="306"/>
      <c r="E594" s="306"/>
      <c r="F594" s="306"/>
      <c r="G594" s="306"/>
      <c r="H594" s="306"/>
      <c r="I594" s="306"/>
      <c r="J594" s="306"/>
      <c r="K594" s="306"/>
      <c r="L594" s="306"/>
      <c r="M594" s="306"/>
      <c r="N594" s="306"/>
      <c r="O594" s="664"/>
      <c r="Q594" s="538"/>
      <c r="R594" s="504"/>
    </row>
    <row r="595" spans="1:18">
      <c r="A595" s="1871"/>
      <c r="D595" s="306"/>
      <c r="E595" s="306"/>
      <c r="F595" s="306"/>
      <c r="G595" s="306"/>
      <c r="H595" s="306"/>
      <c r="I595" s="306"/>
      <c r="J595" s="306"/>
      <c r="K595" s="306"/>
      <c r="L595" s="306"/>
      <c r="M595" s="306"/>
      <c r="N595" s="306"/>
      <c r="O595" s="664"/>
      <c r="Q595" s="538"/>
      <c r="R595" s="504"/>
    </row>
    <row r="596" spans="1:18">
      <c r="A596" s="1871"/>
      <c r="D596" s="306"/>
      <c r="E596" s="306"/>
      <c r="F596" s="306"/>
      <c r="G596" s="306"/>
      <c r="H596" s="306"/>
      <c r="I596" s="306"/>
      <c r="J596" s="306"/>
      <c r="K596" s="306"/>
      <c r="L596" s="306"/>
      <c r="M596" s="306"/>
      <c r="N596" s="306"/>
      <c r="O596" s="664"/>
      <c r="Q596" s="1871"/>
      <c r="R596" s="504"/>
    </row>
    <row r="597" spans="1:18">
      <c r="A597" s="1871"/>
      <c r="B597" s="1871"/>
      <c r="C597" s="1871"/>
      <c r="D597" s="306"/>
      <c r="E597" s="306"/>
      <c r="F597" s="306"/>
      <c r="G597" s="306"/>
      <c r="H597" s="306"/>
      <c r="I597" s="306"/>
      <c r="J597" s="306"/>
      <c r="K597" s="306"/>
      <c r="L597" s="306"/>
      <c r="M597" s="306"/>
      <c r="N597" s="306"/>
      <c r="O597" s="664"/>
      <c r="P597" s="1871"/>
      <c r="Q597" s="1871"/>
      <c r="R597" s="504"/>
    </row>
    <row r="598" spans="1:18">
      <c r="A598" s="1871"/>
      <c r="B598" s="1871"/>
      <c r="C598" s="1871"/>
      <c r="D598" s="306"/>
      <c r="E598" s="306"/>
      <c r="F598" s="306"/>
      <c r="G598" s="306"/>
      <c r="H598" s="306"/>
      <c r="I598" s="306"/>
      <c r="J598" s="306"/>
      <c r="K598" s="306"/>
      <c r="L598" s="306"/>
      <c r="M598" s="306"/>
      <c r="N598" s="306"/>
      <c r="O598" s="664"/>
      <c r="P598" s="1871"/>
      <c r="Q598" s="1871"/>
      <c r="R598" s="1871"/>
    </row>
    <row r="599" spans="1:18">
      <c r="A599" s="1871"/>
      <c r="B599" s="1871"/>
      <c r="C599" s="1871"/>
      <c r="D599" s="306"/>
      <c r="E599" s="306"/>
      <c r="F599" s="306"/>
      <c r="G599" s="306"/>
      <c r="H599" s="306"/>
      <c r="I599" s="306"/>
      <c r="J599" s="306"/>
      <c r="K599" s="306"/>
      <c r="L599" s="306"/>
      <c r="M599" s="306"/>
      <c r="N599" s="306"/>
      <c r="O599" s="664"/>
      <c r="P599" s="1871"/>
      <c r="Q599" s="1871"/>
      <c r="R599" s="1871"/>
    </row>
    <row r="600" spans="1:18">
      <c r="A600" s="1871"/>
      <c r="B600" s="1871"/>
      <c r="C600" s="1871"/>
      <c r="D600" s="306"/>
      <c r="E600" s="306"/>
      <c r="F600" s="306"/>
      <c r="G600" s="306"/>
      <c r="H600" s="306"/>
      <c r="I600" s="306"/>
      <c r="J600" s="306"/>
      <c r="K600" s="306"/>
      <c r="L600" s="306"/>
      <c r="M600" s="306"/>
      <c r="N600" s="306"/>
      <c r="O600" s="664"/>
      <c r="P600" s="1871"/>
      <c r="Q600" s="1871"/>
      <c r="R600" s="1871"/>
    </row>
    <row r="601" spans="1:18">
      <c r="A601" s="1871"/>
      <c r="B601" s="1871"/>
      <c r="C601" s="1871"/>
      <c r="D601" s="306"/>
      <c r="E601" s="306"/>
      <c r="F601" s="306"/>
      <c r="G601" s="306"/>
      <c r="H601" s="306"/>
      <c r="I601" s="306"/>
      <c r="J601" s="306"/>
      <c r="K601" s="306"/>
      <c r="L601" s="306"/>
      <c r="M601" s="306"/>
      <c r="N601" s="306"/>
      <c r="O601" s="664"/>
      <c r="P601" s="1871"/>
      <c r="Q601" s="1871"/>
      <c r="R601" s="1871"/>
    </row>
    <row r="602" spans="1:18">
      <c r="A602" s="1871"/>
      <c r="B602" s="1871"/>
      <c r="C602" s="1871"/>
      <c r="D602" s="306"/>
      <c r="E602" s="306"/>
      <c r="F602" s="306"/>
      <c r="G602" s="306"/>
      <c r="H602" s="306"/>
      <c r="I602" s="306"/>
      <c r="J602" s="306"/>
      <c r="K602" s="306"/>
      <c r="L602" s="306"/>
      <c r="M602" s="306"/>
      <c r="N602" s="306"/>
      <c r="O602" s="664"/>
      <c r="P602" s="1871"/>
      <c r="Q602" s="1871"/>
      <c r="R602" s="1871"/>
    </row>
    <row r="603" spans="1:18">
      <c r="A603" s="1871"/>
      <c r="B603" s="1871"/>
      <c r="C603" s="1871"/>
      <c r="D603" s="306"/>
      <c r="E603" s="306"/>
      <c r="F603" s="306"/>
      <c r="G603" s="306"/>
      <c r="H603" s="306"/>
      <c r="I603" s="306"/>
      <c r="J603" s="306"/>
      <c r="K603" s="306"/>
      <c r="L603" s="306"/>
      <c r="M603" s="306"/>
      <c r="N603" s="306"/>
      <c r="O603" s="664"/>
      <c r="P603" s="1871"/>
      <c r="Q603" s="1871"/>
      <c r="R603" s="1871"/>
    </row>
    <row r="604" spans="1:18">
      <c r="A604" s="1871"/>
      <c r="B604" s="1871"/>
      <c r="C604" s="1871"/>
      <c r="D604" s="306"/>
      <c r="E604" s="306"/>
      <c r="F604" s="306"/>
      <c r="G604" s="306"/>
      <c r="H604" s="306"/>
      <c r="I604" s="306"/>
      <c r="J604" s="306"/>
      <c r="K604" s="306"/>
      <c r="L604" s="306"/>
      <c r="M604" s="306"/>
      <c r="N604" s="306"/>
      <c r="O604" s="664"/>
      <c r="P604" s="1871"/>
      <c r="Q604" s="1871"/>
      <c r="R604" s="1871"/>
    </row>
    <row r="605" spans="1:18">
      <c r="A605" s="1871"/>
      <c r="B605" s="1871"/>
      <c r="C605" s="1871"/>
      <c r="D605" s="306"/>
      <c r="E605" s="306"/>
      <c r="F605" s="306"/>
      <c r="G605" s="306"/>
      <c r="H605" s="306"/>
      <c r="I605" s="306"/>
      <c r="J605" s="306"/>
      <c r="K605" s="306"/>
      <c r="L605" s="306"/>
      <c r="M605" s="306"/>
      <c r="N605" s="306"/>
      <c r="O605" s="664"/>
      <c r="P605" s="1871"/>
      <c r="Q605" s="1871"/>
      <c r="R605" s="1871"/>
    </row>
    <row r="606" spans="1:18">
      <c r="A606" s="1871"/>
      <c r="B606" s="1871"/>
      <c r="C606" s="1871"/>
      <c r="D606" s="306"/>
      <c r="E606" s="306"/>
      <c r="F606" s="306"/>
      <c r="G606" s="306"/>
      <c r="H606" s="306"/>
      <c r="I606" s="306"/>
      <c r="J606" s="306"/>
      <c r="K606" s="306"/>
      <c r="L606" s="306"/>
      <c r="M606" s="306"/>
      <c r="N606" s="306"/>
      <c r="O606" s="664"/>
      <c r="P606" s="1871"/>
      <c r="Q606" s="1871"/>
      <c r="R606" s="1871"/>
    </row>
    <row r="607" spans="1:18">
      <c r="A607" s="1871"/>
      <c r="B607" s="1871"/>
      <c r="C607" s="1871"/>
      <c r="D607" s="306"/>
      <c r="E607" s="306"/>
      <c r="F607" s="306"/>
      <c r="G607" s="306"/>
      <c r="H607" s="306"/>
      <c r="I607" s="306"/>
      <c r="J607" s="306"/>
      <c r="K607" s="306"/>
      <c r="L607" s="306"/>
      <c r="M607" s="306"/>
      <c r="N607" s="306"/>
      <c r="O607" s="664"/>
      <c r="P607" s="1871"/>
      <c r="Q607" s="1871"/>
      <c r="R607" s="1871"/>
    </row>
    <row r="608" spans="1:18">
      <c r="A608" s="1871"/>
      <c r="B608" s="1871"/>
      <c r="C608" s="1871"/>
      <c r="D608" s="306"/>
      <c r="E608" s="306"/>
      <c r="F608" s="306"/>
      <c r="G608" s="306"/>
      <c r="H608" s="306"/>
      <c r="I608" s="306"/>
      <c r="J608" s="306"/>
      <c r="K608" s="306"/>
      <c r="L608" s="306"/>
      <c r="M608" s="306"/>
      <c r="N608" s="306"/>
      <c r="O608" s="664"/>
      <c r="P608" s="1871"/>
      <c r="Q608" s="1871"/>
      <c r="R608" s="1871"/>
    </row>
    <row r="609" spans="1:18">
      <c r="A609" s="1871"/>
      <c r="B609" s="1871"/>
      <c r="C609" s="1871"/>
      <c r="D609" s="306"/>
      <c r="E609" s="306"/>
      <c r="F609" s="306"/>
      <c r="G609" s="306"/>
      <c r="H609" s="306"/>
      <c r="I609" s="306"/>
      <c r="J609" s="306"/>
      <c r="K609" s="306"/>
      <c r="L609" s="306"/>
      <c r="M609" s="306"/>
      <c r="N609" s="306"/>
      <c r="O609" s="664"/>
      <c r="P609" s="1871"/>
      <c r="Q609" s="1871"/>
      <c r="R609" s="1871"/>
    </row>
    <row r="610" spans="1:18">
      <c r="A610" s="1871"/>
      <c r="B610" s="1871"/>
      <c r="C610" s="1871"/>
      <c r="D610" s="306"/>
      <c r="E610" s="306"/>
      <c r="F610" s="306"/>
      <c r="G610" s="306"/>
      <c r="H610" s="306"/>
      <c r="I610" s="306"/>
      <c r="J610" s="306"/>
      <c r="K610" s="306"/>
      <c r="L610" s="306"/>
      <c r="M610" s="306"/>
      <c r="N610" s="306"/>
      <c r="O610" s="664"/>
      <c r="P610" s="1871"/>
      <c r="Q610" s="1871"/>
      <c r="R610" s="1871"/>
    </row>
    <row r="611" spans="1:18">
      <c r="A611" s="1871"/>
      <c r="B611" s="1871"/>
      <c r="C611" s="1871"/>
      <c r="D611" s="306"/>
      <c r="E611" s="306"/>
      <c r="F611" s="306"/>
      <c r="G611" s="306"/>
      <c r="H611" s="306"/>
      <c r="I611" s="306"/>
      <c r="J611" s="306"/>
      <c r="K611" s="306"/>
      <c r="L611" s="306"/>
      <c r="M611" s="306"/>
      <c r="N611" s="306"/>
      <c r="O611" s="664"/>
      <c r="P611" s="1871"/>
    </row>
  </sheetData>
  <sheetProtection formatColumns="0" formatRows="0" selectLockedCells="1"/>
  <conditionalFormatting sqref="N211:N212">
    <cfRule type="cellIs" dxfId="417" priority="472" operator="notEqual">
      <formula>0</formula>
    </cfRule>
  </conditionalFormatting>
  <conditionalFormatting sqref="N214">
    <cfRule type="cellIs" dxfId="416" priority="471" operator="notEqual">
      <formula>0</formula>
    </cfRule>
  </conditionalFormatting>
  <conditionalFormatting sqref="N281">
    <cfRule type="cellIs" dxfId="415" priority="470" operator="notEqual">
      <formula>0</formula>
    </cfRule>
  </conditionalFormatting>
  <conditionalFormatting sqref="N109:N112">
    <cfRule type="cellIs" dxfId="414" priority="468" operator="notEqual">
      <formula>0</formula>
    </cfRule>
  </conditionalFormatting>
  <conditionalFormatting sqref="N151">
    <cfRule type="cellIs" dxfId="413" priority="467" operator="notEqual">
      <formula>0</formula>
    </cfRule>
  </conditionalFormatting>
  <conditionalFormatting sqref="N152:N155">
    <cfRule type="cellIs" dxfId="412" priority="466" operator="notEqual">
      <formula>0</formula>
    </cfRule>
  </conditionalFormatting>
  <conditionalFormatting sqref="D573">
    <cfRule type="cellIs" dxfId="411" priority="463" stopIfTrue="1" operator="lessThan">
      <formula>-1</formula>
    </cfRule>
    <cfRule type="cellIs" dxfId="410" priority="464" stopIfTrue="1" operator="greaterThan">
      <formula>1</formula>
    </cfRule>
    <cfRule type="cellIs" dxfId="409" priority="465" stopIfTrue="1" operator="between">
      <formula>-1</formula>
      <formula>1</formula>
    </cfRule>
  </conditionalFormatting>
  <conditionalFormatting sqref="D575">
    <cfRule type="cellIs" dxfId="408" priority="460" stopIfTrue="1" operator="lessThan">
      <formula>-1</formula>
    </cfRule>
    <cfRule type="cellIs" dxfId="407" priority="461" stopIfTrue="1" operator="greaterThan">
      <formula>1</formula>
    </cfRule>
    <cfRule type="cellIs" dxfId="406" priority="462" stopIfTrue="1" operator="between">
      <formula>-1</formula>
      <formula>1</formula>
    </cfRule>
  </conditionalFormatting>
  <conditionalFormatting sqref="D586:O586">
    <cfRule type="cellIs" dxfId="405" priority="457" stopIfTrue="1" operator="lessThan">
      <formula>-1</formula>
    </cfRule>
    <cfRule type="cellIs" dxfId="404" priority="458" stopIfTrue="1" operator="greaterThan">
      <formula>1</formula>
    </cfRule>
    <cfRule type="cellIs" dxfId="403" priority="459" stopIfTrue="1" operator="between">
      <formula>-1</formula>
      <formula>1</formula>
    </cfRule>
  </conditionalFormatting>
  <conditionalFormatting sqref="D588:O588">
    <cfRule type="cellIs" dxfId="402" priority="454" stopIfTrue="1" operator="lessThan">
      <formula>-1</formula>
    </cfRule>
    <cfRule type="cellIs" dxfId="401" priority="455" stopIfTrue="1" operator="greaterThan">
      <formula>1</formula>
    </cfRule>
    <cfRule type="cellIs" dxfId="400" priority="456" stopIfTrue="1" operator="between">
      <formula>-1</formula>
      <formula>1</formula>
    </cfRule>
  </conditionalFormatting>
  <conditionalFormatting sqref="N335">
    <cfRule type="cellIs" dxfId="399" priority="452" operator="notEqual">
      <formula>0</formula>
    </cfRule>
  </conditionalFormatting>
  <printOptions horizontalCentered="1"/>
  <pageMargins left="0.7" right="0.7" top="0.75" bottom="0.75" header="0.5" footer="0.5"/>
  <pageSetup scale="44" fitToHeight="19" orientation="landscape" horizontalDpi="300" verticalDpi="300" r:id="rId1"/>
  <headerFooter>
    <oddHeader>&amp;L&amp;"Arial,Regular"&amp;8&amp;F&amp;R&amp;"Arial,Regular"&amp;8&amp;A</oddHeader>
    <oddFooter>&amp;L&amp;"Arial,Regular"&amp;8&amp;D&amp;R&amp;"Arial,Regular"&amp;8&amp;P of &amp;N</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B21E39-1978-4074-BB2F-D9DAFEC5B491}">
  <ds:schemaRefs>
    <ds:schemaRef ds:uri="http://schemas.microsoft.com/sharepoint/v3/contenttype/forms"/>
  </ds:schemaRefs>
</ds:datastoreItem>
</file>

<file path=customXml/itemProps2.xml><?xml version="1.0" encoding="utf-8"?>
<ds:datastoreItem xmlns:ds="http://schemas.openxmlformats.org/officeDocument/2006/customXml" ds:itemID="{88731F21-258E-4DA1-A4DF-535D10524376}">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ee822479-6e51-4d14-b6b0-2c589e913e66"/>
    <ds:schemaRef ds:uri="http://www.w3.org/XML/1998/namespace"/>
  </ds:schemaRefs>
</ds:datastoreItem>
</file>

<file path=customXml/itemProps3.xml><?xml version="1.0" encoding="utf-8"?>
<ds:datastoreItem xmlns:ds="http://schemas.openxmlformats.org/officeDocument/2006/customXml" ds:itemID="{AC725297-D60F-4D71-8C14-1E522C8A13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46</vt:i4>
      </vt:variant>
    </vt:vector>
  </HeadingPairs>
  <TitlesOfParts>
    <vt:vector size="101" baseType="lpstr">
      <vt:lpstr>Adjustment Form</vt:lpstr>
      <vt:lpstr>DOEFSDownload</vt:lpstr>
      <vt:lpstr>DFS-A1-1835 Adjustment Form</vt:lpstr>
      <vt:lpstr>DFS-A1-1835 Table GL Code</vt:lpstr>
      <vt:lpstr>Contact Information</vt:lpstr>
      <vt:lpstr>CFI Calculation</vt:lpstr>
      <vt:lpstr>Certification Form</vt:lpstr>
      <vt:lpstr>Check Sheet</vt:lpstr>
      <vt:lpstr>Accounts by GL</vt:lpstr>
      <vt:lpstr>SNP</vt:lpstr>
      <vt:lpstr>SRECNP</vt:lpstr>
      <vt:lpstr>SCF</vt:lpstr>
      <vt:lpstr>SCF Support</vt:lpstr>
      <vt:lpstr>Exp by Function</vt:lpstr>
      <vt:lpstr>CIF</vt:lpstr>
      <vt:lpstr>Dist Learning</vt:lpstr>
      <vt:lpstr>Student Activity Fee Report</vt:lpstr>
      <vt:lpstr>Tuition and Fee Report</vt:lpstr>
      <vt:lpstr>FCS Notes Sched LTD</vt:lpstr>
      <vt:lpstr>FCS Notes Sched Inv &amp; Cash</vt:lpstr>
      <vt:lpstr>FCS Notes Sched Cap Assets</vt:lpstr>
      <vt:lpstr>CU Notes Sched</vt:lpstr>
      <vt:lpstr>FCS Instructions ARO</vt:lpstr>
      <vt:lpstr>FCS Asset Retirement Obligation</vt:lpstr>
      <vt:lpstr>GASB84-Fiduciary Activities</vt:lpstr>
      <vt:lpstr>GASB87-Leases</vt:lpstr>
      <vt:lpstr>CU1-Deposits</vt:lpstr>
      <vt:lpstr>CU2-Other InvestmentsOLD</vt:lpstr>
      <vt:lpstr>CU2-Other Investments</vt:lpstr>
      <vt:lpstr>CU2 Instructions Sections A &amp; B</vt:lpstr>
      <vt:lpstr>CU3-Deficit Ending Equity</vt:lpstr>
      <vt:lpstr>CU6-Chges in Long Term Liab.</vt:lpstr>
      <vt:lpstr>CU5- Prior Period Adjustment</vt:lpstr>
      <vt:lpstr>CU7 Instructions</vt:lpstr>
      <vt:lpstr>CU7-Bonds Payable &amp; COP</vt:lpstr>
      <vt:lpstr>CU8 Instructions</vt:lpstr>
      <vt:lpstr>CU8- Install Purch &amp; Leases</vt:lpstr>
      <vt:lpstr>CU9 Instructions</vt:lpstr>
      <vt:lpstr>CU9-Lines of Credit</vt:lpstr>
      <vt:lpstr>CUR1-Operating Leases</vt:lpstr>
      <vt:lpstr>CUR2-Construct. &amp; Other Sig.</vt:lpstr>
      <vt:lpstr>CUR3-Related Party Transactions</vt:lpstr>
      <vt:lpstr>FCS Notes Sched Cap Ls&amp;Inst Pur</vt:lpstr>
      <vt:lpstr>FCS Notes Sched Bonds</vt:lpstr>
      <vt:lpstr>FCS Notes Sched Op Leases</vt:lpstr>
      <vt:lpstr>FCS Notes Sched Commitments</vt:lpstr>
      <vt:lpstr>FCS Notes Sched Related Parties</vt:lpstr>
      <vt:lpstr>FS Variance Analysis Tool</vt:lpstr>
      <vt:lpstr>MD&amp;A Tool CondSRECNP</vt:lpstr>
      <vt:lpstr>MD&amp;A Tool CondSNP</vt:lpstr>
      <vt:lpstr>MD&amp;A Tool CondSCF</vt:lpstr>
      <vt:lpstr>MD&amp;A Fincl Hghlts</vt:lpstr>
      <vt:lpstr>MD&amp;A Tool OverviewofFS</vt:lpstr>
      <vt:lpstr>VLOOKUP</vt:lpstr>
      <vt:lpstr>DOEAGLDownload</vt:lpstr>
      <vt:lpstr>ChangeCA</vt:lpstr>
      <vt:lpstr>CUFormsList</vt:lpstr>
      <vt:lpstr>FormsList</vt:lpstr>
      <vt:lpstr>FundsList</vt:lpstr>
      <vt:lpstr>GLcode</vt:lpstr>
      <vt:lpstr>'Accounts by GL'!Print_Area</vt:lpstr>
      <vt:lpstr>'Adjustment Form'!Print_Area</vt:lpstr>
      <vt:lpstr>'Check Sheet'!Print_Area</vt:lpstr>
      <vt:lpstr>CIF!Print_Area</vt:lpstr>
      <vt:lpstr>'CU Notes Sched'!Print_Area</vt:lpstr>
      <vt:lpstr>'CU1-Deposits'!Print_Area</vt:lpstr>
      <vt:lpstr>'CU2-Other InvestmentsOLD'!Print_Area</vt:lpstr>
      <vt:lpstr>'CU5- Prior Period Adjustment'!Print_Area</vt:lpstr>
      <vt:lpstr>'CU7-Bonds Payable &amp; COP'!Print_Area</vt:lpstr>
      <vt:lpstr>'CU8- Install Purch &amp; Leases'!Print_Area</vt:lpstr>
      <vt:lpstr>'CU9-Lines of Credit'!Print_Area</vt:lpstr>
      <vt:lpstr>'CUR1-Operating Leases'!Print_Area</vt:lpstr>
      <vt:lpstr>'CUR2-Construct. &amp; Other Sig.'!Print_Area</vt:lpstr>
      <vt:lpstr>'CUR3-Related Party Transactions'!Print_Area</vt:lpstr>
      <vt:lpstr>'DFS-A1-1835 Adjustment Form'!Print_Area</vt:lpstr>
      <vt:lpstr>'Dist Learning'!Print_Area</vt:lpstr>
      <vt:lpstr>'Exp by Function'!Print_Area</vt:lpstr>
      <vt:lpstr>'FCS Asset Retirement Obligation'!Print_Area</vt:lpstr>
      <vt:lpstr>'FCS Notes Sched Bonds'!Print_Area</vt:lpstr>
      <vt:lpstr>'FCS Notes Sched Cap Assets'!Print_Area</vt:lpstr>
      <vt:lpstr>'FCS Notes Sched Cap Ls&amp;Inst Pur'!Print_Area</vt:lpstr>
      <vt:lpstr>'FCS Notes Sched Commitments'!Print_Area</vt:lpstr>
      <vt:lpstr>'FCS Notes Sched Inv &amp; Cash'!Print_Area</vt:lpstr>
      <vt:lpstr>'FCS Notes Sched LTD'!Print_Area</vt:lpstr>
      <vt:lpstr>'FCS Notes Sched Op Leases'!Print_Area</vt:lpstr>
      <vt:lpstr>'FCS Notes Sched Related Parties'!Print_Area</vt:lpstr>
      <vt:lpstr>'FS Variance Analysis Tool'!Print_Area</vt:lpstr>
      <vt:lpstr>'GASB87-Leases'!Print_Area</vt:lpstr>
      <vt:lpstr>'MD&amp;A Fincl Hghlts'!Print_Area</vt:lpstr>
      <vt:lpstr>'MD&amp;A Tool CondSCF'!Print_Area</vt:lpstr>
      <vt:lpstr>'MD&amp;A Tool CondSNP'!Print_Area</vt:lpstr>
      <vt:lpstr>'MD&amp;A Tool CondSRECNP'!Print_Area</vt:lpstr>
      <vt:lpstr>'MD&amp;A Tool OverviewofFS'!Print_Area</vt:lpstr>
      <vt:lpstr>SCF!Print_Area</vt:lpstr>
      <vt:lpstr>SNP!Print_Area</vt:lpstr>
      <vt:lpstr>SRECNP!Print_Area</vt:lpstr>
      <vt:lpstr>'Student Activity Fee Report'!Print_Area</vt:lpstr>
      <vt:lpstr>'Tuition and Fee Report'!Print_Area</vt:lpstr>
      <vt:lpstr>'Accounts by GL'!Print_Titles</vt:lpstr>
      <vt:lpstr>'Check Sheet'!Print_Titles</vt:lpstr>
      <vt:lpstr>'DFS-A1-1835 Adjustment Form'!Print_Titles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Yolanda Hart</dc:creator>
  <cp:lastModifiedBy>Hart, Yolanda</cp:lastModifiedBy>
  <cp:revision/>
  <cp:lastPrinted>2021-04-21T20:06:40Z</cp:lastPrinted>
  <dcterms:created xsi:type="dcterms:W3CDTF">2020-04-02T15:24:25Z</dcterms:created>
  <dcterms:modified xsi:type="dcterms:W3CDTF">2021-08-06T18:45:24Z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0x01010043F7F3E12E26E14E9C8A1FBE12D5945A</vt:lpwstr>
  </property>
</Properties>
</file>